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July 25\Dump\"/>
    </mc:Choice>
  </mc:AlternateContent>
  <xr:revisionPtr revIDLastSave="0" documentId="13_ncr:1_{5D445F8C-B1AC-4096-8231-97711C15C8E1}" xr6:coauthVersionLast="36" xr6:coauthVersionMax="36" xr10:uidLastSave="{00000000-0000-0000-0000-000000000000}"/>
  <bookViews>
    <workbookView xWindow="0" yWindow="0" windowWidth="20490" windowHeight="71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Report!$A$1:$H$415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7" i="1" l="1"/>
  <c r="C88" i="1" s="1"/>
  <c r="C73" i="1"/>
  <c r="C75" i="1" s="1"/>
  <c r="C74" i="1" l="1"/>
  <c r="C89" i="1"/>
  <c r="D255" i="1"/>
  <c r="F255" i="1" s="1"/>
  <c r="D256" i="1"/>
  <c r="F256" i="1" s="1"/>
  <c r="D254" i="1"/>
  <c r="F254" i="1" s="1"/>
  <c r="A254" i="1"/>
  <c r="A255" i="1" s="1"/>
  <c r="A256" i="1" s="1"/>
  <c r="G253" i="1"/>
  <c r="D253" i="1"/>
  <c r="F253" i="1" s="1"/>
  <c r="D265" i="1" l="1"/>
  <c r="D264" i="1"/>
  <c r="D224" i="1" l="1"/>
  <c r="J201" i="1"/>
  <c r="D53" i="1" l="1"/>
  <c r="D280" i="1" l="1"/>
  <c r="D279" i="1"/>
  <c r="D270" i="1"/>
  <c r="F270" i="1" s="1"/>
  <c r="D269" i="1"/>
  <c r="F269" i="1" s="1"/>
  <c r="D266" i="1"/>
  <c r="F266" i="1" s="1"/>
  <c r="D263" i="1"/>
  <c r="F263" i="1" s="1"/>
  <c r="D261" i="1"/>
  <c r="F261" i="1" s="1"/>
  <c r="D260" i="1"/>
  <c r="F260" i="1" s="1"/>
  <c r="D259" i="1"/>
  <c r="F259" i="1" s="1"/>
  <c r="D258" i="1"/>
  <c r="F258" i="1" s="1"/>
  <c r="D251" i="1"/>
  <c r="F251" i="1" s="1"/>
  <c r="D250" i="1"/>
  <c r="F250" i="1" s="1"/>
  <c r="D249" i="1"/>
  <c r="F249" i="1" s="1"/>
  <c r="D248" i="1"/>
  <c r="F248" i="1" s="1"/>
  <c r="D240" i="1"/>
  <c r="F240" i="1" s="1"/>
  <c r="D239" i="1"/>
  <c r="F239" i="1" s="1"/>
  <c r="D238" i="1"/>
  <c r="F238" i="1" s="1"/>
  <c r="D237" i="1"/>
  <c r="F237" i="1" s="1"/>
  <c r="D236" i="1"/>
  <c r="F236" i="1" s="1"/>
  <c r="D235" i="1"/>
  <c r="F235" i="1" s="1"/>
  <c r="D233" i="1"/>
  <c r="F233" i="1" s="1"/>
  <c r="D232" i="1"/>
  <c r="F232" i="1" s="1"/>
  <c r="D231" i="1"/>
  <c r="F231" i="1" s="1"/>
  <c r="D230" i="1"/>
  <c r="F230" i="1" s="1"/>
  <c r="D229" i="1"/>
  <c r="F229" i="1" s="1"/>
  <c r="D228" i="1"/>
  <c r="F228" i="1" s="1"/>
  <c r="D217" i="1"/>
  <c r="F217" i="1" s="1"/>
  <c r="D216" i="1"/>
  <c r="F216" i="1" s="1"/>
  <c r="D215" i="1"/>
  <c r="F215" i="1" s="1"/>
  <c r="A215" i="1"/>
  <c r="A216" i="1" s="1"/>
  <c r="A217" i="1" s="1"/>
  <c r="A218" i="1" s="1"/>
  <c r="A219" i="1" s="1"/>
  <c r="G214" i="1"/>
  <c r="F224" i="1"/>
  <c r="D223" i="1"/>
  <c r="F223" i="1" s="1"/>
  <c r="D222" i="1"/>
  <c r="F222" i="1" s="1"/>
  <c r="D210" i="1"/>
  <c r="F210" i="1" s="1"/>
  <c r="D209" i="1"/>
  <c r="F209" i="1" s="1"/>
  <c r="D208" i="1"/>
  <c r="F208" i="1" s="1"/>
  <c r="D202" i="1"/>
  <c r="F202" i="1" s="1"/>
  <c r="D201" i="1"/>
  <c r="F201" i="1" s="1"/>
  <c r="G200" i="1"/>
  <c r="F280" i="1"/>
  <c r="F279" i="1"/>
  <c r="G278" i="1"/>
  <c r="D276" i="1"/>
  <c r="F276" i="1" s="1"/>
  <c r="D275" i="1"/>
  <c r="F275" i="1" s="1"/>
  <c r="D274" i="1"/>
  <c r="F274" i="1" s="1"/>
  <c r="G273" i="1"/>
  <c r="D273" i="1"/>
  <c r="F273" i="1" s="1"/>
  <c r="G268" i="1"/>
  <c r="F265" i="1"/>
  <c r="F264" i="1"/>
  <c r="G263" i="1"/>
  <c r="A259" i="1"/>
  <c r="A260" i="1" s="1"/>
  <c r="A261" i="1" s="1"/>
  <c r="G258" i="1"/>
  <c r="A249" i="1"/>
  <c r="A250" i="1" s="1"/>
  <c r="A251" i="1" s="1"/>
  <c r="G248" i="1"/>
  <c r="G235" i="1"/>
  <c r="G228" i="1"/>
  <c r="A222" i="1"/>
  <c r="A223" i="1" s="1"/>
  <c r="A224" i="1" s="1"/>
  <c r="A225" i="1" s="1"/>
  <c r="A226" i="1" s="1"/>
  <c r="G221" i="1"/>
  <c r="A208" i="1"/>
  <c r="A209" i="1" s="1"/>
  <c r="A210" i="1" s="1"/>
  <c r="A211" i="1" s="1"/>
  <c r="A212" i="1" s="1"/>
  <c r="G207" i="1"/>
  <c r="A201" i="1"/>
  <c r="A202" i="1" s="1"/>
  <c r="A203" i="1" s="1"/>
  <c r="A204" i="1" s="1"/>
  <c r="A205" i="1" s="1"/>
  <c r="C94" i="1"/>
  <c r="J105" i="1"/>
  <c r="J104" i="1"/>
  <c r="J103" i="1"/>
  <c r="J102" i="1"/>
  <c r="J77" i="1"/>
  <c r="J76" i="1"/>
  <c r="J75" i="1"/>
  <c r="J74" i="1"/>
  <c r="G126" i="1" l="1"/>
  <c r="G127" i="1"/>
  <c r="C126" i="1"/>
  <c r="E127" i="1"/>
  <c r="C127" i="1"/>
  <c r="E126" i="1"/>
  <c r="D307" i="1"/>
  <c r="D195" i="1"/>
  <c r="F195" i="1" s="1"/>
  <c r="D194" i="1"/>
  <c r="F194" i="1" s="1"/>
  <c r="G193" i="1"/>
  <c r="D191" i="1"/>
  <c r="F191" i="1" s="1"/>
  <c r="D190" i="1"/>
  <c r="F190" i="1" s="1"/>
  <c r="D189" i="1"/>
  <c r="F189" i="1" s="1"/>
  <c r="G188" i="1"/>
  <c r="D188" i="1"/>
  <c r="F188" i="1" s="1"/>
  <c r="D185" i="1"/>
  <c r="F185" i="1" s="1"/>
  <c r="D184" i="1"/>
  <c r="F184" i="1" s="1"/>
  <c r="G183" i="1"/>
  <c r="D181" i="1"/>
  <c r="F181" i="1" s="1"/>
  <c r="D180" i="1"/>
  <c r="F180" i="1" s="1"/>
  <c r="D179" i="1"/>
  <c r="F179" i="1" s="1"/>
  <c r="G178" i="1"/>
  <c r="D178" i="1"/>
  <c r="F178" i="1" s="1"/>
  <c r="D171" i="1"/>
  <c r="F171" i="1" s="1"/>
  <c r="D170" i="1"/>
  <c r="F170" i="1" s="1"/>
  <c r="D169" i="1"/>
  <c r="F169" i="1" s="1"/>
  <c r="D168" i="1"/>
  <c r="F168" i="1" s="1"/>
  <c r="D175" i="1"/>
  <c r="F175" i="1" s="1"/>
  <c r="D174" i="1"/>
  <c r="F174" i="1" s="1"/>
  <c r="G173" i="1"/>
  <c r="D166" i="1"/>
  <c r="F166" i="1" s="1"/>
  <c r="D165" i="1"/>
  <c r="F165" i="1" s="1"/>
  <c r="D164" i="1"/>
  <c r="F164" i="1" s="1"/>
  <c r="G163" i="1"/>
  <c r="D163" i="1"/>
  <c r="F163" i="1" s="1"/>
  <c r="G168" i="1"/>
  <c r="D161" i="1"/>
  <c r="D160" i="1"/>
  <c r="D159" i="1"/>
  <c r="D158" i="1"/>
  <c r="A154" i="1"/>
  <c r="A155" i="1" s="1"/>
  <c r="A156" i="1" s="1"/>
  <c r="G153" i="1"/>
  <c r="D153" i="1"/>
  <c r="F153" i="1" s="1"/>
  <c r="A149" i="1"/>
  <c r="A150" i="1" s="1"/>
  <c r="A151" i="1" s="1"/>
  <c r="G148" i="1"/>
  <c r="D148" i="1"/>
  <c r="F148" i="1" s="1"/>
  <c r="D146" i="1"/>
  <c r="F146" i="1" s="1"/>
  <c r="A144" i="1"/>
  <c r="A145" i="1" s="1"/>
  <c r="A146" i="1" s="1"/>
  <c r="G143" i="1"/>
  <c r="D143" i="1"/>
  <c r="F143" i="1" s="1"/>
  <c r="D141" i="1"/>
  <c r="D138" i="1"/>
  <c r="C80" i="1"/>
  <c r="G49" i="1"/>
  <c r="C125" i="1" l="1"/>
  <c r="C128" i="1" s="1"/>
  <c r="E125" i="1"/>
  <c r="E128" i="1" s="1"/>
  <c r="E3" i="1"/>
  <c r="C14" i="1" l="1"/>
  <c r="G138" i="1"/>
  <c r="B284" i="1" l="1"/>
  <c r="E28" i="1" l="1"/>
  <c r="F161" i="1" l="1"/>
  <c r="F160" i="1"/>
  <c r="F159" i="1"/>
  <c r="F158" i="1"/>
  <c r="F141" i="1"/>
  <c r="F138" i="1"/>
  <c r="G125" i="1" l="1"/>
  <c r="G128" i="1" s="1"/>
  <c r="F11" i="5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G158" i="1"/>
  <c r="A139" i="1"/>
  <c r="A140" i="1" s="1"/>
  <c r="A141" i="1" s="1"/>
  <c r="F121" i="1"/>
  <c r="J91" i="1"/>
  <c r="J90" i="1"/>
  <c r="J89" i="1"/>
  <c r="G48" i="1"/>
  <c r="C48" i="1"/>
  <c r="E41" i="1"/>
  <c r="E42" i="1" s="1"/>
  <c r="E25" i="1"/>
  <c r="E23" i="1"/>
  <c r="E7" i="1"/>
  <c r="D60" i="1"/>
  <c r="H81" i="1"/>
  <c r="D86" i="1" l="1"/>
  <c r="J84" i="1"/>
  <c r="D93" i="1"/>
  <c r="D91" i="1"/>
  <c r="D89" i="1"/>
  <c r="D87" i="1"/>
  <c r="J85" i="1"/>
  <c r="C84" i="1" s="1"/>
  <c r="J83" i="1"/>
  <c r="J86" i="1"/>
  <c r="D92" i="1"/>
  <c r="D88" i="1"/>
  <c r="D90" i="1"/>
  <c r="J87" i="1" l="1"/>
  <c r="J88" i="1"/>
  <c r="D84" i="1"/>
  <c r="H67" i="1"/>
  <c r="J71" i="1" l="1"/>
  <c r="C70" i="1" s="1"/>
  <c r="J69" i="1"/>
  <c r="D76" i="1"/>
  <c r="D79" i="1"/>
  <c r="D75" i="1"/>
  <c r="D78" i="1"/>
  <c r="D74" i="1"/>
  <c r="J70" i="1"/>
  <c r="D72" i="1"/>
  <c r="J72" i="1"/>
  <c r="J73" i="1" s="1"/>
  <c r="J78" i="1" s="1"/>
  <c r="J79" i="1" s="1"/>
  <c r="C71" i="1" s="1"/>
  <c r="D77" i="1"/>
  <c r="D73" i="1"/>
  <c r="J92" i="1"/>
  <c r="E70" i="1" l="1"/>
  <c r="D71" i="1"/>
  <c r="G70" i="1"/>
  <c r="D70" i="1"/>
  <c r="J93" i="1"/>
  <c r="C85" i="1" s="1"/>
  <c r="G84" i="1" s="1"/>
  <c r="D64" i="1" s="1"/>
  <c r="H95" i="1"/>
  <c r="I66" i="1" l="1"/>
  <c r="C68" i="1" s="1"/>
  <c r="J99" i="1"/>
  <c r="C98" i="1" s="1"/>
  <c r="D98" i="1" s="1"/>
  <c r="J97" i="1"/>
  <c r="D107" i="1"/>
  <c r="D103" i="1"/>
  <c r="D100" i="1"/>
  <c r="D106" i="1"/>
  <c r="D102" i="1"/>
  <c r="J98" i="1"/>
  <c r="D104" i="1"/>
  <c r="D105" i="1"/>
  <c r="D101" i="1"/>
  <c r="J100" i="1"/>
  <c r="E84" i="1"/>
  <c r="I80" i="1" s="1"/>
  <c r="C82" i="1" s="1"/>
  <c r="D85" i="1"/>
  <c r="F65" i="1"/>
  <c r="D65" i="1"/>
  <c r="J101" i="1" l="1"/>
  <c r="J106" i="1" l="1"/>
  <c r="J107" i="1" l="1"/>
  <c r="C99" i="1" s="1"/>
  <c r="E98" i="1" s="1"/>
  <c r="I94" i="1" s="1"/>
  <c r="C96" i="1" s="1"/>
  <c r="G98" i="1" l="1"/>
  <c r="D99" i="1"/>
</calcChain>
</file>

<file path=xl/sharedStrings.xml><?xml version="1.0" encoding="utf-8"?>
<sst xmlns="http://schemas.openxmlformats.org/spreadsheetml/2006/main" count="476" uniqueCount="278">
  <si>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</si>
  <si>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</si>
  <si>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</si>
  <si>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</si>
  <si>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</si>
  <si>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</si>
  <si>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</si>
  <si>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</si>
  <si>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</si>
  <si>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</si>
  <si>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</si>
  <si>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</si>
  <si>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</si>
  <si>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</si>
  <si>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</si>
  <si>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</si>
  <si>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</si>
  <si>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</si>
  <si>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</si>
  <si>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</si>
  <si>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</si>
  <si>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</si>
  <si>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</si>
  <si>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</si>
  <si>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</si>
  <si>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</si>
  <si>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</si>
  <si>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</si>
  <si>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</si>
  <si>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</si>
  <si>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</si>
  <si>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</si>
  <si>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</si>
  <si>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</si>
  <si>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</si>
  <si>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</si>
  <si>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</si>
  <si>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</si>
  <si>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</si>
  <si>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</si>
  <si>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</si>
  <si>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>Dated</t>
  </si>
  <si>
    <t xml:space="preserve">Approved Floor plan No.  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</si>
  <si>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</si>
  <si>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</si>
  <si>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</si>
  <si>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</si>
  <si>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</si>
  <si>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</si>
  <si>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</si>
  <si>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</si>
  <si>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</si>
  <si>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</si>
  <si>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</si>
  <si>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</si>
  <si>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</si>
  <si>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</si>
  <si>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</si>
  <si>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</si>
  <si>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</si>
  <si>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</si>
  <si>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</si>
  <si>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</si>
  <si>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</si>
  <si>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</si>
  <si>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</si>
  <si>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</si>
  <si>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</si>
  <si>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</si>
  <si>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</si>
  <si>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</si>
  <si>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</si>
  <si>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</si>
  <si>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</si>
  <si>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</si>
  <si>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</si>
  <si>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</si>
  <si>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</si>
  <si>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</si>
  <si>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</si>
  <si>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</si>
  <si>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</si>
  <si>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</si>
  <si>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</si>
  <si>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</si>
  <si>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</si>
  <si>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</si>
  <si>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</si>
  <si>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</si>
  <si>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</si>
  <si>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</si>
  <si>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</si>
  <si>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</si>
  <si>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</si>
  <si>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</si>
  <si>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</si>
  <si>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</si>
  <si>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Floor Rise Rate Per Sq.ft</t>
  </si>
  <si>
    <t>Development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</si>
  <si>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</si>
  <si>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</si>
  <si>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</si>
  <si>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</si>
  <si>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</si>
  <si>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</si>
  <si>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</si>
  <si>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</si>
  <si>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</si>
  <si>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</si>
  <si>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</si>
  <si>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</si>
  <si>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</si>
  <si>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</si>
  <si>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</si>
  <si>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</si>
  <si>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</si>
  <si>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</si>
  <si>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</si>
  <si>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</si>
  <si>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</si>
  <si>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</si>
  <si>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</si>
  <si>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</si>
  <si>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</si>
  <si>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</si>
  <si>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Flat No.
(Sale Plan)</t>
  </si>
  <si>
    <t>Contact Details ( Name &amp; Contact No.)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</si>
  <si>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</si>
  <si>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</si>
  <si>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</si>
  <si>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</si>
  <si>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</si>
  <si>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</si>
  <si>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</si>
  <si>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</si>
  <si>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</si>
  <si>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</si>
  <si>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</si>
  <si>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</si>
  <si>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</si>
  <si>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</si>
  <si>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</si>
  <si>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</si>
  <si>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</si>
  <si>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</si>
  <si>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</si>
  <si>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</si>
  <si>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</si>
  <si>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</si>
  <si>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</si>
  <si>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</si>
  <si>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</si>
  <si>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</si>
  <si>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 xml:space="preserve">Violations Observed if any : </t>
  </si>
  <si>
    <t>Saleable area Loading :</t>
  </si>
  <si>
    <t>Total</t>
  </si>
  <si>
    <t>Name of Municipal Corporation/Authority</t>
  </si>
  <si>
    <t>We have considered proposed No. of Floor for Stage Calculation.</t>
  </si>
  <si>
    <t>*</t>
  </si>
  <si>
    <t>Recommended rate of the flat Per Sq. Ft. (on Saleable area)</t>
  </si>
  <si>
    <t>Recommended rate of the shop Per Sq. Ft. (on Saleable area)</t>
  </si>
  <si>
    <t>Recommended rate of the Office Per Sq. Ft. (on Saleable area)</t>
  </si>
  <si>
    <t>Recommended rate should be considered as all inclusive rate if other charges are not mentioned. (Excluding GST &amp; other government Taxes)</t>
  </si>
  <si>
    <t>Axis Sanpada</t>
  </si>
  <si>
    <t>M/s. Runwal Residency Private Limited</t>
  </si>
  <si>
    <t>Approved Plans, CC.</t>
  </si>
  <si>
    <t>Kalyan - Shilphata Road</t>
  </si>
  <si>
    <t>Thane</t>
  </si>
  <si>
    <t>4.1Km from Nilaje
Railway Station</t>
  </si>
  <si>
    <t>Premiere colony ground</t>
  </si>
  <si>
    <t>Kalyan</t>
  </si>
  <si>
    <t>Nilaje</t>
  </si>
  <si>
    <t>Survey No</t>
  </si>
  <si>
    <t>Mumbai Metropolitan Region Development Authority (MMRDA)</t>
  </si>
  <si>
    <t>We considered Gross carpet area = Net carpet.</t>
  </si>
  <si>
    <t>Constrution details are collected from Ms. Sonali - 9324908227</t>
  </si>
  <si>
    <t xml:space="preserve">1.Vitrified tiles flooring 2. Granite Kitchen Platform  3. Decorative Enternace  etc. 
</t>
  </si>
  <si>
    <t xml:space="preserve">Site Person - Contact Details ( Name &amp; Contact No.)
</t>
  </si>
  <si>
    <t>Building No. 44</t>
  </si>
  <si>
    <t>Runwal Gardens Phase 8 Bldg No. 44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Dist Thane and  S. Nos. 44/1, 44/2, 44/3, 44/4, 44/5, 44/6, 44/7, 44/8, 44/9, 44/10, 44/11, 44/12, 45/1, 45/2, 45/3, 45/4, 45/5A, 45/5/B, 45/6, 46/1/2, 46/2A, 46/2B, 46/3, 47/2, 49, 50, 51, 52/1, 52/2, 53/1A, 53/1/B, 53/2/A, 53/2/B, 53/3/A, 53/3/B, 94/2</t>
  </si>
  <si>
    <t>Usarghar</t>
  </si>
  <si>
    <t>Layout Approval No.   
(Bldg No. 44)</t>
  </si>
  <si>
    <t>SROT/Growth Center/2401/BP/ITP Usarghar-Gharivali-Sagaon 01/Site-A/Amended Layout &amp; CC Phase 8/Vol-35/1332/2022</t>
  </si>
  <si>
    <t xml:space="preserve">Commencement Certificate No.
Valid Up to: </t>
  </si>
  <si>
    <t>SROT/Growth Center/2401/BP/ITP-Usarghar-Gharivali-01/Site-A/Amended Layout &amp; CC Phase-8/Vol-35/1332/2022</t>
  </si>
  <si>
    <t>As per RERA - 31/03/2027</t>
  </si>
  <si>
    <t>Building No. 44 = Gr + 1st to 36th Floor</t>
  </si>
  <si>
    <t>Building No. 43</t>
  </si>
  <si>
    <t>Building No. 45</t>
  </si>
  <si>
    <t>Phase 8</t>
  </si>
  <si>
    <t>Building No.44</t>
  </si>
  <si>
    <t>1st Podium Floor For Society Office, Fire Lobby, Children Play Room, Driver Room &amp; Podium Parking</t>
  </si>
  <si>
    <t>2nd Podium Floor For Residential, Fire Lobby &amp; Podium Parking</t>
  </si>
  <si>
    <t>3BHK</t>
  </si>
  <si>
    <t>4BHK</t>
  </si>
  <si>
    <t>3rd  to 6th Podium Floor</t>
  </si>
  <si>
    <t>Parking</t>
  </si>
  <si>
    <t>7th Podium Floor For Residential &amp; Amenities</t>
  </si>
  <si>
    <t>Amenities</t>
  </si>
  <si>
    <t>8th Podium Floor For Residential (Part Refuge Area)</t>
  </si>
  <si>
    <t>Amenities Below</t>
  </si>
  <si>
    <t>9th to 12th, 14th to 17th, 19th to 22nd, 24th to 27th, 29th, 30th Floor</t>
  </si>
  <si>
    <t>13th 18th, 23rd &amp; 28th Floor (Part Refuge Area)</t>
  </si>
  <si>
    <t xml:space="preserve">31st Floor (Lower Duplex) </t>
  </si>
  <si>
    <t>4BHK (Duplex With 32nd Floor)</t>
  </si>
  <si>
    <t>6BHK (Duplex With 32nd Floor)</t>
  </si>
  <si>
    <t xml:space="preserve">32nd Floor (Upper Duplex) </t>
  </si>
  <si>
    <t>Duplex With 31st Floor</t>
  </si>
  <si>
    <t>33rd Floor (Lower Duplex) (Part Refuge Area)</t>
  </si>
  <si>
    <t>4BHK (Duplex With 34th Floor)</t>
  </si>
  <si>
    <t>6BHK (Duplex With 34th Floor)</t>
  </si>
  <si>
    <t xml:space="preserve">34th Floor (Upper Duplex) </t>
  </si>
  <si>
    <t>Duplex With 33rd Floor</t>
  </si>
  <si>
    <t xml:space="preserve">35th Floor (Lower Duplex) </t>
  </si>
  <si>
    <t>4BHK (Duplex With 36th Floor)</t>
  </si>
  <si>
    <t>6BHK (Duplex With 36th Floor)</t>
  </si>
  <si>
    <t xml:space="preserve">36th Floor (Upper Duplex) </t>
  </si>
  <si>
    <t>Duplex With 35th Floor</t>
  </si>
  <si>
    <t xml:space="preserve">Layout : 
</t>
  </si>
  <si>
    <t>Runwal Gardens Phase VIII</t>
  </si>
  <si>
    <t>Building No. 43 &amp; 45 is drafted &amp; hide in yes bank apf file</t>
  </si>
  <si>
    <t>Mr. Subhas -983540059/Mr. Kunal -99673393445</t>
  </si>
  <si>
    <t>Office No. 1031, Wing J, Akshar Business Park, Plot No. 03 Sector 25, Near APMC Market, 
Vashi, Navi Mumbai, Maharashtra 400703 TEL: 022-46090378/79/8
E mail : vsjcapf@gmail.com. Web site : www.vsjadon.com</t>
  </si>
  <si>
    <t>Location Link</t>
  </si>
  <si>
    <t>Documents Provided</t>
  </si>
  <si>
    <t>Latitude,Longitude</t>
  </si>
  <si>
    <t>Building No. 43, 44 &amp; 45 = Gr + 1st to 36th Floor</t>
  </si>
  <si>
    <t>Building No. 43 = Gr + 1st to 36th Floor</t>
  </si>
  <si>
    <t>Building No. 45 = Gr + 1st to 36th Floor</t>
  </si>
  <si>
    <t>19.184020,73.087538</t>
  </si>
  <si>
    <t>https://maps.app.goo.gl/aWG8h5GVAV1Gcvnq9</t>
  </si>
  <si>
    <t>Open Plot/Diva Manpada Road</t>
  </si>
  <si>
    <t>Kalyan Shilphata Road</t>
  </si>
  <si>
    <t>Usarghar Betwade Road</t>
  </si>
  <si>
    <t>Runwal Residency</t>
  </si>
  <si>
    <t>30.00 M. Wide Road</t>
  </si>
  <si>
    <t>Other Plot</t>
  </si>
  <si>
    <t>24.00 M. Wide Road</t>
  </si>
  <si>
    <t>03 Building</t>
  </si>
  <si>
    <t>Building No.43</t>
  </si>
  <si>
    <t>Ground Floor for Meter Room, Garbage Room, Electric/Pannel Room, Letter Box Room, Society Office &amp; Parking</t>
  </si>
  <si>
    <t>1st Podium Floor For Residential, Fire Lobby &amp; Podium Parking</t>
  </si>
  <si>
    <t>2BHK</t>
  </si>
  <si>
    <t>Double Height Entrance Lobby</t>
  </si>
  <si>
    <t>Club House</t>
  </si>
  <si>
    <t>Club House Below</t>
  </si>
  <si>
    <t>Double Height Entrance Lobby Below</t>
  </si>
  <si>
    <t>9th to 12th, 14th to 17th, 19th to 22nd, 24th to 27th, 29th to 32nd &amp; 34th to 36th Floor</t>
  </si>
  <si>
    <t>13th 18th, 23rd, 28th &amp; 33rd Floor (Part Refuge Area)</t>
  </si>
  <si>
    <t>1BHK</t>
  </si>
  <si>
    <t>Ground Floor for Entrance Lobby, Meter Room, Garbage Room, Electric/Pannel Room &amp; Parking</t>
  </si>
  <si>
    <t>1st Floor For Society Office, Fire Lobby, Creche Area, Driver Room, Fitness centre &amp; Podium Parking</t>
  </si>
  <si>
    <t>2nd to 6th Podium Floor For Fire Lobby &amp; Podium Parking</t>
  </si>
  <si>
    <t>7th Podium Floor For Amenities Double Height</t>
  </si>
  <si>
    <t>8th Podium Floor (Part Refuge Area)</t>
  </si>
  <si>
    <t>13th, 18th, 23rd, 28th &amp; 33rd Floor (Part Refuge Area)</t>
  </si>
  <si>
    <t>We have received approved floor plans for buildings no. 43 to 45, but building no. 44 is registered in RERA, so we have considered an APF for building no. 44 only.</t>
  </si>
  <si>
    <t>Phase 8 = Building No. 43, 44 &amp; 45</t>
  </si>
  <si>
    <t>Flats - 417</t>
  </si>
  <si>
    <t>We have updated Building No. 43 &amp; 45 (on 24/04/2024).</t>
  </si>
  <si>
    <t>Building No. 43, 44 &amp; 45 = Ground Podium + 1st to 6th Podium + Club House at 7th Podium floor + 8th floor + 9th to 36th floor (Residential floors)</t>
  </si>
  <si>
    <t>2nd to 6th Podium Floor</t>
  </si>
  <si>
    <t>Other Charges</t>
  </si>
  <si>
    <t>7500 to 7600</t>
  </si>
  <si>
    <t>viraj</t>
  </si>
  <si>
    <t>OC n Building 45 2503 area changed by Smith on 16/07/2024</t>
  </si>
  <si>
    <t xml:space="preserve">Smith </t>
  </si>
  <si>
    <t>9th to 12th, 14th to 17th, 19th to 22nd, 24th, 26th, 27th, 29th to 30th &amp; 34th Floor</t>
  </si>
  <si>
    <t>25th Floor</t>
  </si>
  <si>
    <t>Building No. 45 Flat no. 2503 CA area changed as agreement index 2 area by smith on 16/07/2024</t>
  </si>
  <si>
    <t>Runwal Gardens - Phase 8 - Bldg No. 44 = P51700047512
Runwal Gardens Phase 8 Bldg No. 43 and 45 = P51700052441</t>
  </si>
  <si>
    <t>Rate 7600 to 8250 Bhargav building 44 Flat 701 index 2 19/12/2024</t>
  </si>
  <si>
    <t>Recommended Rates/Other Charges of the Property have been revised on 03/05/2024, 16/07/2024 &amp; 19/12/2024.</t>
  </si>
  <si>
    <t>Building No. 43 = Gr + 1st to 36th Floor
Building No. 44 = Gr + 1st to 36th Floor</t>
  </si>
  <si>
    <t>Gaurav Panchal</t>
  </si>
  <si>
    <t>Mr. Gangaram</t>
  </si>
  <si>
    <t>Construction work is in process at the time of Visit.</t>
  </si>
  <si>
    <t>Mr. Ankit 9137940152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</si>
</sst>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5" fontId="5" fillId="0" borderId="0" applyFont="0" applyFill="0" applyBorder="0" applyAlignment="0" applyProtection="0"/>
    <xf numFmtId="0" fontId="20" fillId="0" borderId="0"/>
    <xf numFmtId="9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4" fillId="0" borderId="0" applyNumberFormat="0" applyFill="0" applyBorder="0" applyAlignment="0" applyProtection="0"/>
  </cellStyleXfs>
  <cellXfs count="211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12" fillId="2" borderId="1" xfId="1" applyFont="1" applyFill="1" applyBorder="1" applyAlignment="1" applyProtection="1">
      <alignment vertical="top"/>
      <protection locked="0"/>
    </xf>
    <xf numFmtId="0" fontId="8" fillId="0" borderId="0" xfId="1" applyFont="1" applyAlignment="1" applyProtection="1">
      <alignment vertical="top"/>
      <protection locked="0"/>
    </xf>
    <xf numFmtId="0" fontId="8" fillId="0" borderId="0" xfId="1" applyFont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12" xfId="1" applyFont="1" applyBorder="1" applyProtection="1">
      <protection hidden="1"/>
    </xf>
    <xf numFmtId="0" fontId="7" fillId="0" borderId="12" xfId="1" applyFont="1" applyBorder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5" fillId="0" borderId="1" xfId="4" applyBorder="1" applyAlignment="1">
      <alignment horizontal="center" vertical="center"/>
    </xf>
    <xf numFmtId="9" fontId="8" fillId="0" borderId="18" xfId="8" applyFont="1" applyFill="1" applyBorder="1" applyAlignment="1" applyProtection="1">
      <alignment horizontal="center" vertical="top" wrapText="1"/>
      <protection locked="0"/>
    </xf>
    <xf numFmtId="1" fontId="7" fillId="0" borderId="0" xfId="1" applyNumberFormat="1" applyFont="1" applyAlignment="1">
      <alignment horizontal="center" vertical="center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0" fontId="17" fillId="0" borderId="0" xfId="0" applyFont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17" fillId="0" borderId="12" xfId="0" applyFont="1" applyBorder="1" applyProtection="1">
      <protection hidden="1"/>
    </xf>
    <xf numFmtId="0" fontId="7" fillId="0" borderId="10" xfId="1" applyFont="1" applyBorder="1" applyProtection="1">
      <protection hidden="1"/>
    </xf>
    <xf numFmtId="0" fontId="17" fillId="0" borderId="13" xfId="0" applyFont="1" applyBorder="1" applyProtection="1">
      <protection hidden="1"/>
    </xf>
    <xf numFmtId="1" fontId="0" fillId="0" borderId="12" xfId="0" applyNumberFormat="1" applyBorder="1"/>
    <xf numFmtId="1" fontId="0" fillId="0" borderId="12" xfId="0" applyNumberFormat="1" applyBorder="1" applyAlignment="1">
      <alignment horizontal="right"/>
    </xf>
    <xf numFmtId="1" fontId="0" fillId="0" borderId="14" xfId="0" applyNumberFormat="1" applyBorder="1"/>
    <xf numFmtId="0" fontId="12" fillId="0" borderId="3" xfId="1" applyFont="1" applyBorder="1" applyAlignment="1" applyProtection="1">
      <alignment horizontal="center" vertical="top"/>
      <protection locked="0"/>
    </xf>
    <xf numFmtId="0" fontId="12" fillId="0" borderId="4" xfId="1" applyFont="1" applyBorder="1" applyAlignment="1" applyProtection="1">
      <alignment horizontal="center" vertical="top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0" fontId="23" fillId="0" borderId="0" xfId="1" applyFont="1"/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1" fontId="12" fillId="0" borderId="1" xfId="0" applyNumberFormat="1" applyFont="1" applyBorder="1" applyAlignment="1" applyProtection="1">
      <alignment horizontal="center" vertical="center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0" fontId="12" fillId="0" borderId="6" xfId="1" applyFont="1" applyBorder="1" applyAlignment="1" applyProtection="1">
      <alignment horizont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1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3" borderId="0" xfId="1" applyFont="1" applyFill="1"/>
    <xf numFmtId="0" fontId="7" fillId="0" borderId="0" xfId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4" fontId="7" fillId="3" borderId="0" xfId="1" applyNumberFormat="1" applyFont="1" applyFill="1"/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12" fillId="5" borderId="1" xfId="0" applyNumberFormat="1" applyFont="1" applyFill="1" applyBorder="1" applyAlignment="1" applyProtection="1">
      <alignment horizontal="center" vertical="center" wrapText="1"/>
      <protection locked="0"/>
    </xf>
    <xf numFmtId="14" fontId="0" fillId="0" borderId="0" xfId="0" applyNumberFormat="1"/>
    <xf numFmtId="1" fontId="12" fillId="0" borderId="8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23" xfId="1" applyNumberFormat="1" applyFont="1" applyFill="1" applyBorder="1" applyAlignment="1" applyProtection="1">
      <alignment horizontal="center" vertical="center" wrapText="1"/>
      <protection locked="0"/>
    </xf>
    <xf numFmtId="1" fontId="12" fillId="0" borderId="9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23" xfId="1" applyNumberFormat="1" applyFont="1" applyBorder="1" applyAlignment="1" applyProtection="1">
      <alignment horizontal="center" vertical="center" wrapText="1"/>
      <protection locked="0"/>
    </xf>
    <xf numFmtId="1" fontId="6" fillId="0" borderId="9" xfId="1" applyNumberFormat="1" applyFont="1" applyBorder="1" applyAlignment="1" applyProtection="1">
      <alignment horizontal="center" vertical="center" wrapText="1"/>
      <protection locked="0"/>
    </xf>
    <xf numFmtId="1" fontId="6" fillId="0" borderId="19" xfId="1" applyNumberFormat="1" applyFont="1" applyBorder="1" applyAlignment="1" applyProtection="1">
      <alignment horizontal="center" vertical="center" wrapText="1"/>
      <protection locked="0"/>
    </xf>
    <xf numFmtId="1" fontId="6" fillId="0" borderId="26" xfId="1" applyNumberFormat="1" applyFont="1" applyBorder="1" applyAlignment="1" applyProtection="1">
      <alignment horizontal="center" vertical="center" wrapText="1"/>
      <protection locked="0"/>
    </xf>
    <xf numFmtId="1" fontId="6" fillId="0" borderId="20" xfId="1" applyNumberFormat="1" applyFont="1" applyBorder="1" applyAlignment="1" applyProtection="1">
      <alignment horizontal="center" vertical="center" wrapText="1"/>
      <protection locked="0"/>
    </xf>
    <xf numFmtId="1" fontId="6" fillId="0" borderId="21" xfId="1" applyNumberFormat="1" applyFont="1" applyBorder="1" applyAlignment="1" applyProtection="1">
      <alignment horizontal="center" vertical="center" wrapText="1"/>
      <protection locked="0"/>
    </xf>
    <xf numFmtId="1" fontId="6" fillId="0" borderId="29" xfId="1" applyNumberFormat="1" applyFont="1" applyBorder="1" applyAlignment="1" applyProtection="1">
      <alignment horizontal="center" vertical="center" wrapText="1"/>
      <protection locked="0"/>
    </xf>
    <xf numFmtId="1" fontId="6" fillId="0" borderId="22" xfId="1" applyNumberFormat="1" applyFont="1" applyBorder="1" applyAlignment="1" applyProtection="1">
      <alignment horizontal="center" vertical="center" wrapText="1"/>
      <protection locked="0"/>
    </xf>
    <xf numFmtId="1" fontId="6" fillId="0" borderId="27" xfId="1" applyNumberFormat="1" applyFont="1" applyBorder="1" applyAlignment="1" applyProtection="1">
      <alignment horizontal="center" vertical="center" wrapText="1"/>
      <protection locked="0"/>
    </xf>
    <xf numFmtId="1" fontId="6" fillId="0" borderId="2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1" xfId="1" applyNumberFormat="1" applyFont="1" applyBorder="1" applyAlignment="1" applyProtection="1">
      <alignment horizontal="center" vertical="center" wrapText="1"/>
      <protection locked="0"/>
    </xf>
    <xf numFmtId="1" fontId="8" fillId="0" borderId="8" xfId="1" applyNumberFormat="1" applyFont="1" applyBorder="1" applyAlignment="1" applyProtection="1">
      <alignment horizontal="center" vertical="center" wrapText="1"/>
      <protection locked="0"/>
    </xf>
    <xf numFmtId="1" fontId="8" fillId="0" borderId="23" xfId="1" applyNumberFormat="1" applyFont="1" applyBorder="1" applyAlignment="1" applyProtection="1">
      <alignment horizontal="center" vertical="center" wrapText="1"/>
      <protection locked="0"/>
    </xf>
    <xf numFmtId="1" fontId="8" fillId="0" borderId="9" xfId="1" applyNumberFormat="1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1" fontId="12" fillId="0" borderId="8" xfId="1" applyNumberFormat="1" applyFont="1" applyFill="1" applyBorder="1" applyAlignment="1" applyProtection="1">
      <alignment horizontal="center" vertical="center"/>
      <protection locked="0"/>
    </xf>
    <xf numFmtId="1" fontId="12" fillId="0" borderId="23" xfId="1" applyNumberFormat="1" applyFont="1" applyFill="1" applyBorder="1" applyAlignment="1" applyProtection="1">
      <alignment horizontal="center" vertical="center"/>
      <protection locked="0"/>
    </xf>
    <xf numFmtId="1" fontId="12" fillId="0" borderId="9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center" vertical="center"/>
    </xf>
    <xf numFmtId="0" fontId="8" fillId="4" borderId="1" xfId="1" applyFont="1" applyFill="1" applyBorder="1" applyAlignment="1" applyProtection="1">
      <alignment horizontal="center" vertical="top"/>
      <protection locked="0"/>
    </xf>
    <xf numFmtId="1" fontId="7" fillId="3" borderId="27" xfId="1" applyNumberFormat="1" applyFont="1" applyFill="1" applyBorder="1" applyAlignment="1">
      <alignment horizontal="center" vertical="center" wrapText="1"/>
    </xf>
    <xf numFmtId="1" fontId="7" fillId="3" borderId="0" xfId="1" applyNumberFormat="1" applyFont="1" applyFill="1" applyBorder="1" applyAlignment="1">
      <alignment horizontal="center" vertical="center" wrapText="1"/>
    </xf>
    <xf numFmtId="0" fontId="13" fillId="0" borderId="24" xfId="1" applyFont="1" applyBorder="1" applyAlignment="1" applyProtection="1">
      <alignment horizontal="left" vertical="top" wrapText="1"/>
      <protection locked="0"/>
    </xf>
    <xf numFmtId="0" fontId="13" fillId="0" borderId="17" xfId="1" applyFont="1" applyBorder="1" applyAlignment="1" applyProtection="1">
      <alignment horizontal="left" vertical="top" wrapText="1"/>
      <protection locked="0"/>
    </xf>
    <xf numFmtId="0" fontId="13" fillId="0" borderId="15" xfId="1" applyFont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left" vertical="top" wrapText="1"/>
      <protection locked="0"/>
    </xf>
    <xf numFmtId="0" fontId="13" fillId="0" borderId="25" xfId="1" applyFont="1" applyBorder="1" applyAlignment="1" applyProtection="1">
      <alignment horizontal="left" vertical="top" wrapText="1"/>
      <protection locked="0"/>
    </xf>
    <xf numFmtId="0" fontId="13" fillId="0" borderId="3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/>
      <protection locked="0"/>
    </xf>
    <xf numFmtId="0" fontId="13" fillId="0" borderId="1" xfId="1" applyFont="1" applyBorder="1" applyAlignment="1" applyProtection="1">
      <alignment horizontal="left" vertical="top" wrapText="1"/>
      <protection locked="0"/>
    </xf>
    <xf numFmtId="0" fontId="13" fillId="0" borderId="4" xfId="1" applyFont="1" applyBorder="1" applyAlignment="1" applyProtection="1">
      <alignment horizontal="left" vertical="top" wrapText="1"/>
      <protection locked="0"/>
    </xf>
    <xf numFmtId="0" fontId="12" fillId="0" borderId="3" xfId="1" applyFont="1" applyBorder="1" applyAlignment="1" applyProtection="1">
      <alignment horizontal="center" vertical="top" wrapText="1"/>
      <protection locked="0"/>
    </xf>
    <xf numFmtId="0" fontId="12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Border="1" applyAlignment="1" applyProtection="1">
      <alignment horizontal="center" vertical="top" wrapText="1"/>
      <protection locked="0"/>
    </xf>
    <xf numFmtId="9" fontId="12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6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12" fillId="2" borderId="7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5" xfId="1" applyFont="1" applyBorder="1" applyAlignment="1" applyProtection="1">
      <alignment horizontal="center" vertical="top" wrapText="1"/>
      <protection locked="0"/>
    </xf>
    <xf numFmtId="0" fontId="12" fillId="0" borderId="6" xfId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12" fillId="0" borderId="1" xfId="0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10" fillId="0" borderId="8" xfId="1" applyFont="1" applyBorder="1" applyAlignment="1" applyProtection="1">
      <alignment horizontal="left"/>
      <protection locked="0"/>
    </xf>
    <xf numFmtId="0" fontId="10" fillId="0" borderId="23" xfId="1" applyFont="1" applyBorder="1" applyAlignment="1" applyProtection="1">
      <alignment horizontal="left"/>
      <protection locked="0"/>
    </xf>
    <xf numFmtId="0" fontId="10" fillId="0" borderId="9" xfId="1" applyFont="1" applyBorder="1" applyAlignment="1" applyProtection="1">
      <alignment horizontal="left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12" fillId="0" borderId="19" xfId="1" applyFont="1" applyBorder="1" applyAlignment="1" applyProtection="1">
      <alignment horizontal="left" vertical="top" wrapText="1"/>
      <protection locked="0"/>
    </xf>
    <xf numFmtId="0" fontId="12" fillId="0" borderId="26" xfId="1" applyFont="1" applyBorder="1" applyAlignment="1" applyProtection="1">
      <alignment horizontal="left" vertical="top" wrapText="1"/>
      <protection locked="0"/>
    </xf>
    <xf numFmtId="0" fontId="12" fillId="0" borderId="20" xfId="1" applyFont="1" applyBorder="1" applyAlignment="1" applyProtection="1">
      <alignment horizontal="left" vertical="top" wrapText="1"/>
      <protection locked="0"/>
    </xf>
    <xf numFmtId="0" fontId="12" fillId="0" borderId="27" xfId="1" applyFont="1" applyBorder="1" applyAlignment="1" applyProtection="1">
      <alignment horizontal="left" vertical="top" wrapText="1"/>
      <protection locked="0"/>
    </xf>
    <xf numFmtId="0" fontId="12" fillId="0" borderId="0" xfId="1" applyFont="1" applyBorder="1" applyAlignment="1" applyProtection="1">
      <alignment horizontal="left" vertical="top" wrapText="1"/>
      <protection locked="0"/>
    </xf>
    <xf numFmtId="0" fontId="12" fillId="0" borderId="28" xfId="1" applyFont="1" applyBorder="1" applyAlignment="1" applyProtection="1">
      <alignment horizontal="left" vertical="top" wrapText="1"/>
      <protection locked="0"/>
    </xf>
    <xf numFmtId="0" fontId="12" fillId="0" borderId="21" xfId="1" applyFont="1" applyBorder="1" applyAlignment="1" applyProtection="1">
      <alignment horizontal="left" vertical="top" wrapText="1"/>
      <protection locked="0"/>
    </xf>
    <xf numFmtId="0" fontId="12" fillId="0" borderId="29" xfId="1" applyFont="1" applyBorder="1" applyAlignment="1" applyProtection="1">
      <alignment horizontal="left" vertical="top" wrapText="1"/>
      <protection locked="0"/>
    </xf>
    <xf numFmtId="0" fontId="12" fillId="0" borderId="22" xfId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0" fontId="12" fillId="2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167" fontId="13" fillId="0" borderId="1" xfId="1" applyNumberFormat="1" applyFont="1" applyBorder="1" applyAlignment="1" applyProtection="1">
      <alignment horizontal="left" vertical="top" wrapText="1"/>
      <protection locked="0"/>
    </xf>
    <xf numFmtId="1" fontId="8" fillId="0" borderId="1" xfId="0" applyNumberFormat="1" applyFont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Border="1" applyAlignment="1" applyProtection="1">
      <alignment horizontal="center" vertical="top" wrapText="1"/>
      <protection locked="0"/>
    </xf>
    <xf numFmtId="1" fontId="10" fillId="0" borderId="8" xfId="0" applyNumberFormat="1" applyFont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7" fillId="0" borderId="8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1" fontId="7" fillId="0" borderId="8" xfId="0" applyNumberFormat="1" applyFont="1" applyBorder="1" applyAlignment="1" applyProtection="1">
      <alignment horizontal="center" vertical="top" wrapText="1"/>
      <protection locked="0"/>
    </xf>
    <xf numFmtId="1" fontId="7" fillId="0" borderId="9" xfId="0" applyNumberFormat="1" applyFont="1" applyBorder="1" applyAlignment="1" applyProtection="1">
      <alignment horizontal="center" vertical="top" wrapText="1"/>
      <protection locked="0"/>
    </xf>
    <xf numFmtId="1" fontId="8" fillId="0" borderId="2" xfId="1" applyNumberFormat="1" applyFont="1" applyBorder="1" applyAlignment="1" applyProtection="1">
      <alignment horizontal="center" vertical="top" wrapText="1"/>
      <protection locked="0"/>
    </xf>
    <xf numFmtId="1" fontId="8" fillId="0" borderId="18" xfId="1" applyNumberFormat="1" applyFont="1" applyBorder="1" applyAlignment="1" applyProtection="1">
      <alignment horizontal="center" vertical="top" wrapText="1"/>
      <protection locked="0"/>
    </xf>
    <xf numFmtId="1" fontId="8" fillId="0" borderId="19" xfId="1" applyNumberFormat="1" applyFont="1" applyBorder="1" applyAlignment="1" applyProtection="1">
      <alignment horizontal="center" vertical="top" wrapText="1"/>
      <protection locked="0"/>
    </xf>
    <xf numFmtId="1" fontId="8" fillId="0" borderId="21" xfId="1" applyNumberFormat="1" applyFont="1" applyBorder="1" applyAlignment="1" applyProtection="1">
      <alignment horizontal="center" vertical="top" wrapText="1"/>
      <protection locked="0"/>
    </xf>
    <xf numFmtId="1" fontId="8" fillId="0" borderId="20" xfId="1" applyNumberFormat="1" applyFont="1" applyBorder="1" applyAlignment="1" applyProtection="1">
      <alignment horizontal="center" vertical="top" wrapText="1"/>
      <protection locked="0"/>
    </xf>
    <xf numFmtId="1" fontId="8" fillId="0" borderId="22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12" fillId="0" borderId="8" xfId="1" applyFont="1" applyBorder="1" applyAlignment="1" applyProtection="1">
      <alignment horizontal="left" vertical="top" wrapText="1"/>
      <protection locked="0"/>
    </xf>
    <xf numFmtId="0" fontId="12" fillId="0" borderId="9" xfId="1" applyFont="1" applyBorder="1" applyAlignment="1" applyProtection="1">
      <alignment horizontal="left" vertical="top" wrapText="1"/>
      <protection locked="0"/>
    </xf>
    <xf numFmtId="0" fontId="13" fillId="0" borderId="8" xfId="1" applyFont="1" applyBorder="1" applyAlignment="1" applyProtection="1">
      <alignment horizontal="left" vertical="top"/>
      <protection locked="0"/>
    </xf>
    <xf numFmtId="0" fontId="13" fillId="0" borderId="23" xfId="1" applyFont="1" applyBorder="1" applyAlignment="1" applyProtection="1">
      <alignment horizontal="left" vertical="top"/>
      <protection locked="0"/>
    </xf>
    <xf numFmtId="0" fontId="13" fillId="0" borderId="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12" fillId="0" borderId="2" xfId="1" applyFont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Border="1" applyAlignment="1" applyProtection="1">
      <alignment horizontal="center" vertical="top"/>
      <protection locked="0"/>
    </xf>
    <xf numFmtId="2" fontId="12" fillId="0" borderId="1" xfId="1" applyNumberFormat="1" applyFont="1" applyBorder="1" applyAlignment="1" applyProtection="1">
      <alignment horizontal="left" vertical="top" wrapText="1"/>
      <protection locked="0"/>
    </xf>
    <xf numFmtId="1" fontId="12" fillId="0" borderId="1" xfId="1" applyNumberFormat="1" applyFont="1" applyBorder="1" applyAlignment="1" applyProtection="1">
      <alignment horizontal="left" vertical="top" wrapText="1"/>
      <protection locked="0"/>
    </xf>
    <xf numFmtId="164" fontId="12" fillId="0" borderId="1" xfId="1" applyNumberFormat="1" applyFont="1" applyBorder="1" applyAlignment="1" applyProtection="1">
      <alignment horizontal="left" vertical="top"/>
      <protection locked="0"/>
    </xf>
    <xf numFmtId="2" fontId="12" fillId="0" borderId="1" xfId="1" applyNumberFormat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 vertical="center" wrapText="1"/>
      <protection locked="0"/>
    </xf>
    <xf numFmtId="0" fontId="13" fillId="0" borderId="1" xfId="1" applyFont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/>
      <protection locked="0"/>
    </xf>
    <xf numFmtId="167" fontId="12" fillId="0" borderId="1" xfId="1" applyNumberFormat="1" applyFont="1" applyBorder="1" applyAlignment="1" applyProtection="1">
      <alignment horizontal="left" vertical="top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1" fontId="13" fillId="0" borderId="1" xfId="0" applyNumberFormat="1" applyFont="1" applyBorder="1" applyAlignment="1" applyProtection="1">
      <alignment horizontal="left" vertical="top" wrapText="1"/>
      <protection locked="0"/>
    </xf>
    <xf numFmtId="1" fontId="8" fillId="0" borderId="8" xfId="0" applyNumberFormat="1" applyFont="1" applyBorder="1" applyAlignment="1" applyProtection="1">
      <alignment vertical="top" wrapText="1"/>
      <protection locked="0"/>
    </xf>
    <xf numFmtId="1" fontId="8" fillId="0" borderId="23" xfId="0" applyNumberFormat="1" applyFont="1" applyBorder="1" applyAlignment="1" applyProtection="1">
      <alignment vertical="top" wrapText="1"/>
      <protection locked="0"/>
    </xf>
    <xf numFmtId="1" fontId="8" fillId="0" borderId="9" xfId="0" applyNumberFormat="1" applyFont="1" applyBorder="1" applyAlignment="1" applyProtection="1">
      <alignment vertical="top" wrapText="1"/>
      <protection locked="0"/>
    </xf>
    <xf numFmtId="1" fontId="13" fillId="0" borderId="8" xfId="0" applyNumberFormat="1" applyFont="1" applyBorder="1" applyAlignment="1" applyProtection="1">
      <alignment vertical="top" wrapText="1"/>
      <protection locked="0"/>
    </xf>
    <xf numFmtId="1" fontId="13" fillId="0" borderId="23" xfId="0" applyNumberFormat="1" applyFont="1" applyBorder="1" applyAlignment="1" applyProtection="1">
      <alignment vertical="top" wrapText="1"/>
      <protection locked="0"/>
    </xf>
    <xf numFmtId="1" fontId="13" fillId="0" borderId="9" xfId="0" applyNumberFormat="1" applyFont="1" applyBorder="1" applyAlignment="1" applyProtection="1">
      <alignment vertical="top" wrapText="1"/>
      <protection locked="0"/>
    </xf>
    <xf numFmtId="1" fontId="4" fillId="0" borderId="2" xfId="1" applyNumberFormat="1" applyFont="1" applyBorder="1" applyAlignment="1" applyProtection="1">
      <alignment horizontal="center" vertical="top" wrapText="1"/>
      <protection locked="0"/>
    </xf>
    <xf numFmtId="1" fontId="4" fillId="0" borderId="18" xfId="1" applyNumberFormat="1" applyFont="1" applyBorder="1" applyAlignment="1" applyProtection="1">
      <alignment horizontal="center" vertical="top" wrapText="1"/>
      <protection locked="0"/>
    </xf>
    <xf numFmtId="1" fontId="6" fillId="0" borderId="0" xfId="1" applyNumberFormat="1" applyFont="1" applyBorder="1" applyAlignment="1" applyProtection="1">
      <alignment horizontal="center" vertical="center" wrapText="1"/>
      <protection locked="0"/>
    </xf>
    <xf numFmtId="0" fontId="13" fillId="0" borderId="1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vertical="top"/>
      <protection locked="0"/>
    </xf>
    <xf numFmtId="1" fontId="13" fillId="5" borderId="8" xfId="0" applyNumberFormat="1" applyFont="1" applyFill="1" applyBorder="1" applyAlignment="1" applyProtection="1">
      <alignment vertical="top" wrapText="1"/>
      <protection locked="0"/>
    </xf>
    <xf numFmtId="1" fontId="13" fillId="5" borderId="23" xfId="0" applyNumberFormat="1" applyFont="1" applyFill="1" applyBorder="1" applyAlignment="1" applyProtection="1">
      <alignment vertical="top" wrapText="1"/>
      <protection locked="0"/>
    </xf>
    <xf numFmtId="1" fontId="13" fillId="5" borderId="9" xfId="0" applyNumberFormat="1" applyFont="1" applyFill="1" applyBorder="1" applyAlignment="1" applyProtection="1">
      <alignment vertical="top" wrapText="1"/>
      <protection locked="0"/>
    </xf>
    <xf numFmtId="0" fontId="13" fillId="0" borderId="1" xfId="1" applyFont="1" applyBorder="1" applyAlignment="1" applyProtection="1">
      <alignment vertical="top"/>
      <protection locked="0"/>
    </xf>
    <xf numFmtId="1" fontId="8" fillId="0" borderId="8" xfId="0" applyNumberFormat="1" applyFont="1" applyBorder="1" applyAlignment="1" applyProtection="1">
      <alignment horizontal="center" vertical="center" wrapText="1"/>
      <protection locked="0"/>
    </xf>
    <xf numFmtId="1" fontId="8" fillId="0" borderId="9" xfId="0" applyNumberFormat="1" applyFont="1" applyBorder="1" applyAlignment="1" applyProtection="1">
      <alignment horizontal="center" vertical="center" wrapText="1"/>
      <protection locked="0"/>
    </xf>
    <xf numFmtId="0" fontId="10" fillId="0" borderId="8" xfId="0" applyFont="1" applyBorder="1" applyAlignment="1" applyProtection="1">
      <alignment horizontal="center" vertical="center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13" fillId="2" borderId="1" xfId="9" applyNumberFormat="1" applyFont="1" applyFill="1" applyBorder="1" applyAlignment="1" applyProtection="1">
      <alignment horizontal="left" vertical="top"/>
      <protection locked="0"/>
    </xf>
    <xf numFmtId="0" fontId="24" fillId="0" borderId="8" xfId="10" applyBorder="1" applyAlignment="1" applyProtection="1">
      <alignment horizontal="left" vertical="top"/>
      <protection locked="0"/>
    </xf>
    <xf numFmtId="0" fontId="8" fillId="0" borderId="23" xfId="1" applyFont="1" applyBorder="1" applyAlignment="1" applyProtection="1">
      <alignment horizontal="left" vertical="top"/>
      <protection locked="0"/>
    </xf>
    <xf numFmtId="0" fontId="8" fillId="0" borderId="9" xfId="1" applyFont="1" applyBorder="1" applyAlignment="1" applyProtection="1">
      <alignment horizontal="left"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vertical="top"/>
      <protection locked="0"/>
    </xf>
    <xf numFmtId="0" fontId="12" fillId="2" borderId="8" xfId="1" applyFont="1" applyFill="1" applyBorder="1" applyAlignment="1" applyProtection="1">
      <alignment horizontal="left" vertical="top" wrapText="1"/>
      <protection locked="0"/>
    </xf>
    <xf numFmtId="0" fontId="12" fillId="2" borderId="23" xfId="1" applyFont="1" applyFill="1" applyBorder="1" applyAlignment="1" applyProtection="1">
      <alignment horizontal="left" vertical="top" wrapText="1"/>
      <protection locked="0"/>
    </xf>
    <xf numFmtId="0" fontId="12" fillId="2" borderId="9" xfId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4.png"/><Relationship Id="rId1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238126</xdr:colOff>
      <xdr:row>375</xdr:row>
      <xdr:rowOff>66675</xdr:rowOff>
    </xdr:from>
    <xdr:to>
      <xdr:col>6</xdr:col>
      <xdr:colOff>581026</xdr:colOff>
      <xdr:row>394</xdr:row>
      <xdr:rowOff>64479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57276" y="91306650"/>
          <a:ext cx="4800600" cy="3798277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733425</xdr:colOff>
      <xdr:row>395</xdr:row>
      <xdr:rowOff>19050</xdr:rowOff>
    </xdr:from>
    <xdr:to>
      <xdr:col>7</xdr:col>
      <xdr:colOff>103468</xdr:colOff>
      <xdr:row>413</xdr:row>
      <xdr:rowOff>18601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733425" y="55911750"/>
          <a:ext cx="5485093" cy="3600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>
    <xdr:from>
      <xdr:col>4</xdr:col>
      <xdr:colOff>179916</xdr:colOff>
      <xdr:row>403</xdr:row>
      <xdr:rowOff>116417</xdr:rowOff>
    </xdr:from>
    <xdr:to>
      <xdr:col>4</xdr:col>
      <xdr:colOff>740833</xdr:colOff>
      <xdr:row>406</xdr:row>
      <xdr:rowOff>127000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534833" y="93958834"/>
          <a:ext cx="560917" cy="613833"/>
        </a:xfrm>
        <a:prstGeom prst="rect">
          <a:avLst/>
        </a:prstGeom>
        <a:noFill/>
        <a:ln w="28575"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N" sz="1100"/>
        </a:p>
      </xdr:txBody>
    </xdr:sp>
    <xdr:clientData/>
  </xdr:twoCellAnchor>
  <xdr:twoCellAnchor>
    <xdr:from>
      <xdr:col>8</xdr:col>
      <xdr:colOff>647700</xdr:colOff>
      <xdr:row>306</xdr:row>
      <xdr:rowOff>180975</xdr:rowOff>
    </xdr:from>
    <xdr:to>
      <xdr:col>14</xdr:col>
      <xdr:colOff>119730</xdr:colOff>
      <xdr:row>346</xdr:row>
      <xdr:rowOff>20150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pSpPr/>
      </xdr:nvGrpSpPr>
      <xdr:grpSpPr>
        <a:xfrm>
          <a:off x="7172325" y="77343000"/>
          <a:ext cx="4482180" cy="7830650"/>
          <a:chOff x="1293963" y="194224"/>
          <a:chExt cx="4482180" cy="7830650"/>
        </a:xfrm>
      </xdr:grpSpPr>
      <xdr:pic>
        <xdr:nvPicPr>
          <xdr:cNvPr id="9" name="Picture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963" y="194224"/>
            <a:ext cx="448218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1" name="Picture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963" y="5504874"/>
            <a:ext cx="448218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2" name="Picture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293963" y="2849549"/>
            <a:ext cx="448218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 editAs="oneCell">
    <xdr:from>
      <xdr:col>12</xdr:col>
      <xdr:colOff>434837</xdr:colOff>
      <xdr:row>336</xdr:row>
      <xdr:rowOff>25884</xdr:rowOff>
    </xdr:from>
    <xdr:to>
      <xdr:col>16</xdr:col>
      <xdr:colOff>252989</xdr:colOff>
      <xdr:row>346</xdr:row>
      <xdr:rowOff>185633</xdr:rowOff>
    </xdr:to>
    <xdr:pic>
      <xdr:nvPicPr>
        <xdr:cNvPr id="13" name="Picture 12" descr="https://vsjcllp.vsjadon.com/upload/insp-214187-1525.jpg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10340837" y="79940634"/>
          <a:ext cx="2885202" cy="2159999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862219</xdr:colOff>
      <xdr:row>336</xdr:row>
      <xdr:rowOff>27125</xdr:rowOff>
    </xdr:from>
    <xdr:to>
      <xdr:col>12</xdr:col>
      <xdr:colOff>351551</xdr:colOff>
      <xdr:row>346</xdr:row>
      <xdr:rowOff>186875</xdr:rowOff>
    </xdr:to>
    <xdr:pic>
      <xdr:nvPicPr>
        <xdr:cNvPr id="18" name="Picture 17" descr="https://vsjcllp.vsjadon.com/upload/insp-214187-931.jpg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7386844" y="79941875"/>
          <a:ext cx="2870707" cy="216000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262146</xdr:colOff>
      <xdr:row>321</xdr:row>
      <xdr:rowOff>33750</xdr:rowOff>
    </xdr:from>
    <xdr:to>
      <xdr:col>16</xdr:col>
      <xdr:colOff>372303</xdr:colOff>
      <xdr:row>335</xdr:row>
      <xdr:rowOff>148218</xdr:rowOff>
    </xdr:to>
    <xdr:pic>
      <xdr:nvPicPr>
        <xdr:cNvPr id="19" name="Picture 18" descr="https://vsjcllp.vsjadon.com/upload/insp-214187-851.jpg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9463296" y="76948125"/>
          <a:ext cx="3882057" cy="2914818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677518</xdr:colOff>
      <xdr:row>306</xdr:row>
      <xdr:rowOff>36442</xdr:rowOff>
    </xdr:from>
    <xdr:to>
      <xdr:col>11</xdr:col>
      <xdr:colOff>176760</xdr:colOff>
      <xdr:row>320</xdr:row>
      <xdr:rowOff>145931</xdr:rowOff>
    </xdr:to>
    <xdr:grpSp>
      <xdr:nvGrpSpPr>
        <xdr:cNvPr id="22" name="Group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pSpPr/>
      </xdr:nvGrpSpPr>
      <xdr:grpSpPr>
        <a:xfrm>
          <a:off x="7202143" y="77198467"/>
          <a:ext cx="2175767" cy="2900314"/>
          <a:chOff x="182218" y="76398367"/>
          <a:chExt cx="2179080" cy="2884163"/>
        </a:xfrm>
      </xdr:grpSpPr>
      <xdr:pic>
        <xdr:nvPicPr>
          <xdr:cNvPr id="14" name="Picture 13" descr="https://vsjcllp.vsjadon.com/upload/insp-214187-843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218" y="76398367"/>
            <a:ext cx="2179080" cy="288416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4" name="TextBox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 txBox="1"/>
        </xdr:nvSpPr>
        <xdr:spPr>
          <a:xfrm>
            <a:off x="207065" y="76448479"/>
            <a:ext cx="704022" cy="3313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T/43</a:t>
            </a:r>
          </a:p>
        </xdr:txBody>
      </xdr:sp>
    </xdr:grpSp>
    <xdr:clientData/>
  </xdr:twoCellAnchor>
  <xdr:twoCellAnchor>
    <xdr:from>
      <xdr:col>11</xdr:col>
      <xdr:colOff>280772</xdr:colOff>
      <xdr:row>306</xdr:row>
      <xdr:rowOff>45761</xdr:rowOff>
    </xdr:from>
    <xdr:to>
      <xdr:col>16</xdr:col>
      <xdr:colOff>383762</xdr:colOff>
      <xdr:row>320</xdr:row>
      <xdr:rowOff>155249</xdr:rowOff>
    </xdr:to>
    <xdr:grpSp>
      <xdr:nvGrpSpPr>
        <xdr:cNvPr id="23" name="Group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GrpSpPr/>
      </xdr:nvGrpSpPr>
      <xdr:grpSpPr>
        <a:xfrm>
          <a:off x="9481922" y="77207786"/>
          <a:ext cx="3874890" cy="2900313"/>
          <a:chOff x="2462411" y="76407686"/>
          <a:chExt cx="3868678" cy="2884162"/>
        </a:xfrm>
      </xdr:grpSpPr>
      <xdr:pic>
        <xdr:nvPicPr>
          <xdr:cNvPr id="16" name="Picture 15" descr="https://vsjcllp.vsjadon.com/upload/insp-214187-861.jpg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462411" y="76407686"/>
            <a:ext cx="3868678" cy="288416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0" name="TextBox 19">
            <a:extLst>
              <a:ext uri="{FF2B5EF4-FFF2-40B4-BE49-F238E27FC236}">
                <a16:creationId xmlns:a16="http://schemas.microsoft.com/office/drawing/2014/main" id="{00000000-0008-0000-0000-000014000000}"/>
              </a:ext>
            </a:extLst>
          </xdr:cNvPr>
          <xdr:cNvSpPr txBox="1"/>
        </xdr:nvSpPr>
        <xdr:spPr>
          <a:xfrm>
            <a:off x="5584955" y="76424251"/>
            <a:ext cx="660132" cy="3313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T/44</a:t>
            </a:r>
          </a:p>
        </xdr:txBody>
      </xdr:sp>
    </xdr:grpSp>
    <xdr:clientData/>
  </xdr:twoCellAnchor>
  <xdr:twoCellAnchor>
    <xdr:from>
      <xdr:col>8</xdr:col>
      <xdr:colOff>677517</xdr:colOff>
      <xdr:row>321</xdr:row>
      <xdr:rowOff>39341</xdr:rowOff>
    </xdr:from>
    <xdr:to>
      <xdr:col>11</xdr:col>
      <xdr:colOff>175598</xdr:colOff>
      <xdr:row>335</xdr:row>
      <xdr:rowOff>155487</xdr:rowOff>
    </xdr:to>
    <xdr:grpSp>
      <xdr:nvGrpSpPr>
        <xdr:cNvPr id="7" name="Group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pSpPr/>
      </xdr:nvGrpSpPr>
      <xdr:grpSpPr>
        <a:xfrm>
          <a:off x="7202142" y="80192216"/>
          <a:ext cx="2174606" cy="2916496"/>
          <a:chOff x="182217" y="79374723"/>
          <a:chExt cx="2177919" cy="2899102"/>
        </a:xfrm>
      </xdr:grpSpPr>
      <xdr:pic>
        <xdr:nvPicPr>
          <xdr:cNvPr id="17" name="Picture 16" descr="https://vsjcllp.vsjadon.com/upload/insp-214187-860.jpg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182217" y="79374723"/>
            <a:ext cx="2177919" cy="2899102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21" name="TextBox 20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 txBox="1"/>
        </xdr:nvSpPr>
        <xdr:spPr>
          <a:xfrm>
            <a:off x="1466021" y="79391287"/>
            <a:ext cx="660132" cy="3313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IN" sz="1800" b="1">
                <a:solidFill>
                  <a:srgbClr val="FF0000"/>
                </a:solidFill>
              </a:rPr>
              <a:t>T/45</a:t>
            </a:r>
          </a:p>
        </xdr:txBody>
      </xdr:sp>
    </xdr:grpSp>
    <xdr:clientData/>
  </xdr:twoCellAnchor>
  <xdr:twoCellAnchor>
    <xdr:from>
      <xdr:col>0</xdr:col>
      <xdr:colOff>571499</xdr:colOff>
      <xdr:row>352</xdr:row>
      <xdr:rowOff>40821</xdr:rowOff>
    </xdr:from>
    <xdr:to>
      <xdr:col>7</xdr:col>
      <xdr:colOff>486612</xdr:colOff>
      <xdr:row>369</xdr:row>
      <xdr:rowOff>170999</xdr:rowOff>
    </xdr:to>
    <xdr:grpSp>
      <xdr:nvGrpSpPr>
        <xdr:cNvPr id="27" name="Group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GrpSpPr/>
      </xdr:nvGrpSpPr>
      <xdr:grpSpPr>
        <a:xfrm>
          <a:off x="571499" y="86394471"/>
          <a:ext cx="5611063" cy="3530603"/>
          <a:chOff x="571499" y="85368256"/>
          <a:chExt cx="5605265" cy="3509482"/>
        </a:xfrm>
      </xdr:grpSpPr>
      <xdr:pic>
        <xdr:nvPicPr>
          <xdr:cNvPr id="15" name="Picture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1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571499" y="85368256"/>
            <a:ext cx="5605265" cy="3509482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sp macro="" textlink="">
        <xdr:nvSpPr>
          <xdr:cNvPr id="2" name="Rectangle 1">
            <a:extLst>
              <a:ext uri="{FF2B5EF4-FFF2-40B4-BE49-F238E27FC236}">
                <a16:creationId xmlns:a16="http://schemas.microsoft.com/office/drawing/2014/main" id="{00000000-0008-0000-0000-000002000000}"/>
              </a:ext>
            </a:extLst>
          </xdr:cNvPr>
          <xdr:cNvSpPr/>
        </xdr:nvSpPr>
        <xdr:spPr>
          <a:xfrm rot="19915615">
            <a:off x="4524606" y="86416600"/>
            <a:ext cx="651565" cy="575181"/>
          </a:xfrm>
          <a:prstGeom prst="rect">
            <a:avLst/>
          </a:prstGeom>
          <a:noFill/>
          <a:ln>
            <a:solidFill>
              <a:srgbClr val="FF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IN" sz="1100"/>
          </a:p>
        </xdr:txBody>
      </xdr:sp>
      <xdr:sp macro="" textlink="">
        <xdr:nvSpPr>
          <xdr:cNvPr id="3" name="TextBox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 txBox="1"/>
        </xdr:nvSpPr>
        <xdr:spPr>
          <a:xfrm>
            <a:off x="4074123" y="87179978"/>
            <a:ext cx="1554465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Building No 43, 44 &amp; 45</a:t>
            </a:r>
          </a:p>
        </xdr:txBody>
      </xdr:sp>
      <xdr:sp macro="" textlink="">
        <xdr:nvSpPr>
          <xdr:cNvPr id="24" name="TextBox 23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 txBox="1"/>
        </xdr:nvSpPr>
        <xdr:spPr>
          <a:xfrm>
            <a:off x="4803914" y="86735479"/>
            <a:ext cx="46382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45</a:t>
            </a:r>
          </a:p>
        </xdr:txBody>
      </xdr:sp>
      <xdr:sp macro="" textlink="">
        <xdr:nvSpPr>
          <xdr:cNvPr id="25" name="TextBox 24">
            <a:extLst>
              <a:ext uri="{FF2B5EF4-FFF2-40B4-BE49-F238E27FC236}">
                <a16:creationId xmlns:a16="http://schemas.microsoft.com/office/drawing/2014/main" id="{00000000-0008-0000-0000-000019000000}"/>
              </a:ext>
            </a:extLst>
          </xdr:cNvPr>
          <xdr:cNvSpPr txBox="1"/>
        </xdr:nvSpPr>
        <xdr:spPr>
          <a:xfrm>
            <a:off x="4422913" y="86495283"/>
            <a:ext cx="463826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44</a:t>
            </a:r>
          </a:p>
        </xdr:txBody>
      </xdr:sp>
      <xdr:sp macro="" textlink="">
        <xdr:nvSpPr>
          <xdr:cNvPr id="26" name="TextBox 2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 txBox="1"/>
        </xdr:nvSpPr>
        <xdr:spPr>
          <a:xfrm>
            <a:off x="4898335" y="86448901"/>
            <a:ext cx="352839" cy="26456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lang="en-IN" sz="1100" b="1">
                <a:solidFill>
                  <a:srgbClr val="FF0000"/>
                </a:solidFill>
              </a:rPr>
              <a:t>43</a:t>
            </a:r>
          </a:p>
        </xdr:txBody>
      </xdr:sp>
    </xdr:grpSp>
    <xdr:clientData/>
  </xdr:twoCellAnchor>
  <xdr:twoCellAnchor>
    <xdr:from>
      <xdr:col>8</xdr:col>
      <xdr:colOff>733425</xdr:colOff>
      <xdr:row>305</xdr:row>
      <xdr:rowOff>114300</xdr:rowOff>
    </xdr:from>
    <xdr:to>
      <xdr:col>14</xdr:col>
      <xdr:colOff>239949</xdr:colOff>
      <xdr:row>344</xdr:row>
      <xdr:rowOff>7212</xdr:rowOff>
    </xdr:to>
    <xdr:grpSp>
      <xdr:nvGrpSpPr>
        <xdr:cNvPr id="28" name="Group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GrpSpPr/>
      </xdr:nvGrpSpPr>
      <xdr:grpSpPr>
        <a:xfrm>
          <a:off x="7258050" y="77076300"/>
          <a:ext cx="4516674" cy="7684362"/>
          <a:chOff x="689953" y="488084"/>
          <a:chExt cx="4516674" cy="7684362"/>
        </a:xfrm>
      </xdr:grpSpPr>
      <xdr:pic>
        <xdr:nvPicPr>
          <xdr:cNvPr id="29" name="Picture 2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953" y="488084"/>
            <a:ext cx="215537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0" name="Picture 29">
            <a:extLst>
              <a:ext uri="{FF2B5EF4-FFF2-40B4-BE49-F238E27FC236}">
                <a16:creationId xmlns:a16="http://schemas.microsoft.com/office/drawing/2014/main" id="{00000000-0008-0000-0000-00001E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1254" y="488084"/>
            <a:ext cx="2155373" cy="28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1" name="Picture 30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689953" y="3520265"/>
            <a:ext cx="448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55685" y="6192446"/>
            <a:ext cx="1489641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051254" y="6192446"/>
            <a:ext cx="1483453" cy="198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171450</xdr:colOff>
      <xdr:row>307</xdr:row>
      <xdr:rowOff>123824</xdr:rowOff>
    </xdr:from>
    <xdr:to>
      <xdr:col>7</xdr:col>
      <xdr:colOff>723900</xdr:colOff>
      <xdr:row>343</xdr:row>
      <xdr:rowOff>66498</xdr:rowOff>
    </xdr:to>
    <xdr:grpSp>
      <xdr:nvGrpSpPr>
        <xdr:cNvPr id="34" name="Group 33">
          <a:extLst>
            <a:ext uri="{FF2B5EF4-FFF2-40B4-BE49-F238E27FC236}">
              <a16:creationId xmlns:a16="http://schemas.microsoft.com/office/drawing/2014/main" id="{FEB8D4BC-6F7F-447A-B706-016B9C5D2EE7}"/>
            </a:ext>
          </a:extLst>
        </xdr:cNvPr>
        <xdr:cNvGrpSpPr/>
      </xdr:nvGrpSpPr>
      <xdr:grpSpPr>
        <a:xfrm>
          <a:off x="171450" y="77485874"/>
          <a:ext cx="6248400" cy="7134049"/>
          <a:chOff x="222250" y="403200"/>
          <a:chExt cx="6419850" cy="7219774"/>
        </a:xfrm>
      </xdr:grpSpPr>
      <xdr:pic>
        <xdr:nvPicPr>
          <xdr:cNvPr id="35" name="Picture 34">
            <a:extLst>
              <a:ext uri="{FF2B5EF4-FFF2-40B4-BE49-F238E27FC236}">
                <a16:creationId xmlns:a16="http://schemas.microsoft.com/office/drawing/2014/main" id="{5F5158F0-0582-4531-AA2D-B2524D3107C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22250" y="403200"/>
            <a:ext cx="17526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6" name="Picture 35">
            <a:extLst>
              <a:ext uri="{FF2B5EF4-FFF2-40B4-BE49-F238E27FC236}">
                <a16:creationId xmlns:a16="http://schemas.microsoft.com/office/drawing/2014/main" id="{CC14D77E-C310-4AA1-AC21-EC34B2D5969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162100" y="403200"/>
            <a:ext cx="4480000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7" name="Picture 36">
            <a:extLst>
              <a:ext uri="{FF2B5EF4-FFF2-40B4-BE49-F238E27FC236}">
                <a16:creationId xmlns:a16="http://schemas.microsoft.com/office/drawing/2014/main" id="{E3F02566-FAC6-4D52-84E5-E0E9E002D02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53035" y="3113087"/>
            <a:ext cx="514574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8" name="Picture 37">
            <a:extLst>
              <a:ext uri="{FF2B5EF4-FFF2-40B4-BE49-F238E27FC236}">
                <a16:creationId xmlns:a16="http://schemas.microsoft.com/office/drawing/2014/main" id="{40274B2C-B14C-4C84-A28B-175311BD66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44703" y="5822974"/>
            <a:ext cx="2390506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9" name="Picture 38">
            <a:extLst>
              <a:ext uri="{FF2B5EF4-FFF2-40B4-BE49-F238E27FC236}">
                <a16:creationId xmlns:a16="http://schemas.microsoft.com/office/drawing/2014/main" id="{65EDFA72-AD1D-4817-80CB-153F2237D757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2" cstate="screen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/>
        </xdr:blipFill>
        <xdr:spPr>
          <a:xfrm>
            <a:off x="3853306" y="582297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0</xdr:rowOff>
    </xdr:from>
    <xdr:to>
      <xdr:col>5</xdr:col>
      <xdr:colOff>250714</xdr:colOff>
      <xdr:row>20</xdr:row>
      <xdr:rowOff>171000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2321" y="381000"/>
          <a:ext cx="2700000" cy="360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aWG8h5GVAV1Gcvnq9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5"/>
  <sheetViews>
    <sheetView tabSelected="1" view="pageBreakPreview" zoomScaleNormal="100" zoomScaleSheetLayoutView="100" zoomScalePageLayoutView="70" workbookViewId="0">
      <selection activeCell="I7" sqref="I7"/>
    </sheetView>
  </sheetViews>
  <sheetFormatPr defaultColWidth="9.140625" defaultRowHeight="15.75" x14ac:dyDescent="0.25"/>
  <cols>
    <col min="1" max="1" width="11.42578125" style="11" customWidth="1"/>
    <col min="2" max="2" width="12" style="11" customWidth="1"/>
    <col min="3" max="3" width="12.7109375" style="11" customWidth="1"/>
    <col min="4" max="4" width="14.140625" style="11" customWidth="1"/>
    <col min="5" max="7" width="11.7109375" style="11" customWidth="1"/>
    <col min="8" max="8" width="12.42578125" style="11" customWidth="1"/>
    <col min="9" max="9" width="17.42578125" style="3" customWidth="1"/>
    <col min="10" max="10" width="11.42578125" style="3" customWidth="1"/>
    <col min="11" max="11" width="11.28515625" style="3" bestFit="1" customWidth="1"/>
    <col min="12" max="12" width="10.5703125" style="3" customWidth="1"/>
    <col min="13" max="13" width="11.85546875" style="3" customWidth="1"/>
    <col min="14" max="14" width="12.5703125" style="3" customWidth="1"/>
    <col min="15" max="15" width="9.85546875" style="3" customWidth="1"/>
    <col min="16" max="16" width="11.7109375" style="3" customWidth="1"/>
    <col min="17" max="247" width="9.140625" style="3"/>
    <col min="248" max="248" width="8.7109375" style="3" customWidth="1"/>
    <col min="249" max="249" width="9.85546875" style="3" customWidth="1"/>
    <col min="250" max="250" width="14.42578125" style="3" customWidth="1"/>
    <col min="251" max="251" width="7.28515625" style="3" customWidth="1"/>
    <col min="252" max="252" width="5.5703125" style="3" customWidth="1"/>
    <col min="253" max="253" width="9" style="3" customWidth="1"/>
    <col min="254" max="255" width="9.85546875" style="3" customWidth="1"/>
    <col min="256" max="256" width="11.140625" style="3" customWidth="1"/>
    <col min="257" max="257" width="2.85546875" style="3" customWidth="1"/>
    <col min="258" max="258" width="3.5703125" style="3" customWidth="1"/>
    <col min="259" max="503" width="9.140625" style="3"/>
    <col min="504" max="504" width="8.7109375" style="3" customWidth="1"/>
    <col min="505" max="505" width="9.85546875" style="3" customWidth="1"/>
    <col min="506" max="506" width="14.42578125" style="3" customWidth="1"/>
    <col min="507" max="507" width="7.28515625" style="3" customWidth="1"/>
    <col min="508" max="508" width="5.5703125" style="3" customWidth="1"/>
    <col min="509" max="509" width="9" style="3" customWidth="1"/>
    <col min="510" max="511" width="9.85546875" style="3" customWidth="1"/>
    <col min="512" max="512" width="11.140625" style="3" customWidth="1"/>
    <col min="513" max="513" width="2.85546875" style="3" customWidth="1"/>
    <col min="514" max="514" width="3.5703125" style="3" customWidth="1"/>
    <col min="515" max="759" width="9.140625" style="3"/>
    <col min="760" max="760" width="8.7109375" style="3" customWidth="1"/>
    <col min="761" max="761" width="9.85546875" style="3" customWidth="1"/>
    <col min="762" max="762" width="14.42578125" style="3" customWidth="1"/>
    <col min="763" max="763" width="7.28515625" style="3" customWidth="1"/>
    <col min="764" max="764" width="5.5703125" style="3" customWidth="1"/>
    <col min="765" max="765" width="9" style="3" customWidth="1"/>
    <col min="766" max="767" width="9.85546875" style="3" customWidth="1"/>
    <col min="768" max="768" width="11.140625" style="3" customWidth="1"/>
    <col min="769" max="769" width="2.85546875" style="3" customWidth="1"/>
    <col min="770" max="770" width="3.5703125" style="3" customWidth="1"/>
    <col min="771" max="1015" width="9.140625" style="3"/>
    <col min="1016" max="1016" width="8.7109375" style="3" customWidth="1"/>
    <col min="1017" max="1017" width="9.85546875" style="3" customWidth="1"/>
    <col min="1018" max="1018" width="14.42578125" style="3" customWidth="1"/>
    <col min="1019" max="1019" width="7.28515625" style="3" customWidth="1"/>
    <col min="1020" max="1020" width="5.5703125" style="3" customWidth="1"/>
    <col min="1021" max="1021" width="9" style="3" customWidth="1"/>
    <col min="1022" max="1023" width="9.85546875" style="3" customWidth="1"/>
    <col min="1024" max="1024" width="11.140625" style="3" customWidth="1"/>
    <col min="1025" max="1025" width="2.85546875" style="3" customWidth="1"/>
    <col min="1026" max="1026" width="3.5703125" style="3" customWidth="1"/>
    <col min="1027" max="1271" width="9.140625" style="3"/>
    <col min="1272" max="1272" width="8.7109375" style="3" customWidth="1"/>
    <col min="1273" max="1273" width="9.85546875" style="3" customWidth="1"/>
    <col min="1274" max="1274" width="14.42578125" style="3" customWidth="1"/>
    <col min="1275" max="1275" width="7.28515625" style="3" customWidth="1"/>
    <col min="1276" max="1276" width="5.5703125" style="3" customWidth="1"/>
    <col min="1277" max="1277" width="9" style="3" customWidth="1"/>
    <col min="1278" max="1279" width="9.85546875" style="3" customWidth="1"/>
    <col min="1280" max="1280" width="11.140625" style="3" customWidth="1"/>
    <col min="1281" max="1281" width="2.85546875" style="3" customWidth="1"/>
    <col min="1282" max="1282" width="3.5703125" style="3" customWidth="1"/>
    <col min="1283" max="1527" width="9.140625" style="3"/>
    <col min="1528" max="1528" width="8.7109375" style="3" customWidth="1"/>
    <col min="1529" max="1529" width="9.85546875" style="3" customWidth="1"/>
    <col min="1530" max="1530" width="14.42578125" style="3" customWidth="1"/>
    <col min="1531" max="1531" width="7.28515625" style="3" customWidth="1"/>
    <col min="1532" max="1532" width="5.5703125" style="3" customWidth="1"/>
    <col min="1533" max="1533" width="9" style="3" customWidth="1"/>
    <col min="1534" max="1535" width="9.85546875" style="3" customWidth="1"/>
    <col min="1536" max="1536" width="11.140625" style="3" customWidth="1"/>
    <col min="1537" max="1537" width="2.85546875" style="3" customWidth="1"/>
    <col min="1538" max="1538" width="3.5703125" style="3" customWidth="1"/>
    <col min="1539" max="1783" width="9.140625" style="3"/>
    <col min="1784" max="1784" width="8.7109375" style="3" customWidth="1"/>
    <col min="1785" max="1785" width="9.85546875" style="3" customWidth="1"/>
    <col min="1786" max="1786" width="14.42578125" style="3" customWidth="1"/>
    <col min="1787" max="1787" width="7.28515625" style="3" customWidth="1"/>
    <col min="1788" max="1788" width="5.5703125" style="3" customWidth="1"/>
    <col min="1789" max="1789" width="9" style="3" customWidth="1"/>
    <col min="1790" max="1791" width="9.85546875" style="3" customWidth="1"/>
    <col min="1792" max="1792" width="11.140625" style="3" customWidth="1"/>
    <col min="1793" max="1793" width="2.85546875" style="3" customWidth="1"/>
    <col min="1794" max="1794" width="3.5703125" style="3" customWidth="1"/>
    <col min="1795" max="2039" width="9.140625" style="3"/>
    <col min="2040" max="2040" width="8.7109375" style="3" customWidth="1"/>
    <col min="2041" max="2041" width="9.85546875" style="3" customWidth="1"/>
    <col min="2042" max="2042" width="14.42578125" style="3" customWidth="1"/>
    <col min="2043" max="2043" width="7.28515625" style="3" customWidth="1"/>
    <col min="2044" max="2044" width="5.5703125" style="3" customWidth="1"/>
    <col min="2045" max="2045" width="9" style="3" customWidth="1"/>
    <col min="2046" max="2047" width="9.85546875" style="3" customWidth="1"/>
    <col min="2048" max="2048" width="11.140625" style="3" customWidth="1"/>
    <col min="2049" max="2049" width="2.85546875" style="3" customWidth="1"/>
    <col min="2050" max="2050" width="3.5703125" style="3" customWidth="1"/>
    <col min="2051" max="2295" width="9.140625" style="3"/>
    <col min="2296" max="2296" width="8.7109375" style="3" customWidth="1"/>
    <col min="2297" max="2297" width="9.85546875" style="3" customWidth="1"/>
    <col min="2298" max="2298" width="14.42578125" style="3" customWidth="1"/>
    <col min="2299" max="2299" width="7.28515625" style="3" customWidth="1"/>
    <col min="2300" max="2300" width="5.5703125" style="3" customWidth="1"/>
    <col min="2301" max="2301" width="9" style="3" customWidth="1"/>
    <col min="2302" max="2303" width="9.85546875" style="3" customWidth="1"/>
    <col min="2304" max="2304" width="11.140625" style="3" customWidth="1"/>
    <col min="2305" max="2305" width="2.85546875" style="3" customWidth="1"/>
    <col min="2306" max="2306" width="3.5703125" style="3" customWidth="1"/>
    <col min="2307" max="2551" width="9.140625" style="3"/>
    <col min="2552" max="2552" width="8.7109375" style="3" customWidth="1"/>
    <col min="2553" max="2553" width="9.85546875" style="3" customWidth="1"/>
    <col min="2554" max="2554" width="14.42578125" style="3" customWidth="1"/>
    <col min="2555" max="2555" width="7.28515625" style="3" customWidth="1"/>
    <col min="2556" max="2556" width="5.5703125" style="3" customWidth="1"/>
    <col min="2557" max="2557" width="9" style="3" customWidth="1"/>
    <col min="2558" max="2559" width="9.85546875" style="3" customWidth="1"/>
    <col min="2560" max="2560" width="11.140625" style="3" customWidth="1"/>
    <col min="2561" max="2561" width="2.85546875" style="3" customWidth="1"/>
    <col min="2562" max="2562" width="3.5703125" style="3" customWidth="1"/>
    <col min="2563" max="2807" width="9.140625" style="3"/>
    <col min="2808" max="2808" width="8.7109375" style="3" customWidth="1"/>
    <col min="2809" max="2809" width="9.85546875" style="3" customWidth="1"/>
    <col min="2810" max="2810" width="14.42578125" style="3" customWidth="1"/>
    <col min="2811" max="2811" width="7.28515625" style="3" customWidth="1"/>
    <col min="2812" max="2812" width="5.5703125" style="3" customWidth="1"/>
    <col min="2813" max="2813" width="9" style="3" customWidth="1"/>
    <col min="2814" max="2815" width="9.85546875" style="3" customWidth="1"/>
    <col min="2816" max="2816" width="11.140625" style="3" customWidth="1"/>
    <col min="2817" max="2817" width="2.85546875" style="3" customWidth="1"/>
    <col min="2818" max="2818" width="3.5703125" style="3" customWidth="1"/>
    <col min="2819" max="3063" width="9.140625" style="3"/>
    <col min="3064" max="3064" width="8.7109375" style="3" customWidth="1"/>
    <col min="3065" max="3065" width="9.85546875" style="3" customWidth="1"/>
    <col min="3066" max="3066" width="14.42578125" style="3" customWidth="1"/>
    <col min="3067" max="3067" width="7.28515625" style="3" customWidth="1"/>
    <col min="3068" max="3068" width="5.5703125" style="3" customWidth="1"/>
    <col min="3069" max="3069" width="9" style="3" customWidth="1"/>
    <col min="3070" max="3071" width="9.85546875" style="3" customWidth="1"/>
    <col min="3072" max="3072" width="11.140625" style="3" customWidth="1"/>
    <col min="3073" max="3073" width="2.85546875" style="3" customWidth="1"/>
    <col min="3074" max="3074" width="3.5703125" style="3" customWidth="1"/>
    <col min="3075" max="3319" width="9.140625" style="3"/>
    <col min="3320" max="3320" width="8.7109375" style="3" customWidth="1"/>
    <col min="3321" max="3321" width="9.85546875" style="3" customWidth="1"/>
    <col min="3322" max="3322" width="14.42578125" style="3" customWidth="1"/>
    <col min="3323" max="3323" width="7.28515625" style="3" customWidth="1"/>
    <col min="3324" max="3324" width="5.5703125" style="3" customWidth="1"/>
    <col min="3325" max="3325" width="9" style="3" customWidth="1"/>
    <col min="3326" max="3327" width="9.85546875" style="3" customWidth="1"/>
    <col min="3328" max="3328" width="11.140625" style="3" customWidth="1"/>
    <col min="3329" max="3329" width="2.85546875" style="3" customWidth="1"/>
    <col min="3330" max="3330" width="3.5703125" style="3" customWidth="1"/>
    <col min="3331" max="3575" width="9.140625" style="3"/>
    <col min="3576" max="3576" width="8.7109375" style="3" customWidth="1"/>
    <col min="3577" max="3577" width="9.85546875" style="3" customWidth="1"/>
    <col min="3578" max="3578" width="14.42578125" style="3" customWidth="1"/>
    <col min="3579" max="3579" width="7.28515625" style="3" customWidth="1"/>
    <col min="3580" max="3580" width="5.5703125" style="3" customWidth="1"/>
    <col min="3581" max="3581" width="9" style="3" customWidth="1"/>
    <col min="3582" max="3583" width="9.85546875" style="3" customWidth="1"/>
    <col min="3584" max="3584" width="11.140625" style="3" customWidth="1"/>
    <col min="3585" max="3585" width="2.85546875" style="3" customWidth="1"/>
    <col min="3586" max="3586" width="3.5703125" style="3" customWidth="1"/>
    <col min="3587" max="3831" width="9.140625" style="3"/>
    <col min="3832" max="3832" width="8.7109375" style="3" customWidth="1"/>
    <col min="3833" max="3833" width="9.85546875" style="3" customWidth="1"/>
    <col min="3834" max="3834" width="14.42578125" style="3" customWidth="1"/>
    <col min="3835" max="3835" width="7.28515625" style="3" customWidth="1"/>
    <col min="3836" max="3836" width="5.5703125" style="3" customWidth="1"/>
    <col min="3837" max="3837" width="9" style="3" customWidth="1"/>
    <col min="3838" max="3839" width="9.85546875" style="3" customWidth="1"/>
    <col min="3840" max="3840" width="11.140625" style="3" customWidth="1"/>
    <col min="3841" max="3841" width="2.85546875" style="3" customWidth="1"/>
    <col min="3842" max="3842" width="3.5703125" style="3" customWidth="1"/>
    <col min="3843" max="4087" width="9.140625" style="3"/>
    <col min="4088" max="4088" width="8.7109375" style="3" customWidth="1"/>
    <col min="4089" max="4089" width="9.85546875" style="3" customWidth="1"/>
    <col min="4090" max="4090" width="14.42578125" style="3" customWidth="1"/>
    <col min="4091" max="4091" width="7.28515625" style="3" customWidth="1"/>
    <col min="4092" max="4092" width="5.5703125" style="3" customWidth="1"/>
    <col min="4093" max="4093" width="9" style="3" customWidth="1"/>
    <col min="4094" max="4095" width="9.85546875" style="3" customWidth="1"/>
    <col min="4096" max="4096" width="11.140625" style="3" customWidth="1"/>
    <col min="4097" max="4097" width="2.85546875" style="3" customWidth="1"/>
    <col min="4098" max="4098" width="3.5703125" style="3" customWidth="1"/>
    <col min="4099" max="4343" width="9.140625" style="3"/>
    <col min="4344" max="4344" width="8.7109375" style="3" customWidth="1"/>
    <col min="4345" max="4345" width="9.85546875" style="3" customWidth="1"/>
    <col min="4346" max="4346" width="14.42578125" style="3" customWidth="1"/>
    <col min="4347" max="4347" width="7.28515625" style="3" customWidth="1"/>
    <col min="4348" max="4348" width="5.5703125" style="3" customWidth="1"/>
    <col min="4349" max="4349" width="9" style="3" customWidth="1"/>
    <col min="4350" max="4351" width="9.85546875" style="3" customWidth="1"/>
    <col min="4352" max="4352" width="11.140625" style="3" customWidth="1"/>
    <col min="4353" max="4353" width="2.85546875" style="3" customWidth="1"/>
    <col min="4354" max="4354" width="3.5703125" style="3" customWidth="1"/>
    <col min="4355" max="4599" width="9.140625" style="3"/>
    <col min="4600" max="4600" width="8.7109375" style="3" customWidth="1"/>
    <col min="4601" max="4601" width="9.85546875" style="3" customWidth="1"/>
    <col min="4602" max="4602" width="14.42578125" style="3" customWidth="1"/>
    <col min="4603" max="4603" width="7.28515625" style="3" customWidth="1"/>
    <col min="4604" max="4604" width="5.5703125" style="3" customWidth="1"/>
    <col min="4605" max="4605" width="9" style="3" customWidth="1"/>
    <col min="4606" max="4607" width="9.85546875" style="3" customWidth="1"/>
    <col min="4608" max="4608" width="11.140625" style="3" customWidth="1"/>
    <col min="4609" max="4609" width="2.85546875" style="3" customWidth="1"/>
    <col min="4610" max="4610" width="3.5703125" style="3" customWidth="1"/>
    <col min="4611" max="4855" width="9.140625" style="3"/>
    <col min="4856" max="4856" width="8.7109375" style="3" customWidth="1"/>
    <col min="4857" max="4857" width="9.85546875" style="3" customWidth="1"/>
    <col min="4858" max="4858" width="14.42578125" style="3" customWidth="1"/>
    <col min="4859" max="4859" width="7.28515625" style="3" customWidth="1"/>
    <col min="4860" max="4860" width="5.5703125" style="3" customWidth="1"/>
    <col min="4861" max="4861" width="9" style="3" customWidth="1"/>
    <col min="4862" max="4863" width="9.85546875" style="3" customWidth="1"/>
    <col min="4864" max="4864" width="11.140625" style="3" customWidth="1"/>
    <col min="4865" max="4865" width="2.85546875" style="3" customWidth="1"/>
    <col min="4866" max="4866" width="3.5703125" style="3" customWidth="1"/>
    <col min="4867" max="5111" width="9.140625" style="3"/>
    <col min="5112" max="5112" width="8.7109375" style="3" customWidth="1"/>
    <col min="5113" max="5113" width="9.85546875" style="3" customWidth="1"/>
    <col min="5114" max="5114" width="14.42578125" style="3" customWidth="1"/>
    <col min="5115" max="5115" width="7.28515625" style="3" customWidth="1"/>
    <col min="5116" max="5116" width="5.5703125" style="3" customWidth="1"/>
    <col min="5117" max="5117" width="9" style="3" customWidth="1"/>
    <col min="5118" max="5119" width="9.85546875" style="3" customWidth="1"/>
    <col min="5120" max="5120" width="11.140625" style="3" customWidth="1"/>
    <col min="5121" max="5121" width="2.85546875" style="3" customWidth="1"/>
    <col min="5122" max="5122" width="3.5703125" style="3" customWidth="1"/>
    <col min="5123" max="5367" width="9.140625" style="3"/>
    <col min="5368" max="5368" width="8.7109375" style="3" customWidth="1"/>
    <col min="5369" max="5369" width="9.85546875" style="3" customWidth="1"/>
    <col min="5370" max="5370" width="14.42578125" style="3" customWidth="1"/>
    <col min="5371" max="5371" width="7.28515625" style="3" customWidth="1"/>
    <col min="5372" max="5372" width="5.5703125" style="3" customWidth="1"/>
    <col min="5373" max="5373" width="9" style="3" customWidth="1"/>
    <col min="5374" max="5375" width="9.85546875" style="3" customWidth="1"/>
    <col min="5376" max="5376" width="11.140625" style="3" customWidth="1"/>
    <col min="5377" max="5377" width="2.85546875" style="3" customWidth="1"/>
    <col min="5378" max="5378" width="3.5703125" style="3" customWidth="1"/>
    <col min="5379" max="5623" width="9.140625" style="3"/>
    <col min="5624" max="5624" width="8.7109375" style="3" customWidth="1"/>
    <col min="5625" max="5625" width="9.85546875" style="3" customWidth="1"/>
    <col min="5626" max="5626" width="14.42578125" style="3" customWidth="1"/>
    <col min="5627" max="5627" width="7.28515625" style="3" customWidth="1"/>
    <col min="5628" max="5628" width="5.5703125" style="3" customWidth="1"/>
    <col min="5629" max="5629" width="9" style="3" customWidth="1"/>
    <col min="5630" max="5631" width="9.85546875" style="3" customWidth="1"/>
    <col min="5632" max="5632" width="11.140625" style="3" customWidth="1"/>
    <col min="5633" max="5633" width="2.85546875" style="3" customWidth="1"/>
    <col min="5634" max="5634" width="3.5703125" style="3" customWidth="1"/>
    <col min="5635" max="5879" width="9.140625" style="3"/>
    <col min="5880" max="5880" width="8.7109375" style="3" customWidth="1"/>
    <col min="5881" max="5881" width="9.85546875" style="3" customWidth="1"/>
    <col min="5882" max="5882" width="14.42578125" style="3" customWidth="1"/>
    <col min="5883" max="5883" width="7.28515625" style="3" customWidth="1"/>
    <col min="5884" max="5884" width="5.5703125" style="3" customWidth="1"/>
    <col min="5885" max="5885" width="9" style="3" customWidth="1"/>
    <col min="5886" max="5887" width="9.85546875" style="3" customWidth="1"/>
    <col min="5888" max="5888" width="11.140625" style="3" customWidth="1"/>
    <col min="5889" max="5889" width="2.85546875" style="3" customWidth="1"/>
    <col min="5890" max="5890" width="3.5703125" style="3" customWidth="1"/>
    <col min="5891" max="6135" width="9.140625" style="3"/>
    <col min="6136" max="6136" width="8.7109375" style="3" customWidth="1"/>
    <col min="6137" max="6137" width="9.85546875" style="3" customWidth="1"/>
    <col min="6138" max="6138" width="14.42578125" style="3" customWidth="1"/>
    <col min="6139" max="6139" width="7.28515625" style="3" customWidth="1"/>
    <col min="6140" max="6140" width="5.5703125" style="3" customWidth="1"/>
    <col min="6141" max="6141" width="9" style="3" customWidth="1"/>
    <col min="6142" max="6143" width="9.85546875" style="3" customWidth="1"/>
    <col min="6144" max="6144" width="11.140625" style="3" customWidth="1"/>
    <col min="6145" max="6145" width="2.85546875" style="3" customWidth="1"/>
    <col min="6146" max="6146" width="3.5703125" style="3" customWidth="1"/>
    <col min="6147" max="6391" width="9.140625" style="3"/>
    <col min="6392" max="6392" width="8.7109375" style="3" customWidth="1"/>
    <col min="6393" max="6393" width="9.85546875" style="3" customWidth="1"/>
    <col min="6394" max="6394" width="14.42578125" style="3" customWidth="1"/>
    <col min="6395" max="6395" width="7.28515625" style="3" customWidth="1"/>
    <col min="6396" max="6396" width="5.5703125" style="3" customWidth="1"/>
    <col min="6397" max="6397" width="9" style="3" customWidth="1"/>
    <col min="6398" max="6399" width="9.85546875" style="3" customWidth="1"/>
    <col min="6400" max="6400" width="11.140625" style="3" customWidth="1"/>
    <col min="6401" max="6401" width="2.85546875" style="3" customWidth="1"/>
    <col min="6402" max="6402" width="3.5703125" style="3" customWidth="1"/>
    <col min="6403" max="6647" width="9.140625" style="3"/>
    <col min="6648" max="6648" width="8.7109375" style="3" customWidth="1"/>
    <col min="6649" max="6649" width="9.85546875" style="3" customWidth="1"/>
    <col min="6650" max="6650" width="14.42578125" style="3" customWidth="1"/>
    <col min="6651" max="6651" width="7.28515625" style="3" customWidth="1"/>
    <col min="6652" max="6652" width="5.5703125" style="3" customWidth="1"/>
    <col min="6653" max="6653" width="9" style="3" customWidth="1"/>
    <col min="6654" max="6655" width="9.85546875" style="3" customWidth="1"/>
    <col min="6656" max="6656" width="11.140625" style="3" customWidth="1"/>
    <col min="6657" max="6657" width="2.85546875" style="3" customWidth="1"/>
    <col min="6658" max="6658" width="3.5703125" style="3" customWidth="1"/>
    <col min="6659" max="6903" width="9.140625" style="3"/>
    <col min="6904" max="6904" width="8.7109375" style="3" customWidth="1"/>
    <col min="6905" max="6905" width="9.85546875" style="3" customWidth="1"/>
    <col min="6906" max="6906" width="14.42578125" style="3" customWidth="1"/>
    <col min="6907" max="6907" width="7.28515625" style="3" customWidth="1"/>
    <col min="6908" max="6908" width="5.5703125" style="3" customWidth="1"/>
    <col min="6909" max="6909" width="9" style="3" customWidth="1"/>
    <col min="6910" max="6911" width="9.85546875" style="3" customWidth="1"/>
    <col min="6912" max="6912" width="11.140625" style="3" customWidth="1"/>
    <col min="6913" max="6913" width="2.85546875" style="3" customWidth="1"/>
    <col min="6914" max="6914" width="3.5703125" style="3" customWidth="1"/>
    <col min="6915" max="7159" width="9.140625" style="3"/>
    <col min="7160" max="7160" width="8.7109375" style="3" customWidth="1"/>
    <col min="7161" max="7161" width="9.85546875" style="3" customWidth="1"/>
    <col min="7162" max="7162" width="14.42578125" style="3" customWidth="1"/>
    <col min="7163" max="7163" width="7.28515625" style="3" customWidth="1"/>
    <col min="7164" max="7164" width="5.5703125" style="3" customWidth="1"/>
    <col min="7165" max="7165" width="9" style="3" customWidth="1"/>
    <col min="7166" max="7167" width="9.85546875" style="3" customWidth="1"/>
    <col min="7168" max="7168" width="11.140625" style="3" customWidth="1"/>
    <col min="7169" max="7169" width="2.85546875" style="3" customWidth="1"/>
    <col min="7170" max="7170" width="3.5703125" style="3" customWidth="1"/>
    <col min="7171" max="7415" width="9.140625" style="3"/>
    <col min="7416" max="7416" width="8.7109375" style="3" customWidth="1"/>
    <col min="7417" max="7417" width="9.85546875" style="3" customWidth="1"/>
    <col min="7418" max="7418" width="14.42578125" style="3" customWidth="1"/>
    <col min="7419" max="7419" width="7.28515625" style="3" customWidth="1"/>
    <col min="7420" max="7420" width="5.5703125" style="3" customWidth="1"/>
    <col min="7421" max="7421" width="9" style="3" customWidth="1"/>
    <col min="7422" max="7423" width="9.85546875" style="3" customWidth="1"/>
    <col min="7424" max="7424" width="11.140625" style="3" customWidth="1"/>
    <col min="7425" max="7425" width="2.85546875" style="3" customWidth="1"/>
    <col min="7426" max="7426" width="3.5703125" style="3" customWidth="1"/>
    <col min="7427" max="7671" width="9.140625" style="3"/>
    <col min="7672" max="7672" width="8.7109375" style="3" customWidth="1"/>
    <col min="7673" max="7673" width="9.85546875" style="3" customWidth="1"/>
    <col min="7674" max="7674" width="14.42578125" style="3" customWidth="1"/>
    <col min="7675" max="7675" width="7.28515625" style="3" customWidth="1"/>
    <col min="7676" max="7676" width="5.5703125" style="3" customWidth="1"/>
    <col min="7677" max="7677" width="9" style="3" customWidth="1"/>
    <col min="7678" max="7679" width="9.85546875" style="3" customWidth="1"/>
    <col min="7680" max="7680" width="11.140625" style="3" customWidth="1"/>
    <col min="7681" max="7681" width="2.85546875" style="3" customWidth="1"/>
    <col min="7682" max="7682" width="3.5703125" style="3" customWidth="1"/>
    <col min="7683" max="7927" width="9.140625" style="3"/>
    <col min="7928" max="7928" width="8.7109375" style="3" customWidth="1"/>
    <col min="7929" max="7929" width="9.85546875" style="3" customWidth="1"/>
    <col min="7930" max="7930" width="14.42578125" style="3" customWidth="1"/>
    <col min="7931" max="7931" width="7.28515625" style="3" customWidth="1"/>
    <col min="7932" max="7932" width="5.5703125" style="3" customWidth="1"/>
    <col min="7933" max="7933" width="9" style="3" customWidth="1"/>
    <col min="7934" max="7935" width="9.85546875" style="3" customWidth="1"/>
    <col min="7936" max="7936" width="11.140625" style="3" customWidth="1"/>
    <col min="7937" max="7937" width="2.85546875" style="3" customWidth="1"/>
    <col min="7938" max="7938" width="3.5703125" style="3" customWidth="1"/>
    <col min="7939" max="8183" width="9.140625" style="3"/>
    <col min="8184" max="8184" width="8.7109375" style="3" customWidth="1"/>
    <col min="8185" max="8185" width="9.85546875" style="3" customWidth="1"/>
    <col min="8186" max="8186" width="14.42578125" style="3" customWidth="1"/>
    <col min="8187" max="8187" width="7.28515625" style="3" customWidth="1"/>
    <col min="8188" max="8188" width="5.5703125" style="3" customWidth="1"/>
    <col min="8189" max="8189" width="9" style="3" customWidth="1"/>
    <col min="8190" max="8191" width="9.85546875" style="3" customWidth="1"/>
    <col min="8192" max="8192" width="11.140625" style="3" customWidth="1"/>
    <col min="8193" max="8193" width="2.85546875" style="3" customWidth="1"/>
    <col min="8194" max="8194" width="3.5703125" style="3" customWidth="1"/>
    <col min="8195" max="8439" width="9.140625" style="3"/>
    <col min="8440" max="8440" width="8.7109375" style="3" customWidth="1"/>
    <col min="8441" max="8441" width="9.85546875" style="3" customWidth="1"/>
    <col min="8442" max="8442" width="14.42578125" style="3" customWidth="1"/>
    <col min="8443" max="8443" width="7.28515625" style="3" customWidth="1"/>
    <col min="8444" max="8444" width="5.5703125" style="3" customWidth="1"/>
    <col min="8445" max="8445" width="9" style="3" customWidth="1"/>
    <col min="8446" max="8447" width="9.85546875" style="3" customWidth="1"/>
    <col min="8448" max="8448" width="11.140625" style="3" customWidth="1"/>
    <col min="8449" max="8449" width="2.85546875" style="3" customWidth="1"/>
    <col min="8450" max="8450" width="3.5703125" style="3" customWidth="1"/>
    <col min="8451" max="8695" width="9.140625" style="3"/>
    <col min="8696" max="8696" width="8.7109375" style="3" customWidth="1"/>
    <col min="8697" max="8697" width="9.85546875" style="3" customWidth="1"/>
    <col min="8698" max="8698" width="14.42578125" style="3" customWidth="1"/>
    <col min="8699" max="8699" width="7.28515625" style="3" customWidth="1"/>
    <col min="8700" max="8700" width="5.5703125" style="3" customWidth="1"/>
    <col min="8701" max="8701" width="9" style="3" customWidth="1"/>
    <col min="8702" max="8703" width="9.85546875" style="3" customWidth="1"/>
    <col min="8704" max="8704" width="11.140625" style="3" customWidth="1"/>
    <col min="8705" max="8705" width="2.85546875" style="3" customWidth="1"/>
    <col min="8706" max="8706" width="3.5703125" style="3" customWidth="1"/>
    <col min="8707" max="8951" width="9.140625" style="3"/>
    <col min="8952" max="8952" width="8.7109375" style="3" customWidth="1"/>
    <col min="8953" max="8953" width="9.85546875" style="3" customWidth="1"/>
    <col min="8954" max="8954" width="14.42578125" style="3" customWidth="1"/>
    <col min="8955" max="8955" width="7.28515625" style="3" customWidth="1"/>
    <col min="8956" max="8956" width="5.5703125" style="3" customWidth="1"/>
    <col min="8957" max="8957" width="9" style="3" customWidth="1"/>
    <col min="8958" max="8959" width="9.85546875" style="3" customWidth="1"/>
    <col min="8960" max="8960" width="11.140625" style="3" customWidth="1"/>
    <col min="8961" max="8961" width="2.85546875" style="3" customWidth="1"/>
    <col min="8962" max="8962" width="3.5703125" style="3" customWidth="1"/>
    <col min="8963" max="9207" width="9.140625" style="3"/>
    <col min="9208" max="9208" width="8.7109375" style="3" customWidth="1"/>
    <col min="9209" max="9209" width="9.85546875" style="3" customWidth="1"/>
    <col min="9210" max="9210" width="14.42578125" style="3" customWidth="1"/>
    <col min="9211" max="9211" width="7.28515625" style="3" customWidth="1"/>
    <col min="9212" max="9212" width="5.5703125" style="3" customWidth="1"/>
    <col min="9213" max="9213" width="9" style="3" customWidth="1"/>
    <col min="9214" max="9215" width="9.85546875" style="3" customWidth="1"/>
    <col min="9216" max="9216" width="11.140625" style="3" customWidth="1"/>
    <col min="9217" max="9217" width="2.85546875" style="3" customWidth="1"/>
    <col min="9218" max="9218" width="3.5703125" style="3" customWidth="1"/>
    <col min="9219" max="9463" width="9.140625" style="3"/>
    <col min="9464" max="9464" width="8.7109375" style="3" customWidth="1"/>
    <col min="9465" max="9465" width="9.85546875" style="3" customWidth="1"/>
    <col min="9466" max="9466" width="14.42578125" style="3" customWidth="1"/>
    <col min="9467" max="9467" width="7.28515625" style="3" customWidth="1"/>
    <col min="9468" max="9468" width="5.5703125" style="3" customWidth="1"/>
    <col min="9469" max="9469" width="9" style="3" customWidth="1"/>
    <col min="9470" max="9471" width="9.85546875" style="3" customWidth="1"/>
    <col min="9472" max="9472" width="11.140625" style="3" customWidth="1"/>
    <col min="9473" max="9473" width="2.85546875" style="3" customWidth="1"/>
    <col min="9474" max="9474" width="3.5703125" style="3" customWidth="1"/>
    <col min="9475" max="9719" width="9.140625" style="3"/>
    <col min="9720" max="9720" width="8.7109375" style="3" customWidth="1"/>
    <col min="9721" max="9721" width="9.85546875" style="3" customWidth="1"/>
    <col min="9722" max="9722" width="14.42578125" style="3" customWidth="1"/>
    <col min="9723" max="9723" width="7.28515625" style="3" customWidth="1"/>
    <col min="9724" max="9724" width="5.5703125" style="3" customWidth="1"/>
    <col min="9725" max="9725" width="9" style="3" customWidth="1"/>
    <col min="9726" max="9727" width="9.85546875" style="3" customWidth="1"/>
    <col min="9728" max="9728" width="11.140625" style="3" customWidth="1"/>
    <col min="9729" max="9729" width="2.85546875" style="3" customWidth="1"/>
    <col min="9730" max="9730" width="3.5703125" style="3" customWidth="1"/>
    <col min="9731" max="9975" width="9.140625" style="3"/>
    <col min="9976" max="9976" width="8.7109375" style="3" customWidth="1"/>
    <col min="9977" max="9977" width="9.85546875" style="3" customWidth="1"/>
    <col min="9978" max="9978" width="14.42578125" style="3" customWidth="1"/>
    <col min="9979" max="9979" width="7.28515625" style="3" customWidth="1"/>
    <col min="9980" max="9980" width="5.5703125" style="3" customWidth="1"/>
    <col min="9981" max="9981" width="9" style="3" customWidth="1"/>
    <col min="9982" max="9983" width="9.85546875" style="3" customWidth="1"/>
    <col min="9984" max="9984" width="11.140625" style="3" customWidth="1"/>
    <col min="9985" max="9985" width="2.85546875" style="3" customWidth="1"/>
    <col min="9986" max="9986" width="3.5703125" style="3" customWidth="1"/>
    <col min="9987" max="10231" width="9.140625" style="3"/>
    <col min="10232" max="10232" width="8.7109375" style="3" customWidth="1"/>
    <col min="10233" max="10233" width="9.85546875" style="3" customWidth="1"/>
    <col min="10234" max="10234" width="14.42578125" style="3" customWidth="1"/>
    <col min="10235" max="10235" width="7.28515625" style="3" customWidth="1"/>
    <col min="10236" max="10236" width="5.5703125" style="3" customWidth="1"/>
    <col min="10237" max="10237" width="9" style="3" customWidth="1"/>
    <col min="10238" max="10239" width="9.85546875" style="3" customWidth="1"/>
    <col min="10240" max="10240" width="11.140625" style="3" customWidth="1"/>
    <col min="10241" max="10241" width="2.85546875" style="3" customWidth="1"/>
    <col min="10242" max="10242" width="3.5703125" style="3" customWidth="1"/>
    <col min="10243" max="10487" width="9.140625" style="3"/>
    <col min="10488" max="10488" width="8.7109375" style="3" customWidth="1"/>
    <col min="10489" max="10489" width="9.85546875" style="3" customWidth="1"/>
    <col min="10490" max="10490" width="14.42578125" style="3" customWidth="1"/>
    <col min="10491" max="10491" width="7.28515625" style="3" customWidth="1"/>
    <col min="10492" max="10492" width="5.5703125" style="3" customWidth="1"/>
    <col min="10493" max="10493" width="9" style="3" customWidth="1"/>
    <col min="10494" max="10495" width="9.85546875" style="3" customWidth="1"/>
    <col min="10496" max="10496" width="11.140625" style="3" customWidth="1"/>
    <col min="10497" max="10497" width="2.85546875" style="3" customWidth="1"/>
    <col min="10498" max="10498" width="3.5703125" style="3" customWidth="1"/>
    <col min="10499" max="10743" width="9.140625" style="3"/>
    <col min="10744" max="10744" width="8.7109375" style="3" customWidth="1"/>
    <col min="10745" max="10745" width="9.85546875" style="3" customWidth="1"/>
    <col min="10746" max="10746" width="14.42578125" style="3" customWidth="1"/>
    <col min="10747" max="10747" width="7.28515625" style="3" customWidth="1"/>
    <col min="10748" max="10748" width="5.5703125" style="3" customWidth="1"/>
    <col min="10749" max="10749" width="9" style="3" customWidth="1"/>
    <col min="10750" max="10751" width="9.85546875" style="3" customWidth="1"/>
    <col min="10752" max="10752" width="11.140625" style="3" customWidth="1"/>
    <col min="10753" max="10753" width="2.85546875" style="3" customWidth="1"/>
    <col min="10754" max="10754" width="3.5703125" style="3" customWidth="1"/>
    <col min="10755" max="10999" width="9.140625" style="3"/>
    <col min="11000" max="11000" width="8.7109375" style="3" customWidth="1"/>
    <col min="11001" max="11001" width="9.85546875" style="3" customWidth="1"/>
    <col min="11002" max="11002" width="14.42578125" style="3" customWidth="1"/>
    <col min="11003" max="11003" width="7.28515625" style="3" customWidth="1"/>
    <col min="11004" max="11004" width="5.5703125" style="3" customWidth="1"/>
    <col min="11005" max="11005" width="9" style="3" customWidth="1"/>
    <col min="11006" max="11007" width="9.85546875" style="3" customWidth="1"/>
    <col min="11008" max="11008" width="11.140625" style="3" customWidth="1"/>
    <col min="11009" max="11009" width="2.85546875" style="3" customWidth="1"/>
    <col min="11010" max="11010" width="3.5703125" style="3" customWidth="1"/>
    <col min="11011" max="11255" width="9.140625" style="3"/>
    <col min="11256" max="11256" width="8.7109375" style="3" customWidth="1"/>
    <col min="11257" max="11257" width="9.85546875" style="3" customWidth="1"/>
    <col min="11258" max="11258" width="14.42578125" style="3" customWidth="1"/>
    <col min="11259" max="11259" width="7.28515625" style="3" customWidth="1"/>
    <col min="11260" max="11260" width="5.5703125" style="3" customWidth="1"/>
    <col min="11261" max="11261" width="9" style="3" customWidth="1"/>
    <col min="11262" max="11263" width="9.85546875" style="3" customWidth="1"/>
    <col min="11264" max="11264" width="11.140625" style="3" customWidth="1"/>
    <col min="11265" max="11265" width="2.85546875" style="3" customWidth="1"/>
    <col min="11266" max="11266" width="3.5703125" style="3" customWidth="1"/>
    <col min="11267" max="11511" width="9.140625" style="3"/>
    <col min="11512" max="11512" width="8.7109375" style="3" customWidth="1"/>
    <col min="11513" max="11513" width="9.85546875" style="3" customWidth="1"/>
    <col min="11514" max="11514" width="14.42578125" style="3" customWidth="1"/>
    <col min="11515" max="11515" width="7.28515625" style="3" customWidth="1"/>
    <col min="11516" max="11516" width="5.5703125" style="3" customWidth="1"/>
    <col min="11517" max="11517" width="9" style="3" customWidth="1"/>
    <col min="11518" max="11519" width="9.85546875" style="3" customWidth="1"/>
    <col min="11520" max="11520" width="11.140625" style="3" customWidth="1"/>
    <col min="11521" max="11521" width="2.85546875" style="3" customWidth="1"/>
    <col min="11522" max="11522" width="3.5703125" style="3" customWidth="1"/>
    <col min="11523" max="11767" width="9.140625" style="3"/>
    <col min="11768" max="11768" width="8.7109375" style="3" customWidth="1"/>
    <col min="11769" max="11769" width="9.85546875" style="3" customWidth="1"/>
    <col min="11770" max="11770" width="14.42578125" style="3" customWidth="1"/>
    <col min="11771" max="11771" width="7.28515625" style="3" customWidth="1"/>
    <col min="11772" max="11772" width="5.5703125" style="3" customWidth="1"/>
    <col min="11773" max="11773" width="9" style="3" customWidth="1"/>
    <col min="11774" max="11775" width="9.85546875" style="3" customWidth="1"/>
    <col min="11776" max="11776" width="11.140625" style="3" customWidth="1"/>
    <col min="11777" max="11777" width="2.85546875" style="3" customWidth="1"/>
    <col min="11778" max="11778" width="3.5703125" style="3" customWidth="1"/>
    <col min="11779" max="12023" width="9.140625" style="3"/>
    <col min="12024" max="12024" width="8.7109375" style="3" customWidth="1"/>
    <col min="12025" max="12025" width="9.85546875" style="3" customWidth="1"/>
    <col min="12026" max="12026" width="14.42578125" style="3" customWidth="1"/>
    <col min="12027" max="12027" width="7.28515625" style="3" customWidth="1"/>
    <col min="12028" max="12028" width="5.5703125" style="3" customWidth="1"/>
    <col min="12029" max="12029" width="9" style="3" customWidth="1"/>
    <col min="12030" max="12031" width="9.85546875" style="3" customWidth="1"/>
    <col min="12032" max="12032" width="11.140625" style="3" customWidth="1"/>
    <col min="12033" max="12033" width="2.85546875" style="3" customWidth="1"/>
    <col min="12034" max="12034" width="3.5703125" style="3" customWidth="1"/>
    <col min="12035" max="12279" width="9.140625" style="3"/>
    <col min="12280" max="12280" width="8.7109375" style="3" customWidth="1"/>
    <col min="12281" max="12281" width="9.85546875" style="3" customWidth="1"/>
    <col min="12282" max="12282" width="14.42578125" style="3" customWidth="1"/>
    <col min="12283" max="12283" width="7.28515625" style="3" customWidth="1"/>
    <col min="12284" max="12284" width="5.5703125" style="3" customWidth="1"/>
    <col min="12285" max="12285" width="9" style="3" customWidth="1"/>
    <col min="12286" max="12287" width="9.85546875" style="3" customWidth="1"/>
    <col min="12288" max="12288" width="11.140625" style="3" customWidth="1"/>
    <col min="12289" max="12289" width="2.85546875" style="3" customWidth="1"/>
    <col min="12290" max="12290" width="3.5703125" style="3" customWidth="1"/>
    <col min="12291" max="12535" width="9.140625" style="3"/>
    <col min="12536" max="12536" width="8.7109375" style="3" customWidth="1"/>
    <col min="12537" max="12537" width="9.85546875" style="3" customWidth="1"/>
    <col min="12538" max="12538" width="14.42578125" style="3" customWidth="1"/>
    <col min="12539" max="12539" width="7.28515625" style="3" customWidth="1"/>
    <col min="12540" max="12540" width="5.5703125" style="3" customWidth="1"/>
    <col min="12541" max="12541" width="9" style="3" customWidth="1"/>
    <col min="12542" max="12543" width="9.85546875" style="3" customWidth="1"/>
    <col min="12544" max="12544" width="11.140625" style="3" customWidth="1"/>
    <col min="12545" max="12545" width="2.85546875" style="3" customWidth="1"/>
    <col min="12546" max="12546" width="3.5703125" style="3" customWidth="1"/>
    <col min="12547" max="12791" width="9.140625" style="3"/>
    <col min="12792" max="12792" width="8.7109375" style="3" customWidth="1"/>
    <col min="12793" max="12793" width="9.85546875" style="3" customWidth="1"/>
    <col min="12794" max="12794" width="14.42578125" style="3" customWidth="1"/>
    <col min="12795" max="12795" width="7.28515625" style="3" customWidth="1"/>
    <col min="12796" max="12796" width="5.5703125" style="3" customWidth="1"/>
    <col min="12797" max="12797" width="9" style="3" customWidth="1"/>
    <col min="12798" max="12799" width="9.85546875" style="3" customWidth="1"/>
    <col min="12800" max="12800" width="11.140625" style="3" customWidth="1"/>
    <col min="12801" max="12801" width="2.85546875" style="3" customWidth="1"/>
    <col min="12802" max="12802" width="3.5703125" style="3" customWidth="1"/>
    <col min="12803" max="13047" width="9.140625" style="3"/>
    <col min="13048" max="13048" width="8.7109375" style="3" customWidth="1"/>
    <col min="13049" max="13049" width="9.85546875" style="3" customWidth="1"/>
    <col min="13050" max="13050" width="14.42578125" style="3" customWidth="1"/>
    <col min="13051" max="13051" width="7.28515625" style="3" customWidth="1"/>
    <col min="13052" max="13052" width="5.5703125" style="3" customWidth="1"/>
    <col min="13053" max="13053" width="9" style="3" customWidth="1"/>
    <col min="13054" max="13055" width="9.85546875" style="3" customWidth="1"/>
    <col min="13056" max="13056" width="11.140625" style="3" customWidth="1"/>
    <col min="13057" max="13057" width="2.85546875" style="3" customWidth="1"/>
    <col min="13058" max="13058" width="3.5703125" style="3" customWidth="1"/>
    <col min="13059" max="13303" width="9.140625" style="3"/>
    <col min="13304" max="13304" width="8.7109375" style="3" customWidth="1"/>
    <col min="13305" max="13305" width="9.85546875" style="3" customWidth="1"/>
    <col min="13306" max="13306" width="14.42578125" style="3" customWidth="1"/>
    <col min="13307" max="13307" width="7.28515625" style="3" customWidth="1"/>
    <col min="13308" max="13308" width="5.5703125" style="3" customWidth="1"/>
    <col min="13309" max="13309" width="9" style="3" customWidth="1"/>
    <col min="13310" max="13311" width="9.85546875" style="3" customWidth="1"/>
    <col min="13312" max="13312" width="11.140625" style="3" customWidth="1"/>
    <col min="13313" max="13313" width="2.85546875" style="3" customWidth="1"/>
    <col min="13314" max="13314" width="3.5703125" style="3" customWidth="1"/>
    <col min="13315" max="13559" width="9.140625" style="3"/>
    <col min="13560" max="13560" width="8.7109375" style="3" customWidth="1"/>
    <col min="13561" max="13561" width="9.85546875" style="3" customWidth="1"/>
    <col min="13562" max="13562" width="14.42578125" style="3" customWidth="1"/>
    <col min="13563" max="13563" width="7.28515625" style="3" customWidth="1"/>
    <col min="13564" max="13564" width="5.5703125" style="3" customWidth="1"/>
    <col min="13565" max="13565" width="9" style="3" customWidth="1"/>
    <col min="13566" max="13567" width="9.85546875" style="3" customWidth="1"/>
    <col min="13568" max="13568" width="11.140625" style="3" customWidth="1"/>
    <col min="13569" max="13569" width="2.85546875" style="3" customWidth="1"/>
    <col min="13570" max="13570" width="3.5703125" style="3" customWidth="1"/>
    <col min="13571" max="13815" width="9.140625" style="3"/>
    <col min="13816" max="13816" width="8.7109375" style="3" customWidth="1"/>
    <col min="13817" max="13817" width="9.85546875" style="3" customWidth="1"/>
    <col min="13818" max="13818" width="14.42578125" style="3" customWidth="1"/>
    <col min="13819" max="13819" width="7.28515625" style="3" customWidth="1"/>
    <col min="13820" max="13820" width="5.5703125" style="3" customWidth="1"/>
    <col min="13821" max="13821" width="9" style="3" customWidth="1"/>
    <col min="13822" max="13823" width="9.85546875" style="3" customWidth="1"/>
    <col min="13824" max="13824" width="11.140625" style="3" customWidth="1"/>
    <col min="13825" max="13825" width="2.85546875" style="3" customWidth="1"/>
    <col min="13826" max="13826" width="3.5703125" style="3" customWidth="1"/>
    <col min="13827" max="14071" width="9.140625" style="3"/>
    <col min="14072" max="14072" width="8.7109375" style="3" customWidth="1"/>
    <col min="14073" max="14073" width="9.85546875" style="3" customWidth="1"/>
    <col min="14074" max="14074" width="14.42578125" style="3" customWidth="1"/>
    <col min="14075" max="14075" width="7.28515625" style="3" customWidth="1"/>
    <col min="14076" max="14076" width="5.5703125" style="3" customWidth="1"/>
    <col min="14077" max="14077" width="9" style="3" customWidth="1"/>
    <col min="14078" max="14079" width="9.85546875" style="3" customWidth="1"/>
    <col min="14080" max="14080" width="11.140625" style="3" customWidth="1"/>
    <col min="14081" max="14081" width="2.85546875" style="3" customWidth="1"/>
    <col min="14082" max="14082" width="3.5703125" style="3" customWidth="1"/>
    <col min="14083" max="14327" width="9.140625" style="3"/>
    <col min="14328" max="14328" width="8.7109375" style="3" customWidth="1"/>
    <col min="14329" max="14329" width="9.85546875" style="3" customWidth="1"/>
    <col min="14330" max="14330" width="14.42578125" style="3" customWidth="1"/>
    <col min="14331" max="14331" width="7.28515625" style="3" customWidth="1"/>
    <col min="14332" max="14332" width="5.5703125" style="3" customWidth="1"/>
    <col min="14333" max="14333" width="9" style="3" customWidth="1"/>
    <col min="14334" max="14335" width="9.85546875" style="3" customWidth="1"/>
    <col min="14336" max="14336" width="11.140625" style="3" customWidth="1"/>
    <col min="14337" max="14337" width="2.85546875" style="3" customWidth="1"/>
    <col min="14338" max="14338" width="3.5703125" style="3" customWidth="1"/>
    <col min="14339" max="14583" width="9.140625" style="3"/>
    <col min="14584" max="14584" width="8.7109375" style="3" customWidth="1"/>
    <col min="14585" max="14585" width="9.85546875" style="3" customWidth="1"/>
    <col min="14586" max="14586" width="14.42578125" style="3" customWidth="1"/>
    <col min="14587" max="14587" width="7.28515625" style="3" customWidth="1"/>
    <col min="14588" max="14588" width="5.5703125" style="3" customWidth="1"/>
    <col min="14589" max="14589" width="9" style="3" customWidth="1"/>
    <col min="14590" max="14591" width="9.85546875" style="3" customWidth="1"/>
    <col min="14592" max="14592" width="11.140625" style="3" customWidth="1"/>
    <col min="14593" max="14593" width="2.85546875" style="3" customWidth="1"/>
    <col min="14594" max="14594" width="3.5703125" style="3" customWidth="1"/>
    <col min="14595" max="14839" width="9.140625" style="3"/>
    <col min="14840" max="14840" width="8.7109375" style="3" customWidth="1"/>
    <col min="14841" max="14841" width="9.85546875" style="3" customWidth="1"/>
    <col min="14842" max="14842" width="14.42578125" style="3" customWidth="1"/>
    <col min="14843" max="14843" width="7.28515625" style="3" customWidth="1"/>
    <col min="14844" max="14844" width="5.5703125" style="3" customWidth="1"/>
    <col min="14845" max="14845" width="9" style="3" customWidth="1"/>
    <col min="14846" max="14847" width="9.85546875" style="3" customWidth="1"/>
    <col min="14848" max="14848" width="11.140625" style="3" customWidth="1"/>
    <col min="14849" max="14849" width="2.85546875" style="3" customWidth="1"/>
    <col min="14850" max="14850" width="3.5703125" style="3" customWidth="1"/>
    <col min="14851" max="15095" width="9.140625" style="3"/>
    <col min="15096" max="15096" width="8.7109375" style="3" customWidth="1"/>
    <col min="15097" max="15097" width="9.85546875" style="3" customWidth="1"/>
    <col min="15098" max="15098" width="14.42578125" style="3" customWidth="1"/>
    <col min="15099" max="15099" width="7.28515625" style="3" customWidth="1"/>
    <col min="15100" max="15100" width="5.5703125" style="3" customWidth="1"/>
    <col min="15101" max="15101" width="9" style="3" customWidth="1"/>
    <col min="15102" max="15103" width="9.85546875" style="3" customWidth="1"/>
    <col min="15104" max="15104" width="11.140625" style="3" customWidth="1"/>
    <col min="15105" max="15105" width="2.85546875" style="3" customWidth="1"/>
    <col min="15106" max="15106" width="3.5703125" style="3" customWidth="1"/>
    <col min="15107" max="15351" width="9.140625" style="3"/>
    <col min="15352" max="15352" width="8.7109375" style="3" customWidth="1"/>
    <col min="15353" max="15353" width="9.85546875" style="3" customWidth="1"/>
    <col min="15354" max="15354" width="14.42578125" style="3" customWidth="1"/>
    <col min="15355" max="15355" width="7.28515625" style="3" customWidth="1"/>
    <col min="15356" max="15356" width="5.5703125" style="3" customWidth="1"/>
    <col min="15357" max="15357" width="9" style="3" customWidth="1"/>
    <col min="15358" max="15359" width="9.85546875" style="3" customWidth="1"/>
    <col min="15360" max="15360" width="11.140625" style="3" customWidth="1"/>
    <col min="15361" max="15361" width="2.85546875" style="3" customWidth="1"/>
    <col min="15362" max="15362" width="3.5703125" style="3" customWidth="1"/>
    <col min="15363" max="15607" width="9.140625" style="3"/>
    <col min="15608" max="15608" width="8.7109375" style="3" customWidth="1"/>
    <col min="15609" max="15609" width="9.85546875" style="3" customWidth="1"/>
    <col min="15610" max="15610" width="14.42578125" style="3" customWidth="1"/>
    <col min="15611" max="15611" width="7.28515625" style="3" customWidth="1"/>
    <col min="15612" max="15612" width="5.5703125" style="3" customWidth="1"/>
    <col min="15613" max="15613" width="9" style="3" customWidth="1"/>
    <col min="15614" max="15615" width="9.85546875" style="3" customWidth="1"/>
    <col min="15616" max="15616" width="11.140625" style="3" customWidth="1"/>
    <col min="15617" max="15617" width="2.85546875" style="3" customWidth="1"/>
    <col min="15618" max="15618" width="3.5703125" style="3" customWidth="1"/>
    <col min="15619" max="15863" width="9.140625" style="3"/>
    <col min="15864" max="15864" width="8.7109375" style="3" customWidth="1"/>
    <col min="15865" max="15865" width="9.85546875" style="3" customWidth="1"/>
    <col min="15866" max="15866" width="14.42578125" style="3" customWidth="1"/>
    <col min="15867" max="15867" width="7.28515625" style="3" customWidth="1"/>
    <col min="15868" max="15868" width="5.5703125" style="3" customWidth="1"/>
    <col min="15869" max="15869" width="9" style="3" customWidth="1"/>
    <col min="15870" max="15871" width="9.85546875" style="3" customWidth="1"/>
    <col min="15872" max="15872" width="11.140625" style="3" customWidth="1"/>
    <col min="15873" max="15873" width="2.85546875" style="3" customWidth="1"/>
    <col min="15874" max="15874" width="3.5703125" style="3" customWidth="1"/>
    <col min="15875" max="16119" width="9.140625" style="3"/>
    <col min="16120" max="16120" width="8.7109375" style="3" customWidth="1"/>
    <col min="16121" max="16121" width="9.85546875" style="3" customWidth="1"/>
    <col min="16122" max="16122" width="14.42578125" style="3" customWidth="1"/>
    <col min="16123" max="16123" width="7.28515625" style="3" customWidth="1"/>
    <col min="16124" max="16124" width="5.5703125" style="3" customWidth="1"/>
    <col min="16125" max="16125" width="9" style="3" customWidth="1"/>
    <col min="16126" max="16127" width="9.85546875" style="3" customWidth="1"/>
    <col min="16128" max="16128" width="11.140625" style="3" customWidth="1"/>
    <col min="16129" max="16129" width="2.85546875" style="3" customWidth="1"/>
    <col min="16130" max="16130" width="3.5703125" style="3" customWidth="1"/>
    <col min="16131" max="16384" width="9.140625" style="3"/>
  </cols>
  <sheetData>
    <row r="1" spans="1:12" ht="46.5" customHeight="1" x14ac:dyDescent="0.25">
      <c r="A1" s="178" t="s">
        <v>222</v>
      </c>
      <c r="B1" s="178"/>
      <c r="C1" s="178"/>
      <c r="D1" s="178"/>
      <c r="E1" s="178"/>
      <c r="F1" s="178"/>
      <c r="G1" s="178"/>
      <c r="H1" s="178"/>
    </row>
    <row r="2" spans="1:12" ht="16.5" customHeight="1" x14ac:dyDescent="0.25">
      <c r="A2" s="92" t="s">
        <v>0</v>
      </c>
      <c r="B2" s="92"/>
      <c r="C2" s="92"/>
      <c r="D2" s="92"/>
      <c r="E2" s="92"/>
      <c r="F2" s="92"/>
      <c r="G2" s="92"/>
      <c r="H2" s="92"/>
    </row>
    <row r="3" spans="1:12" x14ac:dyDescent="0.25">
      <c r="A3" s="134" t="s">
        <v>1</v>
      </c>
      <c r="B3" s="134"/>
      <c r="C3" s="134"/>
      <c r="D3" s="134"/>
      <c r="E3" s="177" t="str">
        <f ca="1">TEXT(TODAY(),"DD/MM/YYYY")</f>
        <v>16/07/2025</v>
      </c>
      <c r="F3" s="177"/>
      <c r="G3" s="177"/>
      <c r="H3" s="177"/>
    </row>
    <row r="4" spans="1:12" ht="15" customHeight="1" x14ac:dyDescent="0.25">
      <c r="A4" s="134" t="s">
        <v>2</v>
      </c>
      <c r="B4" s="134"/>
      <c r="C4" s="134"/>
      <c r="D4" s="134"/>
      <c r="E4" s="172" t="s">
        <v>163</v>
      </c>
      <c r="F4" s="172"/>
      <c r="G4" s="172"/>
      <c r="H4" s="172"/>
    </row>
    <row r="5" spans="1:12" x14ac:dyDescent="0.25">
      <c r="A5" s="134" t="s">
        <v>3</v>
      </c>
      <c r="B5" s="134"/>
      <c r="C5" s="134"/>
      <c r="D5" s="134"/>
      <c r="E5" s="177">
        <v>45846</v>
      </c>
      <c r="F5" s="177"/>
      <c r="G5" s="177"/>
      <c r="H5" s="177"/>
    </row>
    <row r="6" spans="1:12" ht="16.5" customHeight="1" x14ac:dyDescent="0.25">
      <c r="A6" s="134" t="s">
        <v>4</v>
      </c>
      <c r="B6" s="134"/>
      <c r="C6" s="134"/>
      <c r="D6" s="134"/>
      <c r="E6" s="136" t="s">
        <v>164</v>
      </c>
      <c r="F6" s="136"/>
      <c r="G6" s="136"/>
      <c r="H6" s="136"/>
    </row>
    <row r="7" spans="1:12" ht="15" customHeight="1" x14ac:dyDescent="0.25">
      <c r="A7" s="134" t="s">
        <v>5</v>
      </c>
      <c r="B7" s="134"/>
      <c r="C7" s="134"/>
      <c r="D7" s="134"/>
      <c r="E7" s="136" t="str">
        <f>E6</f>
        <v>M/s. Runwal Residency Private Limited</v>
      </c>
      <c r="F7" s="136"/>
      <c r="G7" s="136"/>
      <c r="H7" s="136"/>
    </row>
    <row r="8" spans="1:12" x14ac:dyDescent="0.25">
      <c r="A8" s="134" t="s">
        <v>6</v>
      </c>
      <c r="B8" s="134"/>
      <c r="C8" s="134"/>
      <c r="D8" s="134"/>
      <c r="E8" s="142" t="s">
        <v>219</v>
      </c>
      <c r="F8" s="142"/>
      <c r="G8" s="142"/>
      <c r="H8" s="142"/>
    </row>
    <row r="9" spans="1:12" x14ac:dyDescent="0.25">
      <c r="A9" s="134" t="s">
        <v>126</v>
      </c>
      <c r="B9" s="134"/>
      <c r="C9" s="134"/>
      <c r="D9" s="134"/>
      <c r="E9" s="134" t="s">
        <v>221</v>
      </c>
      <c r="F9" s="134"/>
      <c r="G9" s="134"/>
      <c r="H9" s="134"/>
    </row>
    <row r="10" spans="1:12" x14ac:dyDescent="0.25">
      <c r="A10" s="136" t="s">
        <v>177</v>
      </c>
      <c r="B10" s="134"/>
      <c r="C10" s="134"/>
      <c r="D10" s="134"/>
      <c r="E10" s="134" t="s">
        <v>277</v>
      </c>
      <c r="F10" s="134"/>
      <c r="G10" s="134"/>
      <c r="H10" s="134"/>
    </row>
    <row r="11" spans="1:12" x14ac:dyDescent="0.25">
      <c r="A11" s="137" t="s">
        <v>7</v>
      </c>
      <c r="B11" s="137"/>
      <c r="C11" s="137"/>
      <c r="D11" s="137"/>
      <c r="E11" s="137" t="s">
        <v>257</v>
      </c>
      <c r="F11" s="137"/>
      <c r="G11" s="137"/>
      <c r="H11" s="137"/>
    </row>
    <row r="12" spans="1:12" x14ac:dyDescent="0.25">
      <c r="A12" s="137" t="s">
        <v>224</v>
      </c>
      <c r="B12" s="137"/>
      <c r="C12" s="137"/>
      <c r="D12" s="137"/>
      <c r="E12" s="124" t="s">
        <v>165</v>
      </c>
      <c r="F12" s="124"/>
      <c r="G12" s="124"/>
      <c r="H12" s="124"/>
    </row>
    <row r="13" spans="1:12" ht="66.75" customHeight="1" x14ac:dyDescent="0.25">
      <c r="A13" s="137" t="s">
        <v>8</v>
      </c>
      <c r="B13" s="137"/>
      <c r="C13" s="137"/>
      <c r="D13" s="137"/>
      <c r="E13" s="124" t="s">
        <v>270</v>
      </c>
      <c r="F13" s="137"/>
      <c r="G13" s="137"/>
      <c r="H13" s="137"/>
      <c r="I13" s="59" t="s">
        <v>220</v>
      </c>
      <c r="J13" s="59"/>
      <c r="K13" s="59"/>
      <c r="L13" s="59"/>
    </row>
    <row r="14" spans="1:12" ht="240" customHeight="1" x14ac:dyDescent="0.25">
      <c r="A14" s="124" t="s">
        <v>9</v>
      </c>
      <c r="B14" s="124"/>
      <c r="C14" s="124" t="str">
        <f>CONCATENATE((IF(OR(E8="",E8="NA"),"",E8)),", ",(IF(OR(A15="",A15="NA"),"",A15)),".",(IF(OR(C15="",C15="NA"),"",C15)),", near ",(IF(OR(C19="",C19="NA"),"",C19)),", ",(IF(OR(C16="",C16="NA"),"",C16)),", ",(IF(OR(G16="",G16="NA"),"",G16)),", ",(IF(OR(C17="",C17="NA"),"",C17)),", ",(IF(OR(C18="",C18="NA"),"",C18)),", ",(IF(OR(G17="",G17="NA"),"",G17))," - ",(IF(OR(G18="",G18="NA"),"",G18)),".")</f>
        <v>Runwal Gardens Phase VIII, Survey No.Runwal Gardens Phase 8 Bldg No. 44 Survey No.4/1, 4/2, 4/3, 4/4, 4/5, 4/6, 4/9, 4/10, 4/11, 5/1, 5/2, 5/3, 5/4, 5/5, 5/6, 6/1, 6/2, 6/3, 7/1, 7/2A, 7/2B, 7/2C, 7/3A, 7/3B, 8/1, 8/2, 8/3, 8/4, 8/5, 8/6, 8/7, 8/8, 8/9, 9/1, 9/2, 9/3, 9/4, 9/5, 9/6, 9/7, 9/8, 10, 11, 12/1, 12/2, 12/3, 12/4, 12/5, 12/6, 12/7, 12/8, 12/9, 12/10, 12/11, 12/12, 12/13, 12/14, 13, 14/1, 14/2A, 14/2B, 14/3, 14/4, 14/5, 15, 17/1, 17/2, 17/3, 17/4, 17/5, 17/6, 17/7, 17/8, 17/9, 17/10, 17/11, 18, 19, 22, 23/1, 23/2, 23/3, 23/10, 37/1, 37/2B, 37/2C, 37/2D, 37/3, 37/4, 37/21, 38/1, 38/2, 39/1, 39/2, 39/3, 40, 41/1A, 41/1B, 41/2, 41/3, 41/4, 44/1, 44/4,44/5A, 44/5B, 44/6A, 44/6B, 44/7, 44/8, 44/9, 44/10, 44/11, 44/12, 44/13, 44/14, 44/15, 44/16, 44/17, 44/18, 44/19, 49, 50/1, 50/2, 50/3 at Village Gharivali Dist Thane and  S. Nos. 44/1, 44/2, 44/3, 44/4, 44/5, 44/6, 44/7, 44/8, 44/9, 44/10, 44/11, 44/12, 45/1, 45/2, 45/3, 45/4, 45/5A, 45/5/B, 45/6, 46/1/2, 46/2A, 46/2B, 46/3, 47/2, 49, 50, 51, 52/1, 52/2, 53/1A, 53/1/B, 53/2/A, 53/2/B, 53/3/A, 53/3/B, 94/2, near Premiere colony ground, Kalyan - Shilphata Road, Usarghar, Nilaje, Kalyan, Thane - 421201.</v>
      </c>
      <c r="D14" s="124"/>
      <c r="E14" s="124"/>
      <c r="F14" s="124"/>
      <c r="G14" s="124"/>
      <c r="H14" s="124"/>
    </row>
    <row r="15" spans="1:12" ht="202.5" customHeight="1" x14ac:dyDescent="0.25">
      <c r="A15" s="124" t="s">
        <v>172</v>
      </c>
      <c r="B15" s="124"/>
      <c r="C15" s="124" t="s">
        <v>179</v>
      </c>
      <c r="D15" s="124"/>
      <c r="E15" s="124"/>
      <c r="F15" s="124"/>
      <c r="G15" s="124"/>
      <c r="H15" s="124"/>
    </row>
    <row r="16" spans="1:12" ht="15.75" customHeight="1" x14ac:dyDescent="0.25">
      <c r="A16" s="136" t="s">
        <v>10</v>
      </c>
      <c r="B16" s="136"/>
      <c r="C16" s="137" t="s">
        <v>166</v>
      </c>
      <c r="D16" s="137"/>
      <c r="E16" s="136" t="s">
        <v>75</v>
      </c>
      <c r="F16" s="136"/>
      <c r="G16" s="124" t="s">
        <v>180</v>
      </c>
      <c r="H16" s="124"/>
    </row>
    <row r="17" spans="1:8" x14ac:dyDescent="0.25">
      <c r="A17" s="134" t="s">
        <v>12</v>
      </c>
      <c r="B17" s="134"/>
      <c r="C17" s="124" t="s">
        <v>171</v>
      </c>
      <c r="D17" s="124"/>
      <c r="E17" s="136" t="s">
        <v>11</v>
      </c>
      <c r="F17" s="136"/>
      <c r="G17" s="176" t="s">
        <v>167</v>
      </c>
      <c r="H17" s="176"/>
    </row>
    <row r="18" spans="1:8" x14ac:dyDescent="0.25">
      <c r="A18" s="134" t="s">
        <v>76</v>
      </c>
      <c r="B18" s="134"/>
      <c r="C18" s="124" t="s">
        <v>170</v>
      </c>
      <c r="D18" s="124"/>
      <c r="E18" s="136" t="s">
        <v>13</v>
      </c>
      <c r="F18" s="136"/>
      <c r="G18" s="124">
        <v>421201</v>
      </c>
      <c r="H18" s="124"/>
    </row>
    <row r="19" spans="1:8" ht="32.25" customHeight="1" x14ac:dyDescent="0.25">
      <c r="A19" s="134" t="s">
        <v>127</v>
      </c>
      <c r="B19" s="134"/>
      <c r="C19" s="175" t="s">
        <v>169</v>
      </c>
      <c r="D19" s="175"/>
      <c r="E19" s="136" t="s">
        <v>14</v>
      </c>
      <c r="F19" s="136"/>
      <c r="G19" s="124" t="s">
        <v>168</v>
      </c>
      <c r="H19" s="124"/>
    </row>
    <row r="20" spans="1:8" ht="15" customHeight="1" x14ac:dyDescent="0.25">
      <c r="A20" s="136" t="s">
        <v>78</v>
      </c>
      <c r="B20" s="136"/>
      <c r="C20" s="136"/>
      <c r="D20" s="136"/>
      <c r="E20" s="137" t="s">
        <v>15</v>
      </c>
      <c r="F20" s="137"/>
      <c r="G20" s="137"/>
      <c r="H20" s="137"/>
    </row>
    <row r="21" spans="1:8" ht="18.75" customHeight="1" x14ac:dyDescent="0.25">
      <c r="A21" s="136"/>
      <c r="B21" s="136"/>
      <c r="C21" s="136"/>
      <c r="D21" s="136"/>
      <c r="E21" s="137"/>
      <c r="F21" s="137"/>
      <c r="G21" s="137"/>
      <c r="H21" s="137"/>
    </row>
    <row r="22" spans="1:8" ht="15" customHeight="1" x14ac:dyDescent="0.25">
      <c r="A22" s="136" t="s">
        <v>16</v>
      </c>
      <c r="B22" s="136"/>
      <c r="C22" s="136"/>
      <c r="D22" s="136"/>
      <c r="E22" s="124" t="s">
        <v>17</v>
      </c>
      <c r="F22" s="124"/>
      <c r="G22" s="124"/>
      <c r="H22" s="124"/>
    </row>
    <row r="23" spans="1:8" ht="15" customHeight="1" x14ac:dyDescent="0.25">
      <c r="A23" s="134" t="s">
        <v>18</v>
      </c>
      <c r="B23" s="134"/>
      <c r="C23" s="134"/>
      <c r="D23" s="134"/>
      <c r="E23" s="124" t="str">
        <f>IF(AND(G17="Mumbai"),"Upper Class","Middle Class")</f>
        <v>Middle Class</v>
      </c>
      <c r="F23" s="124"/>
      <c r="G23" s="124"/>
      <c r="H23" s="124"/>
    </row>
    <row r="24" spans="1:8" x14ac:dyDescent="0.25">
      <c r="A24" s="134" t="s">
        <v>19</v>
      </c>
      <c r="B24" s="134"/>
      <c r="C24" s="134"/>
      <c r="D24" s="134"/>
      <c r="E24" s="124" t="s">
        <v>20</v>
      </c>
      <c r="F24" s="124"/>
      <c r="G24" s="124"/>
      <c r="H24" s="124"/>
    </row>
    <row r="25" spans="1:8" ht="15.75" customHeight="1" x14ac:dyDescent="0.25">
      <c r="A25" s="134" t="s">
        <v>21</v>
      </c>
      <c r="B25" s="134"/>
      <c r="C25" s="134"/>
      <c r="D25" s="134"/>
      <c r="E25" s="124" t="str">
        <f>IF(AND(G17="Mumbai"),"Developed","Developing")</f>
        <v>Developing</v>
      </c>
      <c r="F25" s="124"/>
      <c r="G25" s="124"/>
      <c r="H25" s="124"/>
    </row>
    <row r="26" spans="1:8" x14ac:dyDescent="0.25">
      <c r="A26" s="134" t="s">
        <v>22</v>
      </c>
      <c r="B26" s="134"/>
      <c r="C26" s="134"/>
      <c r="D26" s="134"/>
      <c r="E26" s="124" t="s">
        <v>23</v>
      </c>
      <c r="F26" s="124"/>
      <c r="G26" s="124"/>
      <c r="H26" s="124"/>
    </row>
    <row r="27" spans="1:8" x14ac:dyDescent="0.25">
      <c r="A27" s="134" t="s">
        <v>83</v>
      </c>
      <c r="B27" s="134"/>
      <c r="C27" s="134"/>
      <c r="D27" s="134"/>
      <c r="E27" s="124" t="s">
        <v>84</v>
      </c>
      <c r="F27" s="124"/>
      <c r="G27" s="124"/>
      <c r="H27" s="124"/>
    </row>
    <row r="28" spans="1:8" ht="15" customHeight="1" x14ac:dyDescent="0.25">
      <c r="A28" s="136" t="s">
        <v>32</v>
      </c>
      <c r="B28" s="136"/>
      <c r="C28" s="136"/>
      <c r="D28" s="136"/>
      <c r="E28" s="172" t="str">
        <f>IF(ISNUMBER(SEARCH("Shop",D54)),"Residential + Commercial",IF(ISNUMBER(SEARCH("Office",D54)),"Residential + Commercial",IF(SEARCH("Flats",D54),"Residential","")))</f>
        <v>Residential</v>
      </c>
      <c r="F28" s="172"/>
      <c r="G28" s="172"/>
      <c r="H28" s="172"/>
    </row>
    <row r="29" spans="1:8" x14ac:dyDescent="0.25">
      <c r="A29" s="136" t="s">
        <v>95</v>
      </c>
      <c r="B29" s="136"/>
      <c r="C29" s="136"/>
      <c r="D29" s="136"/>
      <c r="E29" s="136" t="s">
        <v>33</v>
      </c>
      <c r="F29" s="136"/>
      <c r="G29" s="136"/>
      <c r="H29" s="136"/>
    </row>
    <row r="30" spans="1:8" s="6" customFormat="1" x14ac:dyDescent="0.25">
      <c r="A30" s="174" t="s">
        <v>96</v>
      </c>
      <c r="B30" s="174"/>
      <c r="C30" s="173" t="s">
        <v>28</v>
      </c>
      <c r="D30" s="173"/>
      <c r="E30" s="173"/>
      <c r="F30" s="173" t="s">
        <v>30</v>
      </c>
      <c r="G30" s="173"/>
      <c r="H30" s="173"/>
    </row>
    <row r="31" spans="1:8" s="6" customFormat="1" x14ac:dyDescent="0.25">
      <c r="A31" s="166" t="s">
        <v>24</v>
      </c>
      <c r="B31" s="166" t="s">
        <v>29</v>
      </c>
      <c r="C31" s="167" t="s">
        <v>235</v>
      </c>
      <c r="D31" s="167"/>
      <c r="E31" s="167"/>
      <c r="F31" s="167" t="s">
        <v>232</v>
      </c>
      <c r="G31" s="167"/>
      <c r="H31" s="167"/>
    </row>
    <row r="32" spans="1:8" x14ac:dyDescent="0.25">
      <c r="A32" s="166" t="s">
        <v>25</v>
      </c>
      <c r="B32" s="166" t="s">
        <v>29</v>
      </c>
      <c r="C32" s="167" t="s">
        <v>236</v>
      </c>
      <c r="D32" s="167"/>
      <c r="E32" s="167"/>
      <c r="F32" s="167" t="s">
        <v>234</v>
      </c>
      <c r="G32" s="167"/>
      <c r="H32" s="167"/>
    </row>
    <row r="33" spans="1:8" s="6" customFormat="1" x14ac:dyDescent="0.25">
      <c r="A33" s="166" t="s">
        <v>27</v>
      </c>
      <c r="B33" s="166" t="s">
        <v>29</v>
      </c>
      <c r="C33" s="167" t="s">
        <v>236</v>
      </c>
      <c r="D33" s="167"/>
      <c r="E33" s="167"/>
      <c r="F33" s="167" t="s">
        <v>231</v>
      </c>
      <c r="G33" s="167"/>
      <c r="H33" s="167"/>
    </row>
    <row r="34" spans="1:8" x14ac:dyDescent="0.25">
      <c r="A34" s="166" t="s">
        <v>26</v>
      </c>
      <c r="B34" s="166" t="s">
        <v>29</v>
      </c>
      <c r="C34" s="167" t="s">
        <v>237</v>
      </c>
      <c r="D34" s="167"/>
      <c r="E34" s="167"/>
      <c r="F34" s="167" t="s">
        <v>233</v>
      </c>
      <c r="G34" s="167"/>
      <c r="H34" s="167"/>
    </row>
    <row r="35" spans="1:8" x14ac:dyDescent="0.25">
      <c r="A35" s="134" t="s">
        <v>31</v>
      </c>
      <c r="B35" s="134"/>
      <c r="C35" s="134"/>
      <c r="D35" s="134"/>
      <c r="E35" s="134"/>
      <c r="F35" s="134"/>
      <c r="G35" s="134"/>
      <c r="H35" s="134"/>
    </row>
    <row r="36" spans="1:8" ht="15.75" customHeight="1" x14ac:dyDescent="0.25">
      <c r="A36" s="134" t="s">
        <v>225</v>
      </c>
      <c r="B36" s="134"/>
      <c r="C36" s="121" t="s">
        <v>229</v>
      </c>
      <c r="D36" s="122"/>
      <c r="E36" s="122"/>
      <c r="F36" s="122"/>
      <c r="G36" s="122"/>
      <c r="H36" s="123"/>
    </row>
    <row r="37" spans="1:8" x14ac:dyDescent="0.25">
      <c r="A37" s="134" t="s">
        <v>223</v>
      </c>
      <c r="B37" s="134"/>
      <c r="C37" s="202" t="s">
        <v>230</v>
      </c>
      <c r="D37" s="203"/>
      <c r="E37" s="203"/>
      <c r="F37" s="203"/>
      <c r="G37" s="203"/>
      <c r="H37" s="204"/>
    </row>
    <row r="38" spans="1:8" x14ac:dyDescent="0.25">
      <c r="A38" s="142" t="s">
        <v>34</v>
      </c>
      <c r="B38" s="142"/>
      <c r="C38" s="142"/>
      <c r="D38" s="142"/>
      <c r="E38" s="142"/>
      <c r="F38" s="142"/>
      <c r="G38" s="142"/>
      <c r="H38" s="142"/>
    </row>
    <row r="39" spans="1:8" x14ac:dyDescent="0.25">
      <c r="A39" s="134" t="s">
        <v>35</v>
      </c>
      <c r="B39" s="134"/>
      <c r="C39" s="134"/>
      <c r="D39" s="134"/>
      <c r="E39" s="168">
        <v>533750</v>
      </c>
      <c r="F39" s="168"/>
      <c r="G39" s="168"/>
      <c r="H39" s="168"/>
    </row>
    <row r="40" spans="1:8" x14ac:dyDescent="0.25">
      <c r="A40" s="134" t="s">
        <v>36</v>
      </c>
      <c r="B40" s="134"/>
      <c r="C40" s="134"/>
      <c r="D40" s="134"/>
      <c r="E40" s="170">
        <v>1</v>
      </c>
      <c r="F40" s="170"/>
      <c r="G40" s="170"/>
      <c r="H40" s="170"/>
    </row>
    <row r="41" spans="1:8" x14ac:dyDescent="0.25">
      <c r="A41" s="134" t="s">
        <v>37</v>
      </c>
      <c r="B41" s="134"/>
      <c r="C41" s="134"/>
      <c r="D41" s="134"/>
      <c r="E41" s="170">
        <f>E43/E39-E40</f>
        <v>0.68599999999999994</v>
      </c>
      <c r="F41" s="170"/>
      <c r="G41" s="170"/>
      <c r="H41" s="170"/>
    </row>
    <row r="42" spans="1:8" x14ac:dyDescent="0.25">
      <c r="A42" s="134" t="s">
        <v>38</v>
      </c>
      <c r="B42" s="134"/>
      <c r="C42" s="134"/>
      <c r="D42" s="134"/>
      <c r="E42" s="170">
        <f>E40+E41</f>
        <v>1.6859999999999999</v>
      </c>
      <c r="F42" s="170"/>
      <c r="G42" s="170"/>
      <c r="H42" s="170"/>
    </row>
    <row r="43" spans="1:8" x14ac:dyDescent="0.25">
      <c r="A43" s="134" t="s">
        <v>94</v>
      </c>
      <c r="B43" s="134"/>
      <c r="C43" s="134"/>
      <c r="D43" s="134"/>
      <c r="E43" s="171">
        <v>899902.5</v>
      </c>
      <c r="F43" s="171"/>
      <c r="G43" s="171"/>
      <c r="H43" s="171"/>
    </row>
    <row r="44" spans="1:8" x14ac:dyDescent="0.25">
      <c r="A44" s="137" t="s">
        <v>39</v>
      </c>
      <c r="B44" s="137"/>
      <c r="C44" s="137"/>
      <c r="D44" s="137"/>
      <c r="E44" s="137" t="s">
        <v>238</v>
      </c>
      <c r="F44" s="137"/>
      <c r="G44" s="137"/>
      <c r="H44" s="137"/>
    </row>
    <row r="45" spans="1:8" x14ac:dyDescent="0.25">
      <c r="A45" s="106" t="s">
        <v>40</v>
      </c>
      <c r="B45" s="106"/>
      <c r="C45" s="106"/>
      <c r="D45" s="106"/>
      <c r="E45" s="106"/>
      <c r="F45" s="106"/>
      <c r="G45" s="106"/>
      <c r="H45" s="106"/>
    </row>
    <row r="46" spans="1:8" ht="31.5" customHeight="1" x14ac:dyDescent="0.25">
      <c r="A46" s="157" t="s">
        <v>156</v>
      </c>
      <c r="B46" s="158"/>
      <c r="C46" s="159" t="s">
        <v>173</v>
      </c>
      <c r="D46" s="160"/>
      <c r="E46" s="160"/>
      <c r="F46" s="160"/>
      <c r="G46" s="160"/>
      <c r="H46" s="161"/>
    </row>
    <row r="47" spans="1:8" ht="63" customHeight="1" x14ac:dyDescent="0.25">
      <c r="A47" s="124" t="s">
        <v>181</v>
      </c>
      <c r="B47" s="124"/>
      <c r="C47" s="164" t="s">
        <v>182</v>
      </c>
      <c r="D47" s="164"/>
      <c r="E47" s="164"/>
      <c r="F47" s="47" t="s">
        <v>41</v>
      </c>
      <c r="G47" s="165">
        <v>44851</v>
      </c>
      <c r="H47" s="165"/>
    </row>
    <row r="48" spans="1:8" ht="64.5" customHeight="1" x14ac:dyDescent="0.25">
      <c r="A48" s="137" t="s">
        <v>42</v>
      </c>
      <c r="B48" s="137"/>
      <c r="C48" s="164" t="str">
        <f>C47</f>
        <v>SROT/Growth Center/2401/BP/ITP Usarghar-Gharivali-Sagaon 01/Site-A/Amended Layout &amp; CC Phase 8/Vol-35/1332/2022</v>
      </c>
      <c r="D48" s="164"/>
      <c r="E48" s="164"/>
      <c r="F48" s="47" t="s">
        <v>41</v>
      </c>
      <c r="G48" s="165">
        <f>G47</f>
        <v>44851</v>
      </c>
      <c r="H48" s="165"/>
    </row>
    <row r="49" spans="1:14" s="5" customFormat="1" ht="52.5" customHeight="1" x14ac:dyDescent="0.25">
      <c r="A49" s="124" t="s">
        <v>183</v>
      </c>
      <c r="B49" s="124"/>
      <c r="C49" s="164" t="s">
        <v>184</v>
      </c>
      <c r="D49" s="164"/>
      <c r="E49" s="164"/>
      <c r="F49" s="8" t="s">
        <v>41</v>
      </c>
      <c r="G49" s="165">
        <f>G47</f>
        <v>44851</v>
      </c>
      <c r="H49" s="165"/>
    </row>
    <row r="50" spans="1:14" s="5" customFormat="1" ht="34.5" customHeight="1" x14ac:dyDescent="0.25">
      <c r="A50" s="124"/>
      <c r="B50" s="124"/>
      <c r="C50" s="207" t="s">
        <v>260</v>
      </c>
      <c r="D50" s="208"/>
      <c r="E50" s="208"/>
      <c r="F50" s="208"/>
      <c r="G50" s="208"/>
      <c r="H50" s="209"/>
    </row>
    <row r="51" spans="1:14" x14ac:dyDescent="0.25">
      <c r="A51" s="107" t="s">
        <v>43</v>
      </c>
      <c r="B51" s="107"/>
      <c r="C51" s="199" t="s">
        <v>110</v>
      </c>
      <c r="D51" s="200"/>
      <c r="E51" s="200" t="s">
        <v>44</v>
      </c>
      <c r="F51" s="48" t="s">
        <v>41</v>
      </c>
      <c r="G51" s="138" t="s">
        <v>29</v>
      </c>
      <c r="H51" s="138"/>
    </row>
    <row r="52" spans="1:14" x14ac:dyDescent="0.25">
      <c r="A52" s="206" t="s">
        <v>46</v>
      </c>
      <c r="B52" s="206"/>
      <c r="C52" s="206"/>
      <c r="D52" s="206"/>
      <c r="E52" s="206"/>
      <c r="F52" s="206"/>
      <c r="G52" s="206"/>
      <c r="H52" s="206"/>
    </row>
    <row r="53" spans="1:14" x14ac:dyDescent="0.25">
      <c r="A53" s="136" t="s">
        <v>93</v>
      </c>
      <c r="B53" s="136"/>
      <c r="C53" s="136"/>
      <c r="D53" s="134">
        <f>19401.78+197410.34+17503.67</f>
        <v>234315.78999999998</v>
      </c>
      <c r="E53" s="134"/>
      <c r="F53" s="134"/>
      <c r="G53" s="134"/>
      <c r="H53" s="134"/>
    </row>
    <row r="54" spans="1:14" x14ac:dyDescent="0.25">
      <c r="A54" s="124" t="s">
        <v>47</v>
      </c>
      <c r="B54" s="137"/>
      <c r="C54" s="137"/>
      <c r="D54" s="137" t="s">
        <v>258</v>
      </c>
      <c r="E54" s="137"/>
      <c r="F54" s="137"/>
      <c r="G54" s="137"/>
      <c r="H54" s="137"/>
      <c r="I54" s="35"/>
    </row>
    <row r="55" spans="1:14" x14ac:dyDescent="0.25">
      <c r="A55" s="125" t="s">
        <v>48</v>
      </c>
      <c r="B55" s="126"/>
      <c r="C55" s="127"/>
      <c r="D55" s="124" t="s">
        <v>226</v>
      </c>
      <c r="E55" s="124"/>
      <c r="F55" s="124"/>
      <c r="G55" s="124"/>
      <c r="H55" s="124"/>
    </row>
    <row r="56" spans="1:14" ht="15.75" customHeight="1" x14ac:dyDescent="0.25">
      <c r="A56" s="125" t="s">
        <v>91</v>
      </c>
      <c r="B56" s="126"/>
      <c r="C56" s="127"/>
      <c r="D56" s="124" t="s">
        <v>186</v>
      </c>
      <c r="E56" s="124"/>
      <c r="F56" s="124"/>
      <c r="G56" s="124"/>
      <c r="H56" s="124"/>
    </row>
    <row r="57" spans="1:14" x14ac:dyDescent="0.25">
      <c r="A57" s="128"/>
      <c r="B57" s="129"/>
      <c r="C57" s="130"/>
      <c r="D57" s="124" t="s">
        <v>227</v>
      </c>
      <c r="E57" s="124"/>
      <c r="F57" s="124"/>
      <c r="G57" s="124"/>
      <c r="H57" s="124"/>
    </row>
    <row r="58" spans="1:14" x14ac:dyDescent="0.25">
      <c r="A58" s="131"/>
      <c r="B58" s="132"/>
      <c r="C58" s="133"/>
      <c r="D58" s="124" t="s">
        <v>228</v>
      </c>
      <c r="E58" s="124"/>
      <c r="F58" s="124"/>
      <c r="G58" s="124"/>
      <c r="H58" s="124"/>
    </row>
    <row r="59" spans="1:14" ht="15.75" customHeight="1" x14ac:dyDescent="0.25">
      <c r="A59" s="134" t="s">
        <v>45</v>
      </c>
      <c r="B59" s="134"/>
      <c r="C59" s="134"/>
      <c r="D59" s="124" t="s">
        <v>185</v>
      </c>
      <c r="E59" s="124"/>
      <c r="F59" s="124"/>
      <c r="G59" s="124"/>
      <c r="H59" s="124"/>
      <c r="J59" s="34"/>
      <c r="K59" s="35"/>
      <c r="N59" s="35"/>
    </row>
    <row r="60" spans="1:14" ht="15.75" customHeight="1" x14ac:dyDescent="0.25">
      <c r="A60" s="134" t="s">
        <v>89</v>
      </c>
      <c r="B60" s="134"/>
      <c r="C60" s="134"/>
      <c r="D60" s="169" t="str">
        <f>(IF(G51="NA","60 Years After Completion",IF(G51&lt;&gt;"NA",""&amp;60-ROUNDDOWN((E3-G51)/360,0)&amp;" Years"," ")))</f>
        <v>60 Years After Completion</v>
      </c>
      <c r="E60" s="169"/>
      <c r="F60" s="169"/>
      <c r="G60" s="169"/>
      <c r="H60" s="169"/>
      <c r="N60" s="35"/>
    </row>
    <row r="61" spans="1:14" ht="15.75" customHeight="1" x14ac:dyDescent="0.25">
      <c r="A61" s="134" t="s">
        <v>90</v>
      </c>
      <c r="B61" s="134"/>
      <c r="C61" s="134"/>
      <c r="D61" s="136" t="s">
        <v>23</v>
      </c>
      <c r="E61" s="136"/>
      <c r="F61" s="136"/>
      <c r="G61" s="136"/>
      <c r="H61" s="136"/>
      <c r="J61" s="13"/>
      <c r="K61" s="13"/>
    </row>
    <row r="62" spans="1:14" ht="31.5" customHeight="1" x14ac:dyDescent="0.25">
      <c r="A62" s="134" t="s">
        <v>77</v>
      </c>
      <c r="B62" s="134"/>
      <c r="C62" s="134"/>
      <c r="D62" s="124" t="s">
        <v>176</v>
      </c>
      <c r="E62" s="136"/>
      <c r="F62" s="136"/>
      <c r="G62" s="136"/>
      <c r="H62" s="136"/>
    </row>
    <row r="63" spans="1:14" x14ac:dyDescent="0.25">
      <c r="A63" s="136" t="s">
        <v>153</v>
      </c>
      <c r="B63" s="136"/>
      <c r="C63" s="136"/>
      <c r="D63" s="136" t="s">
        <v>29</v>
      </c>
      <c r="E63" s="136"/>
      <c r="F63" s="136"/>
      <c r="G63" s="136"/>
      <c r="H63" s="136"/>
      <c r="I63" s="45"/>
      <c r="J63" s="45"/>
      <c r="K63" s="45"/>
      <c r="L63" s="45"/>
      <c r="M63" s="45"/>
      <c r="N63" s="45"/>
    </row>
    <row r="64" spans="1:14" ht="15.75" customHeight="1" x14ac:dyDescent="0.25">
      <c r="A64" s="205" t="s">
        <v>88</v>
      </c>
      <c r="B64" s="205"/>
      <c r="C64" s="205"/>
      <c r="D64" s="163" t="str">
        <f ca="1">(IF(G84&gt;95%,"Nothing",IF(G84&gt;0%,"Cement, Aggregate, Steel, etc",IF(G84=0%,"Work not yet Started"))))</f>
        <v>Cement, Aggregate, Steel, etc</v>
      </c>
      <c r="E64" s="163"/>
      <c r="F64" s="163"/>
      <c r="G64" s="163"/>
      <c r="H64" s="163"/>
      <c r="J64" s="13"/>
    </row>
    <row r="65" spans="1:10" ht="33.75" customHeight="1" thickBot="1" x14ac:dyDescent="0.3">
      <c r="A65" s="162" t="s">
        <v>123</v>
      </c>
      <c r="B65" s="162"/>
      <c r="C65" s="162"/>
      <c r="D65" s="163" t="str">
        <f ca="1">(IF(D64="Nothing","Yes",IF(D64="Cement, Aggregate, Steel, etc","Under Construction",IF(D64="Work not yet Started","Work not yet Started"))))</f>
        <v>Under Construction</v>
      </c>
      <c r="E65" s="163"/>
      <c r="F65" s="163" t="str">
        <f ca="1">(IF(D64="Nothing","Yes",IF(D64="Cement, Aggregate, Steel, etc","Under Construction",IF(D64="Work not yet Started","Work not yet Started"))))</f>
        <v>Under Construction</v>
      </c>
      <c r="G65" s="163"/>
      <c r="H65" s="163"/>
    </row>
    <row r="66" spans="1:10" x14ac:dyDescent="0.25">
      <c r="A66" s="100" t="s">
        <v>145</v>
      </c>
      <c r="B66" s="101"/>
      <c r="C66" s="102" t="s">
        <v>273</v>
      </c>
      <c r="D66" s="103"/>
      <c r="E66" s="103"/>
      <c r="F66" s="103"/>
      <c r="G66" s="103"/>
      <c r="H66" s="104"/>
      <c r="I66" s="37" t="str">
        <f ca="1">(IF(E70&gt;99%,"All work completed. Please provide OC.",IF(E70&gt;89.8%,"Plinth, RCC, Brick, Plaster, Flooring, Painting work Completed. Finishing work is in process.",IF(E70&lt;94%,(IF(C70=0,"Work not yet Started.",IF(D70=25%,"Piling work in process",IF(D70=50%,"Excavation work in process",IF(D70=100%,"Excavation work Completed. ","0")))&amp;(IF(C71=0%,"",IF(C71=J72,"Footing work is process",IF(C71=J73,"Footing work Completed",IF(C71=J74,"1st Basement Completed",IF(C71=J75,"1st &amp; 2nd Basement Completed",IF(C71=J76,"1st to 3rd Basement Completed",IF(C71=J77,"1st to 4th Basement Completed",IF(C71=J78,"Plinth work is process",IF(C71=J79,"Plinth work completed","0")))))))))))&amp;(IF(C72=(D67+F67+H67),", RCC Slab Completed",IF(C72&gt;0,", RCC upto "&amp;C72&amp;" Slab Completed",""))&amp;(IF(C73=H67,", Brickwork Completed",IF(C73&gt;0,", Brickwork upto "&amp;C73&amp;" Floor Completed",""))&amp;(IF(C74=H67,", Internal Plaster Completed",IF(C74&gt;0,", Internal Plaster upto "&amp;C74&amp;" Floor Completed",""))&amp;(IF(C75=H67,", External Plaster Completed",IF(C75&gt;0,", External Plaster upto "&amp;C75&amp;" Floor Completed",""))&amp;(IF(C76=H67,", Flooring Completed",IF(C76&gt;0,", Flooring upto "&amp;C76&amp;" Floor Completed",""))&amp;(IF(C77=H67,", Painting Completed",IF(C77&gt;0,", Painting upto "&amp;C77&amp;" Floor Completed",""))&amp;(IF(C78&gt;0,", Finishing upto "&amp;C78&amp;" Floor Completed","")&amp;(IF(C72&gt;0.5,".",""))))))))))))))</f>
        <v>Excavation work Completed. Plinth work completed, RCC upto 8 Slab Completed, Brickwork upto 7 Floor Completed, Internal Plaster upto 5.25 Floor Completed, External Plaster upto 4.55 Floor Completed.</v>
      </c>
      <c r="J66" s="15"/>
    </row>
    <row r="67" spans="1:10" x14ac:dyDescent="0.25">
      <c r="A67" s="42" t="s">
        <v>147</v>
      </c>
      <c r="B67" s="63">
        <v>0</v>
      </c>
      <c r="C67" s="63" t="s">
        <v>74</v>
      </c>
      <c r="D67" s="63">
        <v>1</v>
      </c>
      <c r="E67" s="63" t="s">
        <v>73</v>
      </c>
      <c r="F67" s="63">
        <v>0</v>
      </c>
      <c r="G67" s="63" t="s">
        <v>82</v>
      </c>
      <c r="H67" s="43">
        <f ca="1">--TRIM(RIGHT(SUBSTITUTE(LEFT(C66,_xlfn.AGGREGATE(16,6,FIND({0,1,2,3,4,5,6,7,8,9},C66,ROW(INDIRECT("1:"&amp;LEN(C66)))),1))," ",REPT(" ",LEN(C66))),LEN(C66)))</f>
        <v>36</v>
      </c>
      <c r="I67" s="13"/>
      <c r="J67" s="16"/>
    </row>
    <row r="68" spans="1:10" ht="48" customHeight="1" x14ac:dyDescent="0.25">
      <c r="A68" s="105" t="s">
        <v>92</v>
      </c>
      <c r="B68" s="106"/>
      <c r="C68" s="107" t="str">
        <f ca="1">(IF($G$51="NA",I66,"All work Completed. OC Received."))</f>
        <v>Excavation work Completed. Plinth work completed, RCC upto 8 Slab Completed, Brickwork upto 7 Floor Completed, Internal Plaster upto 5.25 Floor Completed, External Plaster upto 4.55 Floor Completed.</v>
      </c>
      <c r="D68" s="107"/>
      <c r="E68" s="107"/>
      <c r="F68" s="107"/>
      <c r="G68" s="107"/>
      <c r="H68" s="108"/>
      <c r="I68" s="13" t="s">
        <v>109</v>
      </c>
      <c r="J68" s="16"/>
    </row>
    <row r="69" spans="1:10" ht="15.75" customHeight="1" x14ac:dyDescent="0.25">
      <c r="A69" s="109" t="s">
        <v>49</v>
      </c>
      <c r="B69" s="110"/>
      <c r="C69" s="62" t="s">
        <v>144</v>
      </c>
      <c r="D69" s="62" t="s">
        <v>85</v>
      </c>
      <c r="E69" s="110" t="s">
        <v>87</v>
      </c>
      <c r="F69" s="110"/>
      <c r="G69" s="110" t="s">
        <v>86</v>
      </c>
      <c r="H69" s="111"/>
      <c r="I69" s="33" t="s">
        <v>146</v>
      </c>
      <c r="J69" s="17">
        <f ca="1">H67*25%</f>
        <v>9</v>
      </c>
    </row>
    <row r="70" spans="1:10" x14ac:dyDescent="0.25">
      <c r="A70" s="109" t="s">
        <v>133</v>
      </c>
      <c r="B70" s="110"/>
      <c r="C70" s="53">
        <f ca="1">J71</f>
        <v>36</v>
      </c>
      <c r="D70" s="64">
        <f ca="1">((100/H67)*C70)/100</f>
        <v>1</v>
      </c>
      <c r="E70" s="112">
        <f ca="1">(((C71/H67*10)+(40/(D67+F67+H67)*C72)+(7.5/(H67)*C73)+(7.5/(H67)*C74)+(10/H67*C75)+(10/H67*C76)+(5/H67*C77)+(5/H67*C78)+(5/H67*C79))/100)</f>
        <v>0.22464620870870872</v>
      </c>
      <c r="F70" s="112"/>
      <c r="G70" s="112">
        <f ca="1">((((C70/H67)*20)+((C71/H67)*25)+(30/(H67+F67+D67)*C72)+(5/H67*C73)+(5/H67*C74)+(5/H67*C75)+(5/H67*C76)+(0/H67*C77)+(0/H67*C78)+(5/H67*C79))/100)</f>
        <v>0.53819819819819814</v>
      </c>
      <c r="H70" s="114"/>
      <c r="I70" s="33" t="s">
        <v>104</v>
      </c>
      <c r="J70" s="36">
        <f ca="1">H67*50%</f>
        <v>18</v>
      </c>
    </row>
    <row r="71" spans="1:10" x14ac:dyDescent="0.25">
      <c r="A71" s="109" t="s">
        <v>50</v>
      </c>
      <c r="B71" s="110"/>
      <c r="C71" s="54">
        <f ca="1">J79</f>
        <v>36</v>
      </c>
      <c r="D71" s="64">
        <f ca="1">((100/H67)*C71)/100</f>
        <v>1</v>
      </c>
      <c r="E71" s="112"/>
      <c r="F71" s="112"/>
      <c r="G71" s="112"/>
      <c r="H71" s="114"/>
      <c r="I71" s="33" t="s">
        <v>105</v>
      </c>
      <c r="J71" s="36">
        <f ca="1">H67</f>
        <v>36</v>
      </c>
    </row>
    <row r="72" spans="1:10" ht="15.75" customHeight="1" x14ac:dyDescent="0.25">
      <c r="A72" s="109" t="s">
        <v>134</v>
      </c>
      <c r="B72" s="110"/>
      <c r="C72" s="54">
        <v>8</v>
      </c>
      <c r="D72" s="64">
        <f ca="1">((100/(D67+F67+H67))*C72)/100</f>
        <v>0.2162162162162162</v>
      </c>
      <c r="E72" s="112"/>
      <c r="F72" s="112"/>
      <c r="G72" s="112"/>
      <c r="H72" s="114"/>
      <c r="I72" s="33" t="s">
        <v>106</v>
      </c>
      <c r="J72" s="39">
        <f ca="1">(IF(B67&gt;1,(H67/(B67+2)),H67/4))</f>
        <v>9</v>
      </c>
    </row>
    <row r="73" spans="1:10" ht="15.75" customHeight="1" x14ac:dyDescent="0.25">
      <c r="A73" s="109" t="s">
        <v>141</v>
      </c>
      <c r="B73" s="110" t="s">
        <v>135</v>
      </c>
      <c r="C73" s="54">
        <f>C72-D67</f>
        <v>7</v>
      </c>
      <c r="D73" s="64">
        <f ca="1">((100/H67)*C73)/100</f>
        <v>0.19444444444444442</v>
      </c>
      <c r="E73" s="112"/>
      <c r="F73" s="112"/>
      <c r="G73" s="112"/>
      <c r="H73" s="114"/>
      <c r="I73" s="33" t="s">
        <v>107</v>
      </c>
      <c r="J73" s="39">
        <f ca="1">(IF(B67&gt;1,(H67/(B67+2)+J72),H67/4+J72))</f>
        <v>18</v>
      </c>
    </row>
    <row r="74" spans="1:10" ht="15.75" customHeight="1" x14ac:dyDescent="0.25">
      <c r="A74" s="109" t="s">
        <v>142</v>
      </c>
      <c r="B74" s="110" t="s">
        <v>135</v>
      </c>
      <c r="C74" s="54">
        <f>C73*0.75</f>
        <v>5.25</v>
      </c>
      <c r="D74" s="64">
        <f ca="1">((100/H67)*C74)/100</f>
        <v>0.14583333333333331</v>
      </c>
      <c r="E74" s="112"/>
      <c r="F74" s="112"/>
      <c r="G74" s="112"/>
      <c r="H74" s="114"/>
      <c r="I74" s="33" t="s">
        <v>151</v>
      </c>
      <c r="J74" s="39">
        <f>(IF(B67&gt;1,(H67/(B67+2)+J73),0))</f>
        <v>0</v>
      </c>
    </row>
    <row r="75" spans="1:10" ht="15" customHeight="1" x14ac:dyDescent="0.25">
      <c r="A75" s="109" t="s">
        <v>140</v>
      </c>
      <c r="B75" s="110" t="s">
        <v>137</v>
      </c>
      <c r="C75" s="54">
        <f>C73*0.65</f>
        <v>4.55</v>
      </c>
      <c r="D75" s="64">
        <f ca="1">((100/(H67))*C75)/100</f>
        <v>0.12638888888888888</v>
      </c>
      <c r="E75" s="112"/>
      <c r="F75" s="112"/>
      <c r="G75" s="112"/>
      <c r="H75" s="114"/>
      <c r="I75" s="33" t="s">
        <v>148</v>
      </c>
      <c r="J75" s="39">
        <f>(IF(B67&gt;2,(H67/(B67+2)+J74),0))</f>
        <v>0</v>
      </c>
    </row>
    <row r="76" spans="1:10" ht="15.75" customHeight="1" x14ac:dyDescent="0.25">
      <c r="A76" s="109" t="s">
        <v>136</v>
      </c>
      <c r="B76" s="110" t="s">
        <v>136</v>
      </c>
      <c r="C76" s="53">
        <v>0</v>
      </c>
      <c r="D76" s="64">
        <f ca="1">((100/H67)*C76)/100</f>
        <v>0</v>
      </c>
      <c r="E76" s="112"/>
      <c r="F76" s="112"/>
      <c r="G76" s="112"/>
      <c r="H76" s="114"/>
      <c r="I76" s="33" t="s">
        <v>149</v>
      </c>
      <c r="J76" s="40">
        <f>(IF(B67&gt;3,(H67/(B67+2)+J75),0))</f>
        <v>0</v>
      </c>
    </row>
    <row r="77" spans="1:10" ht="15.75" customHeight="1" x14ac:dyDescent="0.25">
      <c r="A77" s="109" t="s">
        <v>143</v>
      </c>
      <c r="B77" s="110"/>
      <c r="C77" s="53">
        <v>0</v>
      </c>
      <c r="D77" s="64">
        <f ca="1">((100/H67)*C77)/100</f>
        <v>0</v>
      </c>
      <c r="E77" s="112"/>
      <c r="F77" s="112"/>
      <c r="G77" s="112"/>
      <c r="H77" s="114"/>
      <c r="I77" s="33" t="s">
        <v>150</v>
      </c>
      <c r="J77" s="39">
        <f>(IF(B67&gt;4,(H67/(B67+2)+J76),0))</f>
        <v>0</v>
      </c>
    </row>
    <row r="78" spans="1:10" ht="15.75" customHeight="1" x14ac:dyDescent="0.25">
      <c r="A78" s="109" t="s">
        <v>138</v>
      </c>
      <c r="B78" s="110" t="s">
        <v>138</v>
      </c>
      <c r="C78" s="53">
        <v>0</v>
      </c>
      <c r="D78" s="64">
        <f ca="1">((100/(H67))*C78)/100</f>
        <v>0</v>
      </c>
      <c r="E78" s="112"/>
      <c r="F78" s="112"/>
      <c r="G78" s="112"/>
      <c r="H78" s="114"/>
      <c r="I78" s="33" t="s">
        <v>152</v>
      </c>
      <c r="J78" s="39">
        <f ca="1">(IF(B67=1,(H67/(B67+3)+J73),IF(B67=0,(H67/4+J73),IF(B67&gt;1,0))))</f>
        <v>27</v>
      </c>
    </row>
    <row r="79" spans="1:10" ht="16.5" thickBot="1" x14ac:dyDescent="0.3">
      <c r="A79" s="116" t="s">
        <v>139</v>
      </c>
      <c r="B79" s="117"/>
      <c r="C79" s="55">
        <v>0</v>
      </c>
      <c r="D79" s="65">
        <f ca="1">((100/(H67))*C79)/100</f>
        <v>0</v>
      </c>
      <c r="E79" s="113"/>
      <c r="F79" s="113"/>
      <c r="G79" s="113"/>
      <c r="H79" s="115"/>
      <c r="I79" s="38" t="s">
        <v>108</v>
      </c>
      <c r="J79" s="41">
        <f ca="1">(IF(B67&gt;1.5,(H67/(B67+2)+J73+MAX(0,J74-J73)+MAX(0,J75-J74)+MAX(0,J76-J75)+MAX(0,J77-J76)+MAX(0,J78-J77)),IF(B67=1,(H67/(B67+3)+J78),IF(B67=0,H67/4+J78))))</f>
        <v>36</v>
      </c>
    </row>
    <row r="80" spans="1:10" x14ac:dyDescent="0.25">
      <c r="A80" s="100" t="s">
        <v>145</v>
      </c>
      <c r="B80" s="101"/>
      <c r="C80" s="102" t="str">
        <f>D56</f>
        <v>Building No. 44 = Gr + 1st to 36th Floor</v>
      </c>
      <c r="D80" s="103"/>
      <c r="E80" s="103"/>
      <c r="F80" s="103"/>
      <c r="G80" s="103"/>
      <c r="H80" s="104"/>
      <c r="I80" s="37" t="str">
        <f ca="1">(IF(E84&gt;99%,"All work completed. Please provide OC.",IF(E84&gt;89.8%,"Plinth, RCC, Brick, Plaster, Flooring, Painting work Completed. Finishing work is in process.",IF(E84&lt;94%,(IF(C84=0,"Work not yet Started.",IF(D84=25%,"Piling work in process",IF(D84=50%,"Excavation work in process",IF(D84=100%,"Excavation work Completed. ","0")))&amp;(IF(C85=0%,"",IF(C85=J86,"Footing work is process",IF(C85=J87,"Footing work Completed",IF(C85=J88,"1st Basement Completed",IF(C85=J89,"1st &amp; 2nd Basement Completed",IF(C85=J90,"1st to 3rd Basement Completed",IF(C85=J91,"1st to 4th Basement Completed",IF(C85=J92,"Plinth work is process",IF(C85=J93,"Plinth work completed","0")))))))))))&amp;(IF(C86=(D81+F81+H81),", RCC Slab Completed",IF(C86&gt;0,", RCC upto "&amp;C86&amp;" Slab Completed",""))&amp;(IF(C87=H81,", Brickwork Completed",IF(C87&gt;0,", Brickwork upto "&amp;C87&amp;" Floor Completed",""))&amp;(IF(C88=H81,", Internal Plaster Completed",IF(C88&gt;0,", Internal Plaster upto "&amp;C88&amp;" Floor Completed",""))&amp;(IF(C89=H81,", External Plaster Completed",IF(C89&gt;0,", External Plaster upto "&amp;C89&amp;" Floor Completed",""))&amp;(IF(C90=H81,", Flooring Completed",IF(C90&gt;0,", Flooring upto "&amp;C90&amp;" Floor Completed",""))&amp;(IF(C91=H81,", Painting Completed",IF(C91&gt;0,", Painting upto "&amp;C91&amp;" Floor Completed",""))&amp;(IF(C92&gt;0,", Finishing upto "&amp;C92&amp;" Floor Completed","")&amp;(IF(C86&gt;0.5,".",""))))))))))))))</f>
        <v>Excavation work Completed. Plinth work completed, RCC upto 7 Slab Completed, Brickwork upto 6 Floor Completed, Internal Plaster upto 4.5 Floor Completed, External Plaster upto 3.9 Floor Completed.</v>
      </c>
      <c r="J80" s="15"/>
    </row>
    <row r="81" spans="1:10" x14ac:dyDescent="0.25">
      <c r="A81" s="42" t="s">
        <v>147</v>
      </c>
      <c r="B81" s="44">
        <v>0</v>
      </c>
      <c r="C81" s="44" t="s">
        <v>74</v>
      </c>
      <c r="D81" s="44">
        <v>1</v>
      </c>
      <c r="E81" s="44" t="s">
        <v>73</v>
      </c>
      <c r="F81" s="44">
        <v>0</v>
      </c>
      <c r="G81" s="44" t="s">
        <v>82</v>
      </c>
      <c r="H81" s="43">
        <f ca="1">--TRIM(RIGHT(SUBSTITUTE(LEFT(C80,_xlfn.AGGREGATE(16,6,FIND({0,1,2,3,4,5,6,7,8,9},C80,ROW(INDIRECT("1:"&amp;LEN(C80)))),1))," ",REPT(" ",LEN(C80))),LEN(C80)))</f>
        <v>36</v>
      </c>
      <c r="I81" s="13"/>
      <c r="J81" s="16"/>
    </row>
    <row r="82" spans="1:10" ht="48.75" customHeight="1" x14ac:dyDescent="0.25">
      <c r="A82" s="105" t="s">
        <v>92</v>
      </c>
      <c r="B82" s="106"/>
      <c r="C82" s="107" t="str">
        <f ca="1">(IF($G$51="NA",I80,"All work Completed. OC Received."))</f>
        <v>Excavation work Completed. Plinth work completed, RCC upto 7 Slab Completed, Brickwork upto 6 Floor Completed, Internal Plaster upto 4.5 Floor Completed, External Plaster upto 3.9 Floor Completed.</v>
      </c>
      <c r="D82" s="107"/>
      <c r="E82" s="107"/>
      <c r="F82" s="107"/>
      <c r="G82" s="107"/>
      <c r="H82" s="108"/>
      <c r="I82" s="13" t="s">
        <v>109</v>
      </c>
      <c r="J82" s="16"/>
    </row>
    <row r="83" spans="1:10" ht="15.75" customHeight="1" x14ac:dyDescent="0.25">
      <c r="A83" s="109" t="s">
        <v>49</v>
      </c>
      <c r="B83" s="110"/>
      <c r="C83" s="49" t="s">
        <v>144</v>
      </c>
      <c r="D83" s="49" t="s">
        <v>85</v>
      </c>
      <c r="E83" s="110" t="s">
        <v>87</v>
      </c>
      <c r="F83" s="110"/>
      <c r="G83" s="110" t="s">
        <v>86</v>
      </c>
      <c r="H83" s="111"/>
      <c r="I83" s="33" t="s">
        <v>146</v>
      </c>
      <c r="J83" s="17">
        <f ca="1">H81*25%</f>
        <v>9</v>
      </c>
    </row>
    <row r="84" spans="1:10" x14ac:dyDescent="0.25">
      <c r="A84" s="109" t="s">
        <v>133</v>
      </c>
      <c r="B84" s="110"/>
      <c r="C84" s="53">
        <f ca="1">J85</f>
        <v>36</v>
      </c>
      <c r="D84" s="51">
        <f ca="1">((100/H81)*C84)/100</f>
        <v>1</v>
      </c>
      <c r="E84" s="112">
        <f ca="1">(((C85/H81*10)+(40/(D81+F81+H81)*C86)+(7.5/(H81)*C87)+(7.5/(H81)*C88)+(10/H81*C89)+(10/H81*C90)+(5/H81*C91)+(5/H81*C92)+(5/H81*C93))/100)</f>
        <v>0.208384009009009</v>
      </c>
      <c r="F84" s="112"/>
      <c r="G84" s="112">
        <f ca="1">((((C84/H81)*20)+((C85/H81)*25)+(30/(H81+F81+D81)*C86)+(5/H81*C87)+(5/H81*C88)+(5/H81*C89)+(5/H81*C90)+(0/H81*C91)+(0/H81*C92)+(5/H81*C93))/100)</f>
        <v>0.52675675675675682</v>
      </c>
      <c r="H84" s="114"/>
      <c r="I84" s="33" t="s">
        <v>104</v>
      </c>
      <c r="J84" s="36">
        <f ca="1">H81*50%</f>
        <v>18</v>
      </c>
    </row>
    <row r="85" spans="1:10" x14ac:dyDescent="0.25">
      <c r="A85" s="109" t="s">
        <v>50</v>
      </c>
      <c r="B85" s="110"/>
      <c r="C85" s="54">
        <f ca="1">J93</f>
        <v>36</v>
      </c>
      <c r="D85" s="51">
        <f ca="1">((100/H81)*C85)/100</f>
        <v>1</v>
      </c>
      <c r="E85" s="112"/>
      <c r="F85" s="112"/>
      <c r="G85" s="112"/>
      <c r="H85" s="114"/>
      <c r="I85" s="33" t="s">
        <v>105</v>
      </c>
      <c r="J85" s="36">
        <f ca="1">H81</f>
        <v>36</v>
      </c>
    </row>
    <row r="86" spans="1:10" ht="15.75" customHeight="1" x14ac:dyDescent="0.25">
      <c r="A86" s="109" t="s">
        <v>134</v>
      </c>
      <c r="B86" s="110"/>
      <c r="C86" s="54">
        <v>7</v>
      </c>
      <c r="D86" s="51">
        <f ca="1">((100/(D81+F81+H81))*C86)/100</f>
        <v>0.1891891891891892</v>
      </c>
      <c r="E86" s="112"/>
      <c r="F86" s="112"/>
      <c r="G86" s="112"/>
      <c r="H86" s="114"/>
      <c r="I86" s="33" t="s">
        <v>106</v>
      </c>
      <c r="J86" s="39">
        <f ca="1">(IF(B81&gt;1,(H81/(B81+2)),H81/4))</f>
        <v>9</v>
      </c>
    </row>
    <row r="87" spans="1:10" ht="15.75" customHeight="1" x14ac:dyDescent="0.25">
      <c r="A87" s="109" t="s">
        <v>141</v>
      </c>
      <c r="B87" s="110" t="s">
        <v>135</v>
      </c>
      <c r="C87" s="54">
        <f>C86-D81</f>
        <v>6</v>
      </c>
      <c r="D87" s="51">
        <f ca="1">((100/H81)*C87)/100</f>
        <v>0.16666666666666663</v>
      </c>
      <c r="E87" s="112"/>
      <c r="F87" s="112"/>
      <c r="G87" s="112"/>
      <c r="H87" s="114"/>
      <c r="I87" s="33" t="s">
        <v>107</v>
      </c>
      <c r="J87" s="39">
        <f ca="1">(IF(B81&gt;1,(H81/(B81+2)+J86),H81/4+J86))</f>
        <v>18</v>
      </c>
    </row>
    <row r="88" spans="1:10" ht="15.75" customHeight="1" x14ac:dyDescent="0.25">
      <c r="A88" s="109" t="s">
        <v>142</v>
      </c>
      <c r="B88" s="110" t="s">
        <v>135</v>
      </c>
      <c r="C88" s="54">
        <f>C87*0.75</f>
        <v>4.5</v>
      </c>
      <c r="D88" s="51">
        <f ca="1">((100/H81)*C88)/100</f>
        <v>0.125</v>
      </c>
      <c r="E88" s="112"/>
      <c r="F88" s="112"/>
      <c r="G88" s="112"/>
      <c r="H88" s="114"/>
      <c r="I88" s="33" t="s">
        <v>151</v>
      </c>
      <c r="J88" s="39">
        <f>(IF(B81&gt;1,(H81/(B81+2)+J87),0))</f>
        <v>0</v>
      </c>
    </row>
    <row r="89" spans="1:10" ht="15" customHeight="1" x14ac:dyDescent="0.25">
      <c r="A89" s="109" t="s">
        <v>140</v>
      </c>
      <c r="B89" s="110" t="s">
        <v>137</v>
      </c>
      <c r="C89" s="54">
        <f>C87*0.65</f>
        <v>3.9000000000000004</v>
      </c>
      <c r="D89" s="51">
        <f ca="1">((100/(H81))*C89)/100</f>
        <v>0.10833333333333334</v>
      </c>
      <c r="E89" s="112"/>
      <c r="F89" s="112"/>
      <c r="G89" s="112"/>
      <c r="H89" s="114"/>
      <c r="I89" s="33" t="s">
        <v>148</v>
      </c>
      <c r="J89" s="39">
        <f>(IF(B81&gt;2,(H81/(B81+2)+J88),0))</f>
        <v>0</v>
      </c>
    </row>
    <row r="90" spans="1:10" ht="15.75" customHeight="1" x14ac:dyDescent="0.25">
      <c r="A90" s="109" t="s">
        <v>136</v>
      </c>
      <c r="B90" s="110" t="s">
        <v>136</v>
      </c>
      <c r="C90" s="53">
        <v>0</v>
      </c>
      <c r="D90" s="51">
        <f ca="1">((100/H81)*C90)/100</f>
        <v>0</v>
      </c>
      <c r="E90" s="112"/>
      <c r="F90" s="112"/>
      <c r="G90" s="112"/>
      <c r="H90" s="114"/>
      <c r="I90" s="33" t="s">
        <v>149</v>
      </c>
      <c r="J90" s="40">
        <f>(IF(B81&gt;3,(H81/(B81+2)+J89),0))</f>
        <v>0</v>
      </c>
    </row>
    <row r="91" spans="1:10" ht="15.75" customHeight="1" x14ac:dyDescent="0.25">
      <c r="A91" s="109" t="s">
        <v>143</v>
      </c>
      <c r="B91" s="110"/>
      <c r="C91" s="53">
        <v>0</v>
      </c>
      <c r="D91" s="51">
        <f ca="1">((100/H81)*C91)/100</f>
        <v>0</v>
      </c>
      <c r="E91" s="112"/>
      <c r="F91" s="112"/>
      <c r="G91" s="112"/>
      <c r="H91" s="114"/>
      <c r="I91" s="33" t="s">
        <v>150</v>
      </c>
      <c r="J91" s="39">
        <f>(IF(B81&gt;4,(H81/(B81+2)+J90),0))</f>
        <v>0</v>
      </c>
    </row>
    <row r="92" spans="1:10" ht="15.75" customHeight="1" x14ac:dyDescent="0.25">
      <c r="A92" s="109" t="s">
        <v>138</v>
      </c>
      <c r="B92" s="110" t="s">
        <v>138</v>
      </c>
      <c r="C92" s="53">
        <v>0</v>
      </c>
      <c r="D92" s="51">
        <f ca="1">((100/(H81))*C92)/100</f>
        <v>0</v>
      </c>
      <c r="E92" s="112"/>
      <c r="F92" s="112"/>
      <c r="G92" s="112"/>
      <c r="H92" s="114"/>
      <c r="I92" s="33" t="s">
        <v>152</v>
      </c>
      <c r="J92" s="39">
        <f ca="1">(IF(B81=1,(H81/(B81+3)+J87),IF(B81=0,(H81/4+J87),IF(B81&gt;1,0))))</f>
        <v>27</v>
      </c>
    </row>
    <row r="93" spans="1:10" ht="16.5" thickBot="1" x14ac:dyDescent="0.3">
      <c r="A93" s="116" t="s">
        <v>139</v>
      </c>
      <c r="B93" s="117"/>
      <c r="C93" s="55">
        <v>0</v>
      </c>
      <c r="D93" s="52">
        <f ca="1">((100/(H81))*C93)/100</f>
        <v>0</v>
      </c>
      <c r="E93" s="113"/>
      <c r="F93" s="113"/>
      <c r="G93" s="113"/>
      <c r="H93" s="115"/>
      <c r="I93" s="38" t="s">
        <v>108</v>
      </c>
      <c r="J93" s="41">
        <f ca="1">(IF(B81&gt;1.5,(H81/(B81+2)+J87+MAX(0,J88-J87)+MAX(0,J89-J88)+MAX(0,J90-J89)+MAX(0,J91-J90)+MAX(0,J92-J91)),IF(B81=1,(H81/(B81+3)+J92),IF(B81=0,H81/4+J92))))</f>
        <v>36</v>
      </c>
    </row>
    <row r="94" spans="1:10" x14ac:dyDescent="0.25">
      <c r="A94" s="100" t="s">
        <v>145</v>
      </c>
      <c r="B94" s="101"/>
      <c r="C94" s="102" t="str">
        <f>D58</f>
        <v>Building No. 45 = Gr + 1st to 36th Floor</v>
      </c>
      <c r="D94" s="103"/>
      <c r="E94" s="103"/>
      <c r="F94" s="103"/>
      <c r="G94" s="103"/>
      <c r="H94" s="104"/>
      <c r="I94" s="37" t="str">
        <f ca="1">(IF(E98&gt;99%,"All work completed. Please provide OC.",IF(E98&gt;89.8%,"Plinth, RCC, Brick, Plaster, Flooring, Painting work Completed. Finishing work is in process.",IF(E98&lt;94%,(IF(C98=0,"Work not yet Started.",IF(D98=25%,"Piling work in process",IF(D98=50%,"Excavation work in process",IF(D98=100%,"Excavation work Completed. ","0")))&amp;(IF(C99=0%,"",IF(C99=J100,"Footing work is process",IF(C99=J101,"Footing work Completed",IF(C99=J102,"1st Basement Completed",IF(C99=J103,"1st &amp; 2nd Basement Completed",IF(C99=J104,"1st to 3rd Basement Completed",IF(C99=J105,"1st to 4th Basement Completed",IF(C99=J106,"Plinth work is process",IF(C99=J107,"Plinth work completed","0")))))))))))&amp;(IF(C100=(D95+F95+H95),", RCC Slab Completed",IF(C100&gt;0,", RCC upto "&amp;C100&amp;" Slab Completed",""))&amp;(IF(C101=H95,", Brickwork Completed",IF(C101&gt;0,", Brickwork upto "&amp;C101&amp;" Floor Completed",""))&amp;(IF(C102=H95,", Internal Plaster Completed",IF(C102&gt;0,", Internal Plaster upto "&amp;C102&amp;" Floor Completed",""))&amp;(IF(C103=H95,", External Plaster Completed",IF(C103&gt;0,", External Plaster upto "&amp;C103&amp;" Floor Completed",""))&amp;(IF(C104=H95,", Flooring Completed",IF(C104&gt;0,", Flooring upto "&amp;C104&amp;" Floor Completed",""))&amp;(IF(C105=H95,", Painting Completed",IF(C105&gt;0,", Painting upto "&amp;C105&amp;" Floor Completed",""))&amp;(IF(C106&gt;0,", Finishing upto "&amp;C106&amp;" Floor Completed","")&amp;(IF(C100&gt;0.5,".",""))))))))))))))</f>
        <v>Excavation work Completed. Plinth work completed, RCC upto 4 Slab Completed.</v>
      </c>
      <c r="J94" s="15"/>
    </row>
    <row r="95" spans="1:10" x14ac:dyDescent="0.25">
      <c r="A95" s="42" t="s">
        <v>147</v>
      </c>
      <c r="B95" s="63">
        <v>0</v>
      </c>
      <c r="C95" s="63" t="s">
        <v>74</v>
      </c>
      <c r="D95" s="63">
        <v>1</v>
      </c>
      <c r="E95" s="63" t="s">
        <v>73</v>
      </c>
      <c r="F95" s="63">
        <v>0</v>
      </c>
      <c r="G95" s="63" t="s">
        <v>82</v>
      </c>
      <c r="H95" s="43">
        <f ca="1">--TRIM(RIGHT(SUBSTITUTE(LEFT(C94,_xlfn.AGGREGATE(16,6,FIND({0,1,2,3,4,5,6,7,8,9},C94,ROW(INDIRECT("1:"&amp;LEN(C94)))),1))," ",REPT(" ",LEN(C94))),LEN(C94)))</f>
        <v>36</v>
      </c>
      <c r="I95" s="13"/>
      <c r="J95" s="16"/>
    </row>
    <row r="96" spans="1:10" ht="32.25" customHeight="1" x14ac:dyDescent="0.25">
      <c r="A96" s="105" t="s">
        <v>92</v>
      </c>
      <c r="B96" s="106"/>
      <c r="C96" s="107" t="str">
        <f ca="1">(IF($G$51="NA",I94,"All work Completed. OC Received."))</f>
        <v>Excavation work Completed. Plinth work completed, RCC upto 4 Slab Completed.</v>
      </c>
      <c r="D96" s="107"/>
      <c r="E96" s="107"/>
      <c r="F96" s="107"/>
      <c r="G96" s="107"/>
      <c r="H96" s="108"/>
      <c r="I96" s="13" t="s">
        <v>109</v>
      </c>
      <c r="J96" s="16"/>
    </row>
    <row r="97" spans="1:13" ht="15.75" customHeight="1" x14ac:dyDescent="0.25">
      <c r="A97" s="109" t="s">
        <v>49</v>
      </c>
      <c r="B97" s="110"/>
      <c r="C97" s="62" t="s">
        <v>144</v>
      </c>
      <c r="D97" s="62" t="s">
        <v>85</v>
      </c>
      <c r="E97" s="110" t="s">
        <v>87</v>
      </c>
      <c r="F97" s="110"/>
      <c r="G97" s="110" t="s">
        <v>86</v>
      </c>
      <c r="H97" s="111"/>
      <c r="I97" s="33" t="s">
        <v>146</v>
      </c>
      <c r="J97" s="17">
        <f ca="1">H95*25%</f>
        <v>9</v>
      </c>
    </row>
    <row r="98" spans="1:13" x14ac:dyDescent="0.25">
      <c r="A98" s="109" t="s">
        <v>133</v>
      </c>
      <c r="B98" s="110"/>
      <c r="C98" s="53">
        <f ca="1">J99</f>
        <v>36</v>
      </c>
      <c r="D98" s="64">
        <f ca="1">((100/H95)*C98)/100</f>
        <v>1</v>
      </c>
      <c r="E98" s="112">
        <f ca="1">(((C99/H95*10)+(40/(D95+F95+H95)*C100)+(7.5/(H95)*C101)+(7.5/(H95)*C102)+(10/H95*C103)+(10/H95*C104)+(5/H95*C105)+(5/H95*C106)+(5/H95*C107))/100)</f>
        <v>0.14324324324324325</v>
      </c>
      <c r="F98" s="112"/>
      <c r="G98" s="112">
        <f ca="1">((((C98/H95)*20)+((C99/H95)*25)+(30/(H95+F95+D95)*C100)+(5/H95*C101)+(5/H95*C102)+(5/H95*C103)+(5/H95*C104)+(0/H95*C105)+(0/H95*C106)+(5/H95*C107))/100)</f>
        <v>0.48243243243243245</v>
      </c>
      <c r="H98" s="114"/>
      <c r="I98" s="33" t="s">
        <v>104</v>
      </c>
      <c r="J98" s="36">
        <f ca="1">H95*50%</f>
        <v>18</v>
      </c>
    </row>
    <row r="99" spans="1:13" x14ac:dyDescent="0.25">
      <c r="A99" s="109" t="s">
        <v>50</v>
      </c>
      <c r="B99" s="110"/>
      <c r="C99" s="54">
        <f ca="1">J107</f>
        <v>36</v>
      </c>
      <c r="D99" s="64">
        <f ca="1">((100/H95)*C99)/100</f>
        <v>1</v>
      </c>
      <c r="E99" s="112"/>
      <c r="F99" s="112"/>
      <c r="G99" s="112"/>
      <c r="H99" s="114"/>
      <c r="I99" s="33" t="s">
        <v>105</v>
      </c>
      <c r="J99" s="36">
        <f ca="1">H95</f>
        <v>36</v>
      </c>
    </row>
    <row r="100" spans="1:13" ht="15.75" customHeight="1" x14ac:dyDescent="0.25">
      <c r="A100" s="109" t="s">
        <v>134</v>
      </c>
      <c r="B100" s="110"/>
      <c r="C100" s="54">
        <v>4</v>
      </c>
      <c r="D100" s="64">
        <f ca="1">((100/(D95+F95+H95))*C100)/100</f>
        <v>0.1081081081081081</v>
      </c>
      <c r="E100" s="112"/>
      <c r="F100" s="112"/>
      <c r="G100" s="112"/>
      <c r="H100" s="114"/>
      <c r="I100" s="33" t="s">
        <v>106</v>
      </c>
      <c r="J100" s="39">
        <f ca="1">(IF(B95&gt;1,(H95/(B95+2)),H95/4))</f>
        <v>9</v>
      </c>
    </row>
    <row r="101" spans="1:13" ht="15.75" customHeight="1" x14ac:dyDescent="0.25">
      <c r="A101" s="109" t="s">
        <v>141</v>
      </c>
      <c r="B101" s="110" t="s">
        <v>135</v>
      </c>
      <c r="C101" s="53">
        <v>0</v>
      </c>
      <c r="D101" s="64">
        <f ca="1">((100/H95)*C101)/100</f>
        <v>0</v>
      </c>
      <c r="E101" s="112"/>
      <c r="F101" s="112"/>
      <c r="G101" s="112"/>
      <c r="H101" s="114"/>
      <c r="I101" s="33" t="s">
        <v>107</v>
      </c>
      <c r="J101" s="39">
        <f ca="1">(IF(B95&gt;1,(H95/(B95+2)+J100),H95/4+J100))</f>
        <v>18</v>
      </c>
    </row>
    <row r="102" spans="1:13" ht="15.75" customHeight="1" x14ac:dyDescent="0.25">
      <c r="A102" s="109" t="s">
        <v>142</v>
      </c>
      <c r="B102" s="110" t="s">
        <v>135</v>
      </c>
      <c r="C102" s="53">
        <v>0</v>
      </c>
      <c r="D102" s="64">
        <f ca="1">((100/H95)*C102)/100</f>
        <v>0</v>
      </c>
      <c r="E102" s="112"/>
      <c r="F102" s="112"/>
      <c r="G102" s="112"/>
      <c r="H102" s="114"/>
      <c r="I102" s="33" t="s">
        <v>151</v>
      </c>
      <c r="J102" s="39">
        <f>(IF(B95&gt;1,(H95/(B95+2)+J101),0))</f>
        <v>0</v>
      </c>
    </row>
    <row r="103" spans="1:13" ht="15" customHeight="1" x14ac:dyDescent="0.25">
      <c r="A103" s="109" t="s">
        <v>140</v>
      </c>
      <c r="B103" s="110" t="s">
        <v>137</v>
      </c>
      <c r="C103" s="53">
        <v>0</v>
      </c>
      <c r="D103" s="64">
        <f ca="1">((100/(H95))*C103)/100</f>
        <v>0</v>
      </c>
      <c r="E103" s="112"/>
      <c r="F103" s="112"/>
      <c r="G103" s="112"/>
      <c r="H103" s="114"/>
      <c r="I103" s="33" t="s">
        <v>148</v>
      </c>
      <c r="J103" s="39">
        <f>(IF(B95&gt;2,(H95/(B95+2)+J102),0))</f>
        <v>0</v>
      </c>
    </row>
    <row r="104" spans="1:13" ht="15.75" customHeight="1" x14ac:dyDescent="0.25">
      <c r="A104" s="109" t="s">
        <v>136</v>
      </c>
      <c r="B104" s="110" t="s">
        <v>136</v>
      </c>
      <c r="C104" s="53">
        <v>0</v>
      </c>
      <c r="D104" s="64">
        <f ca="1">((100/H95)*C104)/100</f>
        <v>0</v>
      </c>
      <c r="E104" s="112"/>
      <c r="F104" s="112"/>
      <c r="G104" s="112"/>
      <c r="H104" s="114"/>
      <c r="I104" s="33" t="s">
        <v>149</v>
      </c>
      <c r="J104" s="40">
        <f>(IF(B95&gt;3,(H95/(B95+2)+J103),0))</f>
        <v>0</v>
      </c>
    </row>
    <row r="105" spans="1:13" ht="15.75" customHeight="1" x14ac:dyDescent="0.25">
      <c r="A105" s="109" t="s">
        <v>143</v>
      </c>
      <c r="B105" s="110"/>
      <c r="C105" s="53">
        <v>0</v>
      </c>
      <c r="D105" s="64">
        <f ca="1">((100/H95)*C105)/100</f>
        <v>0</v>
      </c>
      <c r="E105" s="112"/>
      <c r="F105" s="112"/>
      <c r="G105" s="112"/>
      <c r="H105" s="114"/>
      <c r="I105" s="33" t="s">
        <v>150</v>
      </c>
      <c r="J105" s="39">
        <f>(IF(B95&gt;4,(H95/(B95+2)+J104),0))</f>
        <v>0</v>
      </c>
    </row>
    <row r="106" spans="1:13" ht="15.75" customHeight="1" x14ac:dyDescent="0.25">
      <c r="A106" s="109" t="s">
        <v>138</v>
      </c>
      <c r="B106" s="110" t="s">
        <v>138</v>
      </c>
      <c r="C106" s="53">
        <v>0</v>
      </c>
      <c r="D106" s="64">
        <f ca="1">((100/(H95))*C106)/100</f>
        <v>0</v>
      </c>
      <c r="E106" s="112"/>
      <c r="F106" s="112"/>
      <c r="G106" s="112"/>
      <c r="H106" s="114"/>
      <c r="I106" s="33" t="s">
        <v>152</v>
      </c>
      <c r="J106" s="39">
        <f ca="1">(IF(B95=1,(H95/(B95+3)+J101),IF(B95=0,(H95/4+J101),IF(B95&gt;1,0))))</f>
        <v>27</v>
      </c>
    </row>
    <row r="107" spans="1:13" ht="16.5" thickBot="1" x14ac:dyDescent="0.3">
      <c r="A107" s="116" t="s">
        <v>139</v>
      </c>
      <c r="B107" s="117"/>
      <c r="C107" s="55">
        <v>0</v>
      </c>
      <c r="D107" s="65">
        <f ca="1">((100/(H95))*C107)/100</f>
        <v>0</v>
      </c>
      <c r="E107" s="113"/>
      <c r="F107" s="113"/>
      <c r="G107" s="113"/>
      <c r="H107" s="115"/>
      <c r="I107" s="38" t="s">
        <v>108</v>
      </c>
      <c r="J107" s="41">
        <f ca="1">(IF(B95&gt;1.5,(H95/(B95+2)+J101+MAX(0,J102-J101)+MAX(0,J103-J102)+MAX(0,J104-J103)+MAX(0,J105-J104)+MAX(0,J106-J105)),IF(B95=1,(H95/(B95+3)+J106),IF(B95=0,H95/4+J106))))</f>
        <v>36</v>
      </c>
    </row>
    <row r="108" spans="1:13" x14ac:dyDescent="0.25">
      <c r="A108" s="142" t="s">
        <v>51</v>
      </c>
      <c r="B108" s="142"/>
      <c r="C108" s="142"/>
      <c r="D108" s="142"/>
      <c r="E108" s="142"/>
      <c r="F108" s="142"/>
      <c r="G108" s="142"/>
      <c r="H108" s="142"/>
    </row>
    <row r="109" spans="1:13" x14ac:dyDescent="0.25">
      <c r="A109" s="134" t="s">
        <v>159</v>
      </c>
      <c r="B109" s="134"/>
      <c r="C109" s="134"/>
      <c r="D109" s="134"/>
      <c r="E109" s="134"/>
      <c r="F109" s="201">
        <v>8250</v>
      </c>
      <c r="G109" s="201"/>
      <c r="H109" s="201"/>
      <c r="I109" s="59" t="s">
        <v>263</v>
      </c>
      <c r="J109" s="67">
        <v>45415</v>
      </c>
      <c r="K109" s="59" t="s">
        <v>264</v>
      </c>
      <c r="M109" s="59"/>
    </row>
    <row r="110" spans="1:13" hidden="1" x14ac:dyDescent="0.25">
      <c r="A110" s="134" t="s">
        <v>160</v>
      </c>
      <c r="B110" s="134"/>
      <c r="C110" s="134"/>
      <c r="D110" s="134"/>
      <c r="E110" s="134"/>
      <c r="F110" s="135"/>
      <c r="G110" s="135"/>
      <c r="H110" s="135"/>
    </row>
    <row r="111" spans="1:13" hidden="1" x14ac:dyDescent="0.25">
      <c r="A111" s="134" t="s">
        <v>161</v>
      </c>
      <c r="B111" s="134"/>
      <c r="C111" s="134"/>
      <c r="D111" s="134"/>
      <c r="E111" s="134"/>
      <c r="F111" s="135"/>
      <c r="G111" s="135"/>
      <c r="H111" s="135"/>
    </row>
    <row r="112" spans="1:13" s="7" customFormat="1" hidden="1" x14ac:dyDescent="0.25">
      <c r="A112" s="134" t="s">
        <v>97</v>
      </c>
      <c r="B112" s="134"/>
      <c r="C112" s="134"/>
      <c r="D112" s="134"/>
      <c r="E112" s="134"/>
      <c r="F112" s="135"/>
      <c r="G112" s="135"/>
      <c r="H112" s="135"/>
    </row>
    <row r="113" spans="1:9" s="7" customFormat="1" hidden="1" x14ac:dyDescent="0.25">
      <c r="A113" s="134" t="s">
        <v>98</v>
      </c>
      <c r="B113" s="134"/>
      <c r="C113" s="134"/>
      <c r="D113" s="134"/>
      <c r="E113" s="134"/>
      <c r="F113" s="135"/>
      <c r="G113" s="135"/>
      <c r="H113" s="135"/>
    </row>
    <row r="114" spans="1:9" s="7" customFormat="1" x14ac:dyDescent="0.25">
      <c r="A114" s="136" t="s">
        <v>262</v>
      </c>
      <c r="B114" s="134"/>
      <c r="C114" s="134"/>
      <c r="D114" s="134"/>
      <c r="E114" s="134"/>
      <c r="F114" s="135">
        <v>500000</v>
      </c>
      <c r="G114" s="135"/>
      <c r="H114" s="135"/>
      <c r="I114" s="7" t="s">
        <v>265</v>
      </c>
    </row>
    <row r="115" spans="1:9" s="7" customFormat="1" hidden="1" x14ac:dyDescent="0.25">
      <c r="A115" s="134" t="s">
        <v>99</v>
      </c>
      <c r="B115" s="134"/>
      <c r="C115" s="134"/>
      <c r="D115" s="134"/>
      <c r="E115" s="134"/>
      <c r="F115" s="135"/>
      <c r="G115" s="135"/>
      <c r="H115" s="135"/>
    </row>
    <row r="116" spans="1:9" s="7" customFormat="1" hidden="1" x14ac:dyDescent="0.25">
      <c r="A116" s="134" t="s">
        <v>100</v>
      </c>
      <c r="B116" s="134"/>
      <c r="C116" s="134"/>
      <c r="D116" s="134"/>
      <c r="E116" s="134"/>
      <c r="F116" s="135"/>
      <c r="G116" s="135"/>
      <c r="H116" s="135"/>
    </row>
    <row r="117" spans="1:9" s="7" customFormat="1" hidden="1" x14ac:dyDescent="0.25">
      <c r="A117" s="134" t="s">
        <v>101</v>
      </c>
      <c r="B117" s="134"/>
      <c r="C117" s="134"/>
      <c r="D117" s="134"/>
      <c r="E117" s="134"/>
      <c r="F117" s="135"/>
      <c r="G117" s="135"/>
      <c r="H117" s="135"/>
    </row>
    <row r="118" spans="1:9" s="7" customFormat="1" hidden="1" x14ac:dyDescent="0.25">
      <c r="A118" s="134" t="s">
        <v>102</v>
      </c>
      <c r="B118" s="134"/>
      <c r="C118" s="134"/>
      <c r="D118" s="134"/>
      <c r="E118" s="134"/>
      <c r="F118" s="135"/>
      <c r="G118" s="135"/>
      <c r="H118" s="135"/>
    </row>
    <row r="119" spans="1:9" s="7" customFormat="1" hidden="1" x14ac:dyDescent="0.25">
      <c r="A119" s="134" t="s">
        <v>103</v>
      </c>
      <c r="B119" s="134"/>
      <c r="C119" s="134"/>
      <c r="D119" s="134"/>
      <c r="E119" s="134"/>
      <c r="F119" s="135"/>
      <c r="G119" s="135"/>
      <c r="H119" s="135"/>
    </row>
    <row r="120" spans="1:9" x14ac:dyDescent="0.25">
      <c r="A120" s="134" t="s">
        <v>52</v>
      </c>
      <c r="B120" s="134"/>
      <c r="C120" s="134"/>
      <c r="D120" s="134"/>
      <c r="E120" s="134"/>
      <c r="F120" s="135">
        <v>400000</v>
      </c>
      <c r="G120" s="135"/>
      <c r="H120" s="135"/>
      <c r="I120" s="3" t="s">
        <v>271</v>
      </c>
    </row>
    <row r="121" spans="1:9" s="4" customFormat="1" x14ac:dyDescent="0.25">
      <c r="A121" s="142" t="s">
        <v>53</v>
      </c>
      <c r="B121" s="142"/>
      <c r="C121" s="142"/>
      <c r="D121" s="142"/>
      <c r="E121" s="142"/>
      <c r="F121" s="135">
        <f>F109*0.8</f>
        <v>6600</v>
      </c>
      <c r="G121" s="135"/>
      <c r="H121" s="135"/>
    </row>
    <row r="122" spans="1:9" s="1" customFormat="1" x14ac:dyDescent="0.25">
      <c r="A122" s="139" t="s">
        <v>72</v>
      </c>
      <c r="B122" s="139"/>
      <c r="C122" s="139"/>
      <c r="D122" s="139"/>
      <c r="E122" s="139"/>
      <c r="F122" s="139"/>
      <c r="G122" s="139"/>
      <c r="H122" s="139"/>
    </row>
    <row r="123" spans="1:9" s="1" customFormat="1" ht="15.75" customHeight="1" x14ac:dyDescent="0.25">
      <c r="A123" s="143" t="s">
        <v>54</v>
      </c>
      <c r="B123" s="143"/>
      <c r="C123" s="140" t="s">
        <v>80</v>
      </c>
      <c r="D123" s="140"/>
      <c r="E123" s="141" t="s">
        <v>55</v>
      </c>
      <c r="F123" s="141"/>
      <c r="G123" s="143" t="s">
        <v>56</v>
      </c>
      <c r="H123" s="143"/>
    </row>
    <row r="124" spans="1:9" s="1" customFormat="1" hidden="1" x14ac:dyDescent="0.25">
      <c r="A124" s="156" t="s">
        <v>187</v>
      </c>
      <c r="B124" s="156"/>
      <c r="C124" s="118"/>
      <c r="D124" s="118"/>
      <c r="E124" s="120"/>
      <c r="F124" s="120"/>
      <c r="G124" s="120"/>
      <c r="H124" s="120"/>
    </row>
    <row r="125" spans="1:9" s="1" customFormat="1" x14ac:dyDescent="0.25">
      <c r="A125" s="156" t="s">
        <v>178</v>
      </c>
      <c r="B125" s="156"/>
      <c r="C125" s="146">
        <f>COUNT(D138,D141)+COUNT(D143,D146)*4+COUNT(D148)+COUNT(D153)+COUNT(D158:D161)*18+COUNT(D163:D166)*4+COUNT(D168:D171)+COUNT(D174:D175)+COUNT(D178:D181)+COUNT(D184:D185)+COUNT(D188:D191)+COUNT(D194:D195)</f>
        <v>118</v>
      </c>
      <c r="D125" s="147"/>
      <c r="E125" s="148">
        <f>SUM(D138,D141)+SUM(D143,D146)*4+SUM(D148)+SUM(D153)+SUM(D158:D161)*18+SUM(D163:D166)*4+SUM(D168:D171)+SUM(D174:D175)+SUM(D178:D181)+SUM(D184:D185)+SUM(D188:D191)+SUM(D194:D195)</f>
        <v>142329.06745199996</v>
      </c>
      <c r="F125" s="149"/>
      <c r="G125" s="148">
        <f>SUM(F138,F141)+SUM(F143,F146)*4+SUM(F148)+SUM(F153)+SUM(F158:F161)*18+SUM(F163:F166)*4+SUM(F168:F171)+SUM(F174:F175)+SUM(F178:F181)+SUM(F184:F185)+SUM(F188:F191)+SUM(F194:F195)</f>
        <v>227726.5079232</v>
      </c>
      <c r="H125" s="149"/>
    </row>
    <row r="126" spans="1:9" s="1" customFormat="1" x14ac:dyDescent="0.25">
      <c r="A126" s="156" t="s">
        <v>187</v>
      </c>
      <c r="B126" s="156"/>
      <c r="C126" s="118">
        <f>COUNT(D201:D202)+COUNT(D208:D210)*5+COUNT(D215:D217)+COUNT(D222:D224)+COUNT(D228:D233)*23+COUNT(D235:D240)*5</f>
        <v>191</v>
      </c>
      <c r="D126" s="118"/>
      <c r="E126" s="119">
        <f>SUM(D201:D202)+SUM(D208:D210)*5+SUM(D215:D217)+SUM(D222:D224)+SUM(D228:D233)*23+SUM(D235:D240)*5</f>
        <v>139058.21077199996</v>
      </c>
      <c r="F126" s="119"/>
      <c r="G126" s="120">
        <f>SUM(F201:F202)+SUM(F208:F210)*5+SUM(F215:F217)+SUM(F222:F224)+SUM(F228:F233)*23+SUM(F235:F240)*5</f>
        <v>222493.13723520003</v>
      </c>
      <c r="H126" s="120"/>
    </row>
    <row r="127" spans="1:9" s="1" customFormat="1" x14ac:dyDescent="0.25">
      <c r="A127" s="156" t="s">
        <v>188</v>
      </c>
      <c r="B127" s="156"/>
      <c r="C127" s="118">
        <f>COUNT(D248:D251)*19+COUNT(D258:D261)*5+COUNT(D263:D266)+COUNT(D269:D270)+COUNT(D273:D276)+COUNT(D279:D280)</f>
        <v>108</v>
      </c>
      <c r="D127" s="118"/>
      <c r="E127" s="119">
        <f>SUM(D248:D251)*19+SUM(D258:D261)*5+SUM(D263:D266)+SUM(D269:D270)+SUM(D273:D276)+SUM(D279:D280)</f>
        <v>123580.1385</v>
      </c>
      <c r="F127" s="119"/>
      <c r="G127" s="120">
        <f>SUM(F248:F251)*19+SUM(F258:F261)*5+SUM(F263:F266)+SUM(F269:F270)+SUM(F273:F276)+SUM(F279:F280)</f>
        <v>197728.22160000002</v>
      </c>
      <c r="H127" s="120"/>
    </row>
    <row r="128" spans="1:9" s="1" customFormat="1" x14ac:dyDescent="0.25">
      <c r="A128" s="196" t="s">
        <v>155</v>
      </c>
      <c r="B128" s="197"/>
      <c r="C128" s="198">
        <f>SUM(C124:D127)</f>
        <v>417</v>
      </c>
      <c r="D128" s="145"/>
      <c r="E128" s="144">
        <f>SUM(E124:F127)</f>
        <v>404967.41672399989</v>
      </c>
      <c r="F128" s="145"/>
      <c r="G128" s="144">
        <f>SUM(G124:H127)</f>
        <v>647947.86675840011</v>
      </c>
      <c r="H128" s="145"/>
    </row>
    <row r="129" spans="1:14" s="4" customFormat="1" x14ac:dyDescent="0.25">
      <c r="A129" s="92" t="s">
        <v>57</v>
      </c>
      <c r="B129" s="92"/>
      <c r="C129" s="92"/>
      <c r="D129" s="92"/>
      <c r="E129" s="92"/>
      <c r="F129" s="92"/>
      <c r="G129" s="92"/>
      <c r="H129" s="92"/>
    </row>
    <row r="130" spans="1:14" x14ac:dyDescent="0.25">
      <c r="A130" s="92" t="s">
        <v>58</v>
      </c>
      <c r="B130" s="92"/>
      <c r="C130" s="92"/>
      <c r="D130" s="92"/>
      <c r="E130" s="92"/>
      <c r="F130" s="92"/>
      <c r="G130" s="92"/>
      <c r="H130" s="92"/>
    </row>
    <row r="131" spans="1:14" s="2" customFormat="1" x14ac:dyDescent="0.25">
      <c r="A131" s="75"/>
      <c r="B131" s="76"/>
      <c r="C131" s="76"/>
      <c r="D131" s="76"/>
      <c r="E131" s="76"/>
      <c r="F131" s="76"/>
      <c r="G131" s="76"/>
      <c r="H131" s="77"/>
      <c r="I131" s="31"/>
      <c r="N131" s="31"/>
    </row>
    <row r="132" spans="1:14" ht="47.25" customHeight="1" x14ac:dyDescent="0.25">
      <c r="A132" s="152" t="s">
        <v>124</v>
      </c>
      <c r="B132" s="152" t="s">
        <v>125</v>
      </c>
      <c r="C132" s="150" t="s">
        <v>59</v>
      </c>
      <c r="D132" s="150" t="s">
        <v>60</v>
      </c>
      <c r="E132" s="186" t="s">
        <v>61</v>
      </c>
      <c r="F132" s="32" t="s">
        <v>154</v>
      </c>
      <c r="G132" s="152" t="s">
        <v>62</v>
      </c>
      <c r="H132" s="154"/>
      <c r="I132" s="31"/>
    </row>
    <row r="133" spans="1:14" s="2" customFormat="1" x14ac:dyDescent="0.25">
      <c r="A133" s="153"/>
      <c r="B133" s="153"/>
      <c r="C133" s="151"/>
      <c r="D133" s="151"/>
      <c r="E133" s="187"/>
      <c r="F133" s="30">
        <v>0.6</v>
      </c>
      <c r="G133" s="153"/>
      <c r="H133" s="155"/>
      <c r="I133" s="31"/>
    </row>
    <row r="134" spans="1:14" x14ac:dyDescent="0.25">
      <c r="A134" s="92" t="s">
        <v>189</v>
      </c>
      <c r="B134" s="92"/>
      <c r="C134" s="92"/>
      <c r="D134" s="92"/>
      <c r="E134" s="92"/>
      <c r="F134" s="92"/>
      <c r="G134" s="92"/>
      <c r="H134" s="92"/>
    </row>
    <row r="135" spans="1:14" x14ac:dyDescent="0.25">
      <c r="A135" s="97" t="s">
        <v>190</v>
      </c>
      <c r="B135" s="97"/>
      <c r="C135" s="97"/>
      <c r="D135" s="97"/>
      <c r="E135" s="97"/>
      <c r="F135" s="97"/>
      <c r="G135" s="97"/>
      <c r="H135" s="97"/>
    </row>
    <row r="136" spans="1:14" ht="30" customHeight="1" x14ac:dyDescent="0.25">
      <c r="A136" s="91" t="s">
        <v>191</v>
      </c>
      <c r="B136" s="91"/>
      <c r="C136" s="91"/>
      <c r="D136" s="91"/>
      <c r="E136" s="91"/>
      <c r="F136" s="91"/>
      <c r="G136" s="91"/>
      <c r="H136" s="91"/>
    </row>
    <row r="137" spans="1:14" s="2" customFormat="1" x14ac:dyDescent="0.25">
      <c r="A137" s="87" t="s">
        <v>192</v>
      </c>
      <c r="B137" s="87"/>
      <c r="C137" s="87"/>
      <c r="D137" s="87"/>
      <c r="E137" s="87"/>
      <c r="F137" s="87"/>
      <c r="G137" s="87"/>
      <c r="H137" s="87"/>
      <c r="I137" s="31"/>
      <c r="L137" s="96"/>
      <c r="M137" s="96"/>
    </row>
    <row r="138" spans="1:14" s="2" customFormat="1" ht="15.75" customHeight="1" x14ac:dyDescent="0.25">
      <c r="A138" s="86">
        <v>1</v>
      </c>
      <c r="B138" s="86"/>
      <c r="C138" s="58" t="s">
        <v>193</v>
      </c>
      <c r="D138" s="14">
        <f>(108.22+1.05*3.075)*10.764</f>
        <v>1199.6343449999999</v>
      </c>
      <c r="E138" s="14">
        <v>0</v>
      </c>
      <c r="F138" s="14">
        <f>D138*(($F$133)+1)+(IF(E138&lt;101,E138,IF(E138&lt;201,E138/2,IF(E138&lt;=301,E138/3,E138/4))))</f>
        <v>1919.4149520000001</v>
      </c>
      <c r="G138" s="78" t="str">
        <f>A137</f>
        <v>2nd Podium Floor For Residential, Fire Lobby &amp; Podium Parking</v>
      </c>
      <c r="H138" s="80"/>
      <c r="I138" s="31"/>
      <c r="N138" s="31"/>
    </row>
    <row r="139" spans="1:14" s="2" customFormat="1" x14ac:dyDescent="0.25">
      <c r="A139" s="86">
        <f>A138+1</f>
        <v>2</v>
      </c>
      <c r="B139" s="86"/>
      <c r="C139" s="78" t="s">
        <v>196</v>
      </c>
      <c r="D139" s="79"/>
      <c r="E139" s="79"/>
      <c r="F139" s="80"/>
      <c r="G139" s="84"/>
      <c r="H139" s="85"/>
      <c r="I139" s="31"/>
      <c r="N139" s="31"/>
    </row>
    <row r="140" spans="1:14" s="2" customFormat="1" x14ac:dyDescent="0.25">
      <c r="A140" s="86">
        <f>A139+1</f>
        <v>3</v>
      </c>
      <c r="B140" s="86"/>
      <c r="C140" s="81"/>
      <c r="D140" s="82"/>
      <c r="E140" s="82"/>
      <c r="F140" s="83"/>
      <c r="G140" s="84"/>
      <c r="H140" s="85"/>
      <c r="I140" s="31"/>
      <c r="N140" s="31"/>
    </row>
    <row r="141" spans="1:14" s="2" customFormat="1" x14ac:dyDescent="0.25">
      <c r="A141" s="86">
        <f>A140+1</f>
        <v>4</v>
      </c>
      <c r="B141" s="86"/>
      <c r="C141" s="14" t="s">
        <v>194</v>
      </c>
      <c r="D141" s="14">
        <f>(131.47+3.525*1.03)*10.764</f>
        <v>1454.224473</v>
      </c>
      <c r="E141" s="14">
        <v>0</v>
      </c>
      <c r="F141" s="14">
        <f t="shared" ref="F141" si="0">D141*(($F$133)+1)+(IF(E141&lt;101,E141,IF(E141&lt;201,E141/2,IF(E141&lt;=301,E141/3,E141/4))))</f>
        <v>2326.7591568000003</v>
      </c>
      <c r="G141" s="84"/>
      <c r="H141" s="85"/>
      <c r="I141" s="31"/>
      <c r="N141" s="31"/>
    </row>
    <row r="142" spans="1:14" s="56" customFormat="1" x14ac:dyDescent="0.25">
      <c r="A142" s="87" t="s">
        <v>195</v>
      </c>
      <c r="B142" s="87"/>
      <c r="C142" s="87"/>
      <c r="D142" s="87"/>
      <c r="E142" s="87"/>
      <c r="F142" s="87"/>
      <c r="G142" s="87"/>
      <c r="H142" s="87"/>
      <c r="I142" s="31"/>
      <c r="L142" s="96"/>
      <c r="M142" s="96"/>
    </row>
    <row r="143" spans="1:14" s="56" customFormat="1" ht="15.75" customHeight="1" x14ac:dyDescent="0.25">
      <c r="A143" s="86">
        <v>1</v>
      </c>
      <c r="B143" s="86"/>
      <c r="C143" s="58" t="s">
        <v>193</v>
      </c>
      <c r="D143" s="57">
        <f>(108.22+1.05*3.075)*10.764</f>
        <v>1199.6343449999999</v>
      </c>
      <c r="E143" s="57">
        <v>0</v>
      </c>
      <c r="F143" s="57">
        <f>D143*(($F$133)+1)+(IF(E143&lt;101,E143,IF(E143&lt;201,E143/2,IF(E143&lt;=301,E143/3,E143/4))))</f>
        <v>1919.4149520000001</v>
      </c>
      <c r="G143" s="78" t="str">
        <f>A142</f>
        <v>3rd  to 6th Podium Floor</v>
      </c>
      <c r="H143" s="80"/>
      <c r="I143" s="31"/>
      <c r="N143" s="31"/>
    </row>
    <row r="144" spans="1:14" s="56" customFormat="1" x14ac:dyDescent="0.25">
      <c r="A144" s="86">
        <f>A143+1</f>
        <v>2</v>
      </c>
      <c r="B144" s="86"/>
      <c r="C144" s="78" t="s">
        <v>196</v>
      </c>
      <c r="D144" s="79"/>
      <c r="E144" s="79"/>
      <c r="F144" s="80"/>
      <c r="G144" s="84"/>
      <c r="H144" s="85"/>
      <c r="I144" s="31"/>
      <c r="N144" s="31"/>
    </row>
    <row r="145" spans="1:14" s="56" customFormat="1" x14ac:dyDescent="0.25">
      <c r="A145" s="86">
        <f>A144+1</f>
        <v>3</v>
      </c>
      <c r="B145" s="86"/>
      <c r="C145" s="81"/>
      <c r="D145" s="82"/>
      <c r="E145" s="82"/>
      <c r="F145" s="83"/>
      <c r="G145" s="84"/>
      <c r="H145" s="85"/>
      <c r="I145" s="31"/>
      <c r="N145" s="31"/>
    </row>
    <row r="146" spans="1:14" s="56" customFormat="1" x14ac:dyDescent="0.25">
      <c r="A146" s="86">
        <f>A145+1</f>
        <v>4</v>
      </c>
      <c r="B146" s="86"/>
      <c r="C146" s="57" t="s">
        <v>194</v>
      </c>
      <c r="D146" s="57">
        <f>(131.47+3.525*1.03)*10.764</f>
        <v>1454.224473</v>
      </c>
      <c r="E146" s="57">
        <v>0</v>
      </c>
      <c r="F146" s="57">
        <f t="shared" ref="F146" si="1">D146*(($F$133)+1)+(IF(E146&lt;101,E146,IF(E146&lt;201,E146/2,IF(E146&lt;=301,E146/3,E146/4))))</f>
        <v>2326.7591568000003</v>
      </c>
      <c r="G146" s="84"/>
      <c r="H146" s="85"/>
      <c r="I146" s="31"/>
      <c r="N146" s="31"/>
    </row>
    <row r="147" spans="1:14" s="56" customFormat="1" x14ac:dyDescent="0.25">
      <c r="A147" s="87" t="s">
        <v>197</v>
      </c>
      <c r="B147" s="87"/>
      <c r="C147" s="87"/>
      <c r="D147" s="87"/>
      <c r="E147" s="87"/>
      <c r="F147" s="87"/>
      <c r="G147" s="87"/>
      <c r="H147" s="87"/>
      <c r="I147" s="31"/>
      <c r="L147" s="96"/>
      <c r="M147" s="96"/>
    </row>
    <row r="148" spans="1:14" s="56" customFormat="1" ht="15.75" customHeight="1" x14ac:dyDescent="0.25">
      <c r="A148" s="86">
        <v>1</v>
      </c>
      <c r="B148" s="86"/>
      <c r="C148" s="58" t="s">
        <v>193</v>
      </c>
      <c r="D148" s="57">
        <f>(108.22+1.05*3.075)*10.764</f>
        <v>1199.6343449999999</v>
      </c>
      <c r="E148" s="57">
        <v>0</v>
      </c>
      <c r="F148" s="57">
        <f>D148*(($F$133)+1)+(IF(E148&lt;101,E148,IF(E148&lt;201,E148/2,IF(E148&lt;=301,E148/3,E148/4))))</f>
        <v>1919.4149520000001</v>
      </c>
      <c r="G148" s="78" t="str">
        <f>A147</f>
        <v>7th Podium Floor For Residential &amp; Amenities</v>
      </c>
      <c r="H148" s="80"/>
      <c r="I148" s="31"/>
      <c r="N148" s="31"/>
    </row>
    <row r="149" spans="1:14" s="56" customFormat="1" x14ac:dyDescent="0.25">
      <c r="A149" s="86">
        <f>A148+1</f>
        <v>2</v>
      </c>
      <c r="B149" s="86"/>
      <c r="C149" s="78" t="s">
        <v>198</v>
      </c>
      <c r="D149" s="79"/>
      <c r="E149" s="79"/>
      <c r="F149" s="80"/>
      <c r="G149" s="84"/>
      <c r="H149" s="85"/>
      <c r="I149" s="31"/>
      <c r="N149" s="31"/>
    </row>
    <row r="150" spans="1:14" s="56" customFormat="1" x14ac:dyDescent="0.25">
      <c r="A150" s="86">
        <f>A149+1</f>
        <v>3</v>
      </c>
      <c r="B150" s="86"/>
      <c r="C150" s="84"/>
      <c r="D150" s="188"/>
      <c r="E150" s="188"/>
      <c r="F150" s="85"/>
      <c r="G150" s="84"/>
      <c r="H150" s="85"/>
      <c r="I150" s="31"/>
      <c r="N150" s="31"/>
    </row>
    <row r="151" spans="1:14" s="56" customFormat="1" x14ac:dyDescent="0.25">
      <c r="A151" s="86">
        <f>A150+1</f>
        <v>4</v>
      </c>
      <c r="B151" s="86"/>
      <c r="C151" s="81"/>
      <c r="D151" s="82"/>
      <c r="E151" s="82"/>
      <c r="F151" s="83"/>
      <c r="G151" s="84"/>
      <c r="H151" s="85"/>
      <c r="I151" s="31"/>
      <c r="N151" s="31"/>
    </row>
    <row r="152" spans="1:14" s="56" customFormat="1" x14ac:dyDescent="0.25">
      <c r="A152" s="87" t="s">
        <v>199</v>
      </c>
      <c r="B152" s="87"/>
      <c r="C152" s="87"/>
      <c r="D152" s="87"/>
      <c r="E152" s="87"/>
      <c r="F152" s="87"/>
      <c r="G152" s="87"/>
      <c r="H152" s="87"/>
      <c r="I152" s="31"/>
      <c r="L152" s="96"/>
      <c r="M152" s="96"/>
    </row>
    <row r="153" spans="1:14" s="56" customFormat="1" ht="15.75" customHeight="1" x14ac:dyDescent="0.25">
      <c r="A153" s="86">
        <v>1</v>
      </c>
      <c r="B153" s="86"/>
      <c r="C153" s="58" t="s">
        <v>193</v>
      </c>
      <c r="D153" s="57">
        <f>(108.22+1.05*3.075)*10.764</f>
        <v>1199.6343449999999</v>
      </c>
      <c r="E153" s="57">
        <v>0</v>
      </c>
      <c r="F153" s="57">
        <f>D153*(($F$133)+1)+(IF(E153&lt;101,E153,IF(E153&lt;201,E153/2,IF(E153&lt;=301,E153/3,E153/4))))</f>
        <v>1919.4149520000001</v>
      </c>
      <c r="G153" s="78" t="str">
        <f>A152</f>
        <v>8th Podium Floor For Residential (Part Refuge Area)</v>
      </c>
      <c r="H153" s="80"/>
      <c r="I153" s="31"/>
      <c r="N153" s="31"/>
    </row>
    <row r="154" spans="1:14" s="56" customFormat="1" x14ac:dyDescent="0.25">
      <c r="A154" s="86">
        <f>A153+1</f>
        <v>2</v>
      </c>
      <c r="B154" s="86"/>
      <c r="C154" s="78" t="s">
        <v>200</v>
      </c>
      <c r="D154" s="79"/>
      <c r="E154" s="79"/>
      <c r="F154" s="80"/>
      <c r="G154" s="84"/>
      <c r="H154" s="85"/>
      <c r="I154" s="31"/>
      <c r="N154" s="31"/>
    </row>
    <row r="155" spans="1:14" s="56" customFormat="1" x14ac:dyDescent="0.25">
      <c r="A155" s="86">
        <f>A154+1</f>
        <v>3</v>
      </c>
      <c r="B155" s="86"/>
      <c r="C155" s="84"/>
      <c r="D155" s="188"/>
      <c r="E155" s="188"/>
      <c r="F155" s="85"/>
      <c r="G155" s="84"/>
      <c r="H155" s="85"/>
      <c r="I155" s="31"/>
      <c r="N155" s="31"/>
    </row>
    <row r="156" spans="1:14" s="56" customFormat="1" x14ac:dyDescent="0.25">
      <c r="A156" s="86">
        <f>A155+1</f>
        <v>4</v>
      </c>
      <c r="B156" s="86"/>
      <c r="C156" s="81"/>
      <c r="D156" s="82"/>
      <c r="E156" s="82"/>
      <c r="F156" s="83"/>
      <c r="G156" s="84"/>
      <c r="H156" s="85"/>
      <c r="I156" s="31"/>
      <c r="N156" s="31"/>
    </row>
    <row r="157" spans="1:14" s="2" customFormat="1" ht="15.75" customHeight="1" x14ac:dyDescent="0.25">
      <c r="A157" s="88" t="s">
        <v>201</v>
      </c>
      <c r="B157" s="89"/>
      <c r="C157" s="89"/>
      <c r="D157" s="89"/>
      <c r="E157" s="89"/>
      <c r="F157" s="89"/>
      <c r="G157" s="89"/>
      <c r="H157" s="90"/>
      <c r="I157" s="31"/>
    </row>
    <row r="158" spans="1:14" s="2" customFormat="1" ht="15.75" customHeight="1" x14ac:dyDescent="0.25">
      <c r="A158" s="75">
        <v>1</v>
      </c>
      <c r="B158" s="77"/>
      <c r="C158" s="58" t="s">
        <v>193</v>
      </c>
      <c r="D158" s="57">
        <f>(108.22+1.05*3.075)*10.764</f>
        <v>1199.6343449999999</v>
      </c>
      <c r="E158" s="57">
        <v>0</v>
      </c>
      <c r="F158" s="14">
        <f t="shared" ref="F158:F161" si="2">D158*(($F$133)+1)+(IF(E158&lt;101,E158,IF(E158&lt;201,E158/2,IF(E158&lt;=301,E158/3,E158/4))))</f>
        <v>1919.4149520000001</v>
      </c>
      <c r="G158" s="78" t="str">
        <f>A157</f>
        <v>9th to 12th, 14th to 17th, 19th to 22nd, 24th to 27th, 29th, 30th Floor</v>
      </c>
      <c r="H158" s="80"/>
      <c r="I158" s="31"/>
    </row>
    <row r="159" spans="1:14" s="2" customFormat="1" x14ac:dyDescent="0.25">
      <c r="A159" s="75">
        <v>2</v>
      </c>
      <c r="B159" s="77"/>
      <c r="C159" s="58" t="s">
        <v>193</v>
      </c>
      <c r="D159" s="57">
        <f>(89.04+1.1*1.675)*10.764</f>
        <v>978.25923</v>
      </c>
      <c r="E159" s="57">
        <v>0</v>
      </c>
      <c r="F159" s="14">
        <f t="shared" si="2"/>
        <v>1565.214768</v>
      </c>
      <c r="G159" s="84"/>
      <c r="H159" s="85"/>
      <c r="I159" s="31"/>
    </row>
    <row r="160" spans="1:14" s="2" customFormat="1" ht="15.75" customHeight="1" x14ac:dyDescent="0.25">
      <c r="A160" s="75">
        <v>3</v>
      </c>
      <c r="B160" s="77"/>
      <c r="C160" s="58" t="s">
        <v>193</v>
      </c>
      <c r="D160" s="57">
        <f>(89.33+1.745*1.1)*10.764</f>
        <v>982.20961799999986</v>
      </c>
      <c r="E160" s="57">
        <v>0</v>
      </c>
      <c r="F160" s="14">
        <f t="shared" si="2"/>
        <v>1571.5353888</v>
      </c>
      <c r="G160" s="84"/>
      <c r="H160" s="85"/>
      <c r="I160" s="31"/>
    </row>
    <row r="161" spans="1:9" s="2" customFormat="1" ht="15.75" customHeight="1" x14ac:dyDescent="0.25">
      <c r="A161" s="75">
        <v>4</v>
      </c>
      <c r="B161" s="77"/>
      <c r="C161" s="58" t="s">
        <v>194</v>
      </c>
      <c r="D161" s="57">
        <f>(131.47+3.525*1.03)*10.764</f>
        <v>1454.224473</v>
      </c>
      <c r="E161" s="57">
        <v>0</v>
      </c>
      <c r="F161" s="14">
        <f t="shared" si="2"/>
        <v>2326.7591568000003</v>
      </c>
      <c r="G161" s="84"/>
      <c r="H161" s="85"/>
      <c r="I161" s="31"/>
    </row>
    <row r="162" spans="1:9" s="56" customFormat="1" ht="15.75" customHeight="1" x14ac:dyDescent="0.25">
      <c r="A162" s="88" t="s">
        <v>202</v>
      </c>
      <c r="B162" s="89"/>
      <c r="C162" s="89"/>
      <c r="D162" s="89"/>
      <c r="E162" s="89"/>
      <c r="F162" s="89"/>
      <c r="G162" s="89"/>
      <c r="H162" s="90"/>
      <c r="I162" s="31"/>
    </row>
    <row r="163" spans="1:9" s="56" customFormat="1" ht="15.75" customHeight="1" x14ac:dyDescent="0.25">
      <c r="A163" s="75">
        <v>1</v>
      </c>
      <c r="B163" s="77"/>
      <c r="C163" s="58" t="s">
        <v>193</v>
      </c>
      <c r="D163" s="57">
        <f>(108.22+1.05*3.075)*10.764</f>
        <v>1199.6343449999999</v>
      </c>
      <c r="E163" s="57">
        <v>0</v>
      </c>
      <c r="F163" s="57">
        <f t="shared" ref="F163:F166" si="3">D163*(($F$133)+1)+(IF(E163&lt;101,E163,IF(E163&lt;201,E163/2,IF(E163&lt;=301,E163/3,E163/4))))</f>
        <v>1919.4149520000001</v>
      </c>
      <c r="G163" s="78" t="str">
        <f>A162</f>
        <v>13th 18th, 23rd &amp; 28th Floor (Part Refuge Area)</v>
      </c>
      <c r="H163" s="80"/>
      <c r="I163" s="31"/>
    </row>
    <row r="164" spans="1:9" s="56" customFormat="1" x14ac:dyDescent="0.25">
      <c r="A164" s="75">
        <v>2</v>
      </c>
      <c r="B164" s="77"/>
      <c r="C164" s="58" t="s">
        <v>193</v>
      </c>
      <c r="D164" s="57">
        <f>(89.04+1.1*1.675)*10.764</f>
        <v>978.25923</v>
      </c>
      <c r="E164" s="57">
        <v>0</v>
      </c>
      <c r="F164" s="57">
        <f t="shared" si="3"/>
        <v>1565.214768</v>
      </c>
      <c r="G164" s="84"/>
      <c r="H164" s="85"/>
      <c r="I164" s="31"/>
    </row>
    <row r="165" spans="1:9" s="56" customFormat="1" ht="15.75" customHeight="1" x14ac:dyDescent="0.25">
      <c r="A165" s="75">
        <v>3</v>
      </c>
      <c r="B165" s="77"/>
      <c r="C165" s="58" t="s">
        <v>193</v>
      </c>
      <c r="D165" s="57">
        <f>(89.33+1.745*1.1)*10.764</f>
        <v>982.20961799999986</v>
      </c>
      <c r="E165" s="57">
        <v>0</v>
      </c>
      <c r="F165" s="57">
        <f t="shared" si="3"/>
        <v>1571.5353888</v>
      </c>
      <c r="G165" s="84"/>
      <c r="H165" s="85"/>
      <c r="I165" s="31"/>
    </row>
    <row r="166" spans="1:9" s="56" customFormat="1" ht="15.75" customHeight="1" x14ac:dyDescent="0.25">
      <c r="A166" s="75">
        <v>4</v>
      </c>
      <c r="B166" s="77"/>
      <c r="C166" s="58" t="s">
        <v>194</v>
      </c>
      <c r="D166" s="57">
        <f>(131.47+3.525*1.03)*10.764</f>
        <v>1454.224473</v>
      </c>
      <c r="E166" s="57">
        <v>0</v>
      </c>
      <c r="F166" s="57">
        <f t="shared" si="3"/>
        <v>2326.7591568000003</v>
      </c>
      <c r="G166" s="84"/>
      <c r="H166" s="85"/>
      <c r="I166" s="31"/>
    </row>
    <row r="167" spans="1:9" s="56" customFormat="1" ht="15.75" customHeight="1" x14ac:dyDescent="0.25">
      <c r="A167" s="88" t="s">
        <v>203</v>
      </c>
      <c r="B167" s="89"/>
      <c r="C167" s="89"/>
      <c r="D167" s="89"/>
      <c r="E167" s="89"/>
      <c r="F167" s="89"/>
      <c r="G167" s="89"/>
      <c r="H167" s="90"/>
      <c r="I167" s="31"/>
    </row>
    <row r="168" spans="1:9" s="56" customFormat="1" ht="68.25" customHeight="1" x14ac:dyDescent="0.25">
      <c r="A168" s="75">
        <v>1</v>
      </c>
      <c r="B168" s="77"/>
      <c r="C168" s="58" t="s">
        <v>204</v>
      </c>
      <c r="D168" s="57">
        <f>(179.33+1.05*1.425*2)*10.764</f>
        <v>1962.5193900000002</v>
      </c>
      <c r="E168" s="57">
        <v>0</v>
      </c>
      <c r="F168" s="57">
        <f t="shared" ref="F168:F171" si="4">D168*(($F$133)+1)+(IF(E168&lt;101,E168,IF(E168&lt;201,E168/2,IF(E168&lt;=301,E168/3,E168/4))))</f>
        <v>3140.0310240000003</v>
      </c>
      <c r="G168" s="78" t="str">
        <f>A167</f>
        <v xml:space="preserve">31st Floor (Lower Duplex) </v>
      </c>
      <c r="H168" s="80"/>
      <c r="I168" s="31"/>
    </row>
    <row r="169" spans="1:9" s="56" customFormat="1" x14ac:dyDescent="0.25">
      <c r="A169" s="75">
        <v>2</v>
      </c>
      <c r="B169" s="77"/>
      <c r="C169" s="58" t="s">
        <v>193</v>
      </c>
      <c r="D169" s="57">
        <f>(89.04+1.1*1.675)*10.764</f>
        <v>978.25923</v>
      </c>
      <c r="E169" s="57">
        <v>0</v>
      </c>
      <c r="F169" s="57">
        <f t="shared" si="4"/>
        <v>1565.214768</v>
      </c>
      <c r="G169" s="84"/>
      <c r="H169" s="85"/>
      <c r="I169" s="31"/>
    </row>
    <row r="170" spans="1:9" s="56" customFormat="1" ht="15.75" customHeight="1" x14ac:dyDescent="0.25">
      <c r="A170" s="75">
        <v>3</v>
      </c>
      <c r="B170" s="77"/>
      <c r="C170" s="58" t="s">
        <v>193</v>
      </c>
      <c r="D170" s="57">
        <f>(89.33+1.745*1.1)*10.764</f>
        <v>982.20961799999986</v>
      </c>
      <c r="E170" s="57">
        <v>0</v>
      </c>
      <c r="F170" s="57">
        <f t="shared" si="4"/>
        <v>1571.5353888</v>
      </c>
      <c r="G170" s="84"/>
      <c r="H170" s="85"/>
      <c r="I170" s="31"/>
    </row>
    <row r="171" spans="1:9" s="56" customFormat="1" ht="69.75" customHeight="1" x14ac:dyDescent="0.25">
      <c r="A171" s="75">
        <v>4</v>
      </c>
      <c r="B171" s="77"/>
      <c r="C171" s="58" t="s">
        <v>205</v>
      </c>
      <c r="D171" s="57">
        <f>(224.94+3.475*1.03*2)*10.764</f>
        <v>2498.308254</v>
      </c>
      <c r="E171" s="57">
        <v>0</v>
      </c>
      <c r="F171" s="57">
        <f t="shared" si="4"/>
        <v>3997.2932064000001</v>
      </c>
      <c r="G171" s="84"/>
      <c r="H171" s="85"/>
      <c r="I171" s="31"/>
    </row>
    <row r="172" spans="1:9" s="56" customFormat="1" ht="15.75" customHeight="1" x14ac:dyDescent="0.25">
      <c r="A172" s="88" t="s">
        <v>206</v>
      </c>
      <c r="B172" s="89"/>
      <c r="C172" s="89"/>
      <c r="D172" s="89"/>
      <c r="E172" s="89"/>
      <c r="F172" s="89"/>
      <c r="G172" s="89"/>
      <c r="H172" s="90"/>
      <c r="I172" s="31"/>
    </row>
    <row r="173" spans="1:9" s="56" customFormat="1" ht="15.75" customHeight="1" x14ac:dyDescent="0.25">
      <c r="A173" s="75">
        <v>1</v>
      </c>
      <c r="B173" s="77"/>
      <c r="C173" s="93" t="s">
        <v>207</v>
      </c>
      <c r="D173" s="94"/>
      <c r="E173" s="94"/>
      <c r="F173" s="95"/>
      <c r="G173" s="78" t="str">
        <f>A172</f>
        <v xml:space="preserve">32nd Floor (Upper Duplex) </v>
      </c>
      <c r="H173" s="80"/>
      <c r="I173" s="31"/>
    </row>
    <row r="174" spans="1:9" s="56" customFormat="1" x14ac:dyDescent="0.25">
      <c r="A174" s="75">
        <v>2</v>
      </c>
      <c r="B174" s="77"/>
      <c r="C174" s="58" t="s">
        <v>193</v>
      </c>
      <c r="D174" s="57">
        <f>(89.04+1.1*1.675)*10.764</f>
        <v>978.25923</v>
      </c>
      <c r="E174" s="57">
        <v>0</v>
      </c>
      <c r="F174" s="57">
        <f t="shared" ref="F174:F175" si="5">D174*(($F$133)+1)+(IF(E174&lt;101,E174,IF(E174&lt;201,E174/2,IF(E174&lt;=301,E174/3,E174/4))))</f>
        <v>1565.214768</v>
      </c>
      <c r="G174" s="84"/>
      <c r="H174" s="85"/>
      <c r="I174" s="31"/>
    </row>
    <row r="175" spans="1:9" s="56" customFormat="1" ht="15.75" customHeight="1" x14ac:dyDescent="0.25">
      <c r="A175" s="75">
        <v>3</v>
      </c>
      <c r="B175" s="77"/>
      <c r="C175" s="58" t="s">
        <v>193</v>
      </c>
      <c r="D175" s="57">
        <f>(89.33+1.745*1.1)*10.764</f>
        <v>982.20961799999986</v>
      </c>
      <c r="E175" s="57">
        <v>0</v>
      </c>
      <c r="F175" s="57">
        <f t="shared" si="5"/>
        <v>1571.5353888</v>
      </c>
      <c r="G175" s="84"/>
      <c r="H175" s="85"/>
      <c r="I175" s="31"/>
    </row>
    <row r="176" spans="1:9" s="56" customFormat="1" ht="15.75" customHeight="1" x14ac:dyDescent="0.25">
      <c r="A176" s="75">
        <v>4</v>
      </c>
      <c r="B176" s="77"/>
      <c r="C176" s="93" t="s">
        <v>207</v>
      </c>
      <c r="D176" s="94"/>
      <c r="E176" s="94"/>
      <c r="F176" s="95"/>
      <c r="G176" s="84"/>
      <c r="H176" s="85"/>
      <c r="I176" s="31"/>
    </row>
    <row r="177" spans="1:9" s="56" customFormat="1" ht="15.75" customHeight="1" x14ac:dyDescent="0.25">
      <c r="A177" s="88" t="s">
        <v>208</v>
      </c>
      <c r="B177" s="89"/>
      <c r="C177" s="89"/>
      <c r="D177" s="89"/>
      <c r="E177" s="89"/>
      <c r="F177" s="89"/>
      <c r="G177" s="89"/>
      <c r="H177" s="90"/>
      <c r="I177" s="31"/>
    </row>
    <row r="178" spans="1:9" s="56" customFormat="1" ht="74.25" customHeight="1" x14ac:dyDescent="0.25">
      <c r="A178" s="75">
        <v>1</v>
      </c>
      <c r="B178" s="77"/>
      <c r="C178" s="58" t="s">
        <v>209</v>
      </c>
      <c r="D178" s="57">
        <f>(179.33+1.05*1.425*2)*10.764</f>
        <v>1962.5193900000002</v>
      </c>
      <c r="E178" s="57">
        <v>0</v>
      </c>
      <c r="F178" s="57">
        <f t="shared" ref="F178:F181" si="6">D178*(($F$133)+1)+(IF(E178&lt;101,E178,IF(E178&lt;201,E178/2,IF(E178&lt;=301,E178/3,E178/4))))</f>
        <v>3140.0310240000003</v>
      </c>
      <c r="G178" s="78" t="str">
        <f>A177</f>
        <v>33rd Floor (Lower Duplex) (Part Refuge Area)</v>
      </c>
      <c r="H178" s="80"/>
      <c r="I178" s="31"/>
    </row>
    <row r="179" spans="1:9" s="56" customFormat="1" x14ac:dyDescent="0.25">
      <c r="A179" s="75">
        <v>2</v>
      </c>
      <c r="B179" s="77"/>
      <c r="C179" s="58" t="s">
        <v>193</v>
      </c>
      <c r="D179" s="57">
        <f>(89.04+1.1*1.675)*10.764</f>
        <v>978.25923</v>
      </c>
      <c r="E179" s="57">
        <v>0</v>
      </c>
      <c r="F179" s="57">
        <f t="shared" si="6"/>
        <v>1565.214768</v>
      </c>
      <c r="G179" s="84"/>
      <c r="H179" s="85"/>
      <c r="I179" s="31"/>
    </row>
    <row r="180" spans="1:9" s="56" customFormat="1" ht="15.75" customHeight="1" x14ac:dyDescent="0.25">
      <c r="A180" s="75">
        <v>3</v>
      </c>
      <c r="B180" s="77"/>
      <c r="C180" s="58" t="s">
        <v>193</v>
      </c>
      <c r="D180" s="57">
        <f>(89.33+1.745*1.1)*10.764</f>
        <v>982.20961799999986</v>
      </c>
      <c r="E180" s="57">
        <v>0</v>
      </c>
      <c r="F180" s="57">
        <f t="shared" si="6"/>
        <v>1571.5353888</v>
      </c>
      <c r="G180" s="84"/>
      <c r="H180" s="85"/>
      <c r="I180" s="31"/>
    </row>
    <row r="181" spans="1:9" s="56" customFormat="1" ht="68.25" customHeight="1" x14ac:dyDescent="0.25">
      <c r="A181" s="75">
        <v>4</v>
      </c>
      <c r="B181" s="77"/>
      <c r="C181" s="58" t="s">
        <v>210</v>
      </c>
      <c r="D181" s="57">
        <f>(224.94+3.475*1.03*2)*10.764</f>
        <v>2498.308254</v>
      </c>
      <c r="E181" s="57">
        <v>0</v>
      </c>
      <c r="F181" s="57">
        <f t="shared" si="6"/>
        <v>3997.2932064000001</v>
      </c>
      <c r="G181" s="84"/>
      <c r="H181" s="85"/>
      <c r="I181" s="31"/>
    </row>
    <row r="182" spans="1:9" s="56" customFormat="1" ht="15.75" customHeight="1" x14ac:dyDescent="0.25">
      <c r="A182" s="88" t="s">
        <v>211</v>
      </c>
      <c r="B182" s="89"/>
      <c r="C182" s="89"/>
      <c r="D182" s="89"/>
      <c r="E182" s="89"/>
      <c r="F182" s="89"/>
      <c r="G182" s="89"/>
      <c r="H182" s="90"/>
      <c r="I182" s="31"/>
    </row>
    <row r="183" spans="1:9" s="56" customFormat="1" ht="15.75" customHeight="1" x14ac:dyDescent="0.25">
      <c r="A183" s="75">
        <v>1</v>
      </c>
      <c r="B183" s="77"/>
      <c r="C183" s="93" t="s">
        <v>212</v>
      </c>
      <c r="D183" s="94"/>
      <c r="E183" s="94"/>
      <c r="F183" s="95"/>
      <c r="G183" s="78" t="str">
        <f>A182</f>
        <v xml:space="preserve">34th Floor (Upper Duplex) </v>
      </c>
      <c r="H183" s="80"/>
      <c r="I183" s="31"/>
    </row>
    <row r="184" spans="1:9" s="56" customFormat="1" x14ac:dyDescent="0.25">
      <c r="A184" s="75">
        <v>2</v>
      </c>
      <c r="B184" s="77"/>
      <c r="C184" s="58" t="s">
        <v>193</v>
      </c>
      <c r="D184" s="57">
        <f>(89.04+1.1*1.675)*10.764</f>
        <v>978.25923</v>
      </c>
      <c r="E184" s="57">
        <v>0</v>
      </c>
      <c r="F184" s="57">
        <f t="shared" ref="F184:F185" si="7">D184*(($F$133)+1)+(IF(E184&lt;101,E184,IF(E184&lt;201,E184/2,IF(E184&lt;=301,E184/3,E184/4))))</f>
        <v>1565.214768</v>
      </c>
      <c r="G184" s="84"/>
      <c r="H184" s="85"/>
      <c r="I184" s="31"/>
    </row>
    <row r="185" spans="1:9" s="56" customFormat="1" ht="15.75" customHeight="1" x14ac:dyDescent="0.25">
      <c r="A185" s="75">
        <v>3</v>
      </c>
      <c r="B185" s="77"/>
      <c r="C185" s="58" t="s">
        <v>193</v>
      </c>
      <c r="D185" s="57">
        <f>(89.33+1.745*1.1)*10.764</f>
        <v>982.20961799999986</v>
      </c>
      <c r="E185" s="57">
        <v>0</v>
      </c>
      <c r="F185" s="57">
        <f t="shared" si="7"/>
        <v>1571.5353888</v>
      </c>
      <c r="G185" s="84"/>
      <c r="H185" s="85"/>
      <c r="I185" s="31"/>
    </row>
    <row r="186" spans="1:9" s="56" customFormat="1" ht="15.75" customHeight="1" x14ac:dyDescent="0.25">
      <c r="A186" s="75">
        <v>4</v>
      </c>
      <c r="B186" s="77"/>
      <c r="C186" s="93" t="s">
        <v>212</v>
      </c>
      <c r="D186" s="94"/>
      <c r="E186" s="94"/>
      <c r="F186" s="95"/>
      <c r="G186" s="84"/>
      <c r="H186" s="85"/>
      <c r="I186" s="31"/>
    </row>
    <row r="187" spans="1:9" s="56" customFormat="1" ht="15.75" customHeight="1" x14ac:dyDescent="0.25">
      <c r="A187" s="88" t="s">
        <v>213</v>
      </c>
      <c r="B187" s="89"/>
      <c r="C187" s="89"/>
      <c r="D187" s="89"/>
      <c r="E187" s="89"/>
      <c r="F187" s="89"/>
      <c r="G187" s="89"/>
      <c r="H187" s="90"/>
      <c r="I187" s="31"/>
    </row>
    <row r="188" spans="1:9" s="56" customFormat="1" ht="68.25" customHeight="1" x14ac:dyDescent="0.25">
      <c r="A188" s="75">
        <v>1</v>
      </c>
      <c r="B188" s="77"/>
      <c r="C188" s="58" t="s">
        <v>214</v>
      </c>
      <c r="D188" s="57">
        <f>(179.33+1.05*1.425*2)*10.764</f>
        <v>1962.5193900000002</v>
      </c>
      <c r="E188" s="57">
        <v>0</v>
      </c>
      <c r="F188" s="57">
        <f t="shared" ref="F188:F191" si="8">D188*(($F$133)+1)+(IF(E188&lt;101,E188,IF(E188&lt;201,E188/2,IF(E188&lt;=301,E188/3,E188/4))))</f>
        <v>3140.0310240000003</v>
      </c>
      <c r="G188" s="78" t="str">
        <f>A187</f>
        <v xml:space="preserve">35th Floor (Lower Duplex) </v>
      </c>
      <c r="H188" s="80"/>
      <c r="I188" s="31"/>
    </row>
    <row r="189" spans="1:9" s="56" customFormat="1" x14ac:dyDescent="0.25">
      <c r="A189" s="75">
        <v>2</v>
      </c>
      <c r="B189" s="77"/>
      <c r="C189" s="58" t="s">
        <v>193</v>
      </c>
      <c r="D189" s="57">
        <f>(89.04+1.1*1.675)*10.764</f>
        <v>978.25923</v>
      </c>
      <c r="E189" s="57">
        <v>0</v>
      </c>
      <c r="F189" s="57">
        <f t="shared" si="8"/>
        <v>1565.214768</v>
      </c>
      <c r="G189" s="84"/>
      <c r="H189" s="85"/>
      <c r="I189" s="31"/>
    </row>
    <row r="190" spans="1:9" s="56" customFormat="1" ht="15.75" customHeight="1" x14ac:dyDescent="0.25">
      <c r="A190" s="75">
        <v>3</v>
      </c>
      <c r="B190" s="77"/>
      <c r="C190" s="58" t="s">
        <v>193</v>
      </c>
      <c r="D190" s="57">
        <f>(89.33+1.745*1.1)*10.764</f>
        <v>982.20961799999986</v>
      </c>
      <c r="E190" s="57">
        <v>0</v>
      </c>
      <c r="F190" s="57">
        <f t="shared" si="8"/>
        <v>1571.5353888</v>
      </c>
      <c r="G190" s="84"/>
      <c r="H190" s="85"/>
      <c r="I190" s="31"/>
    </row>
    <row r="191" spans="1:9" s="56" customFormat="1" ht="64.5" customHeight="1" x14ac:dyDescent="0.25">
      <c r="A191" s="75">
        <v>4</v>
      </c>
      <c r="B191" s="77"/>
      <c r="C191" s="58" t="s">
        <v>215</v>
      </c>
      <c r="D191" s="57">
        <f>(224.94+3.475*1.03*2)*10.764</f>
        <v>2498.308254</v>
      </c>
      <c r="E191" s="57">
        <v>0</v>
      </c>
      <c r="F191" s="57">
        <f t="shared" si="8"/>
        <v>3997.2932064000001</v>
      </c>
      <c r="G191" s="84"/>
      <c r="H191" s="85"/>
      <c r="I191" s="31"/>
    </row>
    <row r="192" spans="1:9" s="56" customFormat="1" ht="15.75" customHeight="1" x14ac:dyDescent="0.25">
      <c r="A192" s="88" t="s">
        <v>216</v>
      </c>
      <c r="B192" s="89"/>
      <c r="C192" s="89"/>
      <c r="D192" s="89"/>
      <c r="E192" s="89"/>
      <c r="F192" s="89"/>
      <c r="G192" s="89"/>
      <c r="H192" s="90"/>
      <c r="I192" s="31"/>
    </row>
    <row r="193" spans="1:14" s="56" customFormat="1" ht="15.75" customHeight="1" x14ac:dyDescent="0.25">
      <c r="A193" s="75">
        <v>1</v>
      </c>
      <c r="B193" s="77"/>
      <c r="C193" s="93" t="s">
        <v>217</v>
      </c>
      <c r="D193" s="94"/>
      <c r="E193" s="94"/>
      <c r="F193" s="95"/>
      <c r="G193" s="78" t="str">
        <f>A192</f>
        <v xml:space="preserve">36th Floor (Upper Duplex) </v>
      </c>
      <c r="H193" s="80"/>
      <c r="I193" s="31"/>
    </row>
    <row r="194" spans="1:14" s="56" customFormat="1" x14ac:dyDescent="0.25">
      <c r="A194" s="75">
        <v>2</v>
      </c>
      <c r="B194" s="77"/>
      <c r="C194" s="58" t="s">
        <v>193</v>
      </c>
      <c r="D194" s="57">
        <f>(89.04+1.1*1.675)*10.764</f>
        <v>978.25923</v>
      </c>
      <c r="E194" s="57">
        <v>0</v>
      </c>
      <c r="F194" s="57">
        <f t="shared" ref="F194:F195" si="9">D194*(($F$133)+1)+(IF(E194&lt;101,E194,IF(E194&lt;201,E194/2,IF(E194&lt;=301,E194/3,E194/4))))</f>
        <v>1565.214768</v>
      </c>
      <c r="G194" s="84"/>
      <c r="H194" s="85"/>
      <c r="I194" s="31"/>
    </row>
    <row r="195" spans="1:14" s="56" customFormat="1" ht="15.75" customHeight="1" x14ac:dyDescent="0.25">
      <c r="A195" s="75">
        <v>3</v>
      </c>
      <c r="B195" s="77"/>
      <c r="C195" s="58" t="s">
        <v>193</v>
      </c>
      <c r="D195" s="57">
        <f>(89.33+1.745*1.1)*10.764</f>
        <v>982.20961799999986</v>
      </c>
      <c r="E195" s="57">
        <v>0</v>
      </c>
      <c r="F195" s="57">
        <f t="shared" si="9"/>
        <v>1571.5353888</v>
      </c>
      <c r="G195" s="84"/>
      <c r="H195" s="85"/>
      <c r="I195" s="31"/>
    </row>
    <row r="196" spans="1:14" s="56" customFormat="1" ht="15.75" customHeight="1" x14ac:dyDescent="0.25">
      <c r="A196" s="75">
        <v>4</v>
      </c>
      <c r="B196" s="77"/>
      <c r="C196" s="93" t="s">
        <v>217</v>
      </c>
      <c r="D196" s="94"/>
      <c r="E196" s="94"/>
      <c r="F196" s="95"/>
      <c r="G196" s="84"/>
      <c r="H196" s="85"/>
      <c r="I196" s="31"/>
    </row>
    <row r="197" spans="1:14" x14ac:dyDescent="0.25">
      <c r="A197" s="97" t="s">
        <v>239</v>
      </c>
      <c r="B197" s="97"/>
      <c r="C197" s="97"/>
      <c r="D197" s="97"/>
      <c r="E197" s="97"/>
      <c r="F197" s="97"/>
      <c r="G197" s="97"/>
      <c r="H197" s="97"/>
    </row>
    <row r="198" spans="1:14" ht="33.75" customHeight="1" x14ac:dyDescent="0.25">
      <c r="A198" s="91" t="s">
        <v>240</v>
      </c>
      <c r="B198" s="91"/>
      <c r="C198" s="91"/>
      <c r="D198" s="91"/>
      <c r="E198" s="91"/>
      <c r="F198" s="91"/>
      <c r="G198" s="91"/>
      <c r="H198" s="91"/>
    </row>
    <row r="199" spans="1:14" s="60" customFormat="1" x14ac:dyDescent="0.25">
      <c r="A199" s="87" t="s">
        <v>241</v>
      </c>
      <c r="B199" s="87"/>
      <c r="C199" s="87"/>
      <c r="D199" s="87"/>
      <c r="E199" s="87"/>
      <c r="F199" s="87"/>
      <c r="G199" s="87"/>
      <c r="H199" s="87"/>
      <c r="I199" s="31"/>
      <c r="L199" s="96"/>
      <c r="M199" s="96"/>
    </row>
    <row r="200" spans="1:14" s="60" customFormat="1" ht="15.75" customHeight="1" x14ac:dyDescent="0.25">
      <c r="A200" s="86">
        <v>1</v>
      </c>
      <c r="B200" s="86"/>
      <c r="C200" s="72" t="s">
        <v>196</v>
      </c>
      <c r="D200" s="73"/>
      <c r="E200" s="73"/>
      <c r="F200" s="74"/>
      <c r="G200" s="78" t="str">
        <f>A199</f>
        <v>1st Podium Floor For Residential, Fire Lobby &amp; Podium Parking</v>
      </c>
      <c r="H200" s="80"/>
      <c r="I200" s="31"/>
      <c r="N200" s="31"/>
    </row>
    <row r="201" spans="1:14" s="60" customFormat="1" x14ac:dyDescent="0.25">
      <c r="A201" s="86">
        <f>A200+1</f>
        <v>2</v>
      </c>
      <c r="B201" s="86"/>
      <c r="C201" s="58" t="s">
        <v>242</v>
      </c>
      <c r="D201" s="61">
        <f>(61.8+0.925*1.425)*10.764</f>
        <v>679.40349749999996</v>
      </c>
      <c r="E201" s="61">
        <v>0</v>
      </c>
      <c r="F201" s="61">
        <f t="shared" ref="F201:F202" si="10">D201*(($F$133)+1)+(IF(E201&lt;101,E201,IF(E201&lt;201,E201/2,IF(E201&lt;=301,E201/3,E201/4))))</f>
        <v>1087.0455959999999</v>
      </c>
      <c r="G201" s="84"/>
      <c r="H201" s="85"/>
      <c r="I201" s="31"/>
      <c r="J201" s="60">
        <f>3.05*5.455+1*2.4+3.05*2.45+0.6*2.375+1.55*0.9+3.13*3.175+3.5*3.25+1.525*2.45+1.375*2.275+3.05*1.02</f>
        <v>60.618374999999993</v>
      </c>
      <c r="N201" s="31"/>
    </row>
    <row r="202" spans="1:14" s="60" customFormat="1" x14ac:dyDescent="0.25">
      <c r="A202" s="86">
        <f>A201+1</f>
        <v>3</v>
      </c>
      <c r="B202" s="86"/>
      <c r="C202" s="58" t="s">
        <v>193</v>
      </c>
      <c r="D202" s="61">
        <f>(74.16+0.95*1.475)*10.764</f>
        <v>813.34129499999995</v>
      </c>
      <c r="E202" s="61">
        <v>0</v>
      </c>
      <c r="F202" s="61">
        <f t="shared" si="10"/>
        <v>1301.346072</v>
      </c>
      <c r="G202" s="84"/>
      <c r="H202" s="85"/>
      <c r="I202" s="31"/>
      <c r="N202" s="31"/>
    </row>
    <row r="203" spans="1:14" s="60" customFormat="1" x14ac:dyDescent="0.25">
      <c r="A203" s="86">
        <f>A202+1</f>
        <v>4</v>
      </c>
      <c r="B203" s="86"/>
      <c r="C203" s="75" t="s">
        <v>243</v>
      </c>
      <c r="D203" s="76"/>
      <c r="E203" s="76"/>
      <c r="F203" s="77"/>
      <c r="G203" s="84"/>
      <c r="H203" s="85"/>
      <c r="I203" s="31"/>
      <c r="N203" s="31"/>
    </row>
    <row r="204" spans="1:14" s="60" customFormat="1" x14ac:dyDescent="0.25">
      <c r="A204" s="86">
        <f t="shared" ref="A204:A205" si="11">A203+1</f>
        <v>5</v>
      </c>
      <c r="B204" s="86"/>
      <c r="C204" s="78" t="s">
        <v>196</v>
      </c>
      <c r="D204" s="79"/>
      <c r="E204" s="79"/>
      <c r="F204" s="80"/>
      <c r="G204" s="84"/>
      <c r="H204" s="85"/>
      <c r="I204" s="31"/>
      <c r="N204" s="31"/>
    </row>
    <row r="205" spans="1:14" s="60" customFormat="1" x14ac:dyDescent="0.25">
      <c r="A205" s="86">
        <f t="shared" si="11"/>
        <v>6</v>
      </c>
      <c r="B205" s="86"/>
      <c r="C205" s="81"/>
      <c r="D205" s="82"/>
      <c r="E205" s="82"/>
      <c r="F205" s="83"/>
      <c r="G205" s="81"/>
      <c r="H205" s="83"/>
      <c r="I205" s="31"/>
      <c r="N205" s="31"/>
    </row>
    <row r="206" spans="1:14" s="60" customFormat="1" x14ac:dyDescent="0.25">
      <c r="A206" s="87" t="s">
        <v>261</v>
      </c>
      <c r="B206" s="87"/>
      <c r="C206" s="87"/>
      <c r="D206" s="87"/>
      <c r="E206" s="87"/>
      <c r="F206" s="87"/>
      <c r="G206" s="87"/>
      <c r="H206" s="87"/>
      <c r="I206" s="31"/>
      <c r="L206" s="96"/>
      <c r="M206" s="96"/>
    </row>
    <row r="207" spans="1:14" s="60" customFormat="1" ht="15.75" customHeight="1" x14ac:dyDescent="0.25">
      <c r="A207" s="86">
        <v>1</v>
      </c>
      <c r="B207" s="86"/>
      <c r="C207" s="72" t="s">
        <v>196</v>
      </c>
      <c r="D207" s="73"/>
      <c r="E207" s="73"/>
      <c r="F207" s="74"/>
      <c r="G207" s="78" t="str">
        <f>A206</f>
        <v>2nd to 6th Podium Floor</v>
      </c>
      <c r="H207" s="80"/>
      <c r="I207" s="31"/>
      <c r="N207" s="31"/>
    </row>
    <row r="208" spans="1:14" s="60" customFormat="1" x14ac:dyDescent="0.25">
      <c r="A208" s="86">
        <f>A207+1</f>
        <v>2</v>
      </c>
      <c r="B208" s="86"/>
      <c r="C208" s="58" t="s">
        <v>242</v>
      </c>
      <c r="D208" s="61">
        <f>(61.8+0.925*1.425)*10.764</f>
        <v>679.40349749999996</v>
      </c>
      <c r="E208" s="61">
        <v>0</v>
      </c>
      <c r="F208" s="61">
        <f t="shared" ref="F208:F209" si="12">D208*(($F$133)+1)+(IF(E208&lt;101,E208,IF(E208&lt;201,E208/2,IF(E208&lt;=301,E208/3,E208/4))))</f>
        <v>1087.0455959999999</v>
      </c>
      <c r="G208" s="84"/>
      <c r="H208" s="85"/>
      <c r="I208" s="31"/>
      <c r="N208" s="31"/>
    </row>
    <row r="209" spans="1:14" s="60" customFormat="1" x14ac:dyDescent="0.25">
      <c r="A209" s="86">
        <f>A208+1</f>
        <v>3</v>
      </c>
      <c r="B209" s="86"/>
      <c r="C209" s="58" t="s">
        <v>193</v>
      </c>
      <c r="D209" s="61">
        <f>(74.16+0.95*1.475)*10.764</f>
        <v>813.34129499999995</v>
      </c>
      <c r="E209" s="61">
        <v>0</v>
      </c>
      <c r="F209" s="61">
        <f t="shared" si="12"/>
        <v>1301.346072</v>
      </c>
      <c r="G209" s="84"/>
      <c r="H209" s="85"/>
      <c r="I209" s="31"/>
      <c r="N209" s="31"/>
    </row>
    <row r="210" spans="1:14" s="60" customFormat="1" x14ac:dyDescent="0.25">
      <c r="A210" s="86">
        <f>A209+1</f>
        <v>4</v>
      </c>
      <c r="B210" s="86"/>
      <c r="C210" s="61" t="s">
        <v>242</v>
      </c>
      <c r="D210" s="61">
        <f>(63.18+1.55*1.02)*10.764</f>
        <v>697.08740399999988</v>
      </c>
      <c r="E210" s="61">
        <v>0</v>
      </c>
      <c r="F210" s="61">
        <f t="shared" ref="F210" si="13">D210*(($F$133)+1)+(IF(E210&lt;101,E210,IF(E210&lt;201,E210/2,IF(E210&lt;=301,E210/3,E210/4))))</f>
        <v>1115.3398463999999</v>
      </c>
      <c r="G210" s="84"/>
      <c r="H210" s="85"/>
      <c r="I210" s="31"/>
      <c r="N210" s="31"/>
    </row>
    <row r="211" spans="1:14" s="60" customFormat="1" x14ac:dyDescent="0.25">
      <c r="A211" s="86">
        <f t="shared" ref="A211:A212" si="14">A210+1</f>
        <v>5</v>
      </c>
      <c r="B211" s="86"/>
      <c r="C211" s="78" t="s">
        <v>196</v>
      </c>
      <c r="D211" s="79"/>
      <c r="E211" s="79"/>
      <c r="F211" s="80"/>
      <c r="G211" s="84"/>
      <c r="H211" s="85"/>
      <c r="I211" s="31"/>
      <c r="N211" s="31"/>
    </row>
    <row r="212" spans="1:14" s="60" customFormat="1" x14ac:dyDescent="0.25">
      <c r="A212" s="86">
        <f t="shared" si="14"/>
        <v>6</v>
      </c>
      <c r="B212" s="86"/>
      <c r="C212" s="81"/>
      <c r="D212" s="82"/>
      <c r="E212" s="82"/>
      <c r="F212" s="83"/>
      <c r="G212" s="81"/>
      <c r="H212" s="83"/>
      <c r="I212" s="31"/>
      <c r="N212" s="31"/>
    </row>
    <row r="213" spans="1:14" s="60" customFormat="1" x14ac:dyDescent="0.25">
      <c r="A213" s="87" t="s">
        <v>197</v>
      </c>
      <c r="B213" s="87"/>
      <c r="C213" s="87"/>
      <c r="D213" s="87"/>
      <c r="E213" s="87"/>
      <c r="F213" s="87"/>
      <c r="G213" s="87"/>
      <c r="H213" s="87"/>
      <c r="I213" s="31"/>
      <c r="L213" s="96"/>
      <c r="M213" s="96"/>
    </row>
    <row r="214" spans="1:14" s="60" customFormat="1" ht="15.75" customHeight="1" x14ac:dyDescent="0.25">
      <c r="A214" s="86">
        <v>1</v>
      </c>
      <c r="B214" s="86"/>
      <c r="C214" s="72" t="s">
        <v>244</v>
      </c>
      <c r="D214" s="73"/>
      <c r="E214" s="73"/>
      <c r="F214" s="74"/>
      <c r="G214" s="78" t="str">
        <f>A213</f>
        <v>7th Podium Floor For Residential &amp; Amenities</v>
      </c>
      <c r="H214" s="80"/>
      <c r="I214" s="31"/>
      <c r="N214" s="31"/>
    </row>
    <row r="215" spans="1:14" s="60" customFormat="1" x14ac:dyDescent="0.25">
      <c r="A215" s="86">
        <f>A214+1</f>
        <v>2</v>
      </c>
      <c r="B215" s="86"/>
      <c r="C215" s="58" t="s">
        <v>242</v>
      </c>
      <c r="D215" s="61">
        <f>(61.8+0.925*1.425)*10.764</f>
        <v>679.40349749999996</v>
      </c>
      <c r="E215" s="61">
        <v>0</v>
      </c>
      <c r="F215" s="61">
        <f t="shared" ref="F215:F217" si="15">D215*(($F$133)+1)+(IF(E215&lt;101,E215,IF(E215&lt;201,E215/2,IF(E215&lt;=301,E215/3,E215/4))))</f>
        <v>1087.0455959999999</v>
      </c>
      <c r="G215" s="84"/>
      <c r="H215" s="85"/>
      <c r="I215" s="31"/>
      <c r="N215" s="31"/>
    </row>
    <row r="216" spans="1:14" s="60" customFormat="1" x14ac:dyDescent="0.25">
      <c r="A216" s="86">
        <f>A215+1</f>
        <v>3</v>
      </c>
      <c r="B216" s="86"/>
      <c r="C216" s="58" t="s">
        <v>193</v>
      </c>
      <c r="D216" s="61">
        <f>(74.16+0.95*1.475)*10.764</f>
        <v>813.34129499999995</v>
      </c>
      <c r="E216" s="61">
        <v>0</v>
      </c>
      <c r="F216" s="61">
        <f t="shared" si="15"/>
        <v>1301.346072</v>
      </c>
      <c r="G216" s="84"/>
      <c r="H216" s="85"/>
      <c r="I216" s="31"/>
      <c r="N216" s="31"/>
    </row>
    <row r="217" spans="1:14" s="60" customFormat="1" x14ac:dyDescent="0.25">
      <c r="A217" s="86">
        <f>A216+1</f>
        <v>4</v>
      </c>
      <c r="B217" s="86"/>
      <c r="C217" s="58" t="s">
        <v>242</v>
      </c>
      <c r="D217" s="61">
        <f>(63.18+1.55*1.02)*10.764</f>
        <v>697.08740399999988</v>
      </c>
      <c r="E217" s="61">
        <v>0</v>
      </c>
      <c r="F217" s="61">
        <f t="shared" si="15"/>
        <v>1115.3398463999999</v>
      </c>
      <c r="G217" s="84"/>
      <c r="H217" s="85"/>
      <c r="I217" s="31"/>
      <c r="N217" s="31"/>
    </row>
    <row r="218" spans="1:14" s="60" customFormat="1" x14ac:dyDescent="0.25">
      <c r="A218" s="86">
        <f t="shared" ref="A218:A219" si="16">A217+1</f>
        <v>5</v>
      </c>
      <c r="B218" s="86"/>
      <c r="C218" s="72" t="s">
        <v>243</v>
      </c>
      <c r="D218" s="73"/>
      <c r="E218" s="73"/>
      <c r="F218" s="74"/>
      <c r="G218" s="84"/>
      <c r="H218" s="85"/>
      <c r="I218" s="31"/>
      <c r="N218" s="31"/>
    </row>
    <row r="219" spans="1:14" s="60" customFormat="1" x14ac:dyDescent="0.25">
      <c r="A219" s="86">
        <f t="shared" si="16"/>
        <v>6</v>
      </c>
      <c r="B219" s="86"/>
      <c r="C219" s="72" t="s">
        <v>244</v>
      </c>
      <c r="D219" s="73"/>
      <c r="E219" s="73"/>
      <c r="F219" s="74"/>
      <c r="G219" s="81"/>
      <c r="H219" s="83"/>
      <c r="I219" s="31"/>
      <c r="N219" s="31"/>
    </row>
    <row r="220" spans="1:14" s="60" customFormat="1" x14ac:dyDescent="0.25">
      <c r="A220" s="87" t="s">
        <v>199</v>
      </c>
      <c r="B220" s="87"/>
      <c r="C220" s="87"/>
      <c r="D220" s="87"/>
      <c r="E220" s="87"/>
      <c r="F220" s="87"/>
      <c r="G220" s="87"/>
      <c r="H220" s="87"/>
      <c r="I220" s="31"/>
      <c r="L220" s="96"/>
      <c r="M220" s="96"/>
    </row>
    <row r="221" spans="1:14" s="60" customFormat="1" ht="15.75" customHeight="1" x14ac:dyDescent="0.25">
      <c r="A221" s="86">
        <v>1</v>
      </c>
      <c r="B221" s="86"/>
      <c r="C221" s="72" t="s">
        <v>245</v>
      </c>
      <c r="D221" s="73"/>
      <c r="E221" s="73"/>
      <c r="F221" s="74"/>
      <c r="G221" s="78" t="str">
        <f>A220</f>
        <v>8th Podium Floor For Residential (Part Refuge Area)</v>
      </c>
      <c r="H221" s="80"/>
      <c r="I221" s="31"/>
      <c r="N221" s="31"/>
    </row>
    <row r="222" spans="1:14" s="60" customFormat="1" x14ac:dyDescent="0.25">
      <c r="A222" s="86">
        <f>A221+1</f>
        <v>2</v>
      </c>
      <c r="B222" s="86"/>
      <c r="C222" s="58" t="s">
        <v>242</v>
      </c>
      <c r="D222" s="61">
        <f>(61.8+0.925*1.425)*10.764</f>
        <v>679.40349749999996</v>
      </c>
      <c r="E222" s="61">
        <v>0</v>
      </c>
      <c r="F222" s="61">
        <f t="shared" ref="F222:F224" si="17">D222*(($F$133)+1)+(IF(E222&lt;101,E222,IF(E222&lt;201,E222/2,IF(E222&lt;=301,E222/3,E222/4))))</f>
        <v>1087.0455959999999</v>
      </c>
      <c r="G222" s="84"/>
      <c r="H222" s="85"/>
      <c r="I222" s="31"/>
      <c r="N222" s="31"/>
    </row>
    <row r="223" spans="1:14" s="60" customFormat="1" x14ac:dyDescent="0.25">
      <c r="A223" s="86">
        <f>A222+1</f>
        <v>3</v>
      </c>
      <c r="B223" s="86"/>
      <c r="C223" s="58" t="s">
        <v>193</v>
      </c>
      <c r="D223" s="61">
        <f>(74.16+0.95*1.475)*10.764</f>
        <v>813.34129499999995</v>
      </c>
      <c r="E223" s="61">
        <v>0</v>
      </c>
      <c r="F223" s="61">
        <f t="shared" si="17"/>
        <v>1301.346072</v>
      </c>
      <c r="G223" s="84"/>
      <c r="H223" s="85"/>
      <c r="I223" s="31"/>
      <c r="N223" s="31"/>
    </row>
    <row r="224" spans="1:14" s="60" customFormat="1" x14ac:dyDescent="0.25">
      <c r="A224" s="86">
        <f>A223+1</f>
        <v>4</v>
      </c>
      <c r="B224" s="86"/>
      <c r="C224" s="58" t="s">
        <v>249</v>
      </c>
      <c r="D224" s="61">
        <f>(44.62+1.55*1.02)*10.764</f>
        <v>497.30756399999996</v>
      </c>
      <c r="E224" s="61">
        <v>0</v>
      </c>
      <c r="F224" s="61">
        <f t="shared" si="17"/>
        <v>795.69210239999995</v>
      </c>
      <c r="G224" s="84"/>
      <c r="H224" s="85"/>
      <c r="I224" s="31"/>
      <c r="N224" s="31"/>
    </row>
    <row r="225" spans="1:14" s="60" customFormat="1" x14ac:dyDescent="0.25">
      <c r="A225" s="86">
        <f t="shared" ref="A225:A226" si="18">A224+1</f>
        <v>5</v>
      </c>
      <c r="B225" s="86"/>
      <c r="C225" s="72" t="s">
        <v>246</v>
      </c>
      <c r="D225" s="73"/>
      <c r="E225" s="73"/>
      <c r="F225" s="74"/>
      <c r="G225" s="84"/>
      <c r="H225" s="85"/>
      <c r="I225" s="31"/>
      <c r="N225" s="31"/>
    </row>
    <row r="226" spans="1:14" s="60" customFormat="1" x14ac:dyDescent="0.25">
      <c r="A226" s="86">
        <f t="shared" si="18"/>
        <v>6</v>
      </c>
      <c r="B226" s="86"/>
      <c r="C226" s="72" t="s">
        <v>245</v>
      </c>
      <c r="D226" s="73"/>
      <c r="E226" s="73"/>
      <c r="F226" s="74"/>
      <c r="G226" s="81"/>
      <c r="H226" s="83"/>
      <c r="I226" s="31"/>
      <c r="N226" s="31"/>
    </row>
    <row r="227" spans="1:14" s="60" customFormat="1" ht="15.75" customHeight="1" x14ac:dyDescent="0.25">
      <c r="A227" s="88" t="s">
        <v>247</v>
      </c>
      <c r="B227" s="89"/>
      <c r="C227" s="89"/>
      <c r="D227" s="89"/>
      <c r="E227" s="89"/>
      <c r="F227" s="89"/>
      <c r="G227" s="89"/>
      <c r="H227" s="90"/>
      <c r="I227" s="31"/>
    </row>
    <row r="228" spans="1:14" s="60" customFormat="1" ht="15.75" customHeight="1" x14ac:dyDescent="0.25">
      <c r="A228" s="75">
        <v>1</v>
      </c>
      <c r="B228" s="77"/>
      <c r="C228" s="58" t="s">
        <v>242</v>
      </c>
      <c r="D228" s="61">
        <f>(63.35+1.55*1.02)*10.764</f>
        <v>698.91728399999988</v>
      </c>
      <c r="E228" s="61">
        <v>0</v>
      </c>
      <c r="F228" s="61">
        <f t="shared" ref="F228:F231" si="19">D228*(($F$133)+1)+(IF(E228&lt;101,E228,IF(E228&lt;201,E228/2,IF(E228&lt;=301,E228/3,E228/4))))</f>
        <v>1118.2676543999999</v>
      </c>
      <c r="G228" s="78" t="str">
        <f>A227</f>
        <v>9th to 12th, 14th to 17th, 19th to 22nd, 24th to 27th, 29th to 32nd &amp; 34th to 36th Floor</v>
      </c>
      <c r="H228" s="80"/>
      <c r="I228" s="31"/>
    </row>
    <row r="229" spans="1:14" s="60" customFormat="1" x14ac:dyDescent="0.25">
      <c r="A229" s="75">
        <v>2</v>
      </c>
      <c r="B229" s="77"/>
      <c r="C229" s="58" t="s">
        <v>242</v>
      </c>
      <c r="D229" s="61">
        <f>(61.8+0.925*1.425)*10.764</f>
        <v>679.40349749999996</v>
      </c>
      <c r="E229" s="61">
        <v>0</v>
      </c>
      <c r="F229" s="61">
        <f t="shared" si="19"/>
        <v>1087.0455959999999</v>
      </c>
      <c r="G229" s="84"/>
      <c r="H229" s="85"/>
      <c r="I229" s="31"/>
    </row>
    <row r="230" spans="1:14" s="60" customFormat="1" ht="15.75" customHeight="1" x14ac:dyDescent="0.25">
      <c r="A230" s="75">
        <v>3</v>
      </c>
      <c r="B230" s="77"/>
      <c r="C230" s="58" t="s">
        <v>193</v>
      </c>
      <c r="D230" s="61">
        <f>(74.16+0.95*1.475)*10.764</f>
        <v>813.34129499999995</v>
      </c>
      <c r="E230" s="61">
        <v>0</v>
      </c>
      <c r="F230" s="61">
        <f t="shared" si="19"/>
        <v>1301.346072</v>
      </c>
      <c r="G230" s="84"/>
      <c r="H230" s="85"/>
      <c r="I230" s="31"/>
    </row>
    <row r="231" spans="1:14" s="60" customFormat="1" ht="15.75" customHeight="1" x14ac:dyDescent="0.25">
      <c r="A231" s="75">
        <v>4</v>
      </c>
      <c r="B231" s="77"/>
      <c r="C231" s="58" t="s">
        <v>242</v>
      </c>
      <c r="D231" s="61">
        <f>(63.18+1.55*1.02)*10.764</f>
        <v>697.08740399999988</v>
      </c>
      <c r="E231" s="61">
        <v>0</v>
      </c>
      <c r="F231" s="61">
        <f t="shared" si="19"/>
        <v>1115.3398463999999</v>
      </c>
      <c r="G231" s="84"/>
      <c r="H231" s="85"/>
      <c r="I231" s="31"/>
    </row>
    <row r="232" spans="1:14" s="60" customFormat="1" ht="15.75" customHeight="1" x14ac:dyDescent="0.25">
      <c r="A232" s="75">
        <v>5</v>
      </c>
      <c r="B232" s="77"/>
      <c r="C232" s="58" t="s">
        <v>193</v>
      </c>
      <c r="D232" s="61">
        <f>(73.93+0.95*1.475)*10.764</f>
        <v>810.86557500000004</v>
      </c>
      <c r="E232" s="61">
        <v>0</v>
      </c>
      <c r="F232" s="61">
        <f t="shared" ref="F232:F233" si="20">D232*(($F$133)+1)+(IF(E232&lt;101,E232,IF(E232&lt;201,E232/2,IF(E232&lt;=301,E232/3,E232/4))))</f>
        <v>1297.3849200000002</v>
      </c>
      <c r="G232" s="84"/>
      <c r="H232" s="85"/>
      <c r="I232" s="31"/>
    </row>
    <row r="233" spans="1:14" s="60" customFormat="1" ht="15.75" customHeight="1" x14ac:dyDescent="0.25">
      <c r="A233" s="75">
        <v>6</v>
      </c>
      <c r="B233" s="77"/>
      <c r="C233" s="58" t="s">
        <v>242</v>
      </c>
      <c r="D233" s="61">
        <f>(64.53+0.925*1.425)*10.764</f>
        <v>708.78921749999995</v>
      </c>
      <c r="E233" s="61">
        <v>0</v>
      </c>
      <c r="F233" s="61">
        <f t="shared" si="20"/>
        <v>1134.0627480000001</v>
      </c>
      <c r="G233" s="81"/>
      <c r="H233" s="83"/>
      <c r="I233" s="31"/>
    </row>
    <row r="234" spans="1:14" s="60" customFormat="1" ht="15.75" customHeight="1" x14ac:dyDescent="0.25">
      <c r="A234" s="88" t="s">
        <v>248</v>
      </c>
      <c r="B234" s="89"/>
      <c r="C234" s="89"/>
      <c r="D234" s="89"/>
      <c r="E234" s="89"/>
      <c r="F234" s="89"/>
      <c r="G234" s="89"/>
      <c r="H234" s="90"/>
      <c r="I234" s="31"/>
    </row>
    <row r="235" spans="1:14" s="60" customFormat="1" ht="15.75" customHeight="1" x14ac:dyDescent="0.25">
      <c r="A235" s="75">
        <v>1</v>
      </c>
      <c r="B235" s="77"/>
      <c r="C235" s="58" t="s">
        <v>242</v>
      </c>
      <c r="D235" s="61">
        <f>(63.35+1.55*1.02)*10.764</f>
        <v>698.91728399999988</v>
      </c>
      <c r="E235" s="61">
        <v>0</v>
      </c>
      <c r="F235" s="61">
        <f t="shared" ref="F235:F238" si="21">D235*(($F$133)+1)+(IF(E235&lt;101,E235,IF(E235&lt;201,E235/2,IF(E235&lt;=301,E235/3,E235/4))))</f>
        <v>1118.2676543999999</v>
      </c>
      <c r="G235" s="78" t="str">
        <f>A234</f>
        <v>13th 18th, 23rd, 28th &amp; 33rd Floor (Part Refuge Area)</v>
      </c>
      <c r="H235" s="80"/>
      <c r="I235" s="31"/>
    </row>
    <row r="236" spans="1:14" s="60" customFormat="1" x14ac:dyDescent="0.25">
      <c r="A236" s="75">
        <v>2</v>
      </c>
      <c r="B236" s="77"/>
      <c r="C236" s="58" t="s">
        <v>242</v>
      </c>
      <c r="D236" s="61">
        <f>(61.8+0.925*1.425)*10.764</f>
        <v>679.40349749999996</v>
      </c>
      <c r="E236" s="61">
        <v>0</v>
      </c>
      <c r="F236" s="61">
        <f t="shared" si="21"/>
        <v>1087.0455959999999</v>
      </c>
      <c r="G236" s="84"/>
      <c r="H236" s="85"/>
      <c r="I236" s="31"/>
    </row>
    <row r="237" spans="1:14" s="60" customFormat="1" ht="15.75" customHeight="1" x14ac:dyDescent="0.25">
      <c r="A237" s="75">
        <v>3</v>
      </c>
      <c r="B237" s="77"/>
      <c r="C237" s="58" t="s">
        <v>193</v>
      </c>
      <c r="D237" s="61">
        <f>(74.16+0.95*1.475)*10.764</f>
        <v>813.34129499999995</v>
      </c>
      <c r="E237" s="61">
        <v>0</v>
      </c>
      <c r="F237" s="61">
        <f t="shared" si="21"/>
        <v>1301.346072</v>
      </c>
      <c r="G237" s="84"/>
      <c r="H237" s="85"/>
      <c r="I237" s="31"/>
    </row>
    <row r="238" spans="1:14" s="60" customFormat="1" ht="15.75" customHeight="1" x14ac:dyDescent="0.25">
      <c r="A238" s="75">
        <v>4</v>
      </c>
      <c r="B238" s="77"/>
      <c r="C238" s="58" t="s">
        <v>249</v>
      </c>
      <c r="D238" s="61">
        <f>(44.62+1.55*1.02)*10.764</f>
        <v>497.30756399999996</v>
      </c>
      <c r="E238" s="61">
        <v>0</v>
      </c>
      <c r="F238" s="61">
        <f t="shared" si="21"/>
        <v>795.69210239999995</v>
      </c>
      <c r="G238" s="84"/>
      <c r="H238" s="85"/>
      <c r="I238" s="31"/>
    </row>
    <row r="239" spans="1:14" s="60" customFormat="1" ht="15.75" customHeight="1" x14ac:dyDescent="0.25">
      <c r="A239" s="75">
        <v>5</v>
      </c>
      <c r="B239" s="77"/>
      <c r="C239" s="58" t="s">
        <v>193</v>
      </c>
      <c r="D239" s="61">
        <f>(73.93+0.95*1.475)*10.764</f>
        <v>810.86557500000004</v>
      </c>
      <c r="E239" s="61">
        <v>0</v>
      </c>
      <c r="F239" s="61">
        <f t="shared" ref="F239:F240" si="22">D239*(($F$133)+1)+(IF(E239&lt;101,E239,IF(E239&lt;201,E239/2,IF(E239&lt;=301,E239/3,E239/4))))</f>
        <v>1297.3849200000002</v>
      </c>
      <c r="G239" s="84"/>
      <c r="H239" s="85"/>
      <c r="I239" s="31"/>
    </row>
    <row r="240" spans="1:14" s="60" customFormat="1" ht="15.75" customHeight="1" x14ac:dyDescent="0.25">
      <c r="A240" s="75">
        <v>6</v>
      </c>
      <c r="B240" s="77"/>
      <c r="C240" s="58" t="s">
        <v>242</v>
      </c>
      <c r="D240" s="61">
        <f>(64.53+0.925*1.425)*10.764</f>
        <v>708.78921749999995</v>
      </c>
      <c r="E240" s="61">
        <v>0</v>
      </c>
      <c r="F240" s="61">
        <f t="shared" si="22"/>
        <v>1134.0627480000001</v>
      </c>
      <c r="G240" s="81"/>
      <c r="H240" s="83"/>
      <c r="I240" s="31"/>
    </row>
    <row r="241" spans="1:15" x14ac:dyDescent="0.25">
      <c r="A241" s="97" t="s">
        <v>188</v>
      </c>
      <c r="B241" s="97"/>
      <c r="C241" s="97"/>
      <c r="D241" s="97"/>
      <c r="E241" s="97"/>
      <c r="F241" s="97"/>
      <c r="G241" s="97"/>
      <c r="H241" s="97"/>
    </row>
    <row r="242" spans="1:15" x14ac:dyDescent="0.25">
      <c r="A242" s="92" t="s">
        <v>250</v>
      </c>
      <c r="B242" s="92"/>
      <c r="C242" s="92"/>
      <c r="D242" s="92"/>
      <c r="E242" s="92"/>
      <c r="F242" s="92"/>
      <c r="G242" s="92"/>
      <c r="H242" s="92"/>
    </row>
    <row r="243" spans="1:15" x14ac:dyDescent="0.25">
      <c r="A243" s="91" t="s">
        <v>251</v>
      </c>
      <c r="B243" s="91"/>
      <c r="C243" s="91"/>
      <c r="D243" s="91"/>
      <c r="E243" s="91"/>
      <c r="F243" s="91"/>
      <c r="G243" s="91"/>
      <c r="H243" s="91"/>
    </row>
    <row r="244" spans="1:15" x14ac:dyDescent="0.25">
      <c r="A244" s="92" t="s">
        <v>252</v>
      </c>
      <c r="B244" s="92"/>
      <c r="C244" s="92"/>
      <c r="D244" s="92"/>
      <c r="E244" s="92"/>
      <c r="F244" s="92"/>
      <c r="G244" s="92"/>
      <c r="H244" s="92"/>
    </row>
    <row r="245" spans="1:15" x14ac:dyDescent="0.25">
      <c r="A245" s="92" t="s">
        <v>253</v>
      </c>
      <c r="B245" s="92"/>
      <c r="C245" s="92"/>
      <c r="D245" s="92"/>
      <c r="E245" s="92"/>
      <c r="F245" s="92"/>
      <c r="G245" s="92"/>
      <c r="H245" s="92"/>
    </row>
    <row r="246" spans="1:15" x14ac:dyDescent="0.25">
      <c r="A246" s="92" t="s">
        <v>254</v>
      </c>
      <c r="B246" s="92"/>
      <c r="C246" s="92"/>
      <c r="D246" s="92"/>
      <c r="E246" s="92"/>
      <c r="F246" s="92"/>
      <c r="G246" s="92"/>
      <c r="H246" s="92"/>
    </row>
    <row r="247" spans="1:15" s="60" customFormat="1" x14ac:dyDescent="0.25">
      <c r="A247" s="87" t="s">
        <v>267</v>
      </c>
      <c r="B247" s="87"/>
      <c r="C247" s="87"/>
      <c r="D247" s="87"/>
      <c r="E247" s="87"/>
      <c r="F247" s="87"/>
      <c r="G247" s="87"/>
      <c r="H247" s="87"/>
      <c r="I247" s="31"/>
      <c r="L247" s="96"/>
      <c r="M247" s="96"/>
    </row>
    <row r="248" spans="1:15" s="60" customFormat="1" ht="15.75" customHeight="1" x14ac:dyDescent="0.25">
      <c r="A248" s="86">
        <v>1</v>
      </c>
      <c r="B248" s="86"/>
      <c r="C248" s="58" t="s">
        <v>193</v>
      </c>
      <c r="D248" s="61">
        <f>(108.22)*10.764</f>
        <v>1164.8800799999999</v>
      </c>
      <c r="E248" s="61">
        <v>0</v>
      </c>
      <c r="F248" s="61">
        <f>D248*(($F$133)+1)+(IF(E248&lt;101,E248,IF(E248&lt;201,E248/2,IF(E248&lt;=301,E248/3,E248/4))))</f>
        <v>1863.8081279999999</v>
      </c>
      <c r="G248" s="78" t="str">
        <f>A247</f>
        <v>9th to 12th, 14th to 17th, 19th to 22nd, 24th, 26th, 27th, 29th to 30th &amp; 34th Floor</v>
      </c>
      <c r="H248" s="80"/>
      <c r="I248" s="31"/>
      <c r="N248" s="31"/>
    </row>
    <row r="249" spans="1:15" s="60" customFormat="1" x14ac:dyDescent="0.25">
      <c r="A249" s="86">
        <f>A248+1</f>
        <v>2</v>
      </c>
      <c r="B249" s="86"/>
      <c r="C249" s="58" t="s">
        <v>193</v>
      </c>
      <c r="D249" s="61">
        <f>(89.04)*10.764</f>
        <v>958.42655999999999</v>
      </c>
      <c r="E249" s="61">
        <v>0</v>
      </c>
      <c r="F249" s="61">
        <f t="shared" ref="F249:F251" si="23">D249*(($F$133)+1)+(IF(E249&lt;101,E249,IF(E249&lt;201,E249/2,IF(E249&lt;=301,E249/3,E249/4))))</f>
        <v>1533.4824960000001</v>
      </c>
      <c r="G249" s="84"/>
      <c r="H249" s="85"/>
      <c r="I249" s="31"/>
      <c r="N249" s="31"/>
    </row>
    <row r="250" spans="1:15" s="60" customFormat="1" x14ac:dyDescent="0.25">
      <c r="A250" s="86">
        <f>A249+1</f>
        <v>3</v>
      </c>
      <c r="B250" s="86"/>
      <c r="C250" s="58" t="s">
        <v>193</v>
      </c>
      <c r="D250" s="61">
        <f>(89.33)*10.764</f>
        <v>961.54811999999993</v>
      </c>
      <c r="E250" s="61">
        <v>0</v>
      </c>
      <c r="F250" s="61">
        <f t="shared" si="23"/>
        <v>1538.4769919999999</v>
      </c>
      <c r="G250" s="84"/>
      <c r="H250" s="85"/>
      <c r="I250" s="31"/>
      <c r="N250" s="31"/>
    </row>
    <row r="251" spans="1:15" s="60" customFormat="1" x14ac:dyDescent="0.25">
      <c r="A251" s="86">
        <f>A250+1</f>
        <v>4</v>
      </c>
      <c r="B251" s="86"/>
      <c r="C251" s="58" t="s">
        <v>194</v>
      </c>
      <c r="D251" s="61">
        <f>(131.47)*10.764</f>
        <v>1415.1430799999998</v>
      </c>
      <c r="E251" s="61">
        <v>0</v>
      </c>
      <c r="F251" s="61">
        <f t="shared" si="23"/>
        <v>2264.228928</v>
      </c>
      <c r="G251" s="84"/>
      <c r="H251" s="85"/>
      <c r="I251" s="31"/>
      <c r="N251" s="31"/>
    </row>
    <row r="252" spans="1:15" s="69" customFormat="1" x14ac:dyDescent="0.25">
      <c r="A252" s="87" t="s">
        <v>268</v>
      </c>
      <c r="B252" s="87"/>
      <c r="C252" s="87"/>
      <c r="D252" s="87"/>
      <c r="E252" s="87"/>
      <c r="F252" s="87"/>
      <c r="G252" s="87"/>
      <c r="H252" s="87"/>
      <c r="I252" s="31"/>
      <c r="L252" s="96"/>
      <c r="M252" s="96"/>
    </row>
    <row r="253" spans="1:15" s="69" customFormat="1" ht="15.75" customHeight="1" x14ac:dyDescent="0.25">
      <c r="A253" s="86">
        <v>1</v>
      </c>
      <c r="B253" s="86"/>
      <c r="C253" s="58" t="s">
        <v>193</v>
      </c>
      <c r="D253" s="68">
        <f>(108.22)*10.764</f>
        <v>1164.8800799999999</v>
      </c>
      <c r="E253" s="68">
        <v>0</v>
      </c>
      <c r="F253" s="68">
        <f>D253*(($F$133)+1)+(IF(E253&lt;101,E253,IF(E253&lt;201,E253/2,IF(E253&lt;=301,E253/3,E253/4))))</f>
        <v>1863.8081279999999</v>
      </c>
      <c r="G253" s="78" t="str">
        <f>A252</f>
        <v>25th Floor</v>
      </c>
      <c r="H253" s="80"/>
      <c r="I253" s="31"/>
      <c r="N253" s="31"/>
    </row>
    <row r="254" spans="1:15" s="69" customFormat="1" x14ac:dyDescent="0.25">
      <c r="A254" s="86">
        <f>A253+1</f>
        <v>2</v>
      </c>
      <c r="B254" s="86"/>
      <c r="C254" s="58" t="s">
        <v>193</v>
      </c>
      <c r="D254" s="68">
        <f>(89.04)*10.764</f>
        <v>958.42655999999999</v>
      </c>
      <c r="E254" s="68">
        <v>0</v>
      </c>
      <c r="F254" s="68">
        <f t="shared" ref="F254:F256" si="24">D254*(($F$133)+1)+(IF(E254&lt;101,E254,IF(E254&lt;201,E254/2,IF(E254&lt;=301,E254/3,E254/4))))</f>
        <v>1533.4824960000001</v>
      </c>
      <c r="G254" s="84"/>
      <c r="H254" s="85"/>
      <c r="I254" s="31"/>
      <c r="N254" s="31"/>
    </row>
    <row r="255" spans="1:15" s="69" customFormat="1" x14ac:dyDescent="0.25">
      <c r="A255" s="86">
        <f>A254+1</f>
        <v>3</v>
      </c>
      <c r="B255" s="86"/>
      <c r="C255" s="58" t="s">
        <v>193</v>
      </c>
      <c r="D255" s="68">
        <f>(89+4.05+1.92)*10.764</f>
        <v>1022.25708</v>
      </c>
      <c r="E255" s="68">
        <v>0</v>
      </c>
      <c r="F255" s="68">
        <f t="shared" si="24"/>
        <v>1635.611328</v>
      </c>
      <c r="G255" s="84"/>
      <c r="H255" s="85"/>
      <c r="I255" s="98" t="s">
        <v>269</v>
      </c>
      <c r="J255" s="99"/>
      <c r="K255" s="99"/>
      <c r="L255" s="99"/>
      <c r="M255" s="99"/>
      <c r="N255" s="99"/>
      <c r="O255" s="99"/>
    </row>
    <row r="256" spans="1:15" s="69" customFormat="1" x14ac:dyDescent="0.25">
      <c r="A256" s="86">
        <f>A255+1</f>
        <v>4</v>
      </c>
      <c r="B256" s="86"/>
      <c r="C256" s="58" t="s">
        <v>194</v>
      </c>
      <c r="D256" s="68">
        <f>(131.47)*10.764</f>
        <v>1415.1430799999998</v>
      </c>
      <c r="E256" s="68">
        <v>0</v>
      </c>
      <c r="F256" s="68">
        <f t="shared" si="24"/>
        <v>2264.228928</v>
      </c>
      <c r="G256" s="84"/>
      <c r="H256" s="85"/>
      <c r="I256" s="98"/>
      <c r="J256" s="99"/>
      <c r="K256" s="99"/>
      <c r="L256" s="99"/>
      <c r="M256" s="99"/>
      <c r="N256" s="99"/>
      <c r="O256" s="99"/>
    </row>
    <row r="257" spans="1:14" s="60" customFormat="1" x14ac:dyDescent="0.25">
      <c r="A257" s="87" t="s">
        <v>255</v>
      </c>
      <c r="B257" s="87"/>
      <c r="C257" s="87"/>
      <c r="D257" s="87"/>
      <c r="E257" s="87"/>
      <c r="F257" s="87"/>
      <c r="G257" s="87"/>
      <c r="H257" s="87"/>
      <c r="I257" s="31"/>
      <c r="L257" s="96"/>
      <c r="M257" s="96"/>
    </row>
    <row r="258" spans="1:14" s="60" customFormat="1" ht="15.75" customHeight="1" x14ac:dyDescent="0.25">
      <c r="A258" s="86">
        <v>1</v>
      </c>
      <c r="B258" s="86"/>
      <c r="C258" s="58" t="s">
        <v>193</v>
      </c>
      <c r="D258" s="61">
        <f>(108.79)*10.764</f>
        <v>1171.0155600000001</v>
      </c>
      <c r="E258" s="61">
        <v>0</v>
      </c>
      <c r="F258" s="61">
        <f>D258*(($F$133)+1)+(IF(E258&lt;101,E258,IF(E258&lt;201,E258/2,IF(E258&lt;=301,E258/3,E258/4))))</f>
        <v>1873.6248960000003</v>
      </c>
      <c r="G258" s="78" t="str">
        <f>A257</f>
        <v>13th, 18th, 23rd, 28th &amp; 33rd Floor (Part Refuge Area)</v>
      </c>
      <c r="H258" s="80"/>
      <c r="I258" s="31"/>
      <c r="N258" s="31"/>
    </row>
    <row r="259" spans="1:14" s="60" customFormat="1" x14ac:dyDescent="0.25">
      <c r="A259" s="86">
        <f>A258+1</f>
        <v>2</v>
      </c>
      <c r="B259" s="86"/>
      <c r="C259" s="58" t="s">
        <v>193</v>
      </c>
      <c r="D259" s="61">
        <f>(89.04)*10.764</f>
        <v>958.42655999999999</v>
      </c>
      <c r="E259" s="61">
        <v>0</v>
      </c>
      <c r="F259" s="61">
        <f t="shared" ref="F259:F261" si="25">D259*(($F$133)+1)+(IF(E259&lt;101,E259,IF(E259&lt;201,E259/2,IF(E259&lt;=301,E259/3,E259/4))))</f>
        <v>1533.4824960000001</v>
      </c>
      <c r="G259" s="84"/>
      <c r="H259" s="85"/>
      <c r="I259" s="31"/>
      <c r="N259" s="31"/>
    </row>
    <row r="260" spans="1:14" s="60" customFormat="1" x14ac:dyDescent="0.25">
      <c r="A260" s="86">
        <f>A259+1</f>
        <v>3</v>
      </c>
      <c r="B260" s="86"/>
      <c r="C260" s="58" t="s">
        <v>193</v>
      </c>
      <c r="D260" s="61">
        <f>(89.33)*10.764</f>
        <v>961.54811999999993</v>
      </c>
      <c r="E260" s="61">
        <v>0</v>
      </c>
      <c r="F260" s="61">
        <f t="shared" si="25"/>
        <v>1538.4769919999999</v>
      </c>
      <c r="G260" s="84"/>
      <c r="H260" s="85"/>
      <c r="I260" s="31"/>
      <c r="N260" s="31"/>
    </row>
    <row r="261" spans="1:14" s="60" customFormat="1" x14ac:dyDescent="0.25">
      <c r="A261" s="86">
        <f>A260+1</f>
        <v>4</v>
      </c>
      <c r="B261" s="86"/>
      <c r="C261" s="58" t="s">
        <v>193</v>
      </c>
      <c r="D261" s="61">
        <f>(112.31)*10.764</f>
        <v>1208.9048399999999</v>
      </c>
      <c r="E261" s="61">
        <v>0</v>
      </c>
      <c r="F261" s="61">
        <f t="shared" si="25"/>
        <v>1934.247744</v>
      </c>
      <c r="G261" s="84"/>
      <c r="H261" s="85"/>
      <c r="I261" s="31"/>
      <c r="N261" s="31"/>
    </row>
    <row r="262" spans="1:14" s="60" customFormat="1" ht="15.75" customHeight="1" x14ac:dyDescent="0.25">
      <c r="A262" s="88" t="s">
        <v>203</v>
      </c>
      <c r="B262" s="89"/>
      <c r="C262" s="89"/>
      <c r="D262" s="89"/>
      <c r="E262" s="89"/>
      <c r="F262" s="89"/>
      <c r="G262" s="89"/>
      <c r="H262" s="90"/>
      <c r="I262" s="31"/>
    </row>
    <row r="263" spans="1:14" s="60" customFormat="1" ht="75" customHeight="1" x14ac:dyDescent="0.25">
      <c r="A263" s="75">
        <v>1</v>
      </c>
      <c r="B263" s="77"/>
      <c r="C263" s="58" t="s">
        <v>204</v>
      </c>
      <c r="D263" s="61">
        <f>(179.79)*10.764</f>
        <v>1935.2595599999997</v>
      </c>
      <c r="E263" s="61">
        <v>0</v>
      </c>
      <c r="F263" s="61">
        <f t="shared" ref="F263:F266" si="26">D263*(($F$133)+1)+(IF(E263&lt;101,E263,IF(E263&lt;201,E263/2,IF(E263&lt;=301,E263/3,E263/4))))</f>
        <v>3096.4152959999997</v>
      </c>
      <c r="G263" s="78" t="str">
        <f>A262</f>
        <v xml:space="preserve">31st Floor (Lower Duplex) </v>
      </c>
      <c r="H263" s="80"/>
      <c r="I263" s="31"/>
    </row>
    <row r="264" spans="1:14" s="60" customFormat="1" x14ac:dyDescent="0.25">
      <c r="A264" s="75">
        <v>2</v>
      </c>
      <c r="B264" s="77"/>
      <c r="C264" s="58" t="s">
        <v>193</v>
      </c>
      <c r="D264" s="66">
        <f>(89.04+1.1*1.675)*10.764</f>
        <v>978.25923</v>
      </c>
      <c r="E264" s="61">
        <v>0</v>
      </c>
      <c r="F264" s="61">
        <f t="shared" si="26"/>
        <v>1565.214768</v>
      </c>
      <c r="G264" s="84"/>
      <c r="H264" s="85"/>
      <c r="I264" s="31"/>
    </row>
    <row r="265" spans="1:14" s="60" customFormat="1" ht="15.75" customHeight="1" x14ac:dyDescent="0.25">
      <c r="A265" s="75">
        <v>3</v>
      </c>
      <c r="B265" s="77"/>
      <c r="C265" s="58" t="s">
        <v>193</v>
      </c>
      <c r="D265" s="66">
        <f>(89.33+1.745*1.1)*10.764</f>
        <v>982.20961799999986</v>
      </c>
      <c r="E265" s="61">
        <v>0</v>
      </c>
      <c r="F265" s="61">
        <f t="shared" si="26"/>
        <v>1571.5353888</v>
      </c>
      <c r="G265" s="84"/>
      <c r="H265" s="85"/>
      <c r="I265" s="31"/>
    </row>
    <row r="266" spans="1:14" s="60" customFormat="1" ht="70.5" customHeight="1" x14ac:dyDescent="0.25">
      <c r="A266" s="75">
        <v>4</v>
      </c>
      <c r="B266" s="77"/>
      <c r="C266" s="58" t="s">
        <v>205</v>
      </c>
      <c r="D266" s="61">
        <f>(225.17)*10.764</f>
        <v>2423.7298799999999</v>
      </c>
      <c r="E266" s="61">
        <v>0</v>
      </c>
      <c r="F266" s="61">
        <f t="shared" si="26"/>
        <v>3877.9678079999999</v>
      </c>
      <c r="G266" s="84"/>
      <c r="H266" s="85"/>
      <c r="I266" s="31"/>
    </row>
    <row r="267" spans="1:14" s="60" customFormat="1" ht="15.75" customHeight="1" x14ac:dyDescent="0.25">
      <c r="A267" s="88" t="s">
        <v>206</v>
      </c>
      <c r="B267" s="89"/>
      <c r="C267" s="89"/>
      <c r="D267" s="89"/>
      <c r="E267" s="89"/>
      <c r="F267" s="89"/>
      <c r="G267" s="89"/>
      <c r="H267" s="90"/>
      <c r="I267" s="31"/>
    </row>
    <row r="268" spans="1:14" s="60" customFormat="1" ht="15.75" customHeight="1" x14ac:dyDescent="0.25">
      <c r="A268" s="75">
        <v>1</v>
      </c>
      <c r="B268" s="77"/>
      <c r="C268" s="93" t="s">
        <v>207</v>
      </c>
      <c r="D268" s="94"/>
      <c r="E268" s="94"/>
      <c r="F268" s="95"/>
      <c r="G268" s="78" t="str">
        <f>A267</f>
        <v xml:space="preserve">32nd Floor (Upper Duplex) </v>
      </c>
      <c r="H268" s="80"/>
      <c r="I268" s="31"/>
    </row>
    <row r="269" spans="1:14" s="60" customFormat="1" x14ac:dyDescent="0.25">
      <c r="A269" s="75">
        <v>2</v>
      </c>
      <c r="B269" s="77"/>
      <c r="C269" s="58" t="s">
        <v>193</v>
      </c>
      <c r="D269" s="61">
        <f>(89.04)*10.764</f>
        <v>958.42655999999999</v>
      </c>
      <c r="E269" s="61">
        <v>0</v>
      </c>
      <c r="F269" s="61">
        <f t="shared" ref="F269:F270" si="27">D269*(($F$133)+1)+(IF(E269&lt;101,E269,IF(E269&lt;201,E269/2,IF(E269&lt;=301,E269/3,E269/4))))</f>
        <v>1533.4824960000001</v>
      </c>
      <c r="G269" s="84"/>
      <c r="H269" s="85"/>
      <c r="I269" s="31"/>
    </row>
    <row r="270" spans="1:14" s="60" customFormat="1" ht="15.75" customHeight="1" x14ac:dyDescent="0.25">
      <c r="A270" s="75">
        <v>3</v>
      </c>
      <c r="B270" s="77"/>
      <c r="C270" s="58" t="s">
        <v>193</v>
      </c>
      <c r="D270" s="61">
        <f>(89.33)*10.764</f>
        <v>961.54811999999993</v>
      </c>
      <c r="E270" s="61">
        <v>0</v>
      </c>
      <c r="F270" s="61">
        <f t="shared" si="27"/>
        <v>1538.4769919999999</v>
      </c>
      <c r="G270" s="84"/>
      <c r="H270" s="85"/>
      <c r="I270" s="31"/>
    </row>
    <row r="271" spans="1:14" s="60" customFormat="1" ht="15.75" customHeight="1" x14ac:dyDescent="0.25">
      <c r="A271" s="75">
        <v>4</v>
      </c>
      <c r="B271" s="77"/>
      <c r="C271" s="93" t="s">
        <v>207</v>
      </c>
      <c r="D271" s="94"/>
      <c r="E271" s="94"/>
      <c r="F271" s="95"/>
      <c r="G271" s="84"/>
      <c r="H271" s="85"/>
      <c r="I271" s="31"/>
    </row>
    <row r="272" spans="1:14" s="60" customFormat="1" ht="15.75" customHeight="1" x14ac:dyDescent="0.25">
      <c r="A272" s="88" t="s">
        <v>213</v>
      </c>
      <c r="B272" s="89"/>
      <c r="C272" s="89"/>
      <c r="D272" s="89"/>
      <c r="E272" s="89"/>
      <c r="F272" s="89"/>
      <c r="G272" s="89"/>
      <c r="H272" s="90"/>
      <c r="I272" s="31"/>
    </row>
    <row r="273" spans="1:9" s="60" customFormat="1" ht="66" customHeight="1" x14ac:dyDescent="0.25">
      <c r="A273" s="75">
        <v>1</v>
      </c>
      <c r="B273" s="77"/>
      <c r="C273" s="58" t="s">
        <v>214</v>
      </c>
      <c r="D273" s="61">
        <f>(179.33+1.05*1.425*2)*10.764</f>
        <v>1962.5193900000002</v>
      </c>
      <c r="E273" s="61">
        <v>0</v>
      </c>
      <c r="F273" s="61">
        <f t="shared" ref="F273:F276" si="28">D273*(($F$133)+1)+(IF(E273&lt;101,E273,IF(E273&lt;201,E273/2,IF(E273&lt;=301,E273/3,E273/4))))</f>
        <v>3140.0310240000003</v>
      </c>
      <c r="G273" s="78" t="str">
        <f>A272</f>
        <v xml:space="preserve">35th Floor (Lower Duplex) </v>
      </c>
      <c r="H273" s="80"/>
      <c r="I273" s="31"/>
    </row>
    <row r="274" spans="1:9" s="60" customFormat="1" x14ac:dyDescent="0.25">
      <c r="A274" s="75">
        <v>2</v>
      </c>
      <c r="B274" s="77"/>
      <c r="C274" s="58" t="s">
        <v>193</v>
      </c>
      <c r="D274" s="61">
        <f>(89.04+1.1*1.675)*10.764</f>
        <v>978.25923</v>
      </c>
      <c r="E274" s="61">
        <v>0</v>
      </c>
      <c r="F274" s="61">
        <f t="shared" si="28"/>
        <v>1565.214768</v>
      </c>
      <c r="G274" s="84"/>
      <c r="H274" s="85"/>
      <c r="I274" s="31"/>
    </row>
    <row r="275" spans="1:9" s="60" customFormat="1" ht="15.75" customHeight="1" x14ac:dyDescent="0.25">
      <c r="A275" s="75">
        <v>3</v>
      </c>
      <c r="B275" s="77"/>
      <c r="C275" s="58" t="s">
        <v>193</v>
      </c>
      <c r="D275" s="61">
        <f>(89.33+1.745*1.1)*10.764</f>
        <v>982.20961799999986</v>
      </c>
      <c r="E275" s="61">
        <v>0</v>
      </c>
      <c r="F275" s="61">
        <f t="shared" si="28"/>
        <v>1571.5353888</v>
      </c>
      <c r="G275" s="84"/>
      <c r="H275" s="85"/>
      <c r="I275" s="31"/>
    </row>
    <row r="276" spans="1:9" s="60" customFormat="1" ht="63.75" customHeight="1" x14ac:dyDescent="0.25">
      <c r="A276" s="75">
        <v>4</v>
      </c>
      <c r="B276" s="77"/>
      <c r="C276" s="58" t="s">
        <v>215</v>
      </c>
      <c r="D276" s="61">
        <f>(224.94+3.475*1.03*2)*10.764</f>
        <v>2498.308254</v>
      </c>
      <c r="E276" s="61">
        <v>0</v>
      </c>
      <c r="F276" s="61">
        <f t="shared" si="28"/>
        <v>3997.2932064000001</v>
      </c>
      <c r="G276" s="84"/>
      <c r="H276" s="85"/>
      <c r="I276" s="31"/>
    </row>
    <row r="277" spans="1:9" s="60" customFormat="1" ht="15.75" customHeight="1" x14ac:dyDescent="0.25">
      <c r="A277" s="88" t="s">
        <v>216</v>
      </c>
      <c r="B277" s="89"/>
      <c r="C277" s="89"/>
      <c r="D277" s="89"/>
      <c r="E277" s="89"/>
      <c r="F277" s="89"/>
      <c r="G277" s="89"/>
      <c r="H277" s="90"/>
      <c r="I277" s="31"/>
    </row>
    <row r="278" spans="1:9" s="60" customFormat="1" ht="15.75" customHeight="1" x14ac:dyDescent="0.25">
      <c r="A278" s="75">
        <v>1</v>
      </c>
      <c r="B278" s="77"/>
      <c r="C278" s="93" t="s">
        <v>217</v>
      </c>
      <c r="D278" s="94"/>
      <c r="E278" s="94"/>
      <c r="F278" s="95"/>
      <c r="G278" s="78" t="str">
        <f>A277</f>
        <v xml:space="preserve">36th Floor (Upper Duplex) </v>
      </c>
      <c r="H278" s="80"/>
      <c r="I278" s="31"/>
    </row>
    <row r="279" spans="1:9" s="60" customFormat="1" x14ac:dyDescent="0.25">
      <c r="A279" s="75">
        <v>2</v>
      </c>
      <c r="B279" s="77"/>
      <c r="C279" s="58" t="s">
        <v>193</v>
      </c>
      <c r="D279" s="61">
        <f>(89.04)*10.764</f>
        <v>958.42655999999999</v>
      </c>
      <c r="E279" s="61">
        <v>0</v>
      </c>
      <c r="F279" s="61">
        <f t="shared" ref="F279:F280" si="29">D279*(($F$133)+1)+(IF(E279&lt;101,E279,IF(E279&lt;201,E279/2,IF(E279&lt;=301,E279/3,E279/4))))</f>
        <v>1533.4824960000001</v>
      </c>
      <c r="G279" s="84"/>
      <c r="H279" s="85"/>
      <c r="I279" s="31"/>
    </row>
    <row r="280" spans="1:9" s="60" customFormat="1" ht="15.75" customHeight="1" x14ac:dyDescent="0.25">
      <c r="A280" s="75">
        <v>3</v>
      </c>
      <c r="B280" s="77"/>
      <c r="C280" s="58" t="s">
        <v>193</v>
      </c>
      <c r="D280" s="61">
        <f>(89.33)*10.764</f>
        <v>961.54811999999993</v>
      </c>
      <c r="E280" s="61">
        <v>0</v>
      </c>
      <c r="F280" s="61">
        <f t="shared" si="29"/>
        <v>1538.4769919999999</v>
      </c>
      <c r="G280" s="84"/>
      <c r="H280" s="85"/>
      <c r="I280" s="31"/>
    </row>
    <row r="281" spans="1:9" s="60" customFormat="1" ht="15.75" customHeight="1" x14ac:dyDescent="0.25">
      <c r="A281" s="75">
        <v>4</v>
      </c>
      <c r="B281" s="77"/>
      <c r="C281" s="93" t="s">
        <v>217</v>
      </c>
      <c r="D281" s="94"/>
      <c r="E281" s="94"/>
      <c r="F281" s="95"/>
      <c r="G281" s="84"/>
      <c r="H281" s="85"/>
      <c r="I281" s="31"/>
    </row>
    <row r="282" spans="1:9" s="1" customFormat="1" x14ac:dyDescent="0.25">
      <c r="A282" s="179" t="s">
        <v>70</v>
      </c>
      <c r="B282" s="179"/>
      <c r="C282" s="179"/>
      <c r="D282" s="179"/>
      <c r="E282" s="179"/>
      <c r="F282" s="179"/>
      <c r="G282" s="179"/>
      <c r="H282" s="179"/>
    </row>
    <row r="283" spans="1:9" s="1" customFormat="1" x14ac:dyDescent="0.25">
      <c r="A283" s="50" t="s">
        <v>158</v>
      </c>
      <c r="B283" s="183" t="s">
        <v>276</v>
      </c>
      <c r="C283" s="184"/>
      <c r="D283" s="184"/>
      <c r="E283" s="184"/>
      <c r="F283" s="184"/>
      <c r="G283" s="184"/>
      <c r="H283" s="185"/>
    </row>
    <row r="284" spans="1:9" s="1" customFormat="1" x14ac:dyDescent="0.25">
      <c r="A284" s="50" t="s">
        <v>158</v>
      </c>
      <c r="B284" s="183" t="str">
        <f>(IF(F132="Saleable area Loading :","We have considered Saleable area of Flats as per our Calculation.","We considered Saleable area of Flat as per Builder area Sheet."))</f>
        <v>We have considered Saleable area of Flats as per our Calculation.</v>
      </c>
      <c r="C284" s="184"/>
      <c r="D284" s="184"/>
      <c r="E284" s="184"/>
      <c r="F284" s="184"/>
      <c r="G284" s="184"/>
      <c r="H284" s="185"/>
    </row>
    <row r="285" spans="1:9" s="1" customFormat="1" x14ac:dyDescent="0.25">
      <c r="A285" s="46" t="s">
        <v>158</v>
      </c>
      <c r="B285" s="180" t="s">
        <v>128</v>
      </c>
      <c r="C285" s="181"/>
      <c r="D285" s="181"/>
      <c r="E285" s="181"/>
      <c r="F285" s="181"/>
      <c r="G285" s="181"/>
      <c r="H285" s="182"/>
    </row>
    <row r="286" spans="1:9" s="1" customFormat="1" x14ac:dyDescent="0.25">
      <c r="A286" s="46" t="s">
        <v>158</v>
      </c>
      <c r="B286" s="180" t="s">
        <v>174</v>
      </c>
      <c r="C286" s="181"/>
      <c r="D286" s="181"/>
      <c r="E286" s="181"/>
      <c r="F286" s="181"/>
      <c r="G286" s="181"/>
      <c r="H286" s="182"/>
    </row>
    <row r="287" spans="1:9" s="1" customFormat="1" x14ac:dyDescent="0.25">
      <c r="A287" s="46" t="s">
        <v>158</v>
      </c>
      <c r="B287" s="180" t="s">
        <v>157</v>
      </c>
      <c r="C287" s="181"/>
      <c r="D287" s="181"/>
      <c r="E287" s="181"/>
      <c r="F287" s="181"/>
      <c r="G287" s="181"/>
      <c r="H287" s="182"/>
    </row>
    <row r="288" spans="1:9" s="1" customFormat="1" x14ac:dyDescent="0.25">
      <c r="A288" s="46" t="s">
        <v>158</v>
      </c>
      <c r="B288" s="180" t="s">
        <v>129</v>
      </c>
      <c r="C288" s="181"/>
      <c r="D288" s="181"/>
      <c r="E288" s="181"/>
      <c r="F288" s="181"/>
      <c r="G288" s="181"/>
      <c r="H288" s="182"/>
    </row>
    <row r="289" spans="1:10" s="1" customFormat="1" ht="34.5" customHeight="1" x14ac:dyDescent="0.25">
      <c r="A289" s="46" t="s">
        <v>158</v>
      </c>
      <c r="B289" s="180" t="s">
        <v>162</v>
      </c>
      <c r="C289" s="181"/>
      <c r="D289" s="181"/>
      <c r="E289" s="181"/>
      <c r="F289" s="181"/>
      <c r="G289" s="181"/>
      <c r="H289" s="182"/>
    </row>
    <row r="290" spans="1:10" s="1" customFormat="1" x14ac:dyDescent="0.25">
      <c r="A290" s="50" t="s">
        <v>158</v>
      </c>
      <c r="B290" s="183" t="s">
        <v>130</v>
      </c>
      <c r="C290" s="184"/>
      <c r="D290" s="184"/>
      <c r="E290" s="184"/>
      <c r="F290" s="184"/>
      <c r="G290" s="184"/>
      <c r="H290" s="185"/>
    </row>
    <row r="291" spans="1:10" s="1" customFormat="1" ht="38.25" hidden="1" customHeight="1" x14ac:dyDescent="0.25">
      <c r="A291" s="50" t="s">
        <v>158</v>
      </c>
      <c r="B291" s="183" t="s">
        <v>256</v>
      </c>
      <c r="C291" s="184"/>
      <c r="D291" s="184"/>
      <c r="E291" s="184"/>
      <c r="F291" s="184"/>
      <c r="G291" s="184"/>
      <c r="H291" s="185"/>
    </row>
    <row r="292" spans="1:10" s="1" customFormat="1" hidden="1" x14ac:dyDescent="0.25">
      <c r="A292" s="50" t="s">
        <v>158</v>
      </c>
      <c r="B292" s="183" t="s">
        <v>175</v>
      </c>
      <c r="C292" s="184"/>
      <c r="D292" s="184"/>
      <c r="E292" s="184"/>
      <c r="F292" s="184"/>
      <c r="G292" s="184"/>
      <c r="H292" s="185"/>
    </row>
    <row r="293" spans="1:10" s="1" customFormat="1" x14ac:dyDescent="0.25">
      <c r="A293" s="50" t="s">
        <v>158</v>
      </c>
      <c r="B293" s="183" t="s">
        <v>259</v>
      </c>
      <c r="C293" s="184"/>
      <c r="D293" s="184"/>
      <c r="E293" s="184"/>
      <c r="F293" s="184"/>
      <c r="G293" s="184"/>
      <c r="H293" s="185"/>
    </row>
    <row r="294" spans="1:10" s="1" customFormat="1" ht="36" customHeight="1" x14ac:dyDescent="0.25">
      <c r="A294" s="70" t="s">
        <v>158</v>
      </c>
      <c r="B294" s="192" t="s">
        <v>272</v>
      </c>
      <c r="C294" s="193"/>
      <c r="D294" s="193"/>
      <c r="E294" s="193"/>
      <c r="F294" s="193"/>
      <c r="G294" s="193"/>
      <c r="H294" s="194"/>
    </row>
    <row r="295" spans="1:10" x14ac:dyDescent="0.25">
      <c r="A295" s="195" t="s">
        <v>63</v>
      </c>
      <c r="B295" s="195"/>
      <c r="C295" s="195"/>
      <c r="D295" s="195"/>
      <c r="E295" s="195"/>
      <c r="F295" s="195"/>
      <c r="G295" s="195"/>
      <c r="H295" s="195"/>
    </row>
    <row r="296" spans="1:10" x14ac:dyDescent="0.25">
      <c r="A296" s="134" t="s">
        <v>64</v>
      </c>
      <c r="B296" s="134"/>
      <c r="C296" s="134"/>
      <c r="D296" s="134"/>
      <c r="E296" s="134"/>
      <c r="F296" s="134"/>
      <c r="G296" s="134"/>
      <c r="H296" s="134"/>
      <c r="J296" t="s">
        <v>175</v>
      </c>
    </row>
    <row r="297" spans="1:10" ht="15.75" customHeight="1" x14ac:dyDescent="0.25">
      <c r="A297" s="191" t="s">
        <v>65</v>
      </c>
      <c r="B297" s="191"/>
      <c r="C297" s="191"/>
      <c r="D297" s="191"/>
      <c r="E297" s="191"/>
      <c r="F297" s="191"/>
      <c r="G297" s="191"/>
      <c r="H297" s="191"/>
    </row>
    <row r="298" spans="1:10" x14ac:dyDescent="0.25">
      <c r="A298" s="134" t="s">
        <v>66</v>
      </c>
      <c r="B298" s="134"/>
      <c r="C298" s="134"/>
      <c r="D298" s="134"/>
      <c r="E298" s="134"/>
      <c r="F298" s="134"/>
      <c r="G298" s="134"/>
      <c r="H298" s="134"/>
    </row>
    <row r="299" spans="1:10" x14ac:dyDescent="0.25">
      <c r="A299" s="134" t="s">
        <v>67</v>
      </c>
      <c r="B299" s="134"/>
      <c r="C299" s="134"/>
      <c r="D299" s="134"/>
      <c r="E299" s="134"/>
      <c r="F299" s="134"/>
      <c r="G299" s="134"/>
      <c r="H299" s="134"/>
    </row>
    <row r="300" spans="1:10" x14ac:dyDescent="0.25">
      <c r="A300" s="134" t="s">
        <v>131</v>
      </c>
      <c r="B300" s="134"/>
      <c r="C300" s="134"/>
      <c r="D300" s="134"/>
      <c r="E300" s="134"/>
      <c r="F300" s="134"/>
      <c r="G300" s="134"/>
      <c r="H300" s="134"/>
    </row>
    <row r="301" spans="1:10" ht="35.25" customHeight="1" x14ac:dyDescent="0.25">
      <c r="A301" s="136" t="s">
        <v>132</v>
      </c>
      <c r="B301" s="136"/>
      <c r="C301" s="136"/>
      <c r="D301" s="136"/>
      <c r="E301" s="136"/>
      <c r="F301" s="136"/>
      <c r="G301" s="136"/>
      <c r="H301" s="136"/>
    </row>
    <row r="302" spans="1:10" x14ac:dyDescent="0.25">
      <c r="A302" s="190" t="s">
        <v>79</v>
      </c>
      <c r="B302" s="190"/>
      <c r="C302" s="190" t="s">
        <v>275</v>
      </c>
      <c r="D302" s="190"/>
      <c r="E302" s="190" t="s">
        <v>111</v>
      </c>
      <c r="F302" s="190"/>
      <c r="G302" s="190" t="s">
        <v>274</v>
      </c>
      <c r="H302" s="190"/>
    </row>
    <row r="303" spans="1:10" x14ac:dyDescent="0.25">
      <c r="A303" s="189" t="s">
        <v>81</v>
      </c>
      <c r="B303" s="189"/>
      <c r="C303" s="189"/>
      <c r="D303" s="189"/>
      <c r="E303" s="189"/>
      <c r="F303" s="189"/>
      <c r="G303" s="189"/>
      <c r="H303" s="189"/>
    </row>
    <row r="304" spans="1:10" x14ac:dyDescent="0.25">
      <c r="A304" s="189"/>
      <c r="B304" s="189"/>
      <c r="C304" s="189"/>
      <c r="D304" s="189"/>
      <c r="E304" s="189"/>
      <c r="F304" s="189"/>
      <c r="G304" s="189"/>
      <c r="H304" s="189"/>
    </row>
    <row r="305" spans="1:8" x14ac:dyDescent="0.25">
      <c r="A305" s="189"/>
      <c r="B305" s="189"/>
      <c r="C305" s="189"/>
      <c r="D305" s="189"/>
      <c r="E305" s="189"/>
      <c r="F305" s="189"/>
      <c r="G305" s="189"/>
      <c r="H305" s="189"/>
    </row>
    <row r="306" spans="1:8" x14ac:dyDescent="0.25">
      <c r="A306" s="189"/>
      <c r="B306" s="189"/>
      <c r="C306" s="189"/>
      <c r="D306" s="189"/>
      <c r="E306" s="189"/>
      <c r="F306" s="189"/>
      <c r="G306" s="189"/>
      <c r="H306" s="189"/>
    </row>
    <row r="307" spans="1:8" x14ac:dyDescent="0.25">
      <c r="A307" s="9" t="s">
        <v>68</v>
      </c>
      <c r="B307" s="10"/>
      <c r="C307" s="10"/>
      <c r="D307" s="9" t="str">
        <f>E8</f>
        <v>Runwal Gardens Phase VIII</v>
      </c>
      <c r="F307" s="10"/>
      <c r="G307" s="10"/>
      <c r="H307" s="10"/>
    </row>
    <row r="308" spans="1:8" x14ac:dyDescent="0.25">
      <c r="A308" s="10"/>
      <c r="B308" s="10"/>
      <c r="C308" s="10"/>
      <c r="D308" s="10"/>
      <c r="E308" s="10"/>
      <c r="F308" s="10"/>
      <c r="G308" s="10"/>
      <c r="H308" s="10"/>
    </row>
    <row r="309" spans="1:8" x14ac:dyDescent="0.25">
      <c r="A309" s="10"/>
      <c r="B309" s="10"/>
      <c r="C309" s="10"/>
      <c r="D309" s="10"/>
      <c r="E309" s="10"/>
      <c r="F309" s="10"/>
      <c r="G309" s="10"/>
      <c r="H309" s="10"/>
    </row>
    <row r="310" spans="1:8" ht="15" customHeight="1" x14ac:dyDescent="0.25"/>
    <row r="350" spans="1:8" ht="15.75" customHeight="1" x14ac:dyDescent="0.25">
      <c r="A350" s="10" t="s">
        <v>218</v>
      </c>
      <c r="B350" s="10"/>
      <c r="C350" s="10"/>
      <c r="D350" s="9"/>
      <c r="F350" s="10"/>
      <c r="G350" s="10"/>
      <c r="H350" s="10"/>
    </row>
    <row r="351" spans="1:8" x14ac:dyDescent="0.25">
      <c r="A351" s="10"/>
      <c r="B351" s="10"/>
      <c r="C351" s="10"/>
      <c r="D351" s="10"/>
      <c r="E351" s="10"/>
      <c r="F351" s="10"/>
      <c r="G351" s="10"/>
      <c r="H351" s="10"/>
    </row>
    <row r="375" spans="1:1" x14ac:dyDescent="0.25">
      <c r="A375" s="12" t="s">
        <v>69</v>
      </c>
    </row>
  </sheetData>
  <mergeCells count="489">
    <mergeCell ref="C37:H37"/>
    <mergeCell ref="A64:C64"/>
    <mergeCell ref="D64:H64"/>
    <mergeCell ref="A84:B84"/>
    <mergeCell ref="G83:H83"/>
    <mergeCell ref="A82:B82"/>
    <mergeCell ref="A80:B80"/>
    <mergeCell ref="C80:H80"/>
    <mergeCell ref="E40:H40"/>
    <mergeCell ref="A40:D40"/>
    <mergeCell ref="D53:H53"/>
    <mergeCell ref="C49:E49"/>
    <mergeCell ref="D56:H56"/>
    <mergeCell ref="C48:E48"/>
    <mergeCell ref="G49:H49"/>
    <mergeCell ref="A45:H45"/>
    <mergeCell ref="A47:B47"/>
    <mergeCell ref="A48:B48"/>
    <mergeCell ref="A52:H52"/>
    <mergeCell ref="A53:C53"/>
    <mergeCell ref="C50:H50"/>
    <mergeCell ref="F112:H112"/>
    <mergeCell ref="A110:E110"/>
    <mergeCell ref="A112:E112"/>
    <mergeCell ref="C51:E51"/>
    <mergeCell ref="A89:B89"/>
    <mergeCell ref="F109:H109"/>
    <mergeCell ref="A108:H108"/>
    <mergeCell ref="A51:B51"/>
    <mergeCell ref="D55:H55"/>
    <mergeCell ref="A55:C55"/>
    <mergeCell ref="A91:B91"/>
    <mergeCell ref="C82:H82"/>
    <mergeCell ref="A85:B85"/>
    <mergeCell ref="A87:B87"/>
    <mergeCell ref="E83:F83"/>
    <mergeCell ref="B291:H291"/>
    <mergeCell ref="B292:H292"/>
    <mergeCell ref="B285:H285"/>
    <mergeCell ref="B286:H286"/>
    <mergeCell ref="F118:H118"/>
    <mergeCell ref="A119:E119"/>
    <mergeCell ref="B290:H290"/>
    <mergeCell ref="A176:B176"/>
    <mergeCell ref="A185:B185"/>
    <mergeCell ref="A186:B186"/>
    <mergeCell ref="A178:B178"/>
    <mergeCell ref="A179:B179"/>
    <mergeCell ref="A180:B180"/>
    <mergeCell ref="G125:H125"/>
    <mergeCell ref="A128:B128"/>
    <mergeCell ref="C128:D128"/>
    <mergeCell ref="A165:B165"/>
    <mergeCell ref="A162:H162"/>
    <mergeCell ref="A163:B163"/>
    <mergeCell ref="C139:F140"/>
    <mergeCell ref="A142:H142"/>
    <mergeCell ref="A152:H152"/>
    <mergeCell ref="G138:H141"/>
    <mergeCell ref="A187:H187"/>
    <mergeCell ref="G188:H191"/>
    <mergeCell ref="A141:B141"/>
    <mergeCell ref="A182:H182"/>
    <mergeCell ref="A183:B183"/>
    <mergeCell ref="C183:F183"/>
    <mergeCell ref="G183:H186"/>
    <mergeCell ref="C186:F186"/>
    <mergeCell ref="A191:B191"/>
    <mergeCell ref="A188:B188"/>
    <mergeCell ref="A189:B189"/>
    <mergeCell ref="A190:B190"/>
    <mergeCell ref="G178:H181"/>
    <mergeCell ref="A181:B181"/>
    <mergeCell ref="A177:H177"/>
    <mergeCell ref="A184:B184"/>
    <mergeCell ref="A153:B153"/>
    <mergeCell ref="A154:B154"/>
    <mergeCell ref="A155:B155"/>
    <mergeCell ref="A156:B156"/>
    <mergeCell ref="A166:B166"/>
    <mergeCell ref="A303:H306"/>
    <mergeCell ref="A302:B302"/>
    <mergeCell ref="E302:F302"/>
    <mergeCell ref="C302:D302"/>
    <mergeCell ref="G302:H302"/>
    <mergeCell ref="A301:H301"/>
    <mergeCell ref="A299:H299"/>
    <mergeCell ref="A192:H192"/>
    <mergeCell ref="C193:F193"/>
    <mergeCell ref="A300:H300"/>
    <mergeCell ref="G193:H196"/>
    <mergeCell ref="C196:F196"/>
    <mergeCell ref="A196:B196"/>
    <mergeCell ref="A193:B193"/>
    <mergeCell ref="A194:B194"/>
    <mergeCell ref="A195:B195"/>
    <mergeCell ref="B293:H293"/>
    <mergeCell ref="A297:H297"/>
    <mergeCell ref="B289:H289"/>
    <mergeCell ref="B287:H287"/>
    <mergeCell ref="A298:H298"/>
    <mergeCell ref="B294:H294"/>
    <mergeCell ref="A295:H295"/>
    <mergeCell ref="A296:H296"/>
    <mergeCell ref="A282:H282"/>
    <mergeCell ref="B132:B133"/>
    <mergeCell ref="A157:H157"/>
    <mergeCell ref="C124:D124"/>
    <mergeCell ref="E124:F124"/>
    <mergeCell ref="B288:H288"/>
    <mergeCell ref="B283:H283"/>
    <mergeCell ref="B284:H284"/>
    <mergeCell ref="A140:B140"/>
    <mergeCell ref="A138:B138"/>
    <mergeCell ref="A139:B139"/>
    <mergeCell ref="A161:B161"/>
    <mergeCell ref="A158:B158"/>
    <mergeCell ref="A135:H135"/>
    <mergeCell ref="A143:B143"/>
    <mergeCell ref="A137:H137"/>
    <mergeCell ref="A124:B124"/>
    <mergeCell ref="D132:D133"/>
    <mergeCell ref="E132:E133"/>
    <mergeCell ref="A126:B126"/>
    <mergeCell ref="G158:H161"/>
    <mergeCell ref="C149:F151"/>
    <mergeCell ref="C154:F156"/>
    <mergeCell ref="G163:H166"/>
    <mergeCell ref="A1:H1"/>
    <mergeCell ref="A2:H2"/>
    <mergeCell ref="A3:D3"/>
    <mergeCell ref="E3:H3"/>
    <mergeCell ref="A4:D4"/>
    <mergeCell ref="A8:D8"/>
    <mergeCell ref="E8:H8"/>
    <mergeCell ref="A10:D10"/>
    <mergeCell ref="E10:H10"/>
    <mergeCell ref="E4:H4"/>
    <mergeCell ref="A9:D9"/>
    <mergeCell ref="E9:H9"/>
    <mergeCell ref="A11:D11"/>
    <mergeCell ref="E11:H11"/>
    <mergeCell ref="A5:D5"/>
    <mergeCell ref="E5:H5"/>
    <mergeCell ref="A6:D6"/>
    <mergeCell ref="E6:H6"/>
    <mergeCell ref="A7:D7"/>
    <mergeCell ref="E7:H7"/>
    <mergeCell ref="G153:H156"/>
    <mergeCell ref="A15:B15"/>
    <mergeCell ref="A12:D12"/>
    <mergeCell ref="E12:H12"/>
    <mergeCell ref="A13:D13"/>
    <mergeCell ref="A20:D21"/>
    <mergeCell ref="E20:H21"/>
    <mergeCell ref="E13:H13"/>
    <mergeCell ref="A14:B14"/>
    <mergeCell ref="C14:H14"/>
    <mergeCell ref="C15:H15"/>
    <mergeCell ref="A22:D22"/>
    <mergeCell ref="E22:H22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9:B19"/>
    <mergeCell ref="C19:D19"/>
    <mergeCell ref="E19:F19"/>
    <mergeCell ref="G19:H19"/>
    <mergeCell ref="E24:H24"/>
    <mergeCell ref="A26:D26"/>
    <mergeCell ref="E26:H26"/>
    <mergeCell ref="A23:D23"/>
    <mergeCell ref="E23:H23"/>
    <mergeCell ref="A27:D27"/>
    <mergeCell ref="E27:H27"/>
    <mergeCell ref="A24:D24"/>
    <mergeCell ref="A33:B33"/>
    <mergeCell ref="C33:E33"/>
    <mergeCell ref="A28:D28"/>
    <mergeCell ref="E28:H28"/>
    <mergeCell ref="A29:D29"/>
    <mergeCell ref="E29:H29"/>
    <mergeCell ref="A25:D25"/>
    <mergeCell ref="E25:H25"/>
    <mergeCell ref="C30:E30"/>
    <mergeCell ref="F33:H33"/>
    <mergeCell ref="F30:H30"/>
    <mergeCell ref="A31:B31"/>
    <mergeCell ref="A30:B30"/>
    <mergeCell ref="C31:E31"/>
    <mergeCell ref="A32:B32"/>
    <mergeCell ref="C32:E32"/>
    <mergeCell ref="A35:H35"/>
    <mergeCell ref="A34:B34"/>
    <mergeCell ref="C34:E34"/>
    <mergeCell ref="A39:D39"/>
    <mergeCell ref="E39:H39"/>
    <mergeCell ref="F31:H31"/>
    <mergeCell ref="F32:H32"/>
    <mergeCell ref="A38:H38"/>
    <mergeCell ref="E84:F93"/>
    <mergeCell ref="G84:H93"/>
    <mergeCell ref="A92:B92"/>
    <mergeCell ref="A93:B93"/>
    <mergeCell ref="D60:H60"/>
    <mergeCell ref="A41:D41"/>
    <mergeCell ref="E41:H41"/>
    <mergeCell ref="E42:H42"/>
    <mergeCell ref="E43:H43"/>
    <mergeCell ref="E44:H44"/>
    <mergeCell ref="A42:D42"/>
    <mergeCell ref="A43:D43"/>
    <mergeCell ref="A44:D44"/>
    <mergeCell ref="F34:H34"/>
    <mergeCell ref="G48:H48"/>
    <mergeCell ref="A49:B50"/>
    <mergeCell ref="A134:H134"/>
    <mergeCell ref="A46:B46"/>
    <mergeCell ref="C46:H46"/>
    <mergeCell ref="A62:C62"/>
    <mergeCell ref="D62:H62"/>
    <mergeCell ref="A65:C65"/>
    <mergeCell ref="D65:H65"/>
    <mergeCell ref="A63:C63"/>
    <mergeCell ref="D63:H63"/>
    <mergeCell ref="A59:C59"/>
    <mergeCell ref="A60:C60"/>
    <mergeCell ref="D59:H59"/>
    <mergeCell ref="C47:E47"/>
    <mergeCell ref="G47:H47"/>
    <mergeCell ref="A114:E114"/>
    <mergeCell ref="F114:H114"/>
    <mergeCell ref="A115:E115"/>
    <mergeCell ref="A117:E117"/>
    <mergeCell ref="F111:H111"/>
    <mergeCell ref="A116:E116"/>
    <mergeCell ref="A111:E111"/>
    <mergeCell ref="F110:H110"/>
    <mergeCell ref="A86:B86"/>
    <mergeCell ref="F115:H115"/>
    <mergeCell ref="A123:B123"/>
    <mergeCell ref="E128:F128"/>
    <mergeCell ref="G128:H128"/>
    <mergeCell ref="C125:D125"/>
    <mergeCell ref="E125:F125"/>
    <mergeCell ref="A129:H129"/>
    <mergeCell ref="A130:H130"/>
    <mergeCell ref="C132:C133"/>
    <mergeCell ref="G124:H124"/>
    <mergeCell ref="A132:A133"/>
    <mergeCell ref="G123:H123"/>
    <mergeCell ref="G132:H133"/>
    <mergeCell ref="E126:F126"/>
    <mergeCell ref="G126:H126"/>
    <mergeCell ref="A125:B125"/>
    <mergeCell ref="A127:B127"/>
    <mergeCell ref="C126:D126"/>
    <mergeCell ref="A122:H122"/>
    <mergeCell ref="C123:D123"/>
    <mergeCell ref="E123:F123"/>
    <mergeCell ref="A109:E109"/>
    <mergeCell ref="F113:H113"/>
    <mergeCell ref="A113:E113"/>
    <mergeCell ref="A173:B173"/>
    <mergeCell ref="A174:B174"/>
    <mergeCell ref="A175:B175"/>
    <mergeCell ref="A172:H172"/>
    <mergeCell ref="G173:H176"/>
    <mergeCell ref="C173:F173"/>
    <mergeCell ref="C176:F176"/>
    <mergeCell ref="A167:H167"/>
    <mergeCell ref="A168:B168"/>
    <mergeCell ref="A164:B164"/>
    <mergeCell ref="A160:B160"/>
    <mergeCell ref="A169:B169"/>
    <mergeCell ref="A170:B170"/>
    <mergeCell ref="A171:B171"/>
    <mergeCell ref="G168:H171"/>
    <mergeCell ref="A159:B159"/>
    <mergeCell ref="A121:E121"/>
    <mergeCell ref="F121:H121"/>
    <mergeCell ref="C36:H36"/>
    <mergeCell ref="D57:H57"/>
    <mergeCell ref="D58:H58"/>
    <mergeCell ref="A56:C58"/>
    <mergeCell ref="A66:B66"/>
    <mergeCell ref="C66:H66"/>
    <mergeCell ref="A68:B68"/>
    <mergeCell ref="C68:H68"/>
    <mergeCell ref="A120:E120"/>
    <mergeCell ref="F120:H120"/>
    <mergeCell ref="F116:H116"/>
    <mergeCell ref="F119:H119"/>
    <mergeCell ref="F117:H117"/>
    <mergeCell ref="A118:E118"/>
    <mergeCell ref="A36:B36"/>
    <mergeCell ref="A37:B37"/>
    <mergeCell ref="A90:B90"/>
    <mergeCell ref="A83:B83"/>
    <mergeCell ref="A88:B88"/>
    <mergeCell ref="A61:C61"/>
    <mergeCell ref="D61:H61"/>
    <mergeCell ref="A54:C54"/>
    <mergeCell ref="D54:H54"/>
    <mergeCell ref="G51:H51"/>
    <mergeCell ref="L152:M152"/>
    <mergeCell ref="L142:M142"/>
    <mergeCell ref="G143:H146"/>
    <mergeCell ref="C144:F145"/>
    <mergeCell ref="A145:B145"/>
    <mergeCell ref="A146:B146"/>
    <mergeCell ref="A147:H147"/>
    <mergeCell ref="L147:M147"/>
    <mergeCell ref="A148:B148"/>
    <mergeCell ref="G148:H151"/>
    <mergeCell ref="A149:B149"/>
    <mergeCell ref="A150:B150"/>
    <mergeCell ref="A151:B151"/>
    <mergeCell ref="A144:B144"/>
    <mergeCell ref="L137:M137"/>
    <mergeCell ref="A131:H131"/>
    <mergeCell ref="A105:B105"/>
    <mergeCell ref="A106:B106"/>
    <mergeCell ref="A107:B107"/>
    <mergeCell ref="A69:B69"/>
    <mergeCell ref="E69:F69"/>
    <mergeCell ref="G69:H69"/>
    <mergeCell ref="A70:B70"/>
    <mergeCell ref="E70:F79"/>
    <mergeCell ref="G70:H79"/>
    <mergeCell ref="A71:B71"/>
    <mergeCell ref="A72:B72"/>
    <mergeCell ref="A73:B73"/>
    <mergeCell ref="A74:B74"/>
    <mergeCell ref="A75:B75"/>
    <mergeCell ref="A76:B76"/>
    <mergeCell ref="A77:B77"/>
    <mergeCell ref="A78:B78"/>
    <mergeCell ref="A79:B79"/>
    <mergeCell ref="C127:D127"/>
    <mergeCell ref="E127:F127"/>
    <mergeCell ref="G127:H127"/>
    <mergeCell ref="A136:H136"/>
    <mergeCell ref="A197:H197"/>
    <mergeCell ref="A198:H198"/>
    <mergeCell ref="A199:H199"/>
    <mergeCell ref="L199:M199"/>
    <mergeCell ref="A200:B200"/>
    <mergeCell ref="A201:B201"/>
    <mergeCell ref="A202:B202"/>
    <mergeCell ref="A203:B203"/>
    <mergeCell ref="A94:B94"/>
    <mergeCell ref="C94:H94"/>
    <mergeCell ref="A96:B96"/>
    <mergeCell ref="C96:H96"/>
    <mergeCell ref="A97:B97"/>
    <mergeCell ref="E97:F97"/>
    <mergeCell ref="G97:H97"/>
    <mergeCell ref="A98:B98"/>
    <mergeCell ref="E98:F107"/>
    <mergeCell ref="G98:H107"/>
    <mergeCell ref="A99:B99"/>
    <mergeCell ref="A100:B100"/>
    <mergeCell ref="A101:B101"/>
    <mergeCell ref="A102:B102"/>
    <mergeCell ref="A103:B103"/>
    <mergeCell ref="A104:B104"/>
    <mergeCell ref="L220:M220"/>
    <mergeCell ref="A221:B221"/>
    <mergeCell ref="A222:B222"/>
    <mergeCell ref="A223:B223"/>
    <mergeCell ref="A224:B224"/>
    <mergeCell ref="A206:H206"/>
    <mergeCell ref="L206:M206"/>
    <mergeCell ref="A207:B207"/>
    <mergeCell ref="A208:B208"/>
    <mergeCell ref="A209:B209"/>
    <mergeCell ref="A210:B210"/>
    <mergeCell ref="A211:B211"/>
    <mergeCell ref="A212:B212"/>
    <mergeCell ref="G207:H212"/>
    <mergeCell ref="C211:F212"/>
    <mergeCell ref="L213:M213"/>
    <mergeCell ref="A214:B214"/>
    <mergeCell ref="C214:F214"/>
    <mergeCell ref="G214:H219"/>
    <mergeCell ref="A215:B215"/>
    <mergeCell ref="A216:B216"/>
    <mergeCell ref="A217:B217"/>
    <mergeCell ref="A218:B218"/>
    <mergeCell ref="C219:F219"/>
    <mergeCell ref="L257:M257"/>
    <mergeCell ref="A258:B258"/>
    <mergeCell ref="G258:H261"/>
    <mergeCell ref="A259:B259"/>
    <mergeCell ref="A260:B260"/>
    <mergeCell ref="A261:B261"/>
    <mergeCell ref="A241:H241"/>
    <mergeCell ref="A242:H242"/>
    <mergeCell ref="A247:H247"/>
    <mergeCell ref="L247:M247"/>
    <mergeCell ref="A248:B248"/>
    <mergeCell ref="G248:H251"/>
    <mergeCell ref="A249:B249"/>
    <mergeCell ref="A250:B250"/>
    <mergeCell ref="A251:B251"/>
    <mergeCell ref="A246:H246"/>
    <mergeCell ref="L252:M252"/>
    <mergeCell ref="A253:B253"/>
    <mergeCell ref="G253:H256"/>
    <mergeCell ref="A254:B254"/>
    <mergeCell ref="A255:B255"/>
    <mergeCell ref="A256:B256"/>
    <mergeCell ref="I255:O256"/>
    <mergeCell ref="A245:H245"/>
    <mergeCell ref="A277:H277"/>
    <mergeCell ref="A278:B278"/>
    <mergeCell ref="C278:F278"/>
    <mergeCell ref="G278:H281"/>
    <mergeCell ref="A279:B279"/>
    <mergeCell ref="A280:B280"/>
    <mergeCell ref="A281:B281"/>
    <mergeCell ref="C281:F281"/>
    <mergeCell ref="A262:H262"/>
    <mergeCell ref="A263:B263"/>
    <mergeCell ref="G263:H266"/>
    <mergeCell ref="A264:B264"/>
    <mergeCell ref="A265:B265"/>
    <mergeCell ref="A266:B266"/>
    <mergeCell ref="A267:H267"/>
    <mergeCell ref="A268:B268"/>
    <mergeCell ref="C268:F268"/>
    <mergeCell ref="G268:H271"/>
    <mergeCell ref="A269:B269"/>
    <mergeCell ref="A270:B270"/>
    <mergeCell ref="A271:B271"/>
    <mergeCell ref="C271:F271"/>
    <mergeCell ref="A272:H272"/>
    <mergeCell ref="A273:B273"/>
    <mergeCell ref="G273:H276"/>
    <mergeCell ref="A274:B274"/>
    <mergeCell ref="A275:B275"/>
    <mergeCell ref="A276:B276"/>
    <mergeCell ref="A257:H257"/>
    <mergeCell ref="A238:B238"/>
    <mergeCell ref="A227:H227"/>
    <mergeCell ref="A228:B228"/>
    <mergeCell ref="A229:B229"/>
    <mergeCell ref="A230:B230"/>
    <mergeCell ref="A231:B231"/>
    <mergeCell ref="A234:H234"/>
    <mergeCell ref="A235:B235"/>
    <mergeCell ref="A236:B236"/>
    <mergeCell ref="A237:B237"/>
    <mergeCell ref="A232:B232"/>
    <mergeCell ref="A252:H252"/>
    <mergeCell ref="A233:B233"/>
    <mergeCell ref="G228:H233"/>
    <mergeCell ref="A239:B239"/>
    <mergeCell ref="A240:B240"/>
    <mergeCell ref="G235:H240"/>
    <mergeCell ref="A243:H243"/>
    <mergeCell ref="A244:H244"/>
    <mergeCell ref="C200:F200"/>
    <mergeCell ref="C203:F203"/>
    <mergeCell ref="C204:F205"/>
    <mergeCell ref="G200:H205"/>
    <mergeCell ref="C207:F207"/>
    <mergeCell ref="A225:B225"/>
    <mergeCell ref="A226:B226"/>
    <mergeCell ref="C221:F221"/>
    <mergeCell ref="C225:F225"/>
    <mergeCell ref="C226:F226"/>
    <mergeCell ref="G221:H226"/>
    <mergeCell ref="A213:H213"/>
    <mergeCell ref="A204:B204"/>
    <mergeCell ref="A205:B205"/>
    <mergeCell ref="C218:F218"/>
    <mergeCell ref="A219:B219"/>
    <mergeCell ref="A220:H220"/>
  </mergeCells>
  <hyperlinks>
    <hyperlink ref="C37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6" manualBreakCount="6">
    <brk id="44" max="16383" man="1"/>
    <brk id="65" max="16383" man="1"/>
    <brk id="93" max="16383" man="1"/>
    <brk id="306" max="16383" man="1"/>
    <brk id="349" max="7" man="1"/>
    <brk id="37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8"/>
    <col min="2" max="2" width="22.140625" style="18" customWidth="1"/>
    <col min="3" max="3" width="37" style="18" customWidth="1"/>
    <col min="4" max="5" width="11.42578125" style="18" customWidth="1"/>
    <col min="6" max="6" width="14" style="18" customWidth="1"/>
    <col min="7" max="7" width="20" style="18" customWidth="1"/>
    <col min="8" max="8" width="16.42578125" style="18" customWidth="1"/>
    <col min="9" max="16384" width="8.7109375" style="18"/>
  </cols>
  <sheetData>
    <row r="1" spans="1:9" ht="15" customHeight="1" x14ac:dyDescent="0.25"/>
    <row r="2" spans="1:9" ht="15" customHeight="1" x14ac:dyDescent="0.25">
      <c r="A2" s="19"/>
      <c r="B2" s="19"/>
      <c r="C2" s="19"/>
      <c r="D2" s="19"/>
      <c r="E2" s="19"/>
      <c r="F2" s="19"/>
      <c r="G2" s="19"/>
      <c r="H2" s="19"/>
    </row>
    <row r="3" spans="1:9" ht="15.75" customHeight="1" x14ac:dyDescent="0.25">
      <c r="A3" s="19"/>
      <c r="B3" s="210" t="s">
        <v>112</v>
      </c>
      <c r="C3" s="210"/>
      <c r="D3" s="210"/>
      <c r="E3" s="210"/>
      <c r="F3" s="210"/>
      <c r="G3" s="210"/>
      <c r="H3" s="210"/>
    </row>
    <row r="4" spans="1:9" x14ac:dyDescent="0.25">
      <c r="A4" s="19"/>
      <c r="B4" s="20" t="s">
        <v>113</v>
      </c>
      <c r="C4" s="20" t="s">
        <v>114</v>
      </c>
      <c r="D4" s="20" t="s">
        <v>71</v>
      </c>
      <c r="E4" s="20" t="s">
        <v>115</v>
      </c>
      <c r="F4" s="20" t="s">
        <v>121</v>
      </c>
      <c r="G4" s="20" t="s">
        <v>122</v>
      </c>
      <c r="H4" s="20" t="s">
        <v>116</v>
      </c>
    </row>
    <row r="5" spans="1:9" ht="15" customHeight="1" x14ac:dyDescent="0.25">
      <c r="A5" s="19"/>
      <c r="B5" s="22" t="s">
        <v>117</v>
      </c>
      <c r="C5" s="23"/>
      <c r="D5" s="22"/>
      <c r="E5" s="22"/>
      <c r="F5" s="24">
        <f>E5*1.6</f>
        <v>0</v>
      </c>
      <c r="G5" s="24" t="e">
        <f>H5/F5</f>
        <v>#DIV/0!</v>
      </c>
      <c r="H5" s="25"/>
    </row>
    <row r="6" spans="1:9" x14ac:dyDescent="0.25">
      <c r="A6" s="19"/>
      <c r="B6" s="22" t="s">
        <v>117</v>
      </c>
      <c r="C6" s="26"/>
      <c r="D6" s="22"/>
      <c r="E6" s="22"/>
      <c r="F6" s="24">
        <f t="shared" ref="F6:F11" si="0">E6*1.6</f>
        <v>0</v>
      </c>
      <c r="G6" s="24" t="e">
        <f t="shared" ref="G6:G11" si="1">H6/F6</f>
        <v>#DIV/0!</v>
      </c>
      <c r="H6" s="25"/>
    </row>
    <row r="7" spans="1:9" ht="15" customHeight="1" x14ac:dyDescent="0.25">
      <c r="A7" s="19"/>
      <c r="B7" s="22" t="s">
        <v>117</v>
      </c>
      <c r="C7" s="23"/>
      <c r="D7" s="22"/>
      <c r="E7" s="22"/>
      <c r="F7" s="24">
        <f t="shared" si="0"/>
        <v>0</v>
      </c>
      <c r="G7" s="24" t="e">
        <f t="shared" si="1"/>
        <v>#DIV/0!</v>
      </c>
      <c r="H7" s="25"/>
    </row>
    <row r="8" spans="1:9" x14ac:dyDescent="0.25">
      <c r="A8" s="19"/>
      <c r="B8" s="22" t="s">
        <v>117</v>
      </c>
      <c r="C8" s="26"/>
      <c r="D8" s="22"/>
      <c r="E8" s="22"/>
      <c r="F8" s="24">
        <f t="shared" si="0"/>
        <v>0</v>
      </c>
      <c r="G8" s="24" t="e">
        <f t="shared" si="1"/>
        <v>#DIV/0!</v>
      </c>
      <c r="H8" s="25"/>
    </row>
    <row r="9" spans="1:9" ht="15" customHeight="1" x14ac:dyDescent="0.25">
      <c r="A9" s="19"/>
      <c r="B9" s="22" t="s">
        <v>117</v>
      </c>
      <c r="C9" s="26"/>
      <c r="D9" s="22"/>
      <c r="E9" s="22"/>
      <c r="F9" s="24">
        <f t="shared" si="0"/>
        <v>0</v>
      </c>
      <c r="G9" s="24" t="e">
        <f t="shared" si="1"/>
        <v>#DIV/0!</v>
      </c>
      <c r="H9" s="25"/>
    </row>
    <row r="10" spans="1:9" ht="15" customHeight="1" x14ac:dyDescent="0.25">
      <c r="A10" s="19"/>
      <c r="B10" s="22" t="s">
        <v>118</v>
      </c>
      <c r="C10" s="23"/>
      <c r="D10" s="22"/>
      <c r="E10" s="22"/>
      <c r="F10" s="24">
        <f t="shared" si="0"/>
        <v>0</v>
      </c>
      <c r="G10" s="24" t="e">
        <f t="shared" si="1"/>
        <v>#DIV/0!</v>
      </c>
      <c r="H10" s="25"/>
    </row>
    <row r="11" spans="1:9" ht="15" customHeight="1" x14ac:dyDescent="0.25">
      <c r="A11" s="19"/>
      <c r="B11" s="22" t="s">
        <v>118</v>
      </c>
      <c r="C11" s="23"/>
      <c r="D11" s="22"/>
      <c r="E11" s="22"/>
      <c r="F11" s="24">
        <f t="shared" si="0"/>
        <v>0</v>
      </c>
      <c r="G11" s="24" t="e">
        <f t="shared" si="1"/>
        <v>#DIV/0!</v>
      </c>
      <c r="H11" s="25"/>
    </row>
    <row r="12" spans="1:9" ht="15" customHeight="1" x14ac:dyDescent="0.25">
      <c r="A12" s="19"/>
      <c r="B12" s="27" t="s">
        <v>119</v>
      </c>
      <c r="C12" s="22"/>
      <c r="D12" s="22"/>
      <c r="E12" s="22"/>
      <c r="F12" s="22"/>
      <c r="G12" s="28" t="e">
        <f>AVERAGE(G5:G11)</f>
        <v>#DIV/0!</v>
      </c>
      <c r="H12" s="22"/>
    </row>
    <row r="13" spans="1:9" ht="15" customHeight="1" x14ac:dyDescent="0.25">
      <c r="B13" s="27" t="s">
        <v>120</v>
      </c>
      <c r="C13" s="22"/>
      <c r="D13" s="22"/>
      <c r="E13" s="22"/>
      <c r="F13" s="29"/>
      <c r="G13" s="27"/>
      <c r="H13" s="27"/>
      <c r="I13" s="21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G3:R3"/>
  <sheetViews>
    <sheetView zoomScale="70" zoomScaleNormal="70" workbookViewId="0">
      <selection activeCell="H7" sqref="H7"/>
    </sheetView>
  </sheetViews>
  <sheetFormatPr defaultRowHeight="15" x14ac:dyDescent="0.25"/>
  <cols>
    <col min="7" max="7" width="12" bestFit="1" customWidth="1"/>
    <col min="18" max="18" width="12" bestFit="1" customWidth="1"/>
  </cols>
  <sheetData>
    <row r="3" spans="7:18" x14ac:dyDescent="0.25">
      <c r="G3" s="71">
        <v>45489</v>
      </c>
      <c r="H3" t="s">
        <v>266</v>
      </c>
      <c r="R3" s="71">
        <v>45489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2025-07-16T09:09:37Z</cp:lastPrinted>
  <dcterms:created xsi:type="dcterms:W3CDTF">2019-07-16T09:29:46Z</dcterms:created>
  <dcterms:modified xsi:type="dcterms:W3CDTF">2025-07-16T09:11:22Z</dcterms:modified>
</cp:coreProperties>
</file>