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July 25\Dump\"/>
    </mc:Choice>
  </mc:AlternateContent>
  <xr:revisionPtr revIDLastSave="0" documentId="13_ncr:1_{49D991F4-622D-46E1-AFA2-B82E72EAF0A3}" xr6:coauthVersionLast="36" xr6:coauthVersionMax="36" xr10:uidLastSave="{00000000-0000-0000-0000-000000000000}"/>
  <bookViews>
    <workbookView xWindow="0" yWindow="0" windowWidth="20490" windowHeight="71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  <c r="C88" i="1" s="1"/>
  <c r="C87" i="1" l="1"/>
  <c r="D151" i="1"/>
  <c r="G322" i="1" l="1"/>
  <c r="G305" i="1"/>
  <c r="G288" i="1"/>
  <c r="G271" i="1"/>
  <c r="G254" i="1"/>
  <c r="D337" i="1"/>
  <c r="F337" i="1" s="1"/>
  <c r="D335" i="1"/>
  <c r="F335" i="1" s="1"/>
  <c r="D334" i="1"/>
  <c r="F334" i="1" s="1"/>
  <c r="D333" i="1"/>
  <c r="F333" i="1" s="1"/>
  <c r="D331" i="1"/>
  <c r="F331" i="1" s="1"/>
  <c r="D330" i="1"/>
  <c r="F330" i="1" s="1"/>
  <c r="D329" i="1"/>
  <c r="F329" i="1" s="1"/>
  <c r="D328" i="1"/>
  <c r="D327" i="1"/>
  <c r="D326" i="1"/>
  <c r="F326" i="1" s="1"/>
  <c r="D325" i="1"/>
  <c r="D324" i="1"/>
  <c r="F324" i="1" s="1"/>
  <c r="D323" i="1"/>
  <c r="F323" i="1" s="1"/>
  <c r="D322" i="1"/>
  <c r="F322" i="1" s="1"/>
  <c r="D320" i="1"/>
  <c r="F320" i="1" s="1"/>
  <c r="D319" i="1"/>
  <c r="F319" i="1" s="1"/>
  <c r="D318" i="1"/>
  <c r="F318" i="1" s="1"/>
  <c r="D317" i="1"/>
  <c r="F317" i="1" s="1"/>
  <c r="D316" i="1"/>
  <c r="F316" i="1" s="1"/>
  <c r="D315" i="1"/>
  <c r="F315" i="1" s="1"/>
  <c r="D314" i="1"/>
  <c r="F314" i="1" s="1"/>
  <c r="D313" i="1"/>
  <c r="F313" i="1" s="1"/>
  <c r="D312" i="1"/>
  <c r="F312" i="1" s="1"/>
  <c r="D311" i="1"/>
  <c r="F311" i="1" s="1"/>
  <c r="D310" i="1"/>
  <c r="F310" i="1" s="1"/>
  <c r="D309" i="1"/>
  <c r="F309" i="1" s="1"/>
  <c r="D308" i="1"/>
  <c r="F308" i="1" s="1"/>
  <c r="D307" i="1"/>
  <c r="F307" i="1" s="1"/>
  <c r="D306" i="1"/>
  <c r="F306" i="1" s="1"/>
  <c r="D305" i="1"/>
  <c r="F305" i="1" s="1"/>
  <c r="J208" i="1"/>
  <c r="F328" i="1"/>
  <c r="F327" i="1"/>
  <c r="F325" i="1"/>
  <c r="D303" i="1"/>
  <c r="F303" i="1" s="1"/>
  <c r="D302" i="1"/>
  <c r="F302" i="1" s="1"/>
  <c r="D301" i="1"/>
  <c r="F301" i="1" s="1"/>
  <c r="D300" i="1"/>
  <c r="F300" i="1" s="1"/>
  <c r="D299" i="1"/>
  <c r="F299" i="1" s="1"/>
  <c r="D298" i="1"/>
  <c r="F298" i="1" s="1"/>
  <c r="D297" i="1"/>
  <c r="F297" i="1" s="1"/>
  <c r="D296" i="1"/>
  <c r="F296" i="1" s="1"/>
  <c r="D288" i="1"/>
  <c r="F288" i="1" s="1"/>
  <c r="D286" i="1"/>
  <c r="F286" i="1" s="1"/>
  <c r="D285" i="1"/>
  <c r="F285" i="1" s="1"/>
  <c r="D284" i="1"/>
  <c r="F284" i="1" s="1"/>
  <c r="D283" i="1"/>
  <c r="F283" i="1" s="1"/>
  <c r="D282" i="1"/>
  <c r="F282" i="1" s="1"/>
  <c r="D281" i="1"/>
  <c r="F281" i="1" s="1"/>
  <c r="D280" i="1"/>
  <c r="F280" i="1" s="1"/>
  <c r="D279" i="1"/>
  <c r="F279" i="1" s="1"/>
  <c r="D271" i="1"/>
  <c r="F271" i="1" s="1"/>
  <c r="D265" i="1"/>
  <c r="F265" i="1" s="1"/>
  <c r="D269" i="1"/>
  <c r="F269" i="1" s="1"/>
  <c r="D268" i="1"/>
  <c r="F268" i="1" s="1"/>
  <c r="D267" i="1"/>
  <c r="F267" i="1" s="1"/>
  <c r="D266" i="1"/>
  <c r="F266" i="1" s="1"/>
  <c r="D264" i="1"/>
  <c r="F264" i="1" s="1"/>
  <c r="D263" i="1"/>
  <c r="F263" i="1" s="1"/>
  <c r="D262" i="1"/>
  <c r="F262" i="1" s="1"/>
  <c r="D254" i="1"/>
  <c r="F254" i="1" s="1"/>
  <c r="D252" i="1"/>
  <c r="D251" i="1"/>
  <c r="D250" i="1"/>
  <c r="D249" i="1"/>
  <c r="D247" i="1"/>
  <c r="F247" i="1" s="1"/>
  <c r="D246" i="1"/>
  <c r="F246" i="1" s="1"/>
  <c r="D245" i="1"/>
  <c r="F245" i="1" s="1"/>
  <c r="D237" i="1"/>
  <c r="F252" i="1"/>
  <c r="F251" i="1"/>
  <c r="F250" i="1"/>
  <c r="F249" i="1"/>
  <c r="G237" i="1"/>
  <c r="D231" i="1"/>
  <c r="F231" i="1" s="1"/>
  <c r="D230" i="1"/>
  <c r="F230" i="1" s="1"/>
  <c r="D229" i="1"/>
  <c r="F229" i="1" s="1"/>
  <c r="D228" i="1"/>
  <c r="F228" i="1" s="1"/>
  <c r="D227" i="1"/>
  <c r="F227" i="1" s="1"/>
  <c r="D226" i="1"/>
  <c r="F226" i="1" s="1"/>
  <c r="D225" i="1"/>
  <c r="F225" i="1" s="1"/>
  <c r="D224" i="1"/>
  <c r="F224" i="1" s="1"/>
  <c r="D223" i="1"/>
  <c r="F223" i="1" s="1"/>
  <c r="D222" i="1"/>
  <c r="F222" i="1" s="1"/>
  <c r="D221" i="1"/>
  <c r="F221" i="1" s="1"/>
  <c r="D220" i="1"/>
  <c r="F220" i="1" s="1"/>
  <c r="G219" i="1"/>
  <c r="D219" i="1"/>
  <c r="F219" i="1" s="1"/>
  <c r="F237" i="1" l="1"/>
  <c r="E113" i="1"/>
  <c r="C113" i="1"/>
  <c r="G113" i="1"/>
  <c r="D217" i="1"/>
  <c r="F217" i="1" s="1"/>
  <c r="D216" i="1"/>
  <c r="F216" i="1" s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F210" i="1" s="1"/>
  <c r="D209" i="1"/>
  <c r="F209" i="1" s="1"/>
  <c r="D208" i="1"/>
  <c r="F208" i="1" s="1"/>
  <c r="D207" i="1"/>
  <c r="D206" i="1"/>
  <c r="D205" i="1"/>
  <c r="D204" i="1"/>
  <c r="D202" i="1"/>
  <c r="F202" i="1" s="1"/>
  <c r="D201" i="1"/>
  <c r="F201" i="1" s="1"/>
  <c r="D200" i="1"/>
  <c r="F200" i="1" s="1"/>
  <c r="D199" i="1"/>
  <c r="F199" i="1" s="1"/>
  <c r="D198" i="1"/>
  <c r="F198" i="1" s="1"/>
  <c r="D197" i="1"/>
  <c r="F197" i="1" s="1"/>
  <c r="D196" i="1"/>
  <c r="F196" i="1" s="1"/>
  <c r="D189" i="1"/>
  <c r="F189" i="1" s="1"/>
  <c r="D187" i="1"/>
  <c r="F187" i="1" s="1"/>
  <c r="D186" i="1"/>
  <c r="F186" i="1" s="1"/>
  <c r="D185" i="1"/>
  <c r="F185" i="1" s="1"/>
  <c r="D184" i="1"/>
  <c r="F184" i="1" s="1"/>
  <c r="D183" i="1"/>
  <c r="F183" i="1" s="1"/>
  <c r="D182" i="1"/>
  <c r="F182" i="1" s="1"/>
  <c r="D181" i="1"/>
  <c r="F181" i="1" s="1"/>
  <c r="D174" i="1"/>
  <c r="D157" i="1"/>
  <c r="D156" i="1"/>
  <c r="D154" i="1"/>
  <c r="D153" i="1"/>
  <c r="D152" i="1"/>
  <c r="D144" i="1"/>
  <c r="D172" i="1"/>
  <c r="D171" i="1"/>
  <c r="D170" i="1"/>
  <c r="D169" i="1"/>
  <c r="D168" i="1"/>
  <c r="D167" i="1"/>
  <c r="D166" i="1"/>
  <c r="D159" i="1"/>
  <c r="E112" i="1" l="1"/>
  <c r="C112" i="1"/>
  <c r="G159" i="1"/>
  <c r="F166" i="1"/>
  <c r="F167" i="1"/>
  <c r="F168" i="1"/>
  <c r="F169" i="1"/>
  <c r="F170" i="1"/>
  <c r="F171" i="1"/>
  <c r="F172" i="1"/>
  <c r="F159" i="1"/>
  <c r="F157" i="1"/>
  <c r="F156" i="1"/>
  <c r="F154" i="1"/>
  <c r="F153" i="1"/>
  <c r="F151" i="1"/>
  <c r="F144" i="1"/>
  <c r="F152" i="1"/>
  <c r="D135" i="1"/>
  <c r="F135" i="1" s="1"/>
  <c r="D134" i="1"/>
  <c r="F134" i="1" s="1"/>
  <c r="D133" i="1"/>
  <c r="F133" i="1" s="1"/>
  <c r="D132" i="1"/>
  <c r="F132" i="1" s="1"/>
  <c r="D131" i="1"/>
  <c r="F131" i="1" s="1"/>
  <c r="D130" i="1"/>
  <c r="F130" i="1" s="1"/>
  <c r="D129" i="1"/>
  <c r="F129" i="1" s="1"/>
  <c r="D128" i="1"/>
  <c r="F128" i="1" s="1"/>
  <c r="D127" i="1"/>
  <c r="F127" i="1" s="1"/>
  <c r="D126" i="1"/>
  <c r="F126" i="1" s="1"/>
  <c r="D125" i="1"/>
  <c r="F125" i="1" s="1"/>
  <c r="D124" i="1"/>
  <c r="F124" i="1" s="1"/>
  <c r="G124" i="1"/>
  <c r="C109" i="1" l="1"/>
  <c r="E109" i="1"/>
  <c r="C79" i="1"/>
  <c r="J90" i="1"/>
  <c r="J89" i="1"/>
  <c r="J88" i="1"/>
  <c r="J87" i="1"/>
  <c r="E41" i="1"/>
  <c r="E42" i="1" s="1"/>
  <c r="C14" i="1"/>
  <c r="D362" i="1" l="1"/>
  <c r="D404" i="1"/>
  <c r="G189" i="1"/>
  <c r="G174" i="1"/>
  <c r="F174" i="1"/>
  <c r="C65" i="1"/>
  <c r="G49" i="1"/>
  <c r="E3" i="1" l="1"/>
  <c r="G109" i="1" l="1"/>
  <c r="G144" i="1"/>
  <c r="B340" i="1" l="1"/>
  <c r="C114" i="1" l="1"/>
  <c r="C115" i="1" s="1"/>
  <c r="E114" i="1"/>
  <c r="E115" i="1" s="1"/>
  <c r="E28" i="1"/>
  <c r="F207" i="1" l="1"/>
  <c r="F206" i="1"/>
  <c r="F205" i="1"/>
  <c r="F204" i="1"/>
  <c r="G112" i="1" s="1"/>
  <c r="G114" i="1" l="1"/>
  <c r="G115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G204" i="1"/>
  <c r="F106" i="1"/>
  <c r="J76" i="1"/>
  <c r="J75" i="1"/>
  <c r="J74" i="1"/>
  <c r="D53" i="1"/>
  <c r="G48" i="1"/>
  <c r="C48" i="1"/>
  <c r="E25" i="1"/>
  <c r="E23" i="1"/>
  <c r="E7" i="1"/>
  <c r="D59" i="1"/>
  <c r="H66" i="1"/>
  <c r="D71" i="1" l="1"/>
  <c r="J69" i="1"/>
  <c r="D78" i="1"/>
  <c r="D76" i="1"/>
  <c r="D74" i="1"/>
  <c r="D72" i="1"/>
  <c r="J70" i="1"/>
  <c r="J68" i="1"/>
  <c r="J71" i="1"/>
  <c r="D77" i="1"/>
  <c r="D73" i="1"/>
  <c r="D75" i="1"/>
  <c r="J72" i="1" l="1"/>
  <c r="J73" i="1"/>
  <c r="D69" i="1"/>
  <c r="J77" i="1" l="1"/>
  <c r="J78" i="1" s="1"/>
  <c r="C70" i="1" s="1"/>
  <c r="D70" i="1" l="1"/>
  <c r="G69" i="1"/>
  <c r="D63" i="1" s="1"/>
  <c r="E69" i="1"/>
  <c r="I65" i="1" s="1"/>
  <c r="C67" i="1" s="1"/>
  <c r="H80" i="1"/>
  <c r="D92" i="1" l="1"/>
  <c r="D88" i="1"/>
  <c r="J83" i="1"/>
  <c r="D89" i="1"/>
  <c r="J82" i="1"/>
  <c r="J84" i="1"/>
  <c r="D91" i="1"/>
  <c r="D87" i="1"/>
  <c r="D86" i="1"/>
  <c r="J85" i="1"/>
  <c r="J86" i="1" s="1"/>
  <c r="J91" i="1" s="1"/>
  <c r="J92" i="1" s="1"/>
  <c r="C84" i="1" s="1"/>
  <c r="D85" i="1"/>
  <c r="D90" i="1"/>
  <c r="F64" i="1"/>
  <c r="D64" i="1"/>
  <c r="D84" i="1" l="1"/>
  <c r="E83" i="1"/>
  <c r="G83" i="1"/>
  <c r="D83" i="1"/>
  <c r="I79" i="1" l="1"/>
  <c r="C81" i="1" s="1"/>
</calcChain>
</file>

<file path=xl/sharedStrings.xml><?xml version="1.0" encoding="utf-8"?>
<sst xmlns="http://schemas.openxmlformats.org/spreadsheetml/2006/main" count="476" uniqueCount="239">
  <si>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</si>
  <si>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</si>
  <si>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</si>
  <si>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</si>
  <si>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</si>
  <si>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</si>
  <si>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</si>
  <si>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</si>
  <si>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</si>
  <si>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</si>
  <si>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</si>
  <si>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</si>
  <si>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</si>
  <si>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</si>
  <si>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</si>
  <si>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</si>
  <si>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</si>
  <si>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</si>
  <si>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</si>
  <si>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</si>
  <si>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</si>
  <si>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</si>
  <si>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</si>
  <si>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</si>
  <si>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</si>
  <si>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</si>
  <si>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</si>
  <si>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</si>
  <si>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</si>
  <si>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</si>
  <si>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</si>
  <si>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</si>
  <si>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</si>
  <si>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</si>
  <si>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</si>
  <si>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</si>
  <si>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</si>
  <si>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</si>
  <si>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</si>
  <si>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</si>
  <si>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</si>
  <si>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</si>
  <si>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</si>
  <si>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</si>
  <si>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</si>
  <si>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</si>
  <si>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</si>
  <si>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</si>
  <si>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</si>
  <si>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</si>
  <si>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</si>
  <si>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</si>
  <si>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</si>
  <si>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</si>
  <si>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</si>
  <si>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</si>
  <si>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</si>
  <si>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</si>
  <si>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</si>
  <si>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</si>
  <si>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</si>
  <si>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</si>
  <si>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</si>
  <si>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</si>
  <si>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</si>
  <si>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</si>
  <si>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</si>
  <si>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</si>
  <si>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</si>
  <si>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</si>
  <si>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</si>
  <si>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</si>
  <si>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</si>
  <si>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</si>
  <si>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</si>
  <si>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</si>
  <si>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</si>
  <si>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</si>
  <si>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</si>
  <si>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</si>
  <si>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</si>
  <si>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</si>
  <si>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</si>
  <si>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</si>
  <si>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</si>
  <si>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</si>
  <si>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</si>
  <si>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</si>
  <si>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</si>
  <si>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</si>
  <si>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</si>
  <si>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</si>
  <si>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</si>
  <si>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</si>
  <si>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</si>
  <si>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</si>
  <si>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</si>
  <si>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</si>
  <si>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</si>
  <si>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</si>
  <si>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</si>
  <si>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</si>
  <si>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</si>
  <si>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</si>
  <si>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</si>
  <si>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</si>
  <si>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</si>
  <si>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</si>
  <si>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</si>
  <si>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</si>
  <si>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</si>
  <si>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</si>
  <si>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</si>
  <si>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</si>
  <si>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</si>
  <si>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</si>
  <si>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</si>
  <si>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</si>
  <si>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</si>
  <si>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</si>
  <si>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</si>
  <si>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</si>
  <si>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</si>
  <si>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</si>
  <si>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</si>
  <si>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</si>
  <si>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</si>
  <si>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</si>
  <si>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</si>
  <si>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</si>
  <si>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</si>
  <si>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</si>
  <si>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</si>
  <si>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</si>
  <si>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</si>
  <si>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</si>
  <si>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</si>
  <si>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</si>
  <si>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</si>
  <si>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</si>
  <si>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</si>
  <si>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</si>
  <si>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</si>
  <si>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</si>
  <si>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</si>
  <si>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</si>
  <si>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</si>
  <si>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</si>
  <si>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</si>
  <si>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</si>
  <si>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</si>
  <si>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</si>
  <si>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</si>
  <si>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</si>
  <si>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</si>
  <si>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</si>
  <si>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</si>
  <si>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</si>
  <si>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</si>
  <si>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</si>
  <si>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</si>
  <si>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</si>
  <si>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of the Office Per Sq. Ft. (on Saleable area)</t>
  </si>
  <si>
    <t>Recommended rate should be considered as all inclusive rate if other charges are not mentioned. (Excluding GST &amp; other government Taxes)</t>
  </si>
  <si>
    <t>M/s. Runwal Residency Private Limited</t>
  </si>
  <si>
    <t>Approved Plans, CC.</t>
  </si>
  <si>
    <t>Kalyan - Shilphata Road</t>
  </si>
  <si>
    <t>Thane</t>
  </si>
  <si>
    <t>4.1Km from Nilaje
Railway Station</t>
  </si>
  <si>
    <t>Premiere colony ground</t>
  </si>
  <si>
    <t>Kalyan</t>
  </si>
  <si>
    <t>Nilaje</t>
  </si>
  <si>
    <t>Survey No</t>
  </si>
  <si>
    <t>Building U/C</t>
  </si>
  <si>
    <t>Open Plot</t>
  </si>
  <si>
    <t>Mumbai Metropolitan Region Development Authority (MMRDA)</t>
  </si>
  <si>
    <t>We considered Gross carpet area = Net carpet.</t>
  </si>
  <si>
    <t>Please provide basement floor plan of Building No. 39 to 42.</t>
  </si>
  <si>
    <t>Other Charges
(Only For 2BHK &amp; 3BHK)</t>
  </si>
  <si>
    <t>3,50,000/-</t>
  </si>
  <si>
    <t>Constrution details are collected from Ms. Sonali - 9324908227</t>
  </si>
  <si>
    <t>500000/-</t>
  </si>
  <si>
    <t xml:space="preserve">Site Person - Contact Details ( Name &amp; Contact No.)
</t>
  </si>
  <si>
    <t>Usarghar</t>
  </si>
  <si>
    <t>https://goo.gl/maps/3DAs7zxCpa3YPVFF6</t>
  </si>
  <si>
    <t>Layout Approval No.   
(Bldg No. 44)</t>
  </si>
  <si>
    <t xml:space="preserve">Commencement Certificate No.
Valid Up to: </t>
  </si>
  <si>
    <t>As per RERA - 31/03/2027</t>
  </si>
  <si>
    <t>Parking</t>
  </si>
  <si>
    <t xml:space="preserve">Layout : 
</t>
  </si>
  <si>
    <t>Building No. 43 &amp; 45 is drafted &amp; hide in yes bank apf file</t>
  </si>
  <si>
    <t>Office No. 1031, Wing J, Akshar Business Park, Plot No. 03 Sector 25, Near APMC Market, 
Vashi, Navi Mumbai, Maharashtra 400703 TEL: 022-46090378/79/8
E mail : vsjcapf@gmail.com. Web site : www.vsjadon.com</t>
  </si>
  <si>
    <t>Location Link</t>
  </si>
  <si>
    <t>Axis Badlapur</t>
  </si>
  <si>
    <t>Runwal Gardens Phase 6A Bldg No. 53-54</t>
  </si>
  <si>
    <t>Miss. Sonali Mane: 9324908227/9082804388</t>
  </si>
  <si>
    <t>Phase 6A Bldg No. 53 &amp; 54</t>
  </si>
  <si>
    <t>Runwal Gardens Phase 6A Bldg No. 53 &amp; 54 Survey No.4/1, 4/2, 4/3, 4/4, 4/5, 4/6, 4/9, 4/10, 4/11, 5/1, 5/2, 5/3, 5/4, 5/5, 5/6, 6/1, 6/2, 6/3, 7/1, 7/2A, 7/2B, 7/2C, 7/3A, 7/3B, 8/1, 8/2, 8/3, 8/4, 8/5, 8/6, 8/7, 8/8, 8/9, 9/1, 9/2, 9/3, 9/4, 9/5, 9/6, 9/7, 9/8, 10, 11, 12/1, 12/2, 12/3, 12/4, 12/5, 12/6, 12/7, 12/8, 12/9, 12/10, 12/11, 12/12, 12/13, 12/14, 13, 14/1, 14/2A, 14/2B, 14/3, 14/4, 14/5, 15, 17/1, 17/2, 17/3, 17/4, 17/5, 17/6, 17/7, 17/8, 17/9, 17/10, 17/11, 18, 19, 22, 23/1, 23/2, 23/3, 23/10, 37/1, 37/2B, 37/2C, 37/2D, 37/3, 37/4, 37/21, 38/1, 38/2, 39/1, 39/2, 39/3, 40, 41/1A, 41/1B, 41/2, 41/3, 41/4, 44/1, 44/4,44/5A, 44/5B, 44/6A, 44/6B, 44/7, 44/8, 44/9, 44/10, 44/11, 44/12, 44/13, 44/14, 44/15, 44/16, 44/17, 44/18, 44/19, 49, 50/1, 50/2, 50/3 at Village Gharivali Dist Thane and  S. Nos. 44/1, 44/2, 44/3, 44/4, 44/5, 44/6, 44/7, 44/8, 44/9, 44/10, 44/11, 44/12, 45/1, 45/2, 45/3, 45/4, 45/5A, 45/5/B, 45/6, 46/1/2, 46/2A, 46/2B, 46/3, 47/2, 49, 50, 51, 52/1, 52/2, 53/1A, 53/1/B, 53/2/A, 53/2/B, 53/3/A, 53/3/B, 94/2</t>
  </si>
  <si>
    <t>02 Building</t>
  </si>
  <si>
    <t>Phase 6A Bldg No. 53 &amp; 54  - P51700051346</t>
  </si>
  <si>
    <t>SROT/Growth Center/2401/BP/ITP-Usarghar - Gharivali-01/Amended Layout &amp; CC B.No. 53,54/Vol-40/662/2023</t>
  </si>
  <si>
    <r>
      <t xml:space="preserve">Phase 6A 
</t>
    </r>
    <r>
      <rPr>
        <b/>
        <sz val="12"/>
        <rFont val="Times New Roman"/>
        <family val="1"/>
      </rPr>
      <t>Building 53</t>
    </r>
    <r>
      <rPr>
        <sz val="12"/>
        <rFont val="Times New Roman"/>
        <family val="1"/>
      </rPr>
      <t xml:space="preserve"> - B + G(Pt) &amp; Stilt Floor(Pt) +  1st Floor(Pt) &amp; Podium 1(Pt) + 2nd Floor(Pt) &amp; Podium 2(Pt) + 3rd Floor(Pt) &amp; Podium 3(Pt) + 4th Floor(Pt) &amp; podium 4(Pt) + 5th to 34th Floor
</t>
    </r>
    <r>
      <rPr>
        <b/>
        <sz val="12"/>
        <rFont val="Times New Roman"/>
        <family val="1"/>
      </rPr>
      <t>Building 54</t>
    </r>
    <r>
      <rPr>
        <sz val="12"/>
        <rFont val="Times New Roman"/>
        <family val="1"/>
      </rPr>
      <t xml:space="preserve"> - B +  Ground (Shop) (Pt) / Stilt Floor (Pt) + 1st Floor(Pt) &amp; Podium 1(Pt) + 2nd Floor(Pt) &amp; Podium 2(Pt) + 3rd Floor(Pt) &amp; Podium 3(Pt) + 4th Floor(Pt) &amp; podium 4(Pt) + 5th to 34th Floor</t>
    </r>
  </si>
  <si>
    <r>
      <rPr>
        <b/>
        <sz val="12"/>
        <rFont val="Times New Roman"/>
        <family val="1"/>
      </rPr>
      <t xml:space="preserve">Building 53 - </t>
    </r>
    <r>
      <rPr>
        <sz val="12"/>
        <rFont val="Times New Roman"/>
        <family val="1"/>
      </rPr>
      <t xml:space="preserve">B + G(Pt) &amp; Stilt Floor(Pt) +  1st Floor(Pt) &amp; Podium 1(Pt) + 2nd Floor(Pt) &amp; Podium 2(Pt) + 3rd Floor(Pt) &amp; Podium 3(Pt) + 4th Floor(Pt) &amp; podium 4(Pt) + 5th to 34th Floor
</t>
    </r>
    <r>
      <rPr>
        <b/>
        <sz val="12"/>
        <rFont val="Times New Roman"/>
        <family val="1"/>
      </rPr>
      <t>Building 54 -</t>
    </r>
    <r>
      <rPr>
        <sz val="12"/>
        <rFont val="Times New Roman"/>
        <family val="1"/>
      </rPr>
      <t xml:space="preserve"> B +  Ground (Shop) (Pt) / Stilt Floor (Pt) + 1st Floor(Pt) &amp; Podium 1(Pt) + 2nd Floor(Pt) &amp; Podium 2(Pt) + 3rd Floor(Pt) &amp; Podium 3(Pt) + 4th Floor(Pt) &amp; podium 4(Pt) + 5th to 34th Floor</t>
    </r>
  </si>
  <si>
    <r>
      <rPr>
        <b/>
        <sz val="12"/>
        <rFont val="Times New Roman"/>
        <family val="1"/>
      </rPr>
      <t>Building 53 -</t>
    </r>
    <r>
      <rPr>
        <sz val="12"/>
        <rFont val="Times New Roman"/>
        <family val="1"/>
      </rPr>
      <t xml:space="preserve"> B + G(Pt) &amp; Stilt Floor(Pt) +  1st Floor(Pt) &amp; Podium 1(Pt) + 2nd Floor(Pt) &amp; Podium 2(Pt) + 3rd Floor(Pt) &amp; Podium 3(Pt) + 4th Floor(Pt) &amp; podium 4(Pt) + 5th to 34th Floor</t>
    </r>
  </si>
  <si>
    <r>
      <rPr>
        <b/>
        <sz val="12"/>
        <rFont val="Times New Roman"/>
        <family val="1"/>
      </rPr>
      <t xml:space="preserve">Building 54 - </t>
    </r>
    <r>
      <rPr>
        <sz val="12"/>
        <rFont val="Times New Roman"/>
        <family val="1"/>
      </rPr>
      <t>B +  Ground (Shop) (Pt) / Stilt Floor (Pt) + 1st Floor(Pt) &amp; Podium 1(Pt) + 2nd Floor(Pt) &amp; Podium 2(Pt) + 3rd Floor(Pt) &amp; Podium 3(Pt) + 4th Floor(Pt) &amp; podium 4(Pt) + 5th to 34th Floor</t>
    </r>
  </si>
  <si>
    <t>Phase 6A</t>
  </si>
  <si>
    <t>Building No.53</t>
  </si>
  <si>
    <t>Basement Floor for Parking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</si>
  <si>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</si>
  <si>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</si>
  <si>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Attached Loft area</t>
  </si>
  <si>
    <t>Building No.54</t>
  </si>
  <si>
    <t>Shop</t>
  </si>
  <si>
    <t>Ground Floor for commercial &amp; Parking</t>
  </si>
  <si>
    <t>Ground Floor for Parking &amp; Pannel Room, Doubble Height Entrance Room, Garbage Room</t>
  </si>
  <si>
    <t>1st (Pt) &amp; Podium 1st (Pt) Floor for Residential &amp; Parking</t>
  </si>
  <si>
    <t>2BHK</t>
  </si>
  <si>
    <t>1BHK</t>
  </si>
  <si>
    <t>Doubble Hight Entrance Lobby</t>
  </si>
  <si>
    <t>2nd (Pt) &amp; Podium 2nd (Pt) Floor Part Parking</t>
  </si>
  <si>
    <t>3rd (Pt) &amp; Podium 3rd (Pt) Floor Part Parking</t>
  </si>
  <si>
    <t>4th (Pt) &amp; Podium 4th (Pt) Floor Part Parking</t>
  </si>
  <si>
    <t>5th to 8th, 10th to 13th, 15th to 18th, 20th to 23rd, 25th to 28th, 30th to 33rd Floor Plans</t>
  </si>
  <si>
    <t>9th, 14th, 19th, 24th, 29th &amp; 34th Floor Part Refuge Area</t>
  </si>
  <si>
    <t>Refuge Area</t>
  </si>
  <si>
    <t>Double Height Entrance Lobby</t>
  </si>
  <si>
    <t>Commercial Area Details :</t>
  </si>
  <si>
    <t>Grand Total</t>
  </si>
  <si>
    <t>Flats - 948, Shops - 12</t>
  </si>
  <si>
    <t xml:space="preserve">Children's Play Area, Intercom, Club House, CCTV, Storm Water Drains, Solid Waste, Power Backup, Closed Car Parking, Swimming Pool.
</t>
  </si>
  <si>
    <t>Latitude,Longitude</t>
  </si>
  <si>
    <t>19.1844451,73.084122</t>
  </si>
  <si>
    <t xml:space="preserve"> Mr. Gangaram Lambore</t>
  </si>
  <si>
    <t>Miss. Arati : 7400066832</t>
  </si>
  <si>
    <t>Gaurav Panchal</t>
  </si>
  <si>
    <t>12K to 19K</t>
  </si>
  <si>
    <t>Check sale area of shops and give rate 19000 for shops bhargav Cost sheet and san dump 17/04/2025</t>
  </si>
  <si>
    <t>Recommended Rates/Other Charges of the Property have been revised on 17/04/2025</t>
  </si>
  <si>
    <t xml:space="preserve">Bldg No. 53 = Work is same as last visit (05/10/2024). ( Slow speed)
Bldg No. 54 = Construction work is same as last visit (dtd. 07/04/2025) but work is in process. (Slow Speed).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</si>
</sst>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12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2" xfId="0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17" fillId="0" borderId="13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23" fillId="0" borderId="0" xfId="1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0" xfId="1" applyFont="1" applyFill="1"/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Fill="1" applyBorder="1" applyAlignment="1" applyProtection="1">
      <alignment horizontal="center" wrapText="1"/>
      <protection locked="0"/>
    </xf>
    <xf numFmtId="0" fontId="12" fillId="0" borderId="6" xfId="1" applyFont="1" applyFill="1" applyBorder="1" applyAlignment="1" applyProtection="1">
      <alignment horizontal="center" wrapText="1"/>
      <protection locked="0"/>
    </xf>
    <xf numFmtId="9" fontId="12" fillId="0" borderId="6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horizontal="center" vertical="center" wrapText="1"/>
      <protection locked="0"/>
    </xf>
    <xf numFmtId="1" fontId="8" fillId="0" borderId="9" xfId="0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1" fontId="10" fillId="0" borderId="8" xfId="0" applyNumberFormat="1" applyFont="1" applyBorder="1" applyAlignment="1" applyProtection="1">
      <alignment horizontal="center" vertical="center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4" fillId="0" borderId="8" xfId="10" applyBorder="1" applyAlignment="1" applyProtection="1">
      <alignment horizontal="left" vertical="top"/>
      <protection locked="0"/>
    </xf>
    <xf numFmtId="0" fontId="8" fillId="0" borderId="23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24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15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2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8" xfId="1" applyFont="1" applyFill="1" applyBorder="1" applyAlignment="1" applyProtection="1">
      <alignment horizontal="left" vertical="top" wrapText="1"/>
      <protection locked="0"/>
    </xf>
    <xf numFmtId="0" fontId="12" fillId="2" borderId="23" xfId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2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6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9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3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4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1" fontId="7" fillId="0" borderId="9" xfId="0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29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3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1" fontId="10" fillId="0" borderId="8" xfId="0" applyNumberFormat="1" applyFont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horizontal="center" vertical="top" wrapText="1"/>
      <protection locked="0"/>
    </xf>
    <xf numFmtId="1" fontId="8" fillId="0" borderId="9" xfId="0" applyNumberFormat="1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429</xdr:row>
      <xdr:rowOff>66675</xdr:rowOff>
    </xdr:from>
    <xdr:to>
      <xdr:col>6</xdr:col>
      <xdr:colOff>581026</xdr:colOff>
      <xdr:row>448</xdr:row>
      <xdr:rowOff>64479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7276" y="91306650"/>
          <a:ext cx="4800600" cy="3798277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725142</xdr:colOff>
      <xdr:row>448</xdr:row>
      <xdr:rowOff>168137</xdr:rowOff>
    </xdr:from>
    <xdr:to>
      <xdr:col>7</xdr:col>
      <xdr:colOff>95185</xdr:colOff>
      <xdr:row>466</xdr:row>
      <xdr:rowOff>167686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5142" y="100429115"/>
          <a:ext cx="5060195" cy="3577636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82826</xdr:colOff>
      <xdr:row>45</xdr:row>
      <xdr:rowOff>380999</xdr:rowOff>
    </xdr:from>
    <xdr:to>
      <xdr:col>15</xdr:col>
      <xdr:colOff>361214</xdr:colOff>
      <xdr:row>47</xdr:row>
      <xdr:rowOff>45875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01239" y="15447064"/>
          <a:ext cx="5885714" cy="733333"/>
        </a:xfrm>
        <a:prstGeom prst="rect">
          <a:avLst/>
        </a:prstGeom>
      </xdr:spPr>
    </xdr:pic>
    <xdr:clientData/>
  </xdr:twoCellAnchor>
  <xdr:twoCellAnchor editAs="oneCell">
    <xdr:from>
      <xdr:col>8</xdr:col>
      <xdr:colOff>106845</xdr:colOff>
      <xdr:row>47</xdr:row>
      <xdr:rowOff>143703</xdr:rowOff>
    </xdr:from>
    <xdr:to>
      <xdr:col>11</xdr:col>
      <xdr:colOff>624115</xdr:colOff>
      <xdr:row>54</xdr:row>
      <xdr:rowOff>1108067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31470" y="16326678"/>
          <a:ext cx="3146170" cy="447908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171451</xdr:colOff>
      <xdr:row>115</xdr:row>
      <xdr:rowOff>171450</xdr:rowOff>
    </xdr:from>
    <xdr:to>
      <xdr:col>13</xdr:col>
      <xdr:colOff>367127</xdr:colOff>
      <xdr:row>121</xdr:row>
      <xdr:rowOff>11251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96076" y="32470725"/>
          <a:ext cx="4320001" cy="144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457200</xdr:colOff>
      <xdr:row>122</xdr:row>
      <xdr:rowOff>47625</xdr:rowOff>
    </xdr:from>
    <xdr:to>
      <xdr:col>16</xdr:col>
      <xdr:colOff>228069</xdr:colOff>
      <xdr:row>139</xdr:row>
      <xdr:rowOff>18579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05875" y="34147125"/>
          <a:ext cx="4247619" cy="37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49697</xdr:colOff>
      <xdr:row>405</xdr:row>
      <xdr:rowOff>0</xdr:rowOff>
    </xdr:from>
    <xdr:to>
      <xdr:col>7</xdr:col>
      <xdr:colOff>729810</xdr:colOff>
      <xdr:row>422</xdr:row>
      <xdr:rowOff>40696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97" y="91713326"/>
          <a:ext cx="6370265" cy="34200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2</xdr:col>
      <xdr:colOff>485310</xdr:colOff>
      <xdr:row>414</xdr:row>
      <xdr:rowOff>55311</xdr:rowOff>
    </xdr:from>
    <xdr:to>
      <xdr:col>3</xdr:col>
      <xdr:colOff>37754</xdr:colOff>
      <xdr:row>417</xdr:row>
      <xdr:rowOff>71625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20671514">
          <a:off x="2050723" y="93557681"/>
          <a:ext cx="397270" cy="612661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389284</xdr:colOff>
      <xdr:row>411</xdr:row>
      <xdr:rowOff>107674</xdr:rowOff>
    </xdr:from>
    <xdr:to>
      <xdr:col>2</xdr:col>
      <xdr:colOff>505240</xdr:colOff>
      <xdr:row>414</xdr:row>
      <xdr:rowOff>49695</xdr:rowOff>
    </xdr:to>
    <xdr:cxnSp macro="">
      <xdr:nvCxnSpPr>
        <xdr:cNvPr id="12" name="Elb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rot="16200000" flipV="1">
          <a:off x="1743490" y="93224903"/>
          <a:ext cx="538369" cy="115956"/>
        </a:xfrm>
        <a:prstGeom prst="bentConnector3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712303</xdr:colOff>
      <xdr:row>410</xdr:row>
      <xdr:rowOff>91110</xdr:rowOff>
    </xdr:from>
    <xdr:to>
      <xdr:col>3</xdr:col>
      <xdr:colOff>389283</xdr:colOff>
      <xdr:row>411</xdr:row>
      <xdr:rowOff>132523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474303" y="92798349"/>
          <a:ext cx="1325219" cy="2401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000" b="1"/>
            <a:t>Building No.53</a:t>
          </a:r>
          <a:r>
            <a:rPr lang="en-IN" sz="1000" b="1" baseline="0"/>
            <a:t> &amp; 54</a:t>
          </a:r>
          <a:endParaRPr lang="en-IN" sz="1000" b="1"/>
        </a:p>
      </xdr:txBody>
    </xdr:sp>
    <xdr:clientData/>
  </xdr:twoCellAnchor>
  <xdr:twoCellAnchor>
    <xdr:from>
      <xdr:col>8</xdr:col>
      <xdr:colOff>644525</xdr:colOff>
      <xdr:row>363</xdr:row>
      <xdr:rowOff>57150</xdr:rowOff>
    </xdr:from>
    <xdr:to>
      <xdr:col>15</xdr:col>
      <xdr:colOff>611631</xdr:colOff>
      <xdr:row>397</xdr:row>
      <xdr:rowOff>72177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7177554" y="85658885"/>
          <a:ext cx="5603665" cy="6861821"/>
          <a:chOff x="444500" y="83343750"/>
          <a:chExt cx="5866256" cy="6701577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73781" y="87885327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37595" y="85616484"/>
            <a:ext cx="2868608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33042" y="83347641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4500" y="85616484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4500" y="8334375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9</xdr:col>
      <xdr:colOff>200025</xdr:colOff>
      <xdr:row>360</xdr:row>
      <xdr:rowOff>66675</xdr:rowOff>
    </xdr:from>
    <xdr:to>
      <xdr:col>15</xdr:col>
      <xdr:colOff>544660</xdr:colOff>
      <xdr:row>399</xdr:row>
      <xdr:rowOff>38329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7898466" y="85063293"/>
          <a:ext cx="4815782" cy="7826977"/>
          <a:chOff x="839756" y="628713"/>
          <a:chExt cx="4802335" cy="7763104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39756" y="628713"/>
            <a:ext cx="4802335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39756" y="3520265"/>
            <a:ext cx="480000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0140" y="6411817"/>
            <a:ext cx="1489641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3223" y="6411817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238125</xdr:colOff>
      <xdr:row>363</xdr:row>
      <xdr:rowOff>0</xdr:rowOff>
    </xdr:from>
    <xdr:to>
      <xdr:col>7</xdr:col>
      <xdr:colOff>561974</xdr:colOff>
      <xdr:row>390</xdr:row>
      <xdr:rowOff>19050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9F178CFD-813C-4B32-B7AA-A18C0E5A0A78}"/>
            </a:ext>
          </a:extLst>
        </xdr:cNvPr>
        <xdr:cNvGrpSpPr/>
      </xdr:nvGrpSpPr>
      <xdr:grpSpPr>
        <a:xfrm>
          <a:off x="238125" y="85601735"/>
          <a:ext cx="6027643" cy="5453903"/>
          <a:chOff x="1049388" y="583200"/>
          <a:chExt cx="4794747" cy="4100825"/>
        </a:xfrm>
      </xdr:grpSpPr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8A80EC9E-7624-4C05-A441-BAEA3A3EFB4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49388" y="583200"/>
            <a:ext cx="303699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EA1CEDCD-3ABB-40B3-BB2C-C7907A5654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13434" y="583200"/>
            <a:ext cx="1630701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2B1538B6-431C-4DDB-B73D-A6B6CC7305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00608" y="2884025"/>
            <a:ext cx="239050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1A398BD3-C866-4282-9E20-E3884F7CE7C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021686" y="2884025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3DAs7zxCpa3YPVFF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29"/>
  <sheetViews>
    <sheetView tabSelected="1" view="pageBreakPreview" zoomScale="85" zoomScaleNormal="100" zoomScaleSheetLayoutView="85" workbookViewId="0">
      <selection activeCell="L14" sqref="L14"/>
    </sheetView>
  </sheetViews>
  <sheetFormatPr defaultColWidth="9.140625" defaultRowHeight="15.75" x14ac:dyDescent="0.25"/>
  <cols>
    <col min="1" max="1" width="11.42578125" style="11" customWidth="1"/>
    <col min="2" max="2" width="12" style="11" customWidth="1"/>
    <col min="3" max="3" width="12.7109375" style="11" customWidth="1"/>
    <col min="4" max="4" width="14.140625" style="11" customWidth="1"/>
    <col min="5" max="7" width="11.7109375" style="11" customWidth="1"/>
    <col min="8" max="8" width="12.42578125" style="11" customWidth="1"/>
    <col min="9" max="9" width="17.42578125" style="3" customWidth="1"/>
    <col min="10" max="10" width="11.42578125" style="3" customWidth="1"/>
    <col min="11" max="11" width="10.5703125" style="3" bestFit="1" customWidth="1"/>
    <col min="12" max="12" width="10.5703125" style="3" customWidth="1"/>
    <col min="13" max="13" width="11.85546875" style="3" customWidth="1"/>
    <col min="14" max="14" width="12.5703125" style="3" customWidth="1"/>
    <col min="15" max="15" width="9.85546875" style="3" customWidth="1"/>
    <col min="16" max="16" width="11.7109375" style="3" customWidth="1"/>
    <col min="17" max="247" width="9.140625" style="3"/>
    <col min="248" max="248" width="8.7109375" style="3" customWidth="1"/>
    <col min="249" max="249" width="9.85546875" style="3" customWidth="1"/>
    <col min="250" max="250" width="14.42578125" style="3" customWidth="1"/>
    <col min="251" max="251" width="7.28515625" style="3" customWidth="1"/>
    <col min="252" max="252" width="5.5703125" style="3" customWidth="1"/>
    <col min="253" max="253" width="9" style="3" customWidth="1"/>
    <col min="254" max="255" width="9.85546875" style="3" customWidth="1"/>
    <col min="256" max="256" width="11.140625" style="3" customWidth="1"/>
    <col min="257" max="257" width="2.85546875" style="3" customWidth="1"/>
    <col min="258" max="258" width="3.5703125" style="3" customWidth="1"/>
    <col min="259" max="503" width="9.140625" style="3"/>
    <col min="504" max="504" width="8.7109375" style="3" customWidth="1"/>
    <col min="505" max="505" width="9.85546875" style="3" customWidth="1"/>
    <col min="506" max="506" width="14.42578125" style="3" customWidth="1"/>
    <col min="507" max="507" width="7.28515625" style="3" customWidth="1"/>
    <col min="508" max="508" width="5.5703125" style="3" customWidth="1"/>
    <col min="509" max="509" width="9" style="3" customWidth="1"/>
    <col min="510" max="511" width="9.85546875" style="3" customWidth="1"/>
    <col min="512" max="512" width="11.140625" style="3" customWidth="1"/>
    <col min="513" max="513" width="2.85546875" style="3" customWidth="1"/>
    <col min="514" max="514" width="3.5703125" style="3" customWidth="1"/>
    <col min="515" max="759" width="9.140625" style="3"/>
    <col min="760" max="760" width="8.7109375" style="3" customWidth="1"/>
    <col min="761" max="761" width="9.85546875" style="3" customWidth="1"/>
    <col min="762" max="762" width="14.42578125" style="3" customWidth="1"/>
    <col min="763" max="763" width="7.28515625" style="3" customWidth="1"/>
    <col min="764" max="764" width="5.5703125" style="3" customWidth="1"/>
    <col min="765" max="765" width="9" style="3" customWidth="1"/>
    <col min="766" max="767" width="9.85546875" style="3" customWidth="1"/>
    <col min="768" max="768" width="11.140625" style="3" customWidth="1"/>
    <col min="769" max="769" width="2.85546875" style="3" customWidth="1"/>
    <col min="770" max="770" width="3.5703125" style="3" customWidth="1"/>
    <col min="771" max="1015" width="9.140625" style="3"/>
    <col min="1016" max="1016" width="8.7109375" style="3" customWidth="1"/>
    <col min="1017" max="1017" width="9.85546875" style="3" customWidth="1"/>
    <col min="1018" max="1018" width="14.42578125" style="3" customWidth="1"/>
    <col min="1019" max="1019" width="7.28515625" style="3" customWidth="1"/>
    <col min="1020" max="1020" width="5.5703125" style="3" customWidth="1"/>
    <col min="1021" max="1021" width="9" style="3" customWidth="1"/>
    <col min="1022" max="1023" width="9.85546875" style="3" customWidth="1"/>
    <col min="1024" max="1024" width="11.140625" style="3" customWidth="1"/>
    <col min="1025" max="1025" width="2.85546875" style="3" customWidth="1"/>
    <col min="1026" max="1026" width="3.5703125" style="3" customWidth="1"/>
    <col min="1027" max="1271" width="9.140625" style="3"/>
    <col min="1272" max="1272" width="8.7109375" style="3" customWidth="1"/>
    <col min="1273" max="1273" width="9.85546875" style="3" customWidth="1"/>
    <col min="1274" max="1274" width="14.42578125" style="3" customWidth="1"/>
    <col min="1275" max="1275" width="7.28515625" style="3" customWidth="1"/>
    <col min="1276" max="1276" width="5.5703125" style="3" customWidth="1"/>
    <col min="1277" max="1277" width="9" style="3" customWidth="1"/>
    <col min="1278" max="1279" width="9.85546875" style="3" customWidth="1"/>
    <col min="1280" max="1280" width="11.140625" style="3" customWidth="1"/>
    <col min="1281" max="1281" width="2.85546875" style="3" customWidth="1"/>
    <col min="1282" max="1282" width="3.5703125" style="3" customWidth="1"/>
    <col min="1283" max="1527" width="9.140625" style="3"/>
    <col min="1528" max="1528" width="8.7109375" style="3" customWidth="1"/>
    <col min="1529" max="1529" width="9.85546875" style="3" customWidth="1"/>
    <col min="1530" max="1530" width="14.42578125" style="3" customWidth="1"/>
    <col min="1531" max="1531" width="7.28515625" style="3" customWidth="1"/>
    <col min="1532" max="1532" width="5.5703125" style="3" customWidth="1"/>
    <col min="1533" max="1533" width="9" style="3" customWidth="1"/>
    <col min="1534" max="1535" width="9.85546875" style="3" customWidth="1"/>
    <col min="1536" max="1536" width="11.140625" style="3" customWidth="1"/>
    <col min="1537" max="1537" width="2.85546875" style="3" customWidth="1"/>
    <col min="1538" max="1538" width="3.5703125" style="3" customWidth="1"/>
    <col min="1539" max="1783" width="9.140625" style="3"/>
    <col min="1784" max="1784" width="8.7109375" style="3" customWidth="1"/>
    <col min="1785" max="1785" width="9.85546875" style="3" customWidth="1"/>
    <col min="1786" max="1786" width="14.42578125" style="3" customWidth="1"/>
    <col min="1787" max="1787" width="7.28515625" style="3" customWidth="1"/>
    <col min="1788" max="1788" width="5.5703125" style="3" customWidth="1"/>
    <col min="1789" max="1789" width="9" style="3" customWidth="1"/>
    <col min="1790" max="1791" width="9.85546875" style="3" customWidth="1"/>
    <col min="1792" max="1792" width="11.140625" style="3" customWidth="1"/>
    <col min="1793" max="1793" width="2.85546875" style="3" customWidth="1"/>
    <col min="1794" max="1794" width="3.5703125" style="3" customWidth="1"/>
    <col min="1795" max="2039" width="9.140625" style="3"/>
    <col min="2040" max="2040" width="8.7109375" style="3" customWidth="1"/>
    <col min="2041" max="2041" width="9.85546875" style="3" customWidth="1"/>
    <col min="2042" max="2042" width="14.42578125" style="3" customWidth="1"/>
    <col min="2043" max="2043" width="7.28515625" style="3" customWidth="1"/>
    <col min="2044" max="2044" width="5.5703125" style="3" customWidth="1"/>
    <col min="2045" max="2045" width="9" style="3" customWidth="1"/>
    <col min="2046" max="2047" width="9.85546875" style="3" customWidth="1"/>
    <col min="2048" max="2048" width="11.140625" style="3" customWidth="1"/>
    <col min="2049" max="2049" width="2.85546875" style="3" customWidth="1"/>
    <col min="2050" max="2050" width="3.5703125" style="3" customWidth="1"/>
    <col min="2051" max="2295" width="9.140625" style="3"/>
    <col min="2296" max="2296" width="8.7109375" style="3" customWidth="1"/>
    <col min="2297" max="2297" width="9.85546875" style="3" customWidth="1"/>
    <col min="2298" max="2298" width="14.42578125" style="3" customWidth="1"/>
    <col min="2299" max="2299" width="7.28515625" style="3" customWidth="1"/>
    <col min="2300" max="2300" width="5.5703125" style="3" customWidth="1"/>
    <col min="2301" max="2301" width="9" style="3" customWidth="1"/>
    <col min="2302" max="2303" width="9.85546875" style="3" customWidth="1"/>
    <col min="2304" max="2304" width="11.140625" style="3" customWidth="1"/>
    <col min="2305" max="2305" width="2.85546875" style="3" customWidth="1"/>
    <col min="2306" max="2306" width="3.5703125" style="3" customWidth="1"/>
    <col min="2307" max="2551" width="9.140625" style="3"/>
    <col min="2552" max="2552" width="8.7109375" style="3" customWidth="1"/>
    <col min="2553" max="2553" width="9.85546875" style="3" customWidth="1"/>
    <col min="2554" max="2554" width="14.42578125" style="3" customWidth="1"/>
    <col min="2555" max="2555" width="7.28515625" style="3" customWidth="1"/>
    <col min="2556" max="2556" width="5.5703125" style="3" customWidth="1"/>
    <col min="2557" max="2557" width="9" style="3" customWidth="1"/>
    <col min="2558" max="2559" width="9.85546875" style="3" customWidth="1"/>
    <col min="2560" max="2560" width="11.140625" style="3" customWidth="1"/>
    <col min="2561" max="2561" width="2.85546875" style="3" customWidth="1"/>
    <col min="2562" max="2562" width="3.5703125" style="3" customWidth="1"/>
    <col min="2563" max="2807" width="9.140625" style="3"/>
    <col min="2808" max="2808" width="8.7109375" style="3" customWidth="1"/>
    <col min="2809" max="2809" width="9.85546875" style="3" customWidth="1"/>
    <col min="2810" max="2810" width="14.42578125" style="3" customWidth="1"/>
    <col min="2811" max="2811" width="7.28515625" style="3" customWidth="1"/>
    <col min="2812" max="2812" width="5.5703125" style="3" customWidth="1"/>
    <col min="2813" max="2813" width="9" style="3" customWidth="1"/>
    <col min="2814" max="2815" width="9.85546875" style="3" customWidth="1"/>
    <col min="2816" max="2816" width="11.140625" style="3" customWidth="1"/>
    <col min="2817" max="2817" width="2.85546875" style="3" customWidth="1"/>
    <col min="2818" max="2818" width="3.5703125" style="3" customWidth="1"/>
    <col min="2819" max="3063" width="9.140625" style="3"/>
    <col min="3064" max="3064" width="8.7109375" style="3" customWidth="1"/>
    <col min="3065" max="3065" width="9.85546875" style="3" customWidth="1"/>
    <col min="3066" max="3066" width="14.42578125" style="3" customWidth="1"/>
    <col min="3067" max="3067" width="7.28515625" style="3" customWidth="1"/>
    <col min="3068" max="3068" width="5.5703125" style="3" customWidth="1"/>
    <col min="3069" max="3069" width="9" style="3" customWidth="1"/>
    <col min="3070" max="3071" width="9.85546875" style="3" customWidth="1"/>
    <col min="3072" max="3072" width="11.140625" style="3" customWidth="1"/>
    <col min="3073" max="3073" width="2.85546875" style="3" customWidth="1"/>
    <col min="3074" max="3074" width="3.5703125" style="3" customWidth="1"/>
    <col min="3075" max="3319" width="9.140625" style="3"/>
    <col min="3320" max="3320" width="8.7109375" style="3" customWidth="1"/>
    <col min="3321" max="3321" width="9.85546875" style="3" customWidth="1"/>
    <col min="3322" max="3322" width="14.42578125" style="3" customWidth="1"/>
    <col min="3323" max="3323" width="7.28515625" style="3" customWidth="1"/>
    <col min="3324" max="3324" width="5.5703125" style="3" customWidth="1"/>
    <col min="3325" max="3325" width="9" style="3" customWidth="1"/>
    <col min="3326" max="3327" width="9.85546875" style="3" customWidth="1"/>
    <col min="3328" max="3328" width="11.140625" style="3" customWidth="1"/>
    <col min="3329" max="3329" width="2.85546875" style="3" customWidth="1"/>
    <col min="3330" max="3330" width="3.5703125" style="3" customWidth="1"/>
    <col min="3331" max="3575" width="9.140625" style="3"/>
    <col min="3576" max="3576" width="8.7109375" style="3" customWidth="1"/>
    <col min="3577" max="3577" width="9.85546875" style="3" customWidth="1"/>
    <col min="3578" max="3578" width="14.42578125" style="3" customWidth="1"/>
    <col min="3579" max="3579" width="7.28515625" style="3" customWidth="1"/>
    <col min="3580" max="3580" width="5.5703125" style="3" customWidth="1"/>
    <col min="3581" max="3581" width="9" style="3" customWidth="1"/>
    <col min="3582" max="3583" width="9.85546875" style="3" customWidth="1"/>
    <col min="3584" max="3584" width="11.140625" style="3" customWidth="1"/>
    <col min="3585" max="3585" width="2.85546875" style="3" customWidth="1"/>
    <col min="3586" max="3586" width="3.5703125" style="3" customWidth="1"/>
    <col min="3587" max="3831" width="9.140625" style="3"/>
    <col min="3832" max="3832" width="8.7109375" style="3" customWidth="1"/>
    <col min="3833" max="3833" width="9.85546875" style="3" customWidth="1"/>
    <col min="3834" max="3834" width="14.42578125" style="3" customWidth="1"/>
    <col min="3835" max="3835" width="7.28515625" style="3" customWidth="1"/>
    <col min="3836" max="3836" width="5.5703125" style="3" customWidth="1"/>
    <col min="3837" max="3837" width="9" style="3" customWidth="1"/>
    <col min="3838" max="3839" width="9.85546875" style="3" customWidth="1"/>
    <col min="3840" max="3840" width="11.140625" style="3" customWidth="1"/>
    <col min="3841" max="3841" width="2.85546875" style="3" customWidth="1"/>
    <col min="3842" max="3842" width="3.5703125" style="3" customWidth="1"/>
    <col min="3843" max="4087" width="9.140625" style="3"/>
    <col min="4088" max="4088" width="8.7109375" style="3" customWidth="1"/>
    <col min="4089" max="4089" width="9.85546875" style="3" customWidth="1"/>
    <col min="4090" max="4090" width="14.42578125" style="3" customWidth="1"/>
    <col min="4091" max="4091" width="7.28515625" style="3" customWidth="1"/>
    <col min="4092" max="4092" width="5.5703125" style="3" customWidth="1"/>
    <col min="4093" max="4093" width="9" style="3" customWidth="1"/>
    <col min="4094" max="4095" width="9.85546875" style="3" customWidth="1"/>
    <col min="4096" max="4096" width="11.140625" style="3" customWidth="1"/>
    <col min="4097" max="4097" width="2.85546875" style="3" customWidth="1"/>
    <col min="4098" max="4098" width="3.5703125" style="3" customWidth="1"/>
    <col min="4099" max="4343" width="9.140625" style="3"/>
    <col min="4344" max="4344" width="8.7109375" style="3" customWidth="1"/>
    <col min="4345" max="4345" width="9.85546875" style="3" customWidth="1"/>
    <col min="4346" max="4346" width="14.42578125" style="3" customWidth="1"/>
    <col min="4347" max="4347" width="7.28515625" style="3" customWidth="1"/>
    <col min="4348" max="4348" width="5.5703125" style="3" customWidth="1"/>
    <col min="4349" max="4349" width="9" style="3" customWidth="1"/>
    <col min="4350" max="4351" width="9.85546875" style="3" customWidth="1"/>
    <col min="4352" max="4352" width="11.140625" style="3" customWidth="1"/>
    <col min="4353" max="4353" width="2.85546875" style="3" customWidth="1"/>
    <col min="4354" max="4354" width="3.5703125" style="3" customWidth="1"/>
    <col min="4355" max="4599" width="9.140625" style="3"/>
    <col min="4600" max="4600" width="8.7109375" style="3" customWidth="1"/>
    <col min="4601" max="4601" width="9.85546875" style="3" customWidth="1"/>
    <col min="4602" max="4602" width="14.42578125" style="3" customWidth="1"/>
    <col min="4603" max="4603" width="7.28515625" style="3" customWidth="1"/>
    <col min="4604" max="4604" width="5.5703125" style="3" customWidth="1"/>
    <col min="4605" max="4605" width="9" style="3" customWidth="1"/>
    <col min="4606" max="4607" width="9.85546875" style="3" customWidth="1"/>
    <col min="4608" max="4608" width="11.140625" style="3" customWidth="1"/>
    <col min="4609" max="4609" width="2.85546875" style="3" customWidth="1"/>
    <col min="4610" max="4610" width="3.5703125" style="3" customWidth="1"/>
    <col min="4611" max="4855" width="9.140625" style="3"/>
    <col min="4856" max="4856" width="8.7109375" style="3" customWidth="1"/>
    <col min="4857" max="4857" width="9.85546875" style="3" customWidth="1"/>
    <col min="4858" max="4858" width="14.42578125" style="3" customWidth="1"/>
    <col min="4859" max="4859" width="7.28515625" style="3" customWidth="1"/>
    <col min="4860" max="4860" width="5.5703125" style="3" customWidth="1"/>
    <col min="4861" max="4861" width="9" style="3" customWidth="1"/>
    <col min="4862" max="4863" width="9.85546875" style="3" customWidth="1"/>
    <col min="4864" max="4864" width="11.140625" style="3" customWidth="1"/>
    <col min="4865" max="4865" width="2.85546875" style="3" customWidth="1"/>
    <col min="4866" max="4866" width="3.5703125" style="3" customWidth="1"/>
    <col min="4867" max="5111" width="9.140625" style="3"/>
    <col min="5112" max="5112" width="8.7109375" style="3" customWidth="1"/>
    <col min="5113" max="5113" width="9.85546875" style="3" customWidth="1"/>
    <col min="5114" max="5114" width="14.42578125" style="3" customWidth="1"/>
    <col min="5115" max="5115" width="7.28515625" style="3" customWidth="1"/>
    <col min="5116" max="5116" width="5.5703125" style="3" customWidth="1"/>
    <col min="5117" max="5117" width="9" style="3" customWidth="1"/>
    <col min="5118" max="5119" width="9.85546875" style="3" customWidth="1"/>
    <col min="5120" max="5120" width="11.140625" style="3" customWidth="1"/>
    <col min="5121" max="5121" width="2.85546875" style="3" customWidth="1"/>
    <col min="5122" max="5122" width="3.5703125" style="3" customWidth="1"/>
    <col min="5123" max="5367" width="9.140625" style="3"/>
    <col min="5368" max="5368" width="8.7109375" style="3" customWidth="1"/>
    <col min="5369" max="5369" width="9.85546875" style="3" customWidth="1"/>
    <col min="5370" max="5370" width="14.42578125" style="3" customWidth="1"/>
    <col min="5371" max="5371" width="7.28515625" style="3" customWidth="1"/>
    <col min="5372" max="5372" width="5.5703125" style="3" customWidth="1"/>
    <col min="5373" max="5373" width="9" style="3" customWidth="1"/>
    <col min="5374" max="5375" width="9.85546875" style="3" customWidth="1"/>
    <col min="5376" max="5376" width="11.140625" style="3" customWidth="1"/>
    <col min="5377" max="5377" width="2.85546875" style="3" customWidth="1"/>
    <col min="5378" max="5378" width="3.5703125" style="3" customWidth="1"/>
    <col min="5379" max="5623" width="9.140625" style="3"/>
    <col min="5624" max="5624" width="8.7109375" style="3" customWidth="1"/>
    <col min="5625" max="5625" width="9.85546875" style="3" customWidth="1"/>
    <col min="5626" max="5626" width="14.42578125" style="3" customWidth="1"/>
    <col min="5627" max="5627" width="7.28515625" style="3" customWidth="1"/>
    <col min="5628" max="5628" width="5.5703125" style="3" customWidth="1"/>
    <col min="5629" max="5629" width="9" style="3" customWidth="1"/>
    <col min="5630" max="5631" width="9.85546875" style="3" customWidth="1"/>
    <col min="5632" max="5632" width="11.140625" style="3" customWidth="1"/>
    <col min="5633" max="5633" width="2.85546875" style="3" customWidth="1"/>
    <col min="5634" max="5634" width="3.5703125" style="3" customWidth="1"/>
    <col min="5635" max="5879" width="9.140625" style="3"/>
    <col min="5880" max="5880" width="8.7109375" style="3" customWidth="1"/>
    <col min="5881" max="5881" width="9.85546875" style="3" customWidth="1"/>
    <col min="5882" max="5882" width="14.42578125" style="3" customWidth="1"/>
    <col min="5883" max="5883" width="7.28515625" style="3" customWidth="1"/>
    <col min="5884" max="5884" width="5.5703125" style="3" customWidth="1"/>
    <col min="5885" max="5885" width="9" style="3" customWidth="1"/>
    <col min="5886" max="5887" width="9.85546875" style="3" customWidth="1"/>
    <col min="5888" max="5888" width="11.140625" style="3" customWidth="1"/>
    <col min="5889" max="5889" width="2.85546875" style="3" customWidth="1"/>
    <col min="5890" max="5890" width="3.5703125" style="3" customWidth="1"/>
    <col min="5891" max="6135" width="9.140625" style="3"/>
    <col min="6136" max="6136" width="8.7109375" style="3" customWidth="1"/>
    <col min="6137" max="6137" width="9.85546875" style="3" customWidth="1"/>
    <col min="6138" max="6138" width="14.42578125" style="3" customWidth="1"/>
    <col min="6139" max="6139" width="7.28515625" style="3" customWidth="1"/>
    <col min="6140" max="6140" width="5.5703125" style="3" customWidth="1"/>
    <col min="6141" max="6141" width="9" style="3" customWidth="1"/>
    <col min="6142" max="6143" width="9.85546875" style="3" customWidth="1"/>
    <col min="6144" max="6144" width="11.140625" style="3" customWidth="1"/>
    <col min="6145" max="6145" width="2.85546875" style="3" customWidth="1"/>
    <col min="6146" max="6146" width="3.5703125" style="3" customWidth="1"/>
    <col min="6147" max="6391" width="9.140625" style="3"/>
    <col min="6392" max="6392" width="8.7109375" style="3" customWidth="1"/>
    <col min="6393" max="6393" width="9.85546875" style="3" customWidth="1"/>
    <col min="6394" max="6394" width="14.42578125" style="3" customWidth="1"/>
    <col min="6395" max="6395" width="7.28515625" style="3" customWidth="1"/>
    <col min="6396" max="6396" width="5.5703125" style="3" customWidth="1"/>
    <col min="6397" max="6397" width="9" style="3" customWidth="1"/>
    <col min="6398" max="6399" width="9.85546875" style="3" customWidth="1"/>
    <col min="6400" max="6400" width="11.140625" style="3" customWidth="1"/>
    <col min="6401" max="6401" width="2.85546875" style="3" customWidth="1"/>
    <col min="6402" max="6402" width="3.5703125" style="3" customWidth="1"/>
    <col min="6403" max="6647" width="9.140625" style="3"/>
    <col min="6648" max="6648" width="8.7109375" style="3" customWidth="1"/>
    <col min="6649" max="6649" width="9.85546875" style="3" customWidth="1"/>
    <col min="6650" max="6650" width="14.42578125" style="3" customWidth="1"/>
    <col min="6651" max="6651" width="7.28515625" style="3" customWidth="1"/>
    <col min="6652" max="6652" width="5.5703125" style="3" customWidth="1"/>
    <col min="6653" max="6653" width="9" style="3" customWidth="1"/>
    <col min="6654" max="6655" width="9.85546875" style="3" customWidth="1"/>
    <col min="6656" max="6656" width="11.140625" style="3" customWidth="1"/>
    <col min="6657" max="6657" width="2.85546875" style="3" customWidth="1"/>
    <col min="6658" max="6658" width="3.5703125" style="3" customWidth="1"/>
    <col min="6659" max="6903" width="9.140625" style="3"/>
    <col min="6904" max="6904" width="8.7109375" style="3" customWidth="1"/>
    <col min="6905" max="6905" width="9.85546875" style="3" customWidth="1"/>
    <col min="6906" max="6906" width="14.42578125" style="3" customWidth="1"/>
    <col min="6907" max="6907" width="7.28515625" style="3" customWidth="1"/>
    <col min="6908" max="6908" width="5.5703125" style="3" customWidth="1"/>
    <col min="6909" max="6909" width="9" style="3" customWidth="1"/>
    <col min="6910" max="6911" width="9.85546875" style="3" customWidth="1"/>
    <col min="6912" max="6912" width="11.140625" style="3" customWidth="1"/>
    <col min="6913" max="6913" width="2.85546875" style="3" customWidth="1"/>
    <col min="6914" max="6914" width="3.5703125" style="3" customWidth="1"/>
    <col min="6915" max="7159" width="9.140625" style="3"/>
    <col min="7160" max="7160" width="8.7109375" style="3" customWidth="1"/>
    <col min="7161" max="7161" width="9.85546875" style="3" customWidth="1"/>
    <col min="7162" max="7162" width="14.42578125" style="3" customWidth="1"/>
    <col min="7163" max="7163" width="7.28515625" style="3" customWidth="1"/>
    <col min="7164" max="7164" width="5.5703125" style="3" customWidth="1"/>
    <col min="7165" max="7165" width="9" style="3" customWidth="1"/>
    <col min="7166" max="7167" width="9.85546875" style="3" customWidth="1"/>
    <col min="7168" max="7168" width="11.140625" style="3" customWidth="1"/>
    <col min="7169" max="7169" width="2.85546875" style="3" customWidth="1"/>
    <col min="7170" max="7170" width="3.5703125" style="3" customWidth="1"/>
    <col min="7171" max="7415" width="9.140625" style="3"/>
    <col min="7416" max="7416" width="8.7109375" style="3" customWidth="1"/>
    <col min="7417" max="7417" width="9.85546875" style="3" customWidth="1"/>
    <col min="7418" max="7418" width="14.42578125" style="3" customWidth="1"/>
    <col min="7419" max="7419" width="7.28515625" style="3" customWidth="1"/>
    <col min="7420" max="7420" width="5.5703125" style="3" customWidth="1"/>
    <col min="7421" max="7421" width="9" style="3" customWidth="1"/>
    <col min="7422" max="7423" width="9.85546875" style="3" customWidth="1"/>
    <col min="7424" max="7424" width="11.140625" style="3" customWidth="1"/>
    <col min="7425" max="7425" width="2.85546875" style="3" customWidth="1"/>
    <col min="7426" max="7426" width="3.5703125" style="3" customWidth="1"/>
    <col min="7427" max="7671" width="9.140625" style="3"/>
    <col min="7672" max="7672" width="8.7109375" style="3" customWidth="1"/>
    <col min="7673" max="7673" width="9.85546875" style="3" customWidth="1"/>
    <col min="7674" max="7674" width="14.42578125" style="3" customWidth="1"/>
    <col min="7675" max="7675" width="7.28515625" style="3" customWidth="1"/>
    <col min="7676" max="7676" width="5.5703125" style="3" customWidth="1"/>
    <col min="7677" max="7677" width="9" style="3" customWidth="1"/>
    <col min="7678" max="7679" width="9.85546875" style="3" customWidth="1"/>
    <col min="7680" max="7680" width="11.140625" style="3" customWidth="1"/>
    <col min="7681" max="7681" width="2.85546875" style="3" customWidth="1"/>
    <col min="7682" max="7682" width="3.5703125" style="3" customWidth="1"/>
    <col min="7683" max="7927" width="9.140625" style="3"/>
    <col min="7928" max="7928" width="8.7109375" style="3" customWidth="1"/>
    <col min="7929" max="7929" width="9.85546875" style="3" customWidth="1"/>
    <col min="7930" max="7930" width="14.42578125" style="3" customWidth="1"/>
    <col min="7931" max="7931" width="7.28515625" style="3" customWidth="1"/>
    <col min="7932" max="7932" width="5.5703125" style="3" customWidth="1"/>
    <col min="7933" max="7933" width="9" style="3" customWidth="1"/>
    <col min="7934" max="7935" width="9.85546875" style="3" customWidth="1"/>
    <col min="7936" max="7936" width="11.140625" style="3" customWidth="1"/>
    <col min="7937" max="7937" width="2.85546875" style="3" customWidth="1"/>
    <col min="7938" max="7938" width="3.5703125" style="3" customWidth="1"/>
    <col min="7939" max="8183" width="9.140625" style="3"/>
    <col min="8184" max="8184" width="8.7109375" style="3" customWidth="1"/>
    <col min="8185" max="8185" width="9.85546875" style="3" customWidth="1"/>
    <col min="8186" max="8186" width="14.42578125" style="3" customWidth="1"/>
    <col min="8187" max="8187" width="7.28515625" style="3" customWidth="1"/>
    <col min="8188" max="8188" width="5.5703125" style="3" customWidth="1"/>
    <col min="8189" max="8189" width="9" style="3" customWidth="1"/>
    <col min="8190" max="8191" width="9.85546875" style="3" customWidth="1"/>
    <col min="8192" max="8192" width="11.140625" style="3" customWidth="1"/>
    <col min="8193" max="8193" width="2.85546875" style="3" customWidth="1"/>
    <col min="8194" max="8194" width="3.5703125" style="3" customWidth="1"/>
    <col min="8195" max="8439" width="9.140625" style="3"/>
    <col min="8440" max="8440" width="8.7109375" style="3" customWidth="1"/>
    <col min="8441" max="8441" width="9.85546875" style="3" customWidth="1"/>
    <col min="8442" max="8442" width="14.42578125" style="3" customWidth="1"/>
    <col min="8443" max="8443" width="7.28515625" style="3" customWidth="1"/>
    <col min="8444" max="8444" width="5.5703125" style="3" customWidth="1"/>
    <col min="8445" max="8445" width="9" style="3" customWidth="1"/>
    <col min="8446" max="8447" width="9.85546875" style="3" customWidth="1"/>
    <col min="8448" max="8448" width="11.140625" style="3" customWidth="1"/>
    <col min="8449" max="8449" width="2.85546875" style="3" customWidth="1"/>
    <col min="8450" max="8450" width="3.5703125" style="3" customWidth="1"/>
    <col min="8451" max="8695" width="9.140625" style="3"/>
    <col min="8696" max="8696" width="8.7109375" style="3" customWidth="1"/>
    <col min="8697" max="8697" width="9.85546875" style="3" customWidth="1"/>
    <col min="8698" max="8698" width="14.42578125" style="3" customWidth="1"/>
    <col min="8699" max="8699" width="7.28515625" style="3" customWidth="1"/>
    <col min="8700" max="8700" width="5.5703125" style="3" customWidth="1"/>
    <col min="8701" max="8701" width="9" style="3" customWidth="1"/>
    <col min="8702" max="8703" width="9.85546875" style="3" customWidth="1"/>
    <col min="8704" max="8704" width="11.140625" style="3" customWidth="1"/>
    <col min="8705" max="8705" width="2.85546875" style="3" customWidth="1"/>
    <col min="8706" max="8706" width="3.5703125" style="3" customWidth="1"/>
    <col min="8707" max="8951" width="9.140625" style="3"/>
    <col min="8952" max="8952" width="8.7109375" style="3" customWidth="1"/>
    <col min="8953" max="8953" width="9.85546875" style="3" customWidth="1"/>
    <col min="8954" max="8954" width="14.42578125" style="3" customWidth="1"/>
    <col min="8955" max="8955" width="7.28515625" style="3" customWidth="1"/>
    <col min="8956" max="8956" width="5.5703125" style="3" customWidth="1"/>
    <col min="8957" max="8957" width="9" style="3" customWidth="1"/>
    <col min="8958" max="8959" width="9.85546875" style="3" customWidth="1"/>
    <col min="8960" max="8960" width="11.140625" style="3" customWidth="1"/>
    <col min="8961" max="8961" width="2.85546875" style="3" customWidth="1"/>
    <col min="8962" max="8962" width="3.5703125" style="3" customWidth="1"/>
    <col min="8963" max="9207" width="9.140625" style="3"/>
    <col min="9208" max="9208" width="8.7109375" style="3" customWidth="1"/>
    <col min="9209" max="9209" width="9.85546875" style="3" customWidth="1"/>
    <col min="9210" max="9210" width="14.42578125" style="3" customWidth="1"/>
    <col min="9211" max="9211" width="7.28515625" style="3" customWidth="1"/>
    <col min="9212" max="9212" width="5.5703125" style="3" customWidth="1"/>
    <col min="9213" max="9213" width="9" style="3" customWidth="1"/>
    <col min="9214" max="9215" width="9.85546875" style="3" customWidth="1"/>
    <col min="9216" max="9216" width="11.140625" style="3" customWidth="1"/>
    <col min="9217" max="9217" width="2.85546875" style="3" customWidth="1"/>
    <col min="9218" max="9218" width="3.5703125" style="3" customWidth="1"/>
    <col min="9219" max="9463" width="9.140625" style="3"/>
    <col min="9464" max="9464" width="8.7109375" style="3" customWidth="1"/>
    <col min="9465" max="9465" width="9.85546875" style="3" customWidth="1"/>
    <col min="9466" max="9466" width="14.42578125" style="3" customWidth="1"/>
    <col min="9467" max="9467" width="7.28515625" style="3" customWidth="1"/>
    <col min="9468" max="9468" width="5.5703125" style="3" customWidth="1"/>
    <col min="9469" max="9469" width="9" style="3" customWidth="1"/>
    <col min="9470" max="9471" width="9.85546875" style="3" customWidth="1"/>
    <col min="9472" max="9472" width="11.140625" style="3" customWidth="1"/>
    <col min="9473" max="9473" width="2.85546875" style="3" customWidth="1"/>
    <col min="9474" max="9474" width="3.5703125" style="3" customWidth="1"/>
    <col min="9475" max="9719" width="9.140625" style="3"/>
    <col min="9720" max="9720" width="8.7109375" style="3" customWidth="1"/>
    <col min="9721" max="9721" width="9.85546875" style="3" customWidth="1"/>
    <col min="9722" max="9722" width="14.42578125" style="3" customWidth="1"/>
    <col min="9723" max="9723" width="7.28515625" style="3" customWidth="1"/>
    <col min="9724" max="9724" width="5.5703125" style="3" customWidth="1"/>
    <col min="9725" max="9725" width="9" style="3" customWidth="1"/>
    <col min="9726" max="9727" width="9.85546875" style="3" customWidth="1"/>
    <col min="9728" max="9728" width="11.140625" style="3" customWidth="1"/>
    <col min="9729" max="9729" width="2.85546875" style="3" customWidth="1"/>
    <col min="9730" max="9730" width="3.5703125" style="3" customWidth="1"/>
    <col min="9731" max="9975" width="9.140625" style="3"/>
    <col min="9976" max="9976" width="8.7109375" style="3" customWidth="1"/>
    <col min="9977" max="9977" width="9.85546875" style="3" customWidth="1"/>
    <col min="9978" max="9978" width="14.42578125" style="3" customWidth="1"/>
    <col min="9979" max="9979" width="7.28515625" style="3" customWidth="1"/>
    <col min="9980" max="9980" width="5.5703125" style="3" customWidth="1"/>
    <col min="9981" max="9981" width="9" style="3" customWidth="1"/>
    <col min="9982" max="9983" width="9.85546875" style="3" customWidth="1"/>
    <col min="9984" max="9984" width="11.140625" style="3" customWidth="1"/>
    <col min="9985" max="9985" width="2.85546875" style="3" customWidth="1"/>
    <col min="9986" max="9986" width="3.5703125" style="3" customWidth="1"/>
    <col min="9987" max="10231" width="9.140625" style="3"/>
    <col min="10232" max="10232" width="8.7109375" style="3" customWidth="1"/>
    <col min="10233" max="10233" width="9.85546875" style="3" customWidth="1"/>
    <col min="10234" max="10234" width="14.42578125" style="3" customWidth="1"/>
    <col min="10235" max="10235" width="7.28515625" style="3" customWidth="1"/>
    <col min="10236" max="10236" width="5.5703125" style="3" customWidth="1"/>
    <col min="10237" max="10237" width="9" style="3" customWidth="1"/>
    <col min="10238" max="10239" width="9.85546875" style="3" customWidth="1"/>
    <col min="10240" max="10240" width="11.140625" style="3" customWidth="1"/>
    <col min="10241" max="10241" width="2.85546875" style="3" customWidth="1"/>
    <col min="10242" max="10242" width="3.5703125" style="3" customWidth="1"/>
    <col min="10243" max="10487" width="9.140625" style="3"/>
    <col min="10488" max="10488" width="8.7109375" style="3" customWidth="1"/>
    <col min="10489" max="10489" width="9.85546875" style="3" customWidth="1"/>
    <col min="10490" max="10490" width="14.42578125" style="3" customWidth="1"/>
    <col min="10491" max="10491" width="7.28515625" style="3" customWidth="1"/>
    <col min="10492" max="10492" width="5.5703125" style="3" customWidth="1"/>
    <col min="10493" max="10493" width="9" style="3" customWidth="1"/>
    <col min="10494" max="10495" width="9.85546875" style="3" customWidth="1"/>
    <col min="10496" max="10496" width="11.140625" style="3" customWidth="1"/>
    <col min="10497" max="10497" width="2.85546875" style="3" customWidth="1"/>
    <col min="10498" max="10498" width="3.5703125" style="3" customWidth="1"/>
    <col min="10499" max="10743" width="9.140625" style="3"/>
    <col min="10744" max="10744" width="8.7109375" style="3" customWidth="1"/>
    <col min="10745" max="10745" width="9.85546875" style="3" customWidth="1"/>
    <col min="10746" max="10746" width="14.42578125" style="3" customWidth="1"/>
    <col min="10747" max="10747" width="7.28515625" style="3" customWidth="1"/>
    <col min="10748" max="10748" width="5.5703125" style="3" customWidth="1"/>
    <col min="10749" max="10749" width="9" style="3" customWidth="1"/>
    <col min="10750" max="10751" width="9.85546875" style="3" customWidth="1"/>
    <col min="10752" max="10752" width="11.140625" style="3" customWidth="1"/>
    <col min="10753" max="10753" width="2.85546875" style="3" customWidth="1"/>
    <col min="10754" max="10754" width="3.5703125" style="3" customWidth="1"/>
    <col min="10755" max="10999" width="9.140625" style="3"/>
    <col min="11000" max="11000" width="8.7109375" style="3" customWidth="1"/>
    <col min="11001" max="11001" width="9.85546875" style="3" customWidth="1"/>
    <col min="11002" max="11002" width="14.42578125" style="3" customWidth="1"/>
    <col min="11003" max="11003" width="7.28515625" style="3" customWidth="1"/>
    <col min="11004" max="11004" width="5.5703125" style="3" customWidth="1"/>
    <col min="11005" max="11005" width="9" style="3" customWidth="1"/>
    <col min="11006" max="11007" width="9.85546875" style="3" customWidth="1"/>
    <col min="11008" max="11008" width="11.140625" style="3" customWidth="1"/>
    <col min="11009" max="11009" width="2.85546875" style="3" customWidth="1"/>
    <col min="11010" max="11010" width="3.5703125" style="3" customWidth="1"/>
    <col min="11011" max="11255" width="9.140625" style="3"/>
    <col min="11256" max="11256" width="8.7109375" style="3" customWidth="1"/>
    <col min="11257" max="11257" width="9.85546875" style="3" customWidth="1"/>
    <col min="11258" max="11258" width="14.42578125" style="3" customWidth="1"/>
    <col min="11259" max="11259" width="7.28515625" style="3" customWidth="1"/>
    <col min="11260" max="11260" width="5.5703125" style="3" customWidth="1"/>
    <col min="11261" max="11261" width="9" style="3" customWidth="1"/>
    <col min="11262" max="11263" width="9.85546875" style="3" customWidth="1"/>
    <col min="11264" max="11264" width="11.140625" style="3" customWidth="1"/>
    <col min="11265" max="11265" width="2.85546875" style="3" customWidth="1"/>
    <col min="11266" max="11266" width="3.5703125" style="3" customWidth="1"/>
    <col min="11267" max="11511" width="9.140625" style="3"/>
    <col min="11512" max="11512" width="8.7109375" style="3" customWidth="1"/>
    <col min="11513" max="11513" width="9.85546875" style="3" customWidth="1"/>
    <col min="11514" max="11514" width="14.42578125" style="3" customWidth="1"/>
    <col min="11515" max="11515" width="7.28515625" style="3" customWidth="1"/>
    <col min="11516" max="11516" width="5.5703125" style="3" customWidth="1"/>
    <col min="11517" max="11517" width="9" style="3" customWidth="1"/>
    <col min="11518" max="11519" width="9.85546875" style="3" customWidth="1"/>
    <col min="11520" max="11520" width="11.140625" style="3" customWidth="1"/>
    <col min="11521" max="11521" width="2.85546875" style="3" customWidth="1"/>
    <col min="11522" max="11522" width="3.5703125" style="3" customWidth="1"/>
    <col min="11523" max="11767" width="9.140625" style="3"/>
    <col min="11768" max="11768" width="8.7109375" style="3" customWidth="1"/>
    <col min="11769" max="11769" width="9.85546875" style="3" customWidth="1"/>
    <col min="11770" max="11770" width="14.42578125" style="3" customWidth="1"/>
    <col min="11771" max="11771" width="7.28515625" style="3" customWidth="1"/>
    <col min="11772" max="11772" width="5.5703125" style="3" customWidth="1"/>
    <col min="11773" max="11773" width="9" style="3" customWidth="1"/>
    <col min="11774" max="11775" width="9.85546875" style="3" customWidth="1"/>
    <col min="11776" max="11776" width="11.140625" style="3" customWidth="1"/>
    <col min="11777" max="11777" width="2.85546875" style="3" customWidth="1"/>
    <col min="11778" max="11778" width="3.5703125" style="3" customWidth="1"/>
    <col min="11779" max="12023" width="9.140625" style="3"/>
    <col min="12024" max="12024" width="8.7109375" style="3" customWidth="1"/>
    <col min="12025" max="12025" width="9.85546875" style="3" customWidth="1"/>
    <col min="12026" max="12026" width="14.42578125" style="3" customWidth="1"/>
    <col min="12027" max="12027" width="7.28515625" style="3" customWidth="1"/>
    <col min="12028" max="12028" width="5.5703125" style="3" customWidth="1"/>
    <col min="12029" max="12029" width="9" style="3" customWidth="1"/>
    <col min="12030" max="12031" width="9.85546875" style="3" customWidth="1"/>
    <col min="12032" max="12032" width="11.140625" style="3" customWidth="1"/>
    <col min="12033" max="12033" width="2.85546875" style="3" customWidth="1"/>
    <col min="12034" max="12034" width="3.5703125" style="3" customWidth="1"/>
    <col min="12035" max="12279" width="9.140625" style="3"/>
    <col min="12280" max="12280" width="8.7109375" style="3" customWidth="1"/>
    <col min="12281" max="12281" width="9.85546875" style="3" customWidth="1"/>
    <col min="12282" max="12282" width="14.42578125" style="3" customWidth="1"/>
    <col min="12283" max="12283" width="7.28515625" style="3" customWidth="1"/>
    <col min="12284" max="12284" width="5.5703125" style="3" customWidth="1"/>
    <col min="12285" max="12285" width="9" style="3" customWidth="1"/>
    <col min="12286" max="12287" width="9.85546875" style="3" customWidth="1"/>
    <col min="12288" max="12288" width="11.140625" style="3" customWidth="1"/>
    <col min="12289" max="12289" width="2.85546875" style="3" customWidth="1"/>
    <col min="12290" max="12290" width="3.5703125" style="3" customWidth="1"/>
    <col min="12291" max="12535" width="9.140625" style="3"/>
    <col min="12536" max="12536" width="8.7109375" style="3" customWidth="1"/>
    <col min="12537" max="12537" width="9.85546875" style="3" customWidth="1"/>
    <col min="12538" max="12538" width="14.42578125" style="3" customWidth="1"/>
    <col min="12539" max="12539" width="7.28515625" style="3" customWidth="1"/>
    <col min="12540" max="12540" width="5.5703125" style="3" customWidth="1"/>
    <col min="12541" max="12541" width="9" style="3" customWidth="1"/>
    <col min="12542" max="12543" width="9.85546875" style="3" customWidth="1"/>
    <col min="12544" max="12544" width="11.140625" style="3" customWidth="1"/>
    <col min="12545" max="12545" width="2.85546875" style="3" customWidth="1"/>
    <col min="12546" max="12546" width="3.5703125" style="3" customWidth="1"/>
    <col min="12547" max="12791" width="9.140625" style="3"/>
    <col min="12792" max="12792" width="8.7109375" style="3" customWidth="1"/>
    <col min="12793" max="12793" width="9.85546875" style="3" customWidth="1"/>
    <col min="12794" max="12794" width="14.42578125" style="3" customWidth="1"/>
    <col min="12795" max="12795" width="7.28515625" style="3" customWidth="1"/>
    <col min="12796" max="12796" width="5.5703125" style="3" customWidth="1"/>
    <col min="12797" max="12797" width="9" style="3" customWidth="1"/>
    <col min="12798" max="12799" width="9.85546875" style="3" customWidth="1"/>
    <col min="12800" max="12800" width="11.140625" style="3" customWidth="1"/>
    <col min="12801" max="12801" width="2.85546875" style="3" customWidth="1"/>
    <col min="12802" max="12802" width="3.5703125" style="3" customWidth="1"/>
    <col min="12803" max="13047" width="9.140625" style="3"/>
    <col min="13048" max="13048" width="8.7109375" style="3" customWidth="1"/>
    <col min="13049" max="13049" width="9.85546875" style="3" customWidth="1"/>
    <col min="13050" max="13050" width="14.42578125" style="3" customWidth="1"/>
    <col min="13051" max="13051" width="7.28515625" style="3" customWidth="1"/>
    <col min="13052" max="13052" width="5.5703125" style="3" customWidth="1"/>
    <col min="13053" max="13053" width="9" style="3" customWidth="1"/>
    <col min="13054" max="13055" width="9.85546875" style="3" customWidth="1"/>
    <col min="13056" max="13056" width="11.140625" style="3" customWidth="1"/>
    <col min="13057" max="13057" width="2.85546875" style="3" customWidth="1"/>
    <col min="13058" max="13058" width="3.5703125" style="3" customWidth="1"/>
    <col min="13059" max="13303" width="9.140625" style="3"/>
    <col min="13304" max="13304" width="8.7109375" style="3" customWidth="1"/>
    <col min="13305" max="13305" width="9.85546875" style="3" customWidth="1"/>
    <col min="13306" max="13306" width="14.42578125" style="3" customWidth="1"/>
    <col min="13307" max="13307" width="7.28515625" style="3" customWidth="1"/>
    <col min="13308" max="13308" width="5.5703125" style="3" customWidth="1"/>
    <col min="13309" max="13309" width="9" style="3" customWidth="1"/>
    <col min="13310" max="13311" width="9.85546875" style="3" customWidth="1"/>
    <col min="13312" max="13312" width="11.140625" style="3" customWidth="1"/>
    <col min="13313" max="13313" width="2.85546875" style="3" customWidth="1"/>
    <col min="13314" max="13314" width="3.5703125" style="3" customWidth="1"/>
    <col min="13315" max="13559" width="9.140625" style="3"/>
    <col min="13560" max="13560" width="8.7109375" style="3" customWidth="1"/>
    <col min="13561" max="13561" width="9.85546875" style="3" customWidth="1"/>
    <col min="13562" max="13562" width="14.42578125" style="3" customWidth="1"/>
    <col min="13563" max="13563" width="7.28515625" style="3" customWidth="1"/>
    <col min="13564" max="13564" width="5.5703125" style="3" customWidth="1"/>
    <col min="13565" max="13565" width="9" style="3" customWidth="1"/>
    <col min="13566" max="13567" width="9.85546875" style="3" customWidth="1"/>
    <col min="13568" max="13568" width="11.140625" style="3" customWidth="1"/>
    <col min="13569" max="13569" width="2.85546875" style="3" customWidth="1"/>
    <col min="13570" max="13570" width="3.5703125" style="3" customWidth="1"/>
    <col min="13571" max="13815" width="9.140625" style="3"/>
    <col min="13816" max="13816" width="8.7109375" style="3" customWidth="1"/>
    <col min="13817" max="13817" width="9.85546875" style="3" customWidth="1"/>
    <col min="13818" max="13818" width="14.42578125" style="3" customWidth="1"/>
    <col min="13819" max="13819" width="7.28515625" style="3" customWidth="1"/>
    <col min="13820" max="13820" width="5.5703125" style="3" customWidth="1"/>
    <col min="13821" max="13821" width="9" style="3" customWidth="1"/>
    <col min="13822" max="13823" width="9.85546875" style="3" customWidth="1"/>
    <col min="13824" max="13824" width="11.140625" style="3" customWidth="1"/>
    <col min="13825" max="13825" width="2.85546875" style="3" customWidth="1"/>
    <col min="13826" max="13826" width="3.5703125" style="3" customWidth="1"/>
    <col min="13827" max="14071" width="9.140625" style="3"/>
    <col min="14072" max="14072" width="8.7109375" style="3" customWidth="1"/>
    <col min="14073" max="14073" width="9.85546875" style="3" customWidth="1"/>
    <col min="14074" max="14074" width="14.42578125" style="3" customWidth="1"/>
    <col min="14075" max="14075" width="7.28515625" style="3" customWidth="1"/>
    <col min="14076" max="14076" width="5.5703125" style="3" customWidth="1"/>
    <col min="14077" max="14077" width="9" style="3" customWidth="1"/>
    <col min="14078" max="14079" width="9.85546875" style="3" customWidth="1"/>
    <col min="14080" max="14080" width="11.140625" style="3" customWidth="1"/>
    <col min="14081" max="14081" width="2.85546875" style="3" customWidth="1"/>
    <col min="14082" max="14082" width="3.5703125" style="3" customWidth="1"/>
    <col min="14083" max="14327" width="9.140625" style="3"/>
    <col min="14328" max="14328" width="8.7109375" style="3" customWidth="1"/>
    <col min="14329" max="14329" width="9.85546875" style="3" customWidth="1"/>
    <col min="14330" max="14330" width="14.42578125" style="3" customWidth="1"/>
    <col min="14331" max="14331" width="7.28515625" style="3" customWidth="1"/>
    <col min="14332" max="14332" width="5.5703125" style="3" customWidth="1"/>
    <col min="14333" max="14333" width="9" style="3" customWidth="1"/>
    <col min="14334" max="14335" width="9.85546875" style="3" customWidth="1"/>
    <col min="14336" max="14336" width="11.140625" style="3" customWidth="1"/>
    <col min="14337" max="14337" width="2.85546875" style="3" customWidth="1"/>
    <col min="14338" max="14338" width="3.5703125" style="3" customWidth="1"/>
    <col min="14339" max="14583" width="9.140625" style="3"/>
    <col min="14584" max="14584" width="8.7109375" style="3" customWidth="1"/>
    <col min="14585" max="14585" width="9.85546875" style="3" customWidth="1"/>
    <col min="14586" max="14586" width="14.42578125" style="3" customWidth="1"/>
    <col min="14587" max="14587" width="7.28515625" style="3" customWidth="1"/>
    <col min="14588" max="14588" width="5.5703125" style="3" customWidth="1"/>
    <col min="14589" max="14589" width="9" style="3" customWidth="1"/>
    <col min="14590" max="14591" width="9.85546875" style="3" customWidth="1"/>
    <col min="14592" max="14592" width="11.140625" style="3" customWidth="1"/>
    <col min="14593" max="14593" width="2.85546875" style="3" customWidth="1"/>
    <col min="14594" max="14594" width="3.5703125" style="3" customWidth="1"/>
    <col min="14595" max="14839" width="9.140625" style="3"/>
    <col min="14840" max="14840" width="8.7109375" style="3" customWidth="1"/>
    <col min="14841" max="14841" width="9.85546875" style="3" customWidth="1"/>
    <col min="14842" max="14842" width="14.42578125" style="3" customWidth="1"/>
    <col min="14843" max="14843" width="7.28515625" style="3" customWidth="1"/>
    <col min="14844" max="14844" width="5.5703125" style="3" customWidth="1"/>
    <col min="14845" max="14845" width="9" style="3" customWidth="1"/>
    <col min="14846" max="14847" width="9.85546875" style="3" customWidth="1"/>
    <col min="14848" max="14848" width="11.140625" style="3" customWidth="1"/>
    <col min="14849" max="14849" width="2.85546875" style="3" customWidth="1"/>
    <col min="14850" max="14850" width="3.5703125" style="3" customWidth="1"/>
    <col min="14851" max="15095" width="9.140625" style="3"/>
    <col min="15096" max="15096" width="8.7109375" style="3" customWidth="1"/>
    <col min="15097" max="15097" width="9.85546875" style="3" customWidth="1"/>
    <col min="15098" max="15098" width="14.42578125" style="3" customWidth="1"/>
    <col min="15099" max="15099" width="7.28515625" style="3" customWidth="1"/>
    <col min="15100" max="15100" width="5.5703125" style="3" customWidth="1"/>
    <col min="15101" max="15101" width="9" style="3" customWidth="1"/>
    <col min="15102" max="15103" width="9.85546875" style="3" customWidth="1"/>
    <col min="15104" max="15104" width="11.140625" style="3" customWidth="1"/>
    <col min="15105" max="15105" width="2.85546875" style="3" customWidth="1"/>
    <col min="15106" max="15106" width="3.5703125" style="3" customWidth="1"/>
    <col min="15107" max="15351" width="9.140625" style="3"/>
    <col min="15352" max="15352" width="8.7109375" style="3" customWidth="1"/>
    <col min="15353" max="15353" width="9.85546875" style="3" customWidth="1"/>
    <col min="15354" max="15354" width="14.42578125" style="3" customWidth="1"/>
    <col min="15355" max="15355" width="7.28515625" style="3" customWidth="1"/>
    <col min="15356" max="15356" width="5.5703125" style="3" customWidth="1"/>
    <col min="15357" max="15357" width="9" style="3" customWidth="1"/>
    <col min="15358" max="15359" width="9.85546875" style="3" customWidth="1"/>
    <col min="15360" max="15360" width="11.140625" style="3" customWidth="1"/>
    <col min="15361" max="15361" width="2.85546875" style="3" customWidth="1"/>
    <col min="15362" max="15362" width="3.5703125" style="3" customWidth="1"/>
    <col min="15363" max="15607" width="9.140625" style="3"/>
    <col min="15608" max="15608" width="8.7109375" style="3" customWidth="1"/>
    <col min="15609" max="15609" width="9.85546875" style="3" customWidth="1"/>
    <col min="15610" max="15610" width="14.42578125" style="3" customWidth="1"/>
    <col min="15611" max="15611" width="7.28515625" style="3" customWidth="1"/>
    <col min="15612" max="15612" width="5.5703125" style="3" customWidth="1"/>
    <col min="15613" max="15613" width="9" style="3" customWidth="1"/>
    <col min="15614" max="15615" width="9.85546875" style="3" customWidth="1"/>
    <col min="15616" max="15616" width="11.140625" style="3" customWidth="1"/>
    <col min="15617" max="15617" width="2.85546875" style="3" customWidth="1"/>
    <col min="15618" max="15618" width="3.5703125" style="3" customWidth="1"/>
    <col min="15619" max="15863" width="9.140625" style="3"/>
    <col min="15864" max="15864" width="8.7109375" style="3" customWidth="1"/>
    <col min="15865" max="15865" width="9.85546875" style="3" customWidth="1"/>
    <col min="15866" max="15866" width="14.42578125" style="3" customWidth="1"/>
    <col min="15867" max="15867" width="7.28515625" style="3" customWidth="1"/>
    <col min="15868" max="15868" width="5.5703125" style="3" customWidth="1"/>
    <col min="15869" max="15869" width="9" style="3" customWidth="1"/>
    <col min="15870" max="15871" width="9.85546875" style="3" customWidth="1"/>
    <col min="15872" max="15872" width="11.140625" style="3" customWidth="1"/>
    <col min="15873" max="15873" width="2.85546875" style="3" customWidth="1"/>
    <col min="15874" max="15874" width="3.5703125" style="3" customWidth="1"/>
    <col min="15875" max="16119" width="9.140625" style="3"/>
    <col min="16120" max="16120" width="8.7109375" style="3" customWidth="1"/>
    <col min="16121" max="16121" width="9.85546875" style="3" customWidth="1"/>
    <col min="16122" max="16122" width="14.42578125" style="3" customWidth="1"/>
    <col min="16123" max="16123" width="7.28515625" style="3" customWidth="1"/>
    <col min="16124" max="16124" width="5.5703125" style="3" customWidth="1"/>
    <col min="16125" max="16125" width="9" style="3" customWidth="1"/>
    <col min="16126" max="16127" width="9.85546875" style="3" customWidth="1"/>
    <col min="16128" max="16128" width="11.140625" style="3" customWidth="1"/>
    <col min="16129" max="16129" width="2.85546875" style="3" customWidth="1"/>
    <col min="16130" max="16130" width="3.5703125" style="3" customWidth="1"/>
    <col min="16131" max="16384" width="9.140625" style="3"/>
  </cols>
  <sheetData>
    <row r="1" spans="1:12" ht="46.5" customHeight="1" x14ac:dyDescent="0.25">
      <c r="A1" s="173" t="s">
        <v>191</v>
      </c>
      <c r="B1" s="173"/>
      <c r="C1" s="173"/>
      <c r="D1" s="173"/>
      <c r="E1" s="173"/>
      <c r="F1" s="173"/>
      <c r="G1" s="173"/>
      <c r="H1" s="173"/>
    </row>
    <row r="2" spans="1:12" ht="16.5" customHeight="1" x14ac:dyDescent="0.25">
      <c r="A2" s="105" t="s">
        <v>0</v>
      </c>
      <c r="B2" s="105"/>
      <c r="C2" s="105"/>
      <c r="D2" s="105"/>
      <c r="E2" s="105"/>
      <c r="F2" s="105"/>
      <c r="G2" s="105"/>
      <c r="H2" s="105"/>
    </row>
    <row r="3" spans="1:12" x14ac:dyDescent="0.25">
      <c r="A3" s="120" t="s">
        <v>1</v>
      </c>
      <c r="B3" s="120"/>
      <c r="C3" s="120"/>
      <c r="D3" s="120"/>
      <c r="E3" s="174" t="str">
        <f ca="1">TEXT(TODAY(),"DD/MM/YYYY")</f>
        <v>16/07/2025</v>
      </c>
      <c r="F3" s="174"/>
      <c r="G3" s="174"/>
      <c r="H3" s="174"/>
    </row>
    <row r="4" spans="1:12" ht="15" customHeight="1" x14ac:dyDescent="0.25">
      <c r="A4" s="120" t="s">
        <v>2</v>
      </c>
      <c r="B4" s="120"/>
      <c r="C4" s="120"/>
      <c r="D4" s="120"/>
      <c r="E4" s="176" t="s">
        <v>193</v>
      </c>
      <c r="F4" s="176"/>
      <c r="G4" s="176"/>
      <c r="H4" s="176"/>
    </row>
    <row r="5" spans="1:12" x14ac:dyDescent="0.25">
      <c r="A5" s="122" t="s">
        <v>3</v>
      </c>
      <c r="B5" s="122"/>
      <c r="C5" s="122"/>
      <c r="D5" s="122"/>
      <c r="E5" s="174">
        <v>45846</v>
      </c>
      <c r="F5" s="174"/>
      <c r="G5" s="174"/>
      <c r="H5" s="174"/>
    </row>
    <row r="6" spans="1:12" ht="16.5" customHeight="1" x14ac:dyDescent="0.25">
      <c r="A6" s="122" t="s">
        <v>4</v>
      </c>
      <c r="B6" s="122"/>
      <c r="C6" s="122"/>
      <c r="D6" s="122"/>
      <c r="E6" s="125" t="s">
        <v>164</v>
      </c>
      <c r="F6" s="125"/>
      <c r="G6" s="125"/>
      <c r="H6" s="125"/>
    </row>
    <row r="7" spans="1:12" ht="15" customHeight="1" x14ac:dyDescent="0.25">
      <c r="A7" s="120" t="s">
        <v>5</v>
      </c>
      <c r="B7" s="120"/>
      <c r="C7" s="120"/>
      <c r="D7" s="120"/>
      <c r="E7" s="124" t="str">
        <f>E6</f>
        <v>M/s. Runwal Residency Private Limited</v>
      </c>
      <c r="F7" s="124"/>
      <c r="G7" s="124"/>
      <c r="H7" s="124"/>
    </row>
    <row r="8" spans="1:12" x14ac:dyDescent="0.25">
      <c r="A8" s="120" t="s">
        <v>6</v>
      </c>
      <c r="B8" s="120"/>
      <c r="C8" s="120"/>
      <c r="D8" s="120"/>
      <c r="E8" s="175" t="s">
        <v>194</v>
      </c>
      <c r="F8" s="175"/>
      <c r="G8" s="175"/>
      <c r="H8" s="175"/>
    </row>
    <row r="9" spans="1:12" x14ac:dyDescent="0.25">
      <c r="A9" s="120" t="s">
        <v>127</v>
      </c>
      <c r="B9" s="120"/>
      <c r="C9" s="120"/>
      <c r="D9" s="120"/>
      <c r="E9" s="120" t="s">
        <v>195</v>
      </c>
      <c r="F9" s="120"/>
      <c r="G9" s="120"/>
      <c r="H9" s="120"/>
    </row>
    <row r="10" spans="1:12" x14ac:dyDescent="0.25">
      <c r="A10" s="125" t="s">
        <v>182</v>
      </c>
      <c r="B10" s="122"/>
      <c r="C10" s="122"/>
      <c r="D10" s="122"/>
      <c r="E10" s="122" t="s">
        <v>30</v>
      </c>
      <c r="F10" s="122"/>
      <c r="G10" s="122"/>
      <c r="H10" s="122"/>
      <c r="I10" s="122" t="s">
        <v>233</v>
      </c>
      <c r="J10" s="122"/>
      <c r="K10" s="122"/>
      <c r="L10" s="122"/>
    </row>
    <row r="11" spans="1:12" x14ac:dyDescent="0.25">
      <c r="A11" s="122" t="s">
        <v>7</v>
      </c>
      <c r="B11" s="122"/>
      <c r="C11" s="122"/>
      <c r="D11" s="122"/>
      <c r="E11" s="122" t="s">
        <v>196</v>
      </c>
      <c r="F11" s="122"/>
      <c r="G11" s="122"/>
      <c r="H11" s="122"/>
    </row>
    <row r="12" spans="1:12" x14ac:dyDescent="0.25">
      <c r="A12" s="122" t="s">
        <v>8</v>
      </c>
      <c r="B12" s="122"/>
      <c r="C12" s="122"/>
      <c r="D12" s="122"/>
      <c r="E12" s="125" t="s">
        <v>165</v>
      </c>
      <c r="F12" s="125"/>
      <c r="G12" s="125"/>
      <c r="H12" s="125"/>
    </row>
    <row r="13" spans="1:12" x14ac:dyDescent="0.25">
      <c r="A13" s="122" t="s">
        <v>9</v>
      </c>
      <c r="B13" s="122"/>
      <c r="C13" s="122"/>
      <c r="D13" s="122"/>
      <c r="E13" s="125" t="s">
        <v>199</v>
      </c>
      <c r="F13" s="122"/>
      <c r="G13" s="122"/>
      <c r="H13" s="122"/>
      <c r="I13" s="50" t="s">
        <v>190</v>
      </c>
      <c r="J13" s="50"/>
      <c r="K13" s="50"/>
      <c r="L13" s="50"/>
    </row>
    <row r="14" spans="1:12" ht="239.25" customHeight="1" x14ac:dyDescent="0.25">
      <c r="A14" s="125" t="s">
        <v>10</v>
      </c>
      <c r="B14" s="125"/>
      <c r="C14" s="125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Runwal Gardens Phase 6A Bldg No. 53-54, Survey No.Runwal Gardens Phase 6A Bldg No. 53 &amp; 54 Survey No.4/1, 4/2, 4/3, 4/4, 4/5, 4/6, 4/9, 4/10, 4/11, 5/1, 5/2, 5/3, 5/4, 5/5, 5/6, 6/1, 6/2, 6/3, 7/1, 7/2A, 7/2B, 7/2C, 7/3A, 7/3B, 8/1, 8/2, 8/3, 8/4, 8/5, 8/6, 8/7, 8/8, 8/9, 9/1, 9/2, 9/3, 9/4, 9/5, 9/6, 9/7, 9/8, 10, 11, 12/1, 12/2, 12/3, 12/4, 12/5, 12/6, 12/7, 12/8, 12/9, 12/10, 12/11, 12/12, 12/13, 12/14, 13, 14/1, 14/2A, 14/2B, 14/3, 14/4, 14/5, 15, 17/1, 17/2, 17/3, 17/4, 17/5, 17/6, 17/7, 17/8, 17/9, 17/10, 17/11, 18, 19, 22, 23/1, 23/2, 23/3, 23/10, 37/1, 37/2B, 37/2C, 37/2D, 37/3, 37/4, 37/21, 38/1, 38/2, 39/1, 39/2, 39/3, 40, 41/1A, 41/1B, 41/2, 41/3, 41/4, 44/1, 44/4,44/5A, 44/5B, 44/6A, 44/6B, 44/7, 44/8, 44/9, 44/10, 44/11, 44/12, 44/13, 44/14, 44/15, 44/16, 44/17, 44/18, 44/19, 49, 50/1, 50/2, 50/3 at Village Gharivali Dist Thane and  S. Nos. 44/1, 44/2, 44/3, 44/4, 44/5, 44/6, 44/7, 44/8, 44/9, 44/10, 44/11, 44/12, 45/1, 45/2, 45/3, 45/4, 45/5A, 45/5/B, 45/6, 46/1/2, 46/2A, 46/2B, 46/3, 47/2, 49, 50, 51, 52/1, 52/2, 53/1A, 53/1/B, 53/2/A, 53/2/B, 53/3/A, 53/3/B, 94/2, near Premiere colony ground, Kalyan - Shilphata Road, Usarghar, Nilaje, Kalyan, Thane - 421201.</v>
      </c>
      <c r="D14" s="125"/>
      <c r="E14" s="125"/>
      <c r="F14" s="125"/>
      <c r="G14" s="125"/>
      <c r="H14" s="125"/>
    </row>
    <row r="15" spans="1:12" ht="226.5" customHeight="1" x14ac:dyDescent="0.25">
      <c r="A15" s="125" t="s">
        <v>172</v>
      </c>
      <c r="B15" s="125"/>
      <c r="C15" s="125" t="s">
        <v>197</v>
      </c>
      <c r="D15" s="125"/>
      <c r="E15" s="125"/>
      <c r="F15" s="125"/>
      <c r="G15" s="125"/>
      <c r="H15" s="125"/>
    </row>
    <row r="16" spans="1:12" ht="15.75" customHeight="1" x14ac:dyDescent="0.25">
      <c r="A16" s="124" t="s">
        <v>11</v>
      </c>
      <c r="B16" s="124"/>
      <c r="C16" s="122" t="s">
        <v>166</v>
      </c>
      <c r="D16" s="122"/>
      <c r="E16" s="124" t="s">
        <v>76</v>
      </c>
      <c r="F16" s="124"/>
      <c r="G16" s="125" t="s">
        <v>183</v>
      </c>
      <c r="H16" s="125"/>
    </row>
    <row r="17" spans="1:8" x14ac:dyDescent="0.25">
      <c r="A17" s="120" t="s">
        <v>13</v>
      </c>
      <c r="B17" s="120"/>
      <c r="C17" s="125" t="s">
        <v>171</v>
      </c>
      <c r="D17" s="125"/>
      <c r="E17" s="124" t="s">
        <v>12</v>
      </c>
      <c r="F17" s="124"/>
      <c r="G17" s="177" t="s">
        <v>167</v>
      </c>
      <c r="H17" s="177"/>
    </row>
    <row r="18" spans="1:8" x14ac:dyDescent="0.25">
      <c r="A18" s="120" t="s">
        <v>77</v>
      </c>
      <c r="B18" s="120"/>
      <c r="C18" s="125" t="s">
        <v>170</v>
      </c>
      <c r="D18" s="125"/>
      <c r="E18" s="124" t="s">
        <v>14</v>
      </c>
      <c r="F18" s="124"/>
      <c r="G18" s="125">
        <v>421201</v>
      </c>
      <c r="H18" s="125"/>
    </row>
    <row r="19" spans="1:8" ht="32.25" customHeight="1" x14ac:dyDescent="0.25">
      <c r="A19" s="120" t="s">
        <v>128</v>
      </c>
      <c r="B19" s="120"/>
      <c r="C19" s="178" t="s">
        <v>169</v>
      </c>
      <c r="D19" s="178"/>
      <c r="E19" s="124" t="s">
        <v>15</v>
      </c>
      <c r="F19" s="124"/>
      <c r="G19" s="125" t="s">
        <v>168</v>
      </c>
      <c r="H19" s="125"/>
    </row>
    <row r="20" spans="1:8" ht="15" customHeight="1" x14ac:dyDescent="0.25">
      <c r="A20" s="124" t="s">
        <v>79</v>
      </c>
      <c r="B20" s="124"/>
      <c r="C20" s="124"/>
      <c r="D20" s="124"/>
      <c r="E20" s="122" t="s">
        <v>16</v>
      </c>
      <c r="F20" s="122"/>
      <c r="G20" s="122"/>
      <c r="H20" s="122"/>
    </row>
    <row r="21" spans="1:8" ht="18.75" customHeight="1" x14ac:dyDescent="0.25">
      <c r="A21" s="124"/>
      <c r="B21" s="124"/>
      <c r="C21" s="124"/>
      <c r="D21" s="124"/>
      <c r="E21" s="122"/>
      <c r="F21" s="122"/>
      <c r="G21" s="122"/>
      <c r="H21" s="122"/>
    </row>
    <row r="22" spans="1:8" ht="15" customHeight="1" x14ac:dyDescent="0.25">
      <c r="A22" s="124" t="s">
        <v>17</v>
      </c>
      <c r="B22" s="124"/>
      <c r="C22" s="124"/>
      <c r="D22" s="124"/>
      <c r="E22" s="125" t="s">
        <v>18</v>
      </c>
      <c r="F22" s="125"/>
      <c r="G22" s="125"/>
      <c r="H22" s="125"/>
    </row>
    <row r="23" spans="1:8" ht="15" customHeight="1" x14ac:dyDescent="0.25">
      <c r="A23" s="120" t="s">
        <v>19</v>
      </c>
      <c r="B23" s="120"/>
      <c r="C23" s="120"/>
      <c r="D23" s="120"/>
      <c r="E23" s="125" t="str">
        <f>IF(AND(G17="Mumbai"),"Upper Class","Middle Class")</f>
        <v>Middle Class</v>
      </c>
      <c r="F23" s="125"/>
      <c r="G23" s="125"/>
      <c r="H23" s="125"/>
    </row>
    <row r="24" spans="1:8" x14ac:dyDescent="0.25">
      <c r="A24" s="120" t="s">
        <v>20</v>
      </c>
      <c r="B24" s="120"/>
      <c r="C24" s="120"/>
      <c r="D24" s="120"/>
      <c r="E24" s="125" t="s">
        <v>21</v>
      </c>
      <c r="F24" s="125"/>
      <c r="G24" s="125"/>
      <c r="H24" s="125"/>
    </row>
    <row r="25" spans="1:8" ht="15.75" customHeight="1" x14ac:dyDescent="0.25">
      <c r="A25" s="120" t="s">
        <v>22</v>
      </c>
      <c r="B25" s="120"/>
      <c r="C25" s="120"/>
      <c r="D25" s="120"/>
      <c r="E25" s="125" t="str">
        <f>IF(AND(G17="Mumbai"),"Developed","Developing")</f>
        <v>Developing</v>
      </c>
      <c r="F25" s="125"/>
      <c r="G25" s="125"/>
      <c r="H25" s="125"/>
    </row>
    <row r="26" spans="1:8" x14ac:dyDescent="0.25">
      <c r="A26" s="120" t="s">
        <v>23</v>
      </c>
      <c r="B26" s="120"/>
      <c r="C26" s="120"/>
      <c r="D26" s="120"/>
      <c r="E26" s="125" t="s">
        <v>24</v>
      </c>
      <c r="F26" s="125"/>
      <c r="G26" s="125"/>
      <c r="H26" s="125"/>
    </row>
    <row r="27" spans="1:8" x14ac:dyDescent="0.25">
      <c r="A27" s="120" t="s">
        <v>84</v>
      </c>
      <c r="B27" s="120"/>
      <c r="C27" s="120"/>
      <c r="D27" s="120"/>
      <c r="E27" s="125" t="s">
        <v>85</v>
      </c>
      <c r="F27" s="125"/>
      <c r="G27" s="125"/>
      <c r="H27" s="125"/>
    </row>
    <row r="28" spans="1:8" ht="15" customHeight="1" x14ac:dyDescent="0.25">
      <c r="A28" s="124" t="s">
        <v>33</v>
      </c>
      <c r="B28" s="124"/>
      <c r="C28" s="124"/>
      <c r="D28" s="124"/>
      <c r="E28" s="176" t="str">
        <f>IF(ISNUMBER(SEARCH("Shop",D54)),"Residential + Commercial",IF(ISNUMBER(SEARCH("Office",D54)),"Residential + Commercial",IF(SEARCH("Flats",D54),"Residential","")))</f>
        <v>Residential + Commercial</v>
      </c>
      <c r="F28" s="176"/>
      <c r="G28" s="176"/>
      <c r="H28" s="176"/>
    </row>
    <row r="29" spans="1:8" x14ac:dyDescent="0.25">
      <c r="A29" s="124" t="s">
        <v>96</v>
      </c>
      <c r="B29" s="124"/>
      <c r="C29" s="124"/>
      <c r="D29" s="124"/>
      <c r="E29" s="124" t="s">
        <v>34</v>
      </c>
      <c r="F29" s="124"/>
      <c r="G29" s="124"/>
      <c r="H29" s="124"/>
    </row>
    <row r="30" spans="1:8" s="6" customFormat="1" x14ac:dyDescent="0.25">
      <c r="A30" s="182" t="s">
        <v>97</v>
      </c>
      <c r="B30" s="182"/>
      <c r="C30" s="181" t="s">
        <v>29</v>
      </c>
      <c r="D30" s="181"/>
      <c r="E30" s="181"/>
      <c r="F30" s="181" t="s">
        <v>31</v>
      </c>
      <c r="G30" s="181"/>
      <c r="H30" s="181"/>
    </row>
    <row r="31" spans="1:8" s="6" customFormat="1" x14ac:dyDescent="0.25">
      <c r="A31" s="179" t="s">
        <v>25</v>
      </c>
      <c r="B31" s="179" t="s">
        <v>30</v>
      </c>
      <c r="C31" s="180" t="s">
        <v>30</v>
      </c>
      <c r="D31" s="180"/>
      <c r="E31" s="180"/>
      <c r="F31" s="180" t="s">
        <v>11</v>
      </c>
      <c r="G31" s="180"/>
      <c r="H31" s="180"/>
    </row>
    <row r="32" spans="1:8" x14ac:dyDescent="0.25">
      <c r="A32" s="179" t="s">
        <v>26</v>
      </c>
      <c r="B32" s="179" t="s">
        <v>30</v>
      </c>
      <c r="C32" s="180" t="s">
        <v>30</v>
      </c>
      <c r="D32" s="180"/>
      <c r="E32" s="180"/>
      <c r="F32" s="180" t="s">
        <v>173</v>
      </c>
      <c r="G32" s="180"/>
      <c r="H32" s="180"/>
    </row>
    <row r="33" spans="1:8" s="6" customFormat="1" x14ac:dyDescent="0.25">
      <c r="A33" s="179" t="s">
        <v>28</v>
      </c>
      <c r="B33" s="179" t="s">
        <v>30</v>
      </c>
      <c r="C33" s="180" t="s">
        <v>30</v>
      </c>
      <c r="D33" s="180"/>
      <c r="E33" s="180"/>
      <c r="F33" s="180" t="s">
        <v>174</v>
      </c>
      <c r="G33" s="180"/>
      <c r="H33" s="180"/>
    </row>
    <row r="34" spans="1:8" x14ac:dyDescent="0.25">
      <c r="A34" s="179" t="s">
        <v>27</v>
      </c>
      <c r="B34" s="179" t="s">
        <v>30</v>
      </c>
      <c r="C34" s="180" t="s">
        <v>30</v>
      </c>
      <c r="D34" s="180"/>
      <c r="E34" s="180"/>
      <c r="F34" s="180" t="s">
        <v>174</v>
      </c>
      <c r="G34" s="180"/>
      <c r="H34" s="180"/>
    </row>
    <row r="35" spans="1:8" x14ac:dyDescent="0.25">
      <c r="A35" s="120" t="s">
        <v>32</v>
      </c>
      <c r="B35" s="120"/>
      <c r="C35" s="120"/>
      <c r="D35" s="120"/>
      <c r="E35" s="120"/>
      <c r="F35" s="120"/>
      <c r="G35" s="120"/>
      <c r="H35" s="120"/>
    </row>
    <row r="36" spans="1:8" ht="15.75" customHeight="1" x14ac:dyDescent="0.25">
      <c r="A36" s="120" t="s">
        <v>230</v>
      </c>
      <c r="B36" s="120"/>
      <c r="C36" s="195" t="s">
        <v>231</v>
      </c>
      <c r="D36" s="196"/>
      <c r="E36" s="196"/>
      <c r="F36" s="196"/>
      <c r="G36" s="196"/>
      <c r="H36" s="197"/>
    </row>
    <row r="37" spans="1:8" x14ac:dyDescent="0.25">
      <c r="A37" s="120" t="s">
        <v>192</v>
      </c>
      <c r="B37" s="120"/>
      <c r="C37" s="106" t="s">
        <v>184</v>
      </c>
      <c r="D37" s="107"/>
      <c r="E37" s="107"/>
      <c r="F37" s="107"/>
      <c r="G37" s="107"/>
      <c r="H37" s="108"/>
    </row>
    <row r="38" spans="1:8" x14ac:dyDescent="0.25">
      <c r="A38" s="175" t="s">
        <v>35</v>
      </c>
      <c r="B38" s="175"/>
      <c r="C38" s="175"/>
      <c r="D38" s="175"/>
      <c r="E38" s="175"/>
      <c r="F38" s="175"/>
      <c r="G38" s="175"/>
      <c r="H38" s="175"/>
    </row>
    <row r="39" spans="1:8" x14ac:dyDescent="0.25">
      <c r="A39" s="120" t="s">
        <v>36</v>
      </c>
      <c r="B39" s="120"/>
      <c r="C39" s="120"/>
      <c r="D39" s="120"/>
      <c r="E39" s="188">
        <v>465228</v>
      </c>
      <c r="F39" s="188"/>
      <c r="G39" s="188"/>
      <c r="H39" s="188"/>
    </row>
    <row r="40" spans="1:8" x14ac:dyDescent="0.25">
      <c r="A40" s="120" t="s">
        <v>37</v>
      </c>
      <c r="B40" s="120"/>
      <c r="C40" s="120"/>
      <c r="D40" s="120"/>
      <c r="E40" s="119">
        <v>1</v>
      </c>
      <c r="F40" s="119"/>
      <c r="G40" s="119"/>
      <c r="H40" s="119"/>
    </row>
    <row r="41" spans="1:8" x14ac:dyDescent="0.25">
      <c r="A41" s="120" t="s">
        <v>38</v>
      </c>
      <c r="B41" s="120"/>
      <c r="C41" s="120"/>
      <c r="D41" s="120"/>
      <c r="E41" s="119">
        <f>E43/E39-E40</f>
        <v>0.68600000429896735</v>
      </c>
      <c r="F41" s="119"/>
      <c r="G41" s="119"/>
      <c r="H41" s="119"/>
    </row>
    <row r="42" spans="1:8" x14ac:dyDescent="0.25">
      <c r="A42" s="120" t="s">
        <v>39</v>
      </c>
      <c r="B42" s="120"/>
      <c r="C42" s="120"/>
      <c r="D42" s="120"/>
      <c r="E42" s="119">
        <f>E40+E41</f>
        <v>1.6860000042989673</v>
      </c>
      <c r="F42" s="119"/>
      <c r="G42" s="119"/>
      <c r="H42" s="119"/>
    </row>
    <row r="43" spans="1:8" x14ac:dyDescent="0.25">
      <c r="A43" s="120" t="s">
        <v>95</v>
      </c>
      <c r="B43" s="120"/>
      <c r="C43" s="120"/>
      <c r="D43" s="120"/>
      <c r="E43" s="184">
        <v>784374.41</v>
      </c>
      <c r="F43" s="184"/>
      <c r="G43" s="184"/>
      <c r="H43" s="184"/>
    </row>
    <row r="44" spans="1:8" x14ac:dyDescent="0.25">
      <c r="A44" s="122" t="s">
        <v>40</v>
      </c>
      <c r="B44" s="122"/>
      <c r="C44" s="122"/>
      <c r="D44" s="122"/>
      <c r="E44" s="122" t="s">
        <v>198</v>
      </c>
      <c r="F44" s="122"/>
      <c r="G44" s="122"/>
      <c r="H44" s="122"/>
    </row>
    <row r="45" spans="1:8" x14ac:dyDescent="0.25">
      <c r="A45" s="198" t="s">
        <v>41</v>
      </c>
      <c r="B45" s="198"/>
      <c r="C45" s="198"/>
      <c r="D45" s="198"/>
      <c r="E45" s="198"/>
      <c r="F45" s="198"/>
      <c r="G45" s="198"/>
      <c r="H45" s="198"/>
    </row>
    <row r="46" spans="1:8" ht="31.5" customHeight="1" x14ac:dyDescent="0.25">
      <c r="A46" s="199" t="s">
        <v>157</v>
      </c>
      <c r="B46" s="200"/>
      <c r="C46" s="201" t="s">
        <v>175</v>
      </c>
      <c r="D46" s="202"/>
      <c r="E46" s="202"/>
      <c r="F46" s="202"/>
      <c r="G46" s="202"/>
      <c r="H46" s="203"/>
    </row>
    <row r="47" spans="1:8" ht="52.5" customHeight="1" x14ac:dyDescent="0.25">
      <c r="A47" s="125" t="s">
        <v>185</v>
      </c>
      <c r="B47" s="125"/>
      <c r="C47" s="185" t="s">
        <v>200</v>
      </c>
      <c r="D47" s="185"/>
      <c r="E47" s="185"/>
      <c r="F47" s="44" t="s">
        <v>42</v>
      </c>
      <c r="G47" s="186">
        <v>45055</v>
      </c>
      <c r="H47" s="186"/>
    </row>
    <row r="48" spans="1:8" ht="47.25" customHeight="1" x14ac:dyDescent="0.25">
      <c r="A48" s="122" t="s">
        <v>43</v>
      </c>
      <c r="B48" s="122"/>
      <c r="C48" s="185" t="str">
        <f>C47</f>
        <v>SROT/Growth Center/2401/BP/ITP-Usarghar - Gharivali-01/Amended Layout &amp; CC B.No. 53,54/Vol-40/662/2023</v>
      </c>
      <c r="D48" s="185"/>
      <c r="E48" s="185"/>
      <c r="F48" s="44" t="s">
        <v>42</v>
      </c>
      <c r="G48" s="186">
        <f>G47</f>
        <v>45055</v>
      </c>
      <c r="H48" s="186"/>
    </row>
    <row r="49" spans="1:14" s="5" customFormat="1" ht="52.5" customHeight="1" x14ac:dyDescent="0.25">
      <c r="A49" s="125" t="s">
        <v>186</v>
      </c>
      <c r="B49" s="125"/>
      <c r="C49" s="185" t="s">
        <v>200</v>
      </c>
      <c r="D49" s="185"/>
      <c r="E49" s="185"/>
      <c r="F49" s="8" t="s">
        <v>42</v>
      </c>
      <c r="G49" s="186">
        <f>G47</f>
        <v>45055</v>
      </c>
      <c r="H49" s="186"/>
    </row>
    <row r="50" spans="1:14" s="5" customFormat="1" ht="114" customHeight="1" x14ac:dyDescent="0.25">
      <c r="A50" s="125"/>
      <c r="B50" s="125"/>
      <c r="C50" s="127" t="s">
        <v>201</v>
      </c>
      <c r="D50" s="128"/>
      <c r="E50" s="128"/>
      <c r="F50" s="128"/>
      <c r="G50" s="128"/>
      <c r="H50" s="129"/>
    </row>
    <row r="51" spans="1:14" x14ac:dyDescent="0.25">
      <c r="A51" s="187" t="s">
        <v>44</v>
      </c>
      <c r="B51" s="187"/>
      <c r="C51" s="130" t="s">
        <v>111</v>
      </c>
      <c r="D51" s="131"/>
      <c r="E51" s="131" t="s">
        <v>45</v>
      </c>
      <c r="F51" s="45" t="s">
        <v>42</v>
      </c>
      <c r="G51" s="126" t="s">
        <v>30</v>
      </c>
      <c r="H51" s="126"/>
    </row>
    <row r="52" spans="1:14" x14ac:dyDescent="0.25">
      <c r="A52" s="123" t="s">
        <v>47</v>
      </c>
      <c r="B52" s="123"/>
      <c r="C52" s="123"/>
      <c r="D52" s="123"/>
      <c r="E52" s="123"/>
      <c r="F52" s="123"/>
      <c r="G52" s="123"/>
      <c r="H52" s="123"/>
    </row>
    <row r="53" spans="1:14" x14ac:dyDescent="0.25">
      <c r="A53" s="124" t="s">
        <v>94</v>
      </c>
      <c r="B53" s="124"/>
      <c r="C53" s="124"/>
      <c r="D53" s="120">
        <f>E43</f>
        <v>784374.41</v>
      </c>
      <c r="E53" s="120"/>
      <c r="F53" s="120"/>
      <c r="G53" s="120"/>
      <c r="H53" s="120"/>
    </row>
    <row r="54" spans="1:14" x14ac:dyDescent="0.25">
      <c r="A54" s="125" t="s">
        <v>48</v>
      </c>
      <c r="B54" s="122"/>
      <c r="C54" s="122"/>
      <c r="D54" s="122" t="s">
        <v>228</v>
      </c>
      <c r="E54" s="122"/>
      <c r="F54" s="122"/>
      <c r="G54" s="122"/>
      <c r="H54" s="122"/>
      <c r="I54" s="35"/>
    </row>
    <row r="55" spans="1:14" ht="111.75" customHeight="1" x14ac:dyDescent="0.25">
      <c r="A55" s="189" t="s">
        <v>49</v>
      </c>
      <c r="B55" s="190"/>
      <c r="C55" s="191"/>
      <c r="D55" s="125" t="s">
        <v>202</v>
      </c>
      <c r="E55" s="125"/>
      <c r="F55" s="125"/>
      <c r="G55" s="125"/>
      <c r="H55" s="125"/>
    </row>
    <row r="56" spans="1:14" ht="51" customHeight="1" x14ac:dyDescent="0.25">
      <c r="A56" s="189" t="s">
        <v>92</v>
      </c>
      <c r="B56" s="190"/>
      <c r="C56" s="191"/>
      <c r="D56" s="125" t="s">
        <v>203</v>
      </c>
      <c r="E56" s="125"/>
      <c r="F56" s="125"/>
      <c r="G56" s="125"/>
      <c r="H56" s="125"/>
    </row>
    <row r="57" spans="1:14" ht="65.25" customHeight="1" x14ac:dyDescent="0.25">
      <c r="A57" s="192"/>
      <c r="B57" s="193"/>
      <c r="C57" s="194"/>
      <c r="D57" s="125" t="s">
        <v>204</v>
      </c>
      <c r="E57" s="125"/>
      <c r="F57" s="125"/>
      <c r="G57" s="125"/>
      <c r="H57" s="125"/>
    </row>
    <row r="58" spans="1:14" x14ac:dyDescent="0.25">
      <c r="A58" s="120" t="s">
        <v>46</v>
      </c>
      <c r="B58" s="120"/>
      <c r="C58" s="120"/>
      <c r="D58" s="125" t="s">
        <v>187</v>
      </c>
      <c r="E58" s="125"/>
      <c r="F58" s="125"/>
      <c r="G58" s="125"/>
      <c r="H58" s="125"/>
      <c r="J58" s="34"/>
      <c r="K58" s="35"/>
      <c r="N58" s="35"/>
    </row>
    <row r="59" spans="1:14" ht="15.75" customHeight="1" x14ac:dyDescent="0.25">
      <c r="A59" s="120" t="s">
        <v>90</v>
      </c>
      <c r="B59" s="120"/>
      <c r="C59" s="120"/>
      <c r="D59" s="183" t="str">
        <f>(IF(G51="NA","60 Years After Completion",IF(G51&lt;&gt;"NA",""&amp;60-ROUNDDOWN((E3-G51)/360,0)&amp;" Years"," ")))</f>
        <v>60 Years After Completion</v>
      </c>
      <c r="E59" s="183"/>
      <c r="F59" s="183"/>
      <c r="G59" s="183"/>
      <c r="H59" s="183"/>
      <c r="N59" s="35"/>
    </row>
    <row r="60" spans="1:14" ht="15.75" customHeight="1" x14ac:dyDescent="0.25">
      <c r="A60" s="120" t="s">
        <v>91</v>
      </c>
      <c r="B60" s="120"/>
      <c r="C60" s="120"/>
      <c r="D60" s="124" t="s">
        <v>24</v>
      </c>
      <c r="E60" s="124"/>
      <c r="F60" s="124"/>
      <c r="G60" s="124"/>
      <c r="H60" s="124"/>
      <c r="J60" s="13"/>
      <c r="K60" s="13"/>
    </row>
    <row r="61" spans="1:14" ht="48.75" customHeight="1" x14ac:dyDescent="0.25">
      <c r="A61" s="120" t="s">
        <v>78</v>
      </c>
      <c r="B61" s="120"/>
      <c r="C61" s="120"/>
      <c r="D61" s="125" t="s">
        <v>229</v>
      </c>
      <c r="E61" s="124"/>
      <c r="F61" s="124"/>
      <c r="G61" s="124"/>
      <c r="H61" s="124"/>
    </row>
    <row r="62" spans="1:14" x14ac:dyDescent="0.25">
      <c r="A62" s="124" t="s">
        <v>154</v>
      </c>
      <c r="B62" s="124"/>
      <c r="C62" s="124"/>
      <c r="D62" s="124" t="s">
        <v>30</v>
      </c>
      <c r="E62" s="124"/>
      <c r="F62" s="124"/>
      <c r="G62" s="124"/>
      <c r="H62" s="124"/>
      <c r="I62" s="42"/>
      <c r="J62" s="42"/>
      <c r="K62" s="42"/>
      <c r="L62" s="42"/>
      <c r="M62" s="42"/>
      <c r="N62" s="42"/>
    </row>
    <row r="63" spans="1:14" ht="15.75" customHeight="1" x14ac:dyDescent="0.25">
      <c r="A63" s="109" t="s">
        <v>89</v>
      </c>
      <c r="B63" s="109"/>
      <c r="C63" s="109"/>
      <c r="D63" s="110" t="str">
        <f ca="1">(IF(G69&gt;95%,"Nothing",IF(G69&gt;0%,"Cement, Aggregate, Steel, etc",IF(G69=0%,"Work not yet Started"))))</f>
        <v>Cement, Aggregate, Steel, etc</v>
      </c>
      <c r="E63" s="110"/>
      <c r="F63" s="110"/>
      <c r="G63" s="110"/>
      <c r="H63" s="110"/>
      <c r="J63" s="13"/>
    </row>
    <row r="64" spans="1:14" ht="33.75" customHeight="1" thickBot="1" x14ac:dyDescent="0.3">
      <c r="A64" s="204" t="s">
        <v>124</v>
      </c>
      <c r="B64" s="204"/>
      <c r="C64" s="204"/>
      <c r="D64" s="110" t="str">
        <f ca="1">(IF(D63="Nothing","Yes",IF(D63="Cement, Aggregate, Steel, etc","Under Construction",IF(D63="Work not yet Started","Work not yet Started"))))</f>
        <v>Under Construction</v>
      </c>
      <c r="E64" s="110"/>
      <c r="F64" s="110" t="str">
        <f ca="1">(IF(D63="Nothing","Yes",IF(D63="Cement, Aggregate, Steel, etc","Under Construction",IF(D63="Work not yet Started","Work not yet Started"))))</f>
        <v>Under Construction</v>
      </c>
      <c r="G64" s="110"/>
      <c r="H64" s="110"/>
    </row>
    <row r="65" spans="1:10" ht="50.25" customHeight="1" x14ac:dyDescent="0.25">
      <c r="A65" s="114" t="s">
        <v>146</v>
      </c>
      <c r="B65" s="115"/>
      <c r="C65" s="116" t="str">
        <f>D56</f>
        <v>Building 53 - B + G(Pt) &amp; Stilt Floor(Pt) +  1st Floor(Pt) &amp; Podium 1(Pt) + 2nd Floor(Pt) &amp; Podium 2(Pt) + 3rd Floor(Pt) &amp; Podium 3(Pt) + 4th Floor(Pt) &amp; podium 4(Pt) + 5th to 34th Floor</v>
      </c>
      <c r="D65" s="117"/>
      <c r="E65" s="117"/>
      <c r="F65" s="117"/>
      <c r="G65" s="117"/>
      <c r="H65" s="118"/>
      <c r="I65" s="37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completed","0")))))))))))&amp;(IF(C71=(D66+F66+H66),", RCC Slab Completed",IF(C71&gt;0,", RCC upto "&amp;C71&amp;" Slab Completed",""))&amp;(IF(C72=H66,", Brickwork Completed",IF(C72&gt;0,", Brickwork upto "&amp;C72&amp;" Floor Completed",""))&amp;(IF(C73=H66,", Internal Plaster Completed",IF(C73&gt;0,", Internal Plaster upto "&amp;C73&amp;" Floor Completed",""))&amp;(IF(C74=H66,", External Plaster Completed",IF(C74&gt;0,", External Plaster upto "&amp;C74&amp;" Floor Completed",""))&amp;(IF(C75=H66,", Flooring Completed",IF(C75&gt;0,", Flooring upto "&amp;C75&amp;" Floor Completed",""))&amp;(IF(C76=H66,", Painting Completed",IF(C76&gt;0,", Painting upto "&amp;C76&amp;" Floor Completed",""))&amp;(IF(C77&gt;0,", Finishing upto "&amp;C77&amp;" Floor Completed","")&amp;(IF(C71&gt;0.5,".",""))))))))))))))</f>
        <v>Excavation work Completed. Plinth work completed</v>
      </c>
      <c r="J65" s="15"/>
    </row>
    <row r="66" spans="1:10" x14ac:dyDescent="0.25">
      <c r="A66" s="59" t="s">
        <v>148</v>
      </c>
      <c r="B66" s="60">
        <v>0</v>
      </c>
      <c r="C66" s="60" t="s">
        <v>75</v>
      </c>
      <c r="D66" s="60">
        <v>1</v>
      </c>
      <c r="E66" s="60" t="s">
        <v>74</v>
      </c>
      <c r="F66" s="60">
        <v>1</v>
      </c>
      <c r="G66" s="60" t="s">
        <v>83</v>
      </c>
      <c r="H66" s="61">
        <f ca="1">--TRIM(RIGHT(SUBSTITUTE(LEFT(C65,_xlfn.AGGREGATE(16,6,FIND({0,1,2,3,4,5,6,7,8,9},C65,ROW(INDIRECT("1:"&amp;LEN(C65)))),1))," ",REPT(" ",LEN(C65))),LEN(C65)))</f>
        <v>34</v>
      </c>
      <c r="I66" s="13"/>
      <c r="J66" s="16"/>
    </row>
    <row r="67" spans="1:10" x14ac:dyDescent="0.25">
      <c r="A67" s="112" t="s">
        <v>93</v>
      </c>
      <c r="B67" s="113"/>
      <c r="C67" s="134" t="str">
        <f ca="1">(IF($G$51="NA",I65,"All work Completed. OC Received."))</f>
        <v>Excavation work Completed. Plinth work completed</v>
      </c>
      <c r="D67" s="134"/>
      <c r="E67" s="134"/>
      <c r="F67" s="134"/>
      <c r="G67" s="134"/>
      <c r="H67" s="135"/>
      <c r="I67" s="13" t="s">
        <v>110</v>
      </c>
      <c r="J67" s="16"/>
    </row>
    <row r="68" spans="1:10" ht="15.75" customHeight="1" x14ac:dyDescent="0.25">
      <c r="A68" s="91" t="s">
        <v>50</v>
      </c>
      <c r="B68" s="92"/>
      <c r="C68" s="62" t="s">
        <v>145</v>
      </c>
      <c r="D68" s="62" t="s">
        <v>86</v>
      </c>
      <c r="E68" s="92" t="s">
        <v>88</v>
      </c>
      <c r="F68" s="92"/>
      <c r="G68" s="92" t="s">
        <v>87</v>
      </c>
      <c r="H68" s="111"/>
      <c r="I68" s="33" t="s">
        <v>147</v>
      </c>
      <c r="J68" s="17">
        <f ca="1">H66*25%</f>
        <v>8.5</v>
      </c>
    </row>
    <row r="69" spans="1:10" x14ac:dyDescent="0.25">
      <c r="A69" s="91" t="s">
        <v>134</v>
      </c>
      <c r="B69" s="92"/>
      <c r="C69" s="63">
        <v>34</v>
      </c>
      <c r="D69" s="64">
        <f ca="1">((100/H66)*C69)/100</f>
        <v>1</v>
      </c>
      <c r="E69" s="139">
        <f ca="1">(((C70/H66*10)+(40/(D66+F66+H66)*C71)+(7.5/(H66)*C72)+(7.5/(H66)*C73)+(10/H66*C74)+(10/H66*C75)+(5/H66*C76)+(5/H66*C77)+(5/H66*C78))/100)</f>
        <v>0.1</v>
      </c>
      <c r="F69" s="139"/>
      <c r="G69" s="139">
        <f ca="1">((((C69/H66)*20)+((C70/H66)*25)+(30/(H66+F66+D66)*C71)+(5/H66*C72)+(5/H66*C73)+(5/H66*C74)+(5/H66*C75)+(0/H66*C76)+(0/H66*C77)+(5/H66*C78))/100)</f>
        <v>0.45</v>
      </c>
      <c r="H69" s="141"/>
      <c r="I69" s="33" t="s">
        <v>105</v>
      </c>
      <c r="J69" s="36">
        <f ca="1">H66*50%</f>
        <v>17</v>
      </c>
    </row>
    <row r="70" spans="1:10" x14ac:dyDescent="0.25">
      <c r="A70" s="91" t="s">
        <v>51</v>
      </c>
      <c r="B70" s="92"/>
      <c r="C70" s="65">
        <f ca="1">J78</f>
        <v>34</v>
      </c>
      <c r="D70" s="64">
        <f ca="1">((100/H66)*C70)/100</f>
        <v>1</v>
      </c>
      <c r="E70" s="139"/>
      <c r="F70" s="139"/>
      <c r="G70" s="139"/>
      <c r="H70" s="141"/>
      <c r="I70" s="33" t="s">
        <v>106</v>
      </c>
      <c r="J70" s="36">
        <f ca="1">H66</f>
        <v>34</v>
      </c>
    </row>
    <row r="71" spans="1:10" ht="15.75" customHeight="1" x14ac:dyDescent="0.25">
      <c r="A71" s="91" t="s">
        <v>135</v>
      </c>
      <c r="B71" s="92"/>
      <c r="C71" s="65">
        <v>0</v>
      </c>
      <c r="D71" s="64">
        <f ca="1">((100/(D66+F66+H66))*C71)/100</f>
        <v>0</v>
      </c>
      <c r="E71" s="139"/>
      <c r="F71" s="139"/>
      <c r="G71" s="139"/>
      <c r="H71" s="141"/>
      <c r="I71" s="33" t="s">
        <v>107</v>
      </c>
      <c r="J71" s="39">
        <f ca="1">(IF(B66&gt;1,(H66/(B66+2)),H66/4))</f>
        <v>8.5</v>
      </c>
    </row>
    <row r="72" spans="1:10" ht="15.75" customHeight="1" x14ac:dyDescent="0.25">
      <c r="A72" s="91" t="s">
        <v>142</v>
      </c>
      <c r="B72" s="92" t="s">
        <v>136</v>
      </c>
      <c r="C72" s="63">
        <v>0</v>
      </c>
      <c r="D72" s="64">
        <f ca="1">((100/H66)*C72)/100</f>
        <v>0</v>
      </c>
      <c r="E72" s="139"/>
      <c r="F72" s="139"/>
      <c r="G72" s="139"/>
      <c r="H72" s="141"/>
      <c r="I72" s="33" t="s">
        <v>108</v>
      </c>
      <c r="J72" s="39">
        <f ca="1">(IF(B66&gt;1,(H66/(B66+2)+J71),H66/4+J71))</f>
        <v>17</v>
      </c>
    </row>
    <row r="73" spans="1:10" ht="15.75" customHeight="1" x14ac:dyDescent="0.25">
      <c r="A73" s="91" t="s">
        <v>143</v>
      </c>
      <c r="B73" s="92" t="s">
        <v>136</v>
      </c>
      <c r="C73" s="63">
        <v>0</v>
      </c>
      <c r="D73" s="64">
        <f ca="1">((100/H66)*C73)/100</f>
        <v>0</v>
      </c>
      <c r="E73" s="139"/>
      <c r="F73" s="139"/>
      <c r="G73" s="139"/>
      <c r="H73" s="141"/>
      <c r="I73" s="33" t="s">
        <v>152</v>
      </c>
      <c r="J73" s="39">
        <f>(IF(B66&gt;1,(H66/(B66+2)+J72),0))</f>
        <v>0</v>
      </c>
    </row>
    <row r="74" spans="1:10" ht="15" customHeight="1" x14ac:dyDescent="0.25">
      <c r="A74" s="91" t="s">
        <v>141</v>
      </c>
      <c r="B74" s="92" t="s">
        <v>138</v>
      </c>
      <c r="C74" s="63">
        <v>0</v>
      </c>
      <c r="D74" s="64">
        <f ca="1">((100/(H66))*C74)/100</f>
        <v>0</v>
      </c>
      <c r="E74" s="139"/>
      <c r="F74" s="139"/>
      <c r="G74" s="139"/>
      <c r="H74" s="141"/>
      <c r="I74" s="33" t="s">
        <v>149</v>
      </c>
      <c r="J74" s="39">
        <f>(IF(B66&gt;2,(H66/(B66+2)+J73),0))</f>
        <v>0</v>
      </c>
    </row>
    <row r="75" spans="1:10" ht="15.75" customHeight="1" x14ac:dyDescent="0.25">
      <c r="A75" s="91" t="s">
        <v>137</v>
      </c>
      <c r="B75" s="92" t="s">
        <v>137</v>
      </c>
      <c r="C75" s="63">
        <v>0</v>
      </c>
      <c r="D75" s="64">
        <f ca="1">((100/H66)*C75)/100</f>
        <v>0</v>
      </c>
      <c r="E75" s="139"/>
      <c r="F75" s="139"/>
      <c r="G75" s="139"/>
      <c r="H75" s="141"/>
      <c r="I75" s="33" t="s">
        <v>150</v>
      </c>
      <c r="J75" s="40">
        <f>(IF(B66&gt;3,(H66/(B66+2)+J74),0))</f>
        <v>0</v>
      </c>
    </row>
    <row r="76" spans="1:10" ht="15.75" customHeight="1" x14ac:dyDescent="0.25">
      <c r="A76" s="91" t="s">
        <v>144</v>
      </c>
      <c r="B76" s="92"/>
      <c r="C76" s="63">
        <v>0</v>
      </c>
      <c r="D76" s="64">
        <f ca="1">((100/H66)*C76)/100</f>
        <v>0</v>
      </c>
      <c r="E76" s="139"/>
      <c r="F76" s="139"/>
      <c r="G76" s="139"/>
      <c r="H76" s="141"/>
      <c r="I76" s="33" t="s">
        <v>151</v>
      </c>
      <c r="J76" s="39">
        <f>(IF(B66&gt;4,(H66/(B66+2)+J75),0))</f>
        <v>0</v>
      </c>
    </row>
    <row r="77" spans="1:10" ht="15.75" customHeight="1" x14ac:dyDescent="0.25">
      <c r="A77" s="91" t="s">
        <v>139</v>
      </c>
      <c r="B77" s="92" t="s">
        <v>139</v>
      </c>
      <c r="C77" s="63">
        <v>0</v>
      </c>
      <c r="D77" s="64">
        <f ca="1">((100/(H66))*C77)/100</f>
        <v>0</v>
      </c>
      <c r="E77" s="139"/>
      <c r="F77" s="139"/>
      <c r="G77" s="139"/>
      <c r="H77" s="141"/>
      <c r="I77" s="33" t="s">
        <v>153</v>
      </c>
      <c r="J77" s="39">
        <f ca="1">(IF(B66=1,(H66/(B66+3)+J72),IF(B66=0,(H66/4+J72),IF(B66&gt;1,0))))</f>
        <v>25.5</v>
      </c>
    </row>
    <row r="78" spans="1:10" ht="16.5" thickBot="1" x14ac:dyDescent="0.3">
      <c r="A78" s="103" t="s">
        <v>140</v>
      </c>
      <c r="B78" s="104"/>
      <c r="C78" s="66">
        <v>0</v>
      </c>
      <c r="D78" s="67">
        <f ca="1">((100/(H66))*C78)/100</f>
        <v>0</v>
      </c>
      <c r="E78" s="140"/>
      <c r="F78" s="140"/>
      <c r="G78" s="140"/>
      <c r="H78" s="142"/>
      <c r="I78" s="38" t="s">
        <v>109</v>
      </c>
      <c r="J78" s="41">
        <f ca="1">(IF(B66&gt;1.5,(H66/(B66+2)+J72+MAX(0,J73-J72)+MAX(0,J74-J73)+MAX(0,J75-J74)+MAX(0,J76-J75)+MAX(0,J77-J76)),IF(B66=1,(H66/(B66+3)+J77),IF(B66=0,H66/4+J77))))</f>
        <v>34</v>
      </c>
    </row>
    <row r="79" spans="1:10" ht="50.25" customHeight="1" x14ac:dyDescent="0.25">
      <c r="A79" s="114" t="s">
        <v>146</v>
      </c>
      <c r="B79" s="115"/>
      <c r="C79" s="116" t="str">
        <f>D57</f>
        <v>Building 54 - B +  Ground (Shop) (Pt) / Stilt Floor (Pt) + 1st Floor(Pt) &amp; Podium 1(Pt) + 2nd Floor(Pt) &amp; Podium 2(Pt) + 3rd Floor(Pt) &amp; Podium 3(Pt) + 4th Floor(Pt) &amp; podium 4(Pt) + 5th to 34th Floor</v>
      </c>
      <c r="D79" s="117"/>
      <c r="E79" s="117"/>
      <c r="F79" s="117"/>
      <c r="G79" s="117"/>
      <c r="H79" s="118"/>
      <c r="I79" s="37" t="str">
        <f ca="1">(IF(E83&gt;99%,"All work completed. Please provide OC.",IF(E83&gt;89.8%,"Plinth, RCC, Brick, Plaster, Flooring, Painting work Completed. Finishing work is in process.",IF(E83&lt;94%,(IF(C83=0,"Work not yet Started.",IF(D83=25%,"Piling work in process",IF(D83=50%,"Excavation work in process",IF(D83=100%,"Excavation work Completed. ","0")))&amp;(IF(C84=0%,"",IF(C84=J85,"Footing work is process",IF(C84=J86,"Footing work Completed",IF(C84=J87,"1st Basement Completed",IF(C84=J88,"1st &amp; 2nd Basement Completed",IF(C84=J89,"1st to 3rd Basement Completed",IF(C84=J90,"1st to 4th Basement Completed",IF(C84=J91,"Plinth work is process",IF(C84=J92,"Plinth work completed","0")))))))))))&amp;(IF(C85=(D80+F80+H80),", RCC Slab Completed",IF(C85&gt;0,", RCC upto "&amp;C85&amp;" Slab Completed",""))&amp;(IF(C86=H80,", Brickwork Completed",IF(C86&gt;0,", Brickwork upto "&amp;C86&amp;" Floor Completed",""))&amp;(IF(C87=H80,", Internal Plaster Completed",IF(C87&gt;0,", Internal Plaster upto "&amp;C87&amp;" Floor Completed",""))&amp;(IF(C88=H80,", External Plaster Completed",IF(C88&gt;0,", External Plaster upto "&amp;C88&amp;" Floor Completed",""))&amp;(IF(C89=H80,", Flooring Completed",IF(C89&gt;0,", Flooring upto "&amp;C89&amp;" Floor Completed",""))&amp;(IF(C90=H80,", Painting Completed",IF(C90&gt;0,", Painting upto "&amp;C90&amp;" Floor Completed",""))&amp;(IF(C91&gt;0,", Finishing upto "&amp;C91&amp;" Floor Completed","")&amp;(IF(C85&gt;0.5,".",""))))))))))))))</f>
        <v>Excavation work Completed. Plinth work completed, RCC upto 4 Slab Completed, Brickwork upto 3 Floor Completed, Internal Plaster upto 2.25 Floor Completed, External Plaster upto 1.95 Floor Completed.</v>
      </c>
      <c r="J79" s="15"/>
    </row>
    <row r="80" spans="1:10" x14ac:dyDescent="0.25">
      <c r="A80" s="59" t="s">
        <v>148</v>
      </c>
      <c r="B80" s="60">
        <v>0</v>
      </c>
      <c r="C80" s="60" t="s">
        <v>75</v>
      </c>
      <c r="D80" s="60">
        <v>1</v>
      </c>
      <c r="E80" s="60" t="s">
        <v>74</v>
      </c>
      <c r="F80" s="60">
        <v>1</v>
      </c>
      <c r="G80" s="60" t="s">
        <v>83</v>
      </c>
      <c r="H80" s="61">
        <f ca="1">--TRIM(RIGHT(SUBSTITUTE(LEFT(C79,_xlfn.AGGREGATE(16,6,FIND({0,1,2,3,4,5,6,7,8,9},C79,ROW(INDIRECT("1:"&amp;LEN(C79)))),1))," ",REPT(" ",LEN(C79))),LEN(C79)))</f>
        <v>34</v>
      </c>
      <c r="I80" s="13"/>
      <c r="J80" s="16"/>
    </row>
    <row r="81" spans="1:10" ht="47.25" customHeight="1" x14ac:dyDescent="0.25">
      <c r="A81" s="112" t="s">
        <v>93</v>
      </c>
      <c r="B81" s="113"/>
      <c r="C81" s="134" t="str">
        <f ca="1">(IF($G$51="NA",I79,"All work Completed. OC Received."))</f>
        <v>Excavation work Completed. Plinth work completed, RCC upto 4 Slab Completed, Brickwork upto 3 Floor Completed, Internal Plaster upto 2.25 Floor Completed, External Plaster upto 1.95 Floor Completed.</v>
      </c>
      <c r="D81" s="134"/>
      <c r="E81" s="134"/>
      <c r="F81" s="134"/>
      <c r="G81" s="134"/>
      <c r="H81" s="135"/>
      <c r="I81" s="13" t="s">
        <v>110</v>
      </c>
      <c r="J81" s="16"/>
    </row>
    <row r="82" spans="1:10" ht="15.75" customHeight="1" x14ac:dyDescent="0.25">
      <c r="A82" s="91" t="s">
        <v>50</v>
      </c>
      <c r="B82" s="92"/>
      <c r="C82" s="62" t="s">
        <v>145</v>
      </c>
      <c r="D82" s="62" t="s">
        <v>86</v>
      </c>
      <c r="E82" s="92" t="s">
        <v>88</v>
      </c>
      <c r="F82" s="92"/>
      <c r="G82" s="92" t="s">
        <v>87</v>
      </c>
      <c r="H82" s="111"/>
      <c r="I82" s="33" t="s">
        <v>147</v>
      </c>
      <c r="J82" s="17">
        <f ca="1">H80*25%</f>
        <v>8.5</v>
      </c>
    </row>
    <row r="83" spans="1:10" x14ac:dyDescent="0.25">
      <c r="A83" s="91" t="s">
        <v>134</v>
      </c>
      <c r="B83" s="92"/>
      <c r="C83" s="63">
        <v>34</v>
      </c>
      <c r="D83" s="64">
        <f ca="1">((100/H80)*C83)/100</f>
        <v>1</v>
      </c>
      <c r="E83" s="139">
        <f ca="1">(((C84/H80*10)+(40/(D80+F80+H80)*C85)+(7.5/(H80)*C86)+(7.5/(H80)*C87)+(10/H80*C88)+(10/H80*C89)+(5/H80*C90)+(5/H80*C91)+(5/H80*C92))/100)</f>
        <v>0.16176062091503268</v>
      </c>
      <c r="F83" s="139"/>
      <c r="G83" s="139">
        <f ca="1">((((C83/H80)*20)+((C84/H80)*25)+(30/(H80+F80+D80)*C85)+(5/H80*C86)+(5/H80*C87)+(5/H80*C88)+(5/H80*C89)+(0/H80*C90)+(0/H80*C91)+(5/H80*C92))/100)</f>
        <v>0.49392156862745096</v>
      </c>
      <c r="H83" s="141"/>
      <c r="I83" s="33" t="s">
        <v>105</v>
      </c>
      <c r="J83" s="36">
        <f ca="1">H80*50%</f>
        <v>17</v>
      </c>
    </row>
    <row r="84" spans="1:10" x14ac:dyDescent="0.25">
      <c r="A84" s="91" t="s">
        <v>51</v>
      </c>
      <c r="B84" s="92"/>
      <c r="C84" s="65">
        <f ca="1">J92</f>
        <v>34</v>
      </c>
      <c r="D84" s="64">
        <f ca="1">((100/H80)*C84)/100</f>
        <v>1</v>
      </c>
      <c r="E84" s="139"/>
      <c r="F84" s="139"/>
      <c r="G84" s="139"/>
      <c r="H84" s="141"/>
      <c r="I84" s="33" t="s">
        <v>106</v>
      </c>
      <c r="J84" s="36">
        <f ca="1">H80</f>
        <v>34</v>
      </c>
    </row>
    <row r="85" spans="1:10" ht="15.75" customHeight="1" x14ac:dyDescent="0.25">
      <c r="A85" s="91" t="s">
        <v>135</v>
      </c>
      <c r="B85" s="92"/>
      <c r="C85" s="65">
        <v>4</v>
      </c>
      <c r="D85" s="64">
        <f ca="1">((100/(D80+F80+H80))*C85)/100</f>
        <v>0.1111111111111111</v>
      </c>
      <c r="E85" s="139"/>
      <c r="F85" s="139"/>
      <c r="G85" s="139"/>
      <c r="H85" s="141"/>
      <c r="I85" s="33" t="s">
        <v>107</v>
      </c>
      <c r="J85" s="39">
        <f ca="1">(IF(B80&gt;1,(H80/(B80+2)),H80/4))</f>
        <v>8.5</v>
      </c>
    </row>
    <row r="86" spans="1:10" ht="15.75" customHeight="1" x14ac:dyDescent="0.25">
      <c r="A86" s="91" t="s">
        <v>142</v>
      </c>
      <c r="B86" s="92" t="s">
        <v>136</v>
      </c>
      <c r="C86" s="65">
        <f>C85-D80</f>
        <v>3</v>
      </c>
      <c r="D86" s="64">
        <f ca="1">((100/H80)*C86)/100</f>
        <v>8.8235294117647065E-2</v>
      </c>
      <c r="E86" s="139"/>
      <c r="F86" s="139"/>
      <c r="G86" s="139"/>
      <c r="H86" s="141"/>
      <c r="I86" s="33" t="s">
        <v>108</v>
      </c>
      <c r="J86" s="39">
        <f ca="1">(IF(B80&gt;1,(H80/(B80+2)+J85),H80/4+J85))</f>
        <v>17</v>
      </c>
    </row>
    <row r="87" spans="1:10" ht="15.75" customHeight="1" x14ac:dyDescent="0.25">
      <c r="A87" s="91" t="s">
        <v>143</v>
      </c>
      <c r="B87" s="92" t="s">
        <v>136</v>
      </c>
      <c r="C87" s="65">
        <f>C86*0.75</f>
        <v>2.25</v>
      </c>
      <c r="D87" s="64">
        <f ca="1">((100/H80)*C87)/100</f>
        <v>6.6176470588235295E-2</v>
      </c>
      <c r="E87" s="139"/>
      <c r="F87" s="139"/>
      <c r="G87" s="139"/>
      <c r="H87" s="141"/>
      <c r="I87" s="33" t="s">
        <v>152</v>
      </c>
      <c r="J87" s="39">
        <f>(IF(B80&gt;1,(H80/(B80+2)+J86),0))</f>
        <v>0</v>
      </c>
    </row>
    <row r="88" spans="1:10" ht="15" customHeight="1" x14ac:dyDescent="0.25">
      <c r="A88" s="91" t="s">
        <v>141</v>
      </c>
      <c r="B88" s="92" t="s">
        <v>138</v>
      </c>
      <c r="C88" s="65">
        <f>C86*0.65</f>
        <v>1.9500000000000002</v>
      </c>
      <c r="D88" s="64">
        <f ca="1">((100/(H80))*C88)/100</f>
        <v>5.73529411764706E-2</v>
      </c>
      <c r="E88" s="139"/>
      <c r="F88" s="139"/>
      <c r="G88" s="139"/>
      <c r="H88" s="141"/>
      <c r="I88" s="33" t="s">
        <v>149</v>
      </c>
      <c r="J88" s="39">
        <f>(IF(B80&gt;2,(H80/(B80+2)+J87),0))</f>
        <v>0</v>
      </c>
    </row>
    <row r="89" spans="1:10" ht="15.75" customHeight="1" x14ac:dyDescent="0.25">
      <c r="A89" s="91" t="s">
        <v>137</v>
      </c>
      <c r="B89" s="92" t="s">
        <v>137</v>
      </c>
      <c r="C89" s="63">
        <v>0</v>
      </c>
      <c r="D89" s="64">
        <f ca="1">((100/H80)*C89)/100</f>
        <v>0</v>
      </c>
      <c r="E89" s="139"/>
      <c r="F89" s="139"/>
      <c r="G89" s="139"/>
      <c r="H89" s="141"/>
      <c r="I89" s="33" t="s">
        <v>150</v>
      </c>
      <c r="J89" s="40">
        <f>(IF(B80&gt;3,(H80/(B80+2)+J88),0))</f>
        <v>0</v>
      </c>
    </row>
    <row r="90" spans="1:10" ht="15.75" customHeight="1" x14ac:dyDescent="0.25">
      <c r="A90" s="91" t="s">
        <v>144</v>
      </c>
      <c r="B90" s="92"/>
      <c r="C90" s="63">
        <v>0</v>
      </c>
      <c r="D90" s="64">
        <f ca="1">((100/H80)*C90)/100</f>
        <v>0</v>
      </c>
      <c r="E90" s="139"/>
      <c r="F90" s="139"/>
      <c r="G90" s="139"/>
      <c r="H90" s="141"/>
      <c r="I90" s="33" t="s">
        <v>151</v>
      </c>
      <c r="J90" s="39">
        <f>(IF(B80&gt;4,(H80/(B80+2)+J89),0))</f>
        <v>0</v>
      </c>
    </row>
    <row r="91" spans="1:10" ht="15.75" customHeight="1" x14ac:dyDescent="0.25">
      <c r="A91" s="91" t="s">
        <v>139</v>
      </c>
      <c r="B91" s="92" t="s">
        <v>139</v>
      </c>
      <c r="C91" s="63">
        <v>0</v>
      </c>
      <c r="D91" s="64">
        <f ca="1">((100/(H80))*C91)/100</f>
        <v>0</v>
      </c>
      <c r="E91" s="139"/>
      <c r="F91" s="139"/>
      <c r="G91" s="139"/>
      <c r="H91" s="141"/>
      <c r="I91" s="33" t="s">
        <v>153</v>
      </c>
      <c r="J91" s="39">
        <f ca="1">(IF(B80=1,(H80/(B80+3)+J86),IF(B80=0,(H80/4+J86),IF(B80&gt;1,0))))</f>
        <v>25.5</v>
      </c>
    </row>
    <row r="92" spans="1:10" ht="16.5" thickBot="1" x14ac:dyDescent="0.3">
      <c r="A92" s="103" t="s">
        <v>140</v>
      </c>
      <c r="B92" s="104"/>
      <c r="C92" s="66">
        <v>0</v>
      </c>
      <c r="D92" s="67">
        <f ca="1">((100/(H80))*C92)/100</f>
        <v>0</v>
      </c>
      <c r="E92" s="140"/>
      <c r="F92" s="140"/>
      <c r="G92" s="140"/>
      <c r="H92" s="142"/>
      <c r="I92" s="38" t="s">
        <v>109</v>
      </c>
      <c r="J92" s="41">
        <f ca="1">(IF(B80&gt;1.5,(H80/(B80+2)+J86+MAX(0,J87-J86)+MAX(0,J88-J87)+MAX(0,J89-J88)+MAX(0,J90-J89)+MAX(0,J91-J90)),IF(B80=1,(H80/(B80+3)+J91),IF(B80=0,H80/4+J91))))</f>
        <v>34</v>
      </c>
    </row>
    <row r="93" spans="1:10" x14ac:dyDescent="0.25">
      <c r="A93" s="133" t="s">
        <v>52</v>
      </c>
      <c r="B93" s="133"/>
      <c r="C93" s="133"/>
      <c r="D93" s="133"/>
      <c r="E93" s="133"/>
      <c r="F93" s="133"/>
      <c r="G93" s="133"/>
      <c r="H93" s="133"/>
    </row>
    <row r="94" spans="1:10" x14ac:dyDescent="0.25">
      <c r="A94" s="120" t="s">
        <v>160</v>
      </c>
      <c r="B94" s="120"/>
      <c r="C94" s="120"/>
      <c r="D94" s="120"/>
      <c r="E94" s="120"/>
      <c r="F94" s="132">
        <v>7500</v>
      </c>
      <c r="G94" s="132"/>
      <c r="H94" s="132"/>
      <c r="I94" s="3" t="s">
        <v>236</v>
      </c>
    </row>
    <row r="95" spans="1:10" x14ac:dyDescent="0.25">
      <c r="A95" s="122" t="s">
        <v>161</v>
      </c>
      <c r="B95" s="122"/>
      <c r="C95" s="122"/>
      <c r="D95" s="122"/>
      <c r="E95" s="122"/>
      <c r="F95" s="121">
        <v>19000</v>
      </c>
      <c r="G95" s="121"/>
      <c r="H95" s="121"/>
      <c r="I95" s="3" t="s">
        <v>235</v>
      </c>
    </row>
    <row r="96" spans="1:10" hidden="1" x14ac:dyDescent="0.25">
      <c r="A96" s="120" t="s">
        <v>162</v>
      </c>
      <c r="B96" s="120"/>
      <c r="C96" s="120"/>
      <c r="D96" s="120"/>
      <c r="E96" s="120"/>
      <c r="F96" s="121"/>
      <c r="G96" s="121"/>
      <c r="H96" s="121"/>
    </row>
    <row r="97" spans="1:8" s="7" customFormat="1" hidden="1" x14ac:dyDescent="0.25">
      <c r="A97" s="120" t="s">
        <v>98</v>
      </c>
      <c r="B97" s="120"/>
      <c r="C97" s="120"/>
      <c r="D97" s="120"/>
      <c r="E97" s="120"/>
      <c r="F97" s="121"/>
      <c r="G97" s="121"/>
      <c r="H97" s="121"/>
    </row>
    <row r="98" spans="1:8" s="7" customFormat="1" hidden="1" x14ac:dyDescent="0.25">
      <c r="A98" s="120" t="s">
        <v>99</v>
      </c>
      <c r="B98" s="120"/>
      <c r="C98" s="120"/>
      <c r="D98" s="120"/>
      <c r="E98" s="120"/>
      <c r="F98" s="121"/>
      <c r="G98" s="121"/>
      <c r="H98" s="121"/>
    </row>
    <row r="99" spans="1:8" s="7" customFormat="1" ht="32.25" customHeight="1" x14ac:dyDescent="0.25">
      <c r="A99" s="124" t="s">
        <v>178</v>
      </c>
      <c r="B99" s="120"/>
      <c r="C99" s="120"/>
      <c r="D99" s="120"/>
      <c r="E99" s="120"/>
      <c r="F99" s="121" t="s">
        <v>181</v>
      </c>
      <c r="G99" s="121"/>
      <c r="H99" s="121"/>
    </row>
    <row r="100" spans="1:8" s="7" customFormat="1" hidden="1" x14ac:dyDescent="0.25">
      <c r="A100" s="120" t="s">
        <v>100</v>
      </c>
      <c r="B100" s="120"/>
      <c r="C100" s="120"/>
      <c r="D100" s="120"/>
      <c r="E100" s="120"/>
      <c r="F100" s="121"/>
      <c r="G100" s="121"/>
      <c r="H100" s="121"/>
    </row>
    <row r="101" spans="1:8" s="7" customFormat="1" hidden="1" x14ac:dyDescent="0.25">
      <c r="A101" s="120" t="s">
        <v>101</v>
      </c>
      <c r="B101" s="120"/>
      <c r="C101" s="120"/>
      <c r="D101" s="120"/>
      <c r="E101" s="120"/>
      <c r="F101" s="121"/>
      <c r="G101" s="121"/>
      <c r="H101" s="121"/>
    </row>
    <row r="102" spans="1:8" s="7" customFormat="1" hidden="1" x14ac:dyDescent="0.25">
      <c r="A102" s="120" t="s">
        <v>102</v>
      </c>
      <c r="B102" s="120"/>
      <c r="C102" s="120"/>
      <c r="D102" s="120"/>
      <c r="E102" s="120"/>
      <c r="F102" s="121"/>
      <c r="G102" s="121"/>
      <c r="H102" s="121"/>
    </row>
    <row r="103" spans="1:8" s="7" customFormat="1" hidden="1" x14ac:dyDescent="0.25">
      <c r="A103" s="120" t="s">
        <v>103</v>
      </c>
      <c r="B103" s="120"/>
      <c r="C103" s="120"/>
      <c r="D103" s="120"/>
      <c r="E103" s="120"/>
      <c r="F103" s="121"/>
      <c r="G103" s="121"/>
      <c r="H103" s="121"/>
    </row>
    <row r="104" spans="1:8" s="7" customFormat="1" hidden="1" x14ac:dyDescent="0.25">
      <c r="A104" s="120" t="s">
        <v>104</v>
      </c>
      <c r="B104" s="120"/>
      <c r="C104" s="120"/>
      <c r="D104" s="120"/>
      <c r="E104" s="120"/>
      <c r="F104" s="121"/>
      <c r="G104" s="121"/>
      <c r="H104" s="121"/>
    </row>
    <row r="105" spans="1:8" x14ac:dyDescent="0.25">
      <c r="A105" s="120" t="s">
        <v>53</v>
      </c>
      <c r="B105" s="120"/>
      <c r="C105" s="120"/>
      <c r="D105" s="120"/>
      <c r="E105" s="120"/>
      <c r="F105" s="121" t="s">
        <v>179</v>
      </c>
      <c r="G105" s="121"/>
      <c r="H105" s="121"/>
    </row>
    <row r="106" spans="1:8" s="4" customFormat="1" x14ac:dyDescent="0.25">
      <c r="A106" s="175" t="s">
        <v>54</v>
      </c>
      <c r="B106" s="175"/>
      <c r="C106" s="175"/>
      <c r="D106" s="175"/>
      <c r="E106" s="175"/>
      <c r="F106" s="121">
        <f>F94*0.8</f>
        <v>6000</v>
      </c>
      <c r="G106" s="121"/>
      <c r="H106" s="121"/>
    </row>
    <row r="107" spans="1:8" s="1" customFormat="1" x14ac:dyDescent="0.25">
      <c r="A107" s="137" t="s">
        <v>226</v>
      </c>
      <c r="B107" s="137"/>
      <c r="C107" s="137"/>
      <c r="D107" s="137"/>
      <c r="E107" s="137"/>
      <c r="F107" s="137"/>
      <c r="G107" s="137"/>
      <c r="H107" s="137"/>
    </row>
    <row r="108" spans="1:8" s="1" customFormat="1" ht="15.75" customHeight="1" x14ac:dyDescent="0.25">
      <c r="A108" s="93" t="s">
        <v>55</v>
      </c>
      <c r="B108" s="93"/>
      <c r="C108" s="138" t="s">
        <v>81</v>
      </c>
      <c r="D108" s="138"/>
      <c r="E108" s="136" t="s">
        <v>56</v>
      </c>
      <c r="F108" s="136"/>
      <c r="G108" s="93" t="s">
        <v>57</v>
      </c>
      <c r="H108" s="93"/>
    </row>
    <row r="109" spans="1:8" s="1" customFormat="1" x14ac:dyDescent="0.25">
      <c r="A109" s="94" t="s">
        <v>211</v>
      </c>
      <c r="B109" s="94"/>
      <c r="C109" s="95">
        <f>COUNT(D124:D135)</f>
        <v>12</v>
      </c>
      <c r="D109" s="96"/>
      <c r="E109" s="97">
        <f>SUM(D124:D135)</f>
        <v>2932.4365199999993</v>
      </c>
      <c r="F109" s="97"/>
      <c r="G109" s="97">
        <f>SUM(F124:F135)</f>
        <v>4691.898432</v>
      </c>
      <c r="H109" s="97"/>
    </row>
    <row r="110" spans="1:8" s="1" customFormat="1" x14ac:dyDescent="0.25">
      <c r="A110" s="137" t="s">
        <v>73</v>
      </c>
      <c r="B110" s="137"/>
      <c r="C110" s="137"/>
      <c r="D110" s="137"/>
      <c r="E110" s="137"/>
      <c r="F110" s="137"/>
      <c r="G110" s="137"/>
      <c r="H110" s="137"/>
    </row>
    <row r="111" spans="1:8" s="1" customFormat="1" ht="15.75" customHeight="1" x14ac:dyDescent="0.25">
      <c r="A111" s="93" t="s">
        <v>55</v>
      </c>
      <c r="B111" s="93"/>
      <c r="C111" s="138" t="s">
        <v>81</v>
      </c>
      <c r="D111" s="138"/>
      <c r="E111" s="136" t="s">
        <v>56</v>
      </c>
      <c r="F111" s="136"/>
      <c r="G111" s="93" t="s">
        <v>57</v>
      </c>
      <c r="H111" s="93"/>
    </row>
    <row r="112" spans="1:8" s="1" customFormat="1" x14ac:dyDescent="0.25">
      <c r="A112" s="94" t="s">
        <v>206</v>
      </c>
      <c r="B112" s="94"/>
      <c r="C112" s="96">
        <f>COUNT(D144,D151:D154,D156:D157)+COUNT(D159,D166:D172)+COUNT(D174,D181:D187)+COUNT(D189,D196:D202)+COUNT(D204:D217)*24+COUNT(D219:D231)*6</f>
        <v>445</v>
      </c>
      <c r="D112" s="96"/>
      <c r="E112" s="97">
        <f>SUM(D144,D151:D154,D156:D157)+SUM(D159,D166:D172)+SUM(D174,D181:D187)+SUM(D189,D196:D202)+SUM(D204:D217)*24+SUM(D219:D231)*6</f>
        <v>200721.90527999998</v>
      </c>
      <c r="F112" s="97"/>
      <c r="G112" s="97">
        <f>SUM(F144,F151:F154,F156:F157)+SUM(F159,F166:F172)+SUM(F174,F181:F187)+SUM(F189,F196:F202)+SUM(F204:F217)*24+SUM(F219:F231)*6</f>
        <v>311118.95318399998</v>
      </c>
      <c r="H112" s="97"/>
    </row>
    <row r="113" spans="1:14" s="1" customFormat="1" x14ac:dyDescent="0.25">
      <c r="A113" s="94" t="s">
        <v>211</v>
      </c>
      <c r="B113" s="94"/>
      <c r="C113" s="209">
        <f>COUNT(D237,D245:D247,D249:D252)+COUNT(D254,D262:D269)+COUNT(D271,D279:D286)+COUNT(D288,D296:D303)+COUNT(D305:D320)*24+COUNT(D322:D331,D333:D335,D337)*6</f>
        <v>503</v>
      </c>
      <c r="D113" s="210"/>
      <c r="E113" s="171">
        <f>SUM(D237,D245:D247,D249:D252)+SUM(D254,D262:D269)+SUM(D271,D279:D286)+SUM(D288,D296:D303)+SUM(D305:D320)*24+SUM(D322:D331,D333:D335,D337)*6</f>
        <v>227470.01471999998</v>
      </c>
      <c r="F113" s="172"/>
      <c r="G113" s="171">
        <f>SUM(F237,F245:F247,F249:F252)+SUM(F254,F262:F269)+SUM(F271,F279:F286)+SUM(F288,F296:F303)+SUM(F305:F320)*24+SUM(F322:F331,F333:F335,F337)*6</f>
        <v>352578.52281600004</v>
      </c>
      <c r="H113" s="172"/>
    </row>
    <row r="114" spans="1:14" s="1" customFormat="1" x14ac:dyDescent="0.25">
      <c r="A114" s="98" t="s">
        <v>156</v>
      </c>
      <c r="B114" s="99"/>
      <c r="C114" s="100">
        <f>SUM(C112:D113)</f>
        <v>948</v>
      </c>
      <c r="D114" s="101"/>
      <c r="E114" s="205">
        <f>SUM(E112:F113)</f>
        <v>428191.91999999993</v>
      </c>
      <c r="F114" s="206"/>
      <c r="G114" s="207">
        <f>SUM(G112:H113)</f>
        <v>663697.47600000002</v>
      </c>
      <c r="H114" s="208"/>
    </row>
    <row r="115" spans="1:14" s="1" customFormat="1" x14ac:dyDescent="0.25">
      <c r="A115" s="98" t="s">
        <v>227</v>
      </c>
      <c r="B115" s="99"/>
      <c r="C115" s="100">
        <f>SUM(C109,C114)</f>
        <v>960</v>
      </c>
      <c r="D115" s="101"/>
      <c r="E115" s="100">
        <f t="shared" ref="E115" si="0">SUM(E109,E114)</f>
        <v>431124.35651999991</v>
      </c>
      <c r="F115" s="101"/>
      <c r="G115" s="102">
        <f>SUM(G109,G114)</f>
        <v>668389.37443199998</v>
      </c>
      <c r="H115" s="101"/>
    </row>
    <row r="116" spans="1:14" s="4" customFormat="1" x14ac:dyDescent="0.25">
      <c r="A116" s="105" t="s">
        <v>58</v>
      </c>
      <c r="B116" s="105"/>
      <c r="C116" s="105"/>
      <c r="D116" s="105"/>
      <c r="E116" s="105"/>
      <c r="F116" s="105"/>
      <c r="G116" s="105"/>
      <c r="H116" s="105"/>
    </row>
    <row r="117" spans="1:14" x14ac:dyDescent="0.25">
      <c r="A117" s="105" t="s">
        <v>59</v>
      </c>
      <c r="B117" s="105"/>
      <c r="C117" s="105"/>
      <c r="D117" s="105"/>
      <c r="E117" s="105"/>
      <c r="F117" s="105"/>
      <c r="G117" s="105"/>
      <c r="H117" s="105"/>
    </row>
    <row r="118" spans="1:14" ht="47.25" customHeight="1" x14ac:dyDescent="0.25">
      <c r="A118" s="164" t="s">
        <v>208</v>
      </c>
      <c r="B118" s="164" t="s">
        <v>209</v>
      </c>
      <c r="C118" s="164" t="s">
        <v>60</v>
      </c>
      <c r="D118" s="164" t="s">
        <v>61</v>
      </c>
      <c r="E118" s="166" t="s">
        <v>210</v>
      </c>
      <c r="F118" s="51" t="s">
        <v>155</v>
      </c>
      <c r="G118" s="143" t="s">
        <v>63</v>
      </c>
      <c r="H118" s="144"/>
    </row>
    <row r="119" spans="1:14" s="53" customFormat="1" x14ac:dyDescent="0.25">
      <c r="A119" s="165"/>
      <c r="B119" s="165"/>
      <c r="C119" s="165"/>
      <c r="D119" s="165"/>
      <c r="E119" s="167"/>
      <c r="F119" s="30">
        <v>0.6</v>
      </c>
      <c r="G119" s="145"/>
      <c r="H119" s="146"/>
    </row>
    <row r="120" spans="1:14" x14ac:dyDescent="0.25">
      <c r="A120" s="105" t="s">
        <v>205</v>
      </c>
      <c r="B120" s="105"/>
      <c r="C120" s="105"/>
      <c r="D120" s="105"/>
      <c r="E120" s="105"/>
      <c r="F120" s="105"/>
      <c r="G120" s="105"/>
      <c r="H120" s="105"/>
    </row>
    <row r="121" spans="1:14" x14ac:dyDescent="0.25">
      <c r="A121" s="105" t="s">
        <v>211</v>
      </c>
      <c r="B121" s="105"/>
      <c r="C121" s="105"/>
      <c r="D121" s="105"/>
      <c r="E121" s="105"/>
      <c r="F121" s="105"/>
      <c r="G121" s="105"/>
      <c r="H121" s="105"/>
    </row>
    <row r="122" spans="1:14" x14ac:dyDescent="0.25">
      <c r="A122" s="105" t="s">
        <v>207</v>
      </c>
      <c r="B122" s="105"/>
      <c r="C122" s="105"/>
      <c r="D122" s="105"/>
      <c r="E122" s="105"/>
      <c r="F122" s="105"/>
      <c r="G122" s="105"/>
      <c r="H122" s="105"/>
    </row>
    <row r="123" spans="1:14" s="53" customFormat="1" x14ac:dyDescent="0.25">
      <c r="A123" s="72" t="s">
        <v>213</v>
      </c>
      <c r="B123" s="73"/>
      <c r="C123" s="73"/>
      <c r="D123" s="73"/>
      <c r="E123" s="73"/>
      <c r="F123" s="73"/>
      <c r="G123" s="73"/>
      <c r="H123" s="74"/>
      <c r="I123" s="56">
        <v>10.763999999999999</v>
      </c>
      <c r="J123" s="31"/>
    </row>
    <row r="124" spans="1:14" s="53" customFormat="1" ht="15.75" customHeight="1" x14ac:dyDescent="0.25">
      <c r="A124" s="75">
        <v>1</v>
      </c>
      <c r="B124" s="76"/>
      <c r="C124" s="52" t="s">
        <v>212</v>
      </c>
      <c r="D124" s="56">
        <f>(7.25)*10.764</f>
        <v>78.039000000000001</v>
      </c>
      <c r="E124" s="52">
        <v>0</v>
      </c>
      <c r="F124" s="52">
        <f>(D124+E124)*(($F$119)+1)</f>
        <v>124.86240000000001</v>
      </c>
      <c r="G124" s="77" t="str">
        <f>A123</f>
        <v>Ground Floor for commercial &amp; Parking</v>
      </c>
      <c r="H124" s="78"/>
      <c r="I124" s="31"/>
      <c r="L124" s="90"/>
      <c r="M124" s="90"/>
      <c r="N124" s="31"/>
    </row>
    <row r="125" spans="1:14" s="53" customFormat="1" ht="15.75" customHeight="1" x14ac:dyDescent="0.25">
      <c r="A125" s="75">
        <v>2</v>
      </c>
      <c r="B125" s="76"/>
      <c r="C125" s="52" t="s">
        <v>212</v>
      </c>
      <c r="D125" s="56">
        <f>(27.6)*10.764</f>
        <v>297.08639999999997</v>
      </c>
      <c r="E125" s="52">
        <v>0</v>
      </c>
      <c r="F125" s="68">
        <f t="shared" ref="F125:F135" si="1">(D125+E125)*(($F$119)+1)</f>
        <v>475.33823999999998</v>
      </c>
      <c r="G125" s="79"/>
      <c r="H125" s="80"/>
      <c r="I125" s="31"/>
      <c r="L125" s="90"/>
      <c r="M125" s="90"/>
      <c r="N125" s="31"/>
    </row>
    <row r="126" spans="1:14" s="53" customFormat="1" ht="15.75" customHeight="1" x14ac:dyDescent="0.25">
      <c r="A126" s="75">
        <v>3</v>
      </c>
      <c r="B126" s="76"/>
      <c r="C126" s="52" t="s">
        <v>212</v>
      </c>
      <c r="D126" s="56">
        <f>(20.63)*10.764</f>
        <v>222.06131999999997</v>
      </c>
      <c r="E126" s="52">
        <v>0</v>
      </c>
      <c r="F126" s="68">
        <f t="shared" si="1"/>
        <v>355.29811199999995</v>
      </c>
      <c r="G126" s="79"/>
      <c r="H126" s="80"/>
      <c r="I126" s="31"/>
      <c r="L126" s="90"/>
      <c r="M126" s="90"/>
      <c r="N126" s="31"/>
    </row>
    <row r="127" spans="1:14" s="53" customFormat="1" ht="15.75" customHeight="1" x14ac:dyDescent="0.25">
      <c r="A127" s="75">
        <v>4</v>
      </c>
      <c r="B127" s="76"/>
      <c r="C127" s="52" t="s">
        <v>212</v>
      </c>
      <c r="D127" s="56">
        <f>(34.8)*10.764</f>
        <v>374.58719999999994</v>
      </c>
      <c r="E127" s="52">
        <v>0</v>
      </c>
      <c r="F127" s="68">
        <f t="shared" si="1"/>
        <v>599.33951999999988</v>
      </c>
      <c r="G127" s="79"/>
      <c r="H127" s="80"/>
      <c r="I127" s="31"/>
      <c r="L127" s="90"/>
      <c r="M127" s="90"/>
      <c r="N127" s="31"/>
    </row>
    <row r="128" spans="1:14" s="53" customFormat="1" ht="15.75" customHeight="1" x14ac:dyDescent="0.25">
      <c r="A128" s="75">
        <v>5</v>
      </c>
      <c r="B128" s="76"/>
      <c r="C128" s="52" t="s">
        <v>212</v>
      </c>
      <c r="D128" s="56">
        <f>(17.41)*10.764</f>
        <v>187.40124</v>
      </c>
      <c r="E128" s="52">
        <v>0</v>
      </c>
      <c r="F128" s="68">
        <f>(D128+E128)*(($F$119)+1)</f>
        <v>299.84198400000002</v>
      </c>
      <c r="G128" s="79"/>
      <c r="H128" s="80"/>
      <c r="I128" s="31"/>
      <c r="L128" s="90"/>
      <c r="M128" s="90"/>
      <c r="N128" s="31"/>
    </row>
    <row r="129" spans="1:14" s="53" customFormat="1" ht="15.75" customHeight="1" x14ac:dyDescent="0.25">
      <c r="A129" s="75">
        <v>6</v>
      </c>
      <c r="B129" s="76"/>
      <c r="C129" s="52" t="s">
        <v>212</v>
      </c>
      <c r="D129" s="56">
        <f>(34.8)*10.764</f>
        <v>374.58719999999994</v>
      </c>
      <c r="E129" s="52">
        <v>0</v>
      </c>
      <c r="F129" s="68">
        <f t="shared" si="1"/>
        <v>599.33951999999988</v>
      </c>
      <c r="G129" s="79"/>
      <c r="H129" s="80"/>
      <c r="I129" s="31"/>
      <c r="L129" s="90"/>
      <c r="M129" s="90"/>
      <c r="N129" s="31"/>
    </row>
    <row r="130" spans="1:14" s="53" customFormat="1" ht="15.75" customHeight="1" x14ac:dyDescent="0.25">
      <c r="A130" s="75">
        <v>7</v>
      </c>
      <c r="B130" s="76"/>
      <c r="C130" s="52" t="s">
        <v>212</v>
      </c>
      <c r="D130" s="56">
        <f>(20.63)*10.764</f>
        <v>222.06131999999997</v>
      </c>
      <c r="E130" s="52">
        <v>0</v>
      </c>
      <c r="F130" s="68">
        <f t="shared" si="1"/>
        <v>355.29811199999995</v>
      </c>
      <c r="G130" s="79"/>
      <c r="H130" s="80"/>
      <c r="I130" s="31"/>
      <c r="L130" s="90"/>
      <c r="M130" s="90"/>
      <c r="N130" s="31"/>
    </row>
    <row r="131" spans="1:14" s="53" customFormat="1" ht="15.75" customHeight="1" x14ac:dyDescent="0.25">
      <c r="A131" s="75">
        <v>8</v>
      </c>
      <c r="B131" s="76"/>
      <c r="C131" s="52" t="s">
        <v>212</v>
      </c>
      <c r="D131" s="56">
        <f>(27.6)*10.764</f>
        <v>297.08639999999997</v>
      </c>
      <c r="E131" s="52">
        <v>0</v>
      </c>
      <c r="F131" s="68">
        <f t="shared" si="1"/>
        <v>475.33823999999998</v>
      </c>
      <c r="G131" s="79"/>
      <c r="H131" s="80"/>
      <c r="I131" s="31"/>
      <c r="L131" s="90"/>
      <c r="M131" s="90"/>
      <c r="N131" s="31"/>
    </row>
    <row r="132" spans="1:14" s="53" customFormat="1" ht="15.75" customHeight="1" x14ac:dyDescent="0.25">
      <c r="A132" s="75">
        <v>9</v>
      </c>
      <c r="B132" s="76"/>
      <c r="C132" s="52" t="s">
        <v>212</v>
      </c>
      <c r="D132" s="56">
        <f>(18.38)*10.764</f>
        <v>197.84231999999997</v>
      </c>
      <c r="E132" s="52">
        <v>0</v>
      </c>
      <c r="F132" s="68">
        <f t="shared" si="1"/>
        <v>316.54771199999999</v>
      </c>
      <c r="G132" s="79"/>
      <c r="H132" s="80"/>
      <c r="I132" s="31"/>
      <c r="L132" s="90"/>
      <c r="M132" s="90"/>
      <c r="N132" s="31"/>
    </row>
    <row r="133" spans="1:14" s="53" customFormat="1" ht="15.75" customHeight="1" x14ac:dyDescent="0.25">
      <c r="A133" s="75">
        <v>10</v>
      </c>
      <c r="B133" s="76"/>
      <c r="C133" s="52" t="s">
        <v>212</v>
      </c>
      <c r="D133" s="56">
        <f>(23.31)*10.764</f>
        <v>250.90883999999997</v>
      </c>
      <c r="E133" s="52">
        <v>0</v>
      </c>
      <c r="F133" s="68">
        <f t="shared" si="1"/>
        <v>401.45414399999999</v>
      </c>
      <c r="G133" s="79"/>
      <c r="H133" s="80"/>
      <c r="I133" s="31"/>
      <c r="L133" s="90"/>
      <c r="M133" s="90"/>
      <c r="N133" s="31"/>
    </row>
    <row r="134" spans="1:14" s="53" customFormat="1" ht="15.75" customHeight="1" x14ac:dyDescent="0.25">
      <c r="A134" s="75">
        <v>11</v>
      </c>
      <c r="B134" s="76"/>
      <c r="C134" s="52" t="s">
        <v>212</v>
      </c>
      <c r="D134" s="56">
        <f>(32.91)*10.764</f>
        <v>354.24323999999996</v>
      </c>
      <c r="E134" s="52">
        <v>0</v>
      </c>
      <c r="F134" s="68">
        <f t="shared" si="1"/>
        <v>566.78918399999998</v>
      </c>
      <c r="G134" s="79"/>
      <c r="H134" s="80"/>
      <c r="I134" s="31"/>
      <c r="L134" s="90"/>
      <c r="M134" s="90"/>
      <c r="N134" s="31"/>
    </row>
    <row r="135" spans="1:14" s="53" customFormat="1" ht="15.75" customHeight="1" x14ac:dyDescent="0.25">
      <c r="A135" s="75">
        <v>12</v>
      </c>
      <c r="B135" s="76"/>
      <c r="C135" s="52" t="s">
        <v>212</v>
      </c>
      <c r="D135" s="56">
        <f>(7.11)*10.764</f>
        <v>76.532039999999995</v>
      </c>
      <c r="E135" s="52">
        <v>0</v>
      </c>
      <c r="F135" s="68">
        <f t="shared" si="1"/>
        <v>122.45126399999999</v>
      </c>
      <c r="G135" s="81"/>
      <c r="H135" s="82"/>
      <c r="I135" s="31"/>
      <c r="L135" s="90"/>
      <c r="M135" s="90"/>
      <c r="N135" s="31"/>
    </row>
    <row r="136" spans="1:14" s="2" customFormat="1" x14ac:dyDescent="0.25">
      <c r="A136" s="75"/>
      <c r="B136" s="89"/>
      <c r="C136" s="89"/>
      <c r="D136" s="89"/>
      <c r="E136" s="89"/>
      <c r="F136" s="89"/>
      <c r="G136" s="89"/>
      <c r="H136" s="76"/>
      <c r="I136" s="31"/>
      <c r="N136" s="31"/>
    </row>
    <row r="137" spans="1:14" ht="47.25" customHeight="1" x14ac:dyDescent="0.25">
      <c r="A137" s="143" t="s">
        <v>125</v>
      </c>
      <c r="B137" s="143" t="s">
        <v>126</v>
      </c>
      <c r="C137" s="164" t="s">
        <v>60</v>
      </c>
      <c r="D137" s="164" t="s">
        <v>61</v>
      </c>
      <c r="E137" s="166" t="s">
        <v>62</v>
      </c>
      <c r="F137" s="32" t="s">
        <v>155</v>
      </c>
      <c r="G137" s="143" t="s">
        <v>63</v>
      </c>
      <c r="H137" s="144"/>
      <c r="I137" s="31"/>
    </row>
    <row r="138" spans="1:14" s="2" customFormat="1" x14ac:dyDescent="0.25">
      <c r="A138" s="145"/>
      <c r="B138" s="145"/>
      <c r="C138" s="165"/>
      <c r="D138" s="165"/>
      <c r="E138" s="167"/>
      <c r="F138" s="30">
        <v>0.55000000000000004</v>
      </c>
      <c r="G138" s="145"/>
      <c r="H138" s="146"/>
      <c r="I138" s="31"/>
    </row>
    <row r="139" spans="1:14" x14ac:dyDescent="0.25">
      <c r="A139" s="105" t="s">
        <v>205</v>
      </c>
      <c r="B139" s="105"/>
      <c r="C139" s="105"/>
      <c r="D139" s="105"/>
      <c r="E139" s="105"/>
      <c r="F139" s="105"/>
      <c r="G139" s="105"/>
      <c r="H139" s="105"/>
    </row>
    <row r="140" spans="1:14" x14ac:dyDescent="0.25">
      <c r="A140" s="161" t="s">
        <v>206</v>
      </c>
      <c r="B140" s="161"/>
      <c r="C140" s="161"/>
      <c r="D140" s="161"/>
      <c r="E140" s="161"/>
      <c r="F140" s="161"/>
      <c r="G140" s="161"/>
      <c r="H140" s="161"/>
    </row>
    <row r="141" spans="1:14" x14ac:dyDescent="0.25">
      <c r="A141" s="105" t="s">
        <v>207</v>
      </c>
      <c r="B141" s="105"/>
      <c r="C141" s="105"/>
      <c r="D141" s="105"/>
      <c r="E141" s="105"/>
      <c r="F141" s="105"/>
      <c r="G141" s="105"/>
      <c r="H141" s="105"/>
    </row>
    <row r="142" spans="1:14" x14ac:dyDescent="0.25">
      <c r="A142" s="105" t="s">
        <v>214</v>
      </c>
      <c r="B142" s="105"/>
      <c r="C142" s="105"/>
      <c r="D142" s="105"/>
      <c r="E142" s="105"/>
      <c r="F142" s="105"/>
      <c r="G142" s="105"/>
      <c r="H142" s="105"/>
    </row>
    <row r="143" spans="1:14" s="2" customFormat="1" x14ac:dyDescent="0.25">
      <c r="A143" s="160" t="s">
        <v>215</v>
      </c>
      <c r="B143" s="160"/>
      <c r="C143" s="160"/>
      <c r="D143" s="160"/>
      <c r="E143" s="160"/>
      <c r="F143" s="160"/>
      <c r="G143" s="160"/>
      <c r="H143" s="160"/>
      <c r="I143" s="31"/>
      <c r="L143" s="90"/>
      <c r="M143" s="90"/>
    </row>
    <row r="144" spans="1:14" s="2" customFormat="1" ht="15.75" customHeight="1" x14ac:dyDescent="0.25">
      <c r="A144" s="147">
        <v>1</v>
      </c>
      <c r="B144" s="147"/>
      <c r="C144" s="49" t="s">
        <v>216</v>
      </c>
      <c r="D144" s="56">
        <f>(45.63)*10.764</f>
        <v>491.16131999999999</v>
      </c>
      <c r="E144" s="52">
        <v>0</v>
      </c>
      <c r="F144" s="52">
        <f>D144*(($F$138)+1)+(IF(E144&lt;101,E144,IF(E144&lt;201,E144/2,IF(E144&lt;=301,E144/3,E144/4))))</f>
        <v>761.30004599999995</v>
      </c>
      <c r="G144" s="77" t="str">
        <f>A143</f>
        <v>1st (Pt) &amp; Podium 1st (Pt) Floor for Residential &amp; Parking</v>
      </c>
      <c r="H144" s="78"/>
      <c r="I144" s="31"/>
      <c r="N144" s="31"/>
    </row>
    <row r="145" spans="1:14" s="2" customFormat="1" x14ac:dyDescent="0.25">
      <c r="A145" s="147">
        <v>2</v>
      </c>
      <c r="B145" s="147"/>
      <c r="C145" s="77" t="s">
        <v>188</v>
      </c>
      <c r="D145" s="86"/>
      <c r="E145" s="86"/>
      <c r="F145" s="78"/>
      <c r="G145" s="79"/>
      <c r="H145" s="80"/>
      <c r="I145" s="31"/>
      <c r="N145" s="31"/>
    </row>
    <row r="146" spans="1:14" s="2" customFormat="1" x14ac:dyDescent="0.25">
      <c r="A146" s="147">
        <v>3</v>
      </c>
      <c r="B146" s="147"/>
      <c r="C146" s="79"/>
      <c r="D146" s="87"/>
      <c r="E146" s="87"/>
      <c r="F146" s="80"/>
      <c r="G146" s="79"/>
      <c r="H146" s="80"/>
      <c r="I146" s="31"/>
      <c r="N146" s="31"/>
    </row>
    <row r="147" spans="1:14" s="2" customFormat="1" x14ac:dyDescent="0.25">
      <c r="A147" s="147">
        <v>4</v>
      </c>
      <c r="B147" s="147"/>
      <c r="C147" s="79"/>
      <c r="D147" s="87"/>
      <c r="E147" s="87"/>
      <c r="F147" s="80"/>
      <c r="G147" s="79"/>
      <c r="H147" s="80"/>
      <c r="I147" s="31"/>
      <c r="N147" s="31"/>
    </row>
    <row r="148" spans="1:14" s="53" customFormat="1" ht="15.75" customHeight="1" x14ac:dyDescent="0.25">
      <c r="A148" s="147">
        <v>5</v>
      </c>
      <c r="B148" s="147"/>
      <c r="C148" s="79"/>
      <c r="D148" s="87"/>
      <c r="E148" s="87"/>
      <c r="F148" s="80"/>
      <c r="G148" s="79"/>
      <c r="H148" s="80"/>
      <c r="I148" s="31"/>
      <c r="N148" s="31"/>
    </row>
    <row r="149" spans="1:14" s="53" customFormat="1" x14ac:dyDescent="0.25">
      <c r="A149" s="147">
        <v>6</v>
      </c>
      <c r="B149" s="147"/>
      <c r="C149" s="79"/>
      <c r="D149" s="87"/>
      <c r="E149" s="87"/>
      <c r="F149" s="80"/>
      <c r="G149" s="79"/>
      <c r="H149" s="80"/>
      <c r="I149" s="56">
        <v>10.763999999999999</v>
      </c>
      <c r="N149" s="31"/>
    </row>
    <row r="150" spans="1:14" s="53" customFormat="1" x14ac:dyDescent="0.25">
      <c r="A150" s="147">
        <v>7</v>
      </c>
      <c r="B150" s="147"/>
      <c r="C150" s="81"/>
      <c r="D150" s="88"/>
      <c r="E150" s="88"/>
      <c r="F150" s="82"/>
      <c r="G150" s="79"/>
      <c r="H150" s="80"/>
      <c r="I150" s="31"/>
      <c r="N150" s="31"/>
    </row>
    <row r="151" spans="1:14" s="53" customFormat="1" x14ac:dyDescent="0.25">
      <c r="A151" s="147">
        <v>8</v>
      </c>
      <c r="B151" s="147"/>
      <c r="C151" s="52" t="s">
        <v>216</v>
      </c>
      <c r="D151" s="56">
        <f>(45.45)*10.764</f>
        <v>489.22379999999998</v>
      </c>
      <c r="E151" s="52">
        <v>0</v>
      </c>
      <c r="F151" s="52">
        <f t="shared" ref="F151" si="2">D151*(($F$138)+1)+(IF(E151&lt;101,E151,IF(E151&lt;201,E151/2,IF(E151&lt;=301,E151/3,E151/4))))</f>
        <v>758.29688999999996</v>
      </c>
      <c r="G151" s="79"/>
      <c r="H151" s="80"/>
      <c r="I151" s="31"/>
      <c r="N151" s="31"/>
    </row>
    <row r="152" spans="1:14" s="53" customFormat="1" ht="15.75" customHeight="1" x14ac:dyDescent="0.25">
      <c r="A152" s="147">
        <v>9</v>
      </c>
      <c r="B152" s="147"/>
      <c r="C152" s="49" t="s">
        <v>217</v>
      </c>
      <c r="D152" s="56">
        <f>(39.03)*10.764</f>
        <v>420.11892</v>
      </c>
      <c r="E152" s="52">
        <v>0</v>
      </c>
      <c r="F152" s="52">
        <f>D152*(($F$138)+1)+(IF(E152&lt;101,E152,IF(E152&lt;201,E152/2,IF(E152&lt;=301,E152/3,E152/4))))</f>
        <v>651.18432600000006</v>
      </c>
      <c r="G152" s="79"/>
      <c r="H152" s="80"/>
      <c r="I152" s="31"/>
      <c r="N152" s="31"/>
    </row>
    <row r="153" spans="1:14" s="53" customFormat="1" x14ac:dyDescent="0.25">
      <c r="A153" s="147">
        <v>10</v>
      </c>
      <c r="B153" s="147"/>
      <c r="C153" s="49" t="s">
        <v>217</v>
      </c>
      <c r="D153" s="56">
        <f>(39.03)*10.764</f>
        <v>420.11892</v>
      </c>
      <c r="E153" s="52">
        <v>0</v>
      </c>
      <c r="F153" s="52">
        <f>D153*(($F$138)+1)+(IF(E153&lt;101,E153,IF(E153&lt;201,E153/2,IF(E153&lt;=301,E153/3,E153/4))))</f>
        <v>651.18432600000006</v>
      </c>
      <c r="G153" s="79"/>
      <c r="H153" s="80"/>
      <c r="I153" s="31"/>
      <c r="N153" s="31"/>
    </row>
    <row r="154" spans="1:14" s="53" customFormat="1" x14ac:dyDescent="0.25">
      <c r="A154" s="147">
        <v>11</v>
      </c>
      <c r="B154" s="147"/>
      <c r="C154" s="52" t="s">
        <v>216</v>
      </c>
      <c r="D154" s="56">
        <f>(45.42)*10.764</f>
        <v>488.90087999999997</v>
      </c>
      <c r="E154" s="52">
        <v>0</v>
      </c>
      <c r="F154" s="52">
        <f t="shared" ref="F154" si="3">D154*(($F$138)+1)+(IF(E154&lt;101,E154,IF(E154&lt;201,E154/2,IF(E154&lt;=301,E154/3,E154/4))))</f>
        <v>757.79636399999993</v>
      </c>
      <c r="G154" s="79"/>
      <c r="H154" s="80"/>
      <c r="I154" s="31"/>
      <c r="N154" s="31"/>
    </row>
    <row r="155" spans="1:14" s="53" customFormat="1" x14ac:dyDescent="0.25">
      <c r="A155" s="147">
        <v>12</v>
      </c>
      <c r="B155" s="147"/>
      <c r="C155" s="75" t="s">
        <v>218</v>
      </c>
      <c r="D155" s="89"/>
      <c r="E155" s="89"/>
      <c r="F155" s="76"/>
      <c r="G155" s="79"/>
      <c r="H155" s="80"/>
      <c r="I155" s="31"/>
      <c r="N155" s="31"/>
    </row>
    <row r="156" spans="1:14" s="53" customFormat="1" x14ac:dyDescent="0.25">
      <c r="A156" s="147">
        <v>13</v>
      </c>
      <c r="B156" s="147"/>
      <c r="C156" s="52" t="s">
        <v>216</v>
      </c>
      <c r="D156" s="56">
        <f>(45.42)*10.764</f>
        <v>488.90087999999997</v>
      </c>
      <c r="E156" s="52">
        <v>0</v>
      </c>
      <c r="F156" s="52">
        <f t="shared" ref="F156" si="4">D156*(($F$138)+1)+(IF(E156&lt;101,E156,IF(E156&lt;201,E156/2,IF(E156&lt;=301,E156/3,E156/4))))</f>
        <v>757.79636399999993</v>
      </c>
      <c r="G156" s="79"/>
      <c r="H156" s="80"/>
      <c r="I156" s="31"/>
      <c r="N156" s="31"/>
    </row>
    <row r="157" spans="1:14" s="53" customFormat="1" x14ac:dyDescent="0.25">
      <c r="A157" s="147">
        <v>14</v>
      </c>
      <c r="B157" s="147"/>
      <c r="C157" s="49" t="s">
        <v>217</v>
      </c>
      <c r="D157" s="56">
        <f>(39.03)*10.764</f>
        <v>420.11892</v>
      </c>
      <c r="E157" s="52">
        <v>0</v>
      </c>
      <c r="F157" s="52">
        <f t="shared" ref="F157" si="5">D157*(($F$138)+1)+(IF(E157&lt;101,E157,IF(E157&lt;201,E157/2,IF(E157&lt;=301,E157/3,E157/4))))</f>
        <v>651.18432600000006</v>
      </c>
      <c r="G157" s="81"/>
      <c r="H157" s="82"/>
      <c r="I157" s="31"/>
      <c r="N157" s="31"/>
    </row>
    <row r="158" spans="1:14" s="47" customFormat="1" x14ac:dyDescent="0.25">
      <c r="A158" s="160" t="s">
        <v>219</v>
      </c>
      <c r="B158" s="160"/>
      <c r="C158" s="160"/>
      <c r="D158" s="160"/>
      <c r="E158" s="160"/>
      <c r="F158" s="160"/>
      <c r="G158" s="160"/>
      <c r="H158" s="160"/>
      <c r="I158" s="31"/>
      <c r="L158" s="90"/>
      <c r="M158" s="90"/>
    </row>
    <row r="159" spans="1:14" s="47" customFormat="1" ht="15.75" customHeight="1" x14ac:dyDescent="0.25">
      <c r="A159" s="147">
        <v>1</v>
      </c>
      <c r="B159" s="147"/>
      <c r="C159" s="49" t="s">
        <v>216</v>
      </c>
      <c r="D159" s="56">
        <f>(45.63)*10.764</f>
        <v>491.16131999999999</v>
      </c>
      <c r="E159" s="48">
        <v>0</v>
      </c>
      <c r="F159" s="52">
        <f>D159*(($F$138)+1)+(IF(E159&lt;101,E159,IF(E159&lt;201,E159/2,IF(E159&lt;=301,E159/3,E159/4))))</f>
        <v>761.30004599999995</v>
      </c>
      <c r="G159" s="77" t="str">
        <f>A158</f>
        <v>2nd (Pt) &amp; Podium 2nd (Pt) Floor Part Parking</v>
      </c>
      <c r="H159" s="78"/>
      <c r="I159" s="31"/>
      <c r="N159" s="31"/>
    </row>
    <row r="160" spans="1:14" s="47" customFormat="1" x14ac:dyDescent="0.25">
      <c r="A160" s="147">
        <v>2</v>
      </c>
      <c r="B160" s="147"/>
      <c r="C160" s="77" t="s">
        <v>188</v>
      </c>
      <c r="D160" s="86"/>
      <c r="E160" s="86"/>
      <c r="F160" s="78"/>
      <c r="G160" s="79"/>
      <c r="H160" s="80"/>
      <c r="I160" s="31"/>
      <c r="N160" s="31"/>
    </row>
    <row r="161" spans="1:14" s="47" customFormat="1" x14ac:dyDescent="0.25">
      <c r="A161" s="147">
        <v>3</v>
      </c>
      <c r="B161" s="147"/>
      <c r="C161" s="79"/>
      <c r="D161" s="87"/>
      <c r="E161" s="87"/>
      <c r="F161" s="80"/>
      <c r="G161" s="79"/>
      <c r="H161" s="80"/>
      <c r="I161" s="31"/>
      <c r="N161" s="31"/>
    </row>
    <row r="162" spans="1:14" s="47" customFormat="1" x14ac:dyDescent="0.25">
      <c r="A162" s="147">
        <v>4</v>
      </c>
      <c r="B162" s="147"/>
      <c r="C162" s="79"/>
      <c r="D162" s="87"/>
      <c r="E162" s="87"/>
      <c r="F162" s="80"/>
      <c r="G162" s="79"/>
      <c r="H162" s="80"/>
      <c r="I162" s="31"/>
      <c r="N162" s="31"/>
    </row>
    <row r="163" spans="1:14" s="53" customFormat="1" ht="15.75" customHeight="1" x14ac:dyDescent="0.25">
      <c r="A163" s="147">
        <v>5</v>
      </c>
      <c r="B163" s="147"/>
      <c r="C163" s="79"/>
      <c r="D163" s="87"/>
      <c r="E163" s="87"/>
      <c r="F163" s="80"/>
      <c r="G163" s="79"/>
      <c r="H163" s="80"/>
      <c r="I163" s="56">
        <v>10.763999999999999</v>
      </c>
      <c r="N163" s="31"/>
    </row>
    <row r="164" spans="1:14" s="53" customFormat="1" x14ac:dyDescent="0.25">
      <c r="A164" s="147">
        <v>6</v>
      </c>
      <c r="B164" s="147"/>
      <c r="C164" s="79"/>
      <c r="D164" s="87"/>
      <c r="E164" s="87"/>
      <c r="F164" s="80"/>
      <c r="G164" s="79"/>
      <c r="H164" s="80"/>
      <c r="I164" s="31"/>
      <c r="N164" s="31"/>
    </row>
    <row r="165" spans="1:14" s="53" customFormat="1" x14ac:dyDescent="0.25">
      <c r="A165" s="147">
        <v>7</v>
      </c>
      <c r="B165" s="147"/>
      <c r="C165" s="81"/>
      <c r="D165" s="88"/>
      <c r="E165" s="88"/>
      <c r="F165" s="82"/>
      <c r="G165" s="79"/>
      <c r="H165" s="80"/>
      <c r="I165" s="31"/>
      <c r="N165" s="31"/>
    </row>
    <row r="166" spans="1:14" s="53" customFormat="1" x14ac:dyDescent="0.25">
      <c r="A166" s="147">
        <v>8</v>
      </c>
      <c r="B166" s="147"/>
      <c r="C166" s="52" t="s">
        <v>216</v>
      </c>
      <c r="D166" s="56">
        <f>(45.45)*10.764</f>
        <v>489.22379999999998</v>
      </c>
      <c r="E166" s="52">
        <v>0</v>
      </c>
      <c r="F166" s="52">
        <f t="shared" ref="F166:F172" si="6">D166*(($F$138)+1)+(IF(E166&lt;101,E166,IF(E166&lt;201,E166/2,IF(E166&lt;=301,E166/3,E166/4))))</f>
        <v>758.29688999999996</v>
      </c>
      <c r="G166" s="79"/>
      <c r="H166" s="80"/>
      <c r="I166" s="31"/>
      <c r="N166" s="31"/>
    </row>
    <row r="167" spans="1:14" s="53" customFormat="1" x14ac:dyDescent="0.25">
      <c r="A167" s="147">
        <v>9</v>
      </c>
      <c r="B167" s="147"/>
      <c r="C167" s="52" t="s">
        <v>217</v>
      </c>
      <c r="D167" s="56">
        <f>(39.03)*10.764</f>
        <v>420.11892</v>
      </c>
      <c r="E167" s="52">
        <v>0</v>
      </c>
      <c r="F167" s="52">
        <f t="shared" si="6"/>
        <v>651.18432600000006</v>
      </c>
      <c r="G167" s="79"/>
      <c r="H167" s="80"/>
      <c r="I167" s="31"/>
      <c r="N167" s="31"/>
    </row>
    <row r="168" spans="1:14" s="53" customFormat="1" ht="15.75" customHeight="1" x14ac:dyDescent="0.25">
      <c r="A168" s="147">
        <v>10</v>
      </c>
      <c r="B168" s="147"/>
      <c r="C168" s="55" t="s">
        <v>217</v>
      </c>
      <c r="D168" s="56">
        <f>(39.03)*10.764</f>
        <v>420.11892</v>
      </c>
      <c r="E168" s="52">
        <v>0</v>
      </c>
      <c r="F168" s="52">
        <f t="shared" si="6"/>
        <v>651.18432600000006</v>
      </c>
      <c r="G168" s="79"/>
      <c r="H168" s="80"/>
      <c r="I168" s="31"/>
      <c r="N168" s="31"/>
    </row>
    <row r="169" spans="1:14" s="53" customFormat="1" x14ac:dyDescent="0.25">
      <c r="A169" s="147">
        <v>11</v>
      </c>
      <c r="B169" s="147"/>
      <c r="C169" s="55" t="s">
        <v>216</v>
      </c>
      <c r="D169" s="56">
        <f>(45.42)*10.764</f>
        <v>488.90087999999997</v>
      </c>
      <c r="E169" s="52">
        <v>0</v>
      </c>
      <c r="F169" s="52">
        <f t="shared" si="6"/>
        <v>757.79636399999993</v>
      </c>
      <c r="G169" s="79"/>
      <c r="H169" s="80"/>
      <c r="I169" s="31"/>
      <c r="N169" s="31"/>
    </row>
    <row r="170" spans="1:14" s="53" customFormat="1" x14ac:dyDescent="0.25">
      <c r="A170" s="147">
        <v>12</v>
      </c>
      <c r="B170" s="147"/>
      <c r="C170" s="55" t="s">
        <v>216</v>
      </c>
      <c r="D170" s="56">
        <f>(45.42)*10.764</f>
        <v>488.90087999999997</v>
      </c>
      <c r="E170" s="52">
        <v>0</v>
      </c>
      <c r="F170" s="52">
        <f t="shared" si="6"/>
        <v>757.79636399999993</v>
      </c>
      <c r="G170" s="79"/>
      <c r="H170" s="80"/>
      <c r="I170" s="31"/>
      <c r="N170" s="31"/>
    </row>
    <row r="171" spans="1:14" s="53" customFormat="1" x14ac:dyDescent="0.25">
      <c r="A171" s="147">
        <v>13</v>
      </c>
      <c r="B171" s="147"/>
      <c r="C171" s="55" t="s">
        <v>216</v>
      </c>
      <c r="D171" s="56">
        <f>(45.42)*10.764</f>
        <v>488.90087999999997</v>
      </c>
      <c r="E171" s="52">
        <v>0</v>
      </c>
      <c r="F171" s="52">
        <f t="shared" si="6"/>
        <v>757.79636399999993</v>
      </c>
      <c r="G171" s="79"/>
      <c r="H171" s="80"/>
      <c r="I171" s="31"/>
      <c r="N171" s="31"/>
    </row>
    <row r="172" spans="1:14" s="53" customFormat="1" x14ac:dyDescent="0.25">
      <c r="A172" s="147">
        <v>14</v>
      </c>
      <c r="B172" s="147"/>
      <c r="C172" s="52" t="s">
        <v>217</v>
      </c>
      <c r="D172" s="56">
        <f>(39.03)*10.764</f>
        <v>420.11892</v>
      </c>
      <c r="E172" s="52"/>
      <c r="F172" s="52">
        <f t="shared" si="6"/>
        <v>651.18432600000006</v>
      </c>
      <c r="G172" s="81"/>
      <c r="H172" s="82"/>
      <c r="I172" s="31"/>
      <c r="N172" s="31"/>
    </row>
    <row r="173" spans="1:14" s="47" customFormat="1" x14ac:dyDescent="0.25">
      <c r="A173" s="160" t="s">
        <v>220</v>
      </c>
      <c r="B173" s="160"/>
      <c r="C173" s="160"/>
      <c r="D173" s="160"/>
      <c r="E173" s="160"/>
      <c r="F173" s="160"/>
      <c r="G173" s="160"/>
      <c r="H173" s="160"/>
      <c r="I173" s="31"/>
      <c r="L173" s="90"/>
      <c r="M173" s="90"/>
    </row>
    <row r="174" spans="1:14" s="47" customFormat="1" ht="15.75" customHeight="1" x14ac:dyDescent="0.25">
      <c r="A174" s="147">
        <v>1</v>
      </c>
      <c r="B174" s="147"/>
      <c r="C174" s="49" t="s">
        <v>216</v>
      </c>
      <c r="D174" s="56">
        <f>(45.63)*10.764</f>
        <v>491.16131999999999</v>
      </c>
      <c r="E174" s="55">
        <v>0</v>
      </c>
      <c r="F174" s="48">
        <f>D174*(($F$138)+1)+(IF(E174&lt;101,E174,IF(E174&lt;201,E174/2,IF(E174&lt;=301,E174/3,E174/4))))</f>
        <v>761.30004599999995</v>
      </c>
      <c r="G174" s="77" t="str">
        <f>A173</f>
        <v>3rd (Pt) &amp; Podium 3rd (Pt) Floor Part Parking</v>
      </c>
      <c r="H174" s="78"/>
      <c r="I174" s="31"/>
      <c r="N174" s="31"/>
    </row>
    <row r="175" spans="1:14" s="47" customFormat="1" x14ac:dyDescent="0.25">
      <c r="A175" s="147">
        <v>2</v>
      </c>
      <c r="B175" s="147"/>
      <c r="C175" s="77" t="s">
        <v>188</v>
      </c>
      <c r="D175" s="86"/>
      <c r="E175" s="86"/>
      <c r="F175" s="78"/>
      <c r="G175" s="79"/>
      <c r="H175" s="80"/>
      <c r="I175" s="31"/>
      <c r="N175" s="31"/>
    </row>
    <row r="176" spans="1:14" s="47" customFormat="1" x14ac:dyDescent="0.25">
      <c r="A176" s="147">
        <v>3</v>
      </c>
      <c r="B176" s="147"/>
      <c r="C176" s="79"/>
      <c r="D176" s="87"/>
      <c r="E176" s="87"/>
      <c r="F176" s="80"/>
      <c r="G176" s="79"/>
      <c r="H176" s="80"/>
      <c r="I176" s="31"/>
      <c r="N176" s="31"/>
    </row>
    <row r="177" spans="1:14" s="47" customFormat="1" x14ac:dyDescent="0.25">
      <c r="A177" s="147">
        <v>4</v>
      </c>
      <c r="B177" s="147"/>
      <c r="C177" s="79"/>
      <c r="D177" s="87"/>
      <c r="E177" s="87"/>
      <c r="F177" s="80"/>
      <c r="G177" s="79"/>
      <c r="H177" s="80"/>
      <c r="I177" s="31"/>
      <c r="N177" s="31"/>
    </row>
    <row r="178" spans="1:14" s="54" customFormat="1" ht="15.75" customHeight="1" x14ac:dyDescent="0.25">
      <c r="A178" s="147">
        <v>5</v>
      </c>
      <c r="B178" s="147"/>
      <c r="C178" s="79"/>
      <c r="D178" s="87"/>
      <c r="E178" s="87"/>
      <c r="F178" s="80"/>
      <c r="G178" s="79"/>
      <c r="H178" s="80"/>
      <c r="I178" s="31"/>
      <c r="N178" s="31"/>
    </row>
    <row r="179" spans="1:14" s="54" customFormat="1" x14ac:dyDescent="0.25">
      <c r="A179" s="147">
        <v>6</v>
      </c>
      <c r="B179" s="147"/>
      <c r="C179" s="79"/>
      <c r="D179" s="87"/>
      <c r="E179" s="87"/>
      <c r="F179" s="80"/>
      <c r="G179" s="79"/>
      <c r="H179" s="80"/>
      <c r="I179" s="31"/>
      <c r="N179" s="31"/>
    </row>
    <row r="180" spans="1:14" s="54" customFormat="1" x14ac:dyDescent="0.25">
      <c r="A180" s="147">
        <v>7</v>
      </c>
      <c r="B180" s="147"/>
      <c r="C180" s="81"/>
      <c r="D180" s="88"/>
      <c r="E180" s="88"/>
      <c r="F180" s="82"/>
      <c r="G180" s="79"/>
      <c r="H180" s="80"/>
      <c r="I180" s="31"/>
      <c r="N180" s="31"/>
    </row>
    <row r="181" spans="1:14" s="54" customFormat="1" x14ac:dyDescent="0.25">
      <c r="A181" s="147">
        <v>8</v>
      </c>
      <c r="B181" s="147"/>
      <c r="C181" s="55" t="s">
        <v>216</v>
      </c>
      <c r="D181" s="56">
        <f>(45.45)*10.764</f>
        <v>489.22379999999998</v>
      </c>
      <c r="E181" s="55">
        <v>0</v>
      </c>
      <c r="F181" s="55">
        <f>D181*(($F$138)+1)+(IF(E181&lt;101,E181,IF(E181&lt;201,E181/2,IF(E181&lt;=301,E181/3,E181/4))))</f>
        <v>758.29688999999996</v>
      </c>
      <c r="G181" s="79"/>
      <c r="H181" s="80"/>
      <c r="I181" s="31"/>
      <c r="N181" s="31"/>
    </row>
    <row r="182" spans="1:14" s="54" customFormat="1" ht="15.75" customHeight="1" x14ac:dyDescent="0.25">
      <c r="A182" s="147">
        <v>9</v>
      </c>
      <c r="B182" s="147"/>
      <c r="C182" s="55" t="s">
        <v>217</v>
      </c>
      <c r="D182" s="56">
        <f>(39.03)*10.764</f>
        <v>420.11892</v>
      </c>
      <c r="E182" s="55">
        <v>0</v>
      </c>
      <c r="F182" s="55">
        <f t="shared" ref="F182:F187" si="7">D182*(($F$138)+1)+(IF(E182&lt;101,E182,IF(E182&lt;201,E182/2,IF(E182&lt;=301,E182/3,E182/4))))</f>
        <v>651.18432600000006</v>
      </c>
      <c r="G182" s="79"/>
      <c r="H182" s="80"/>
      <c r="I182" s="31"/>
      <c r="N182" s="31"/>
    </row>
    <row r="183" spans="1:14" s="54" customFormat="1" x14ac:dyDescent="0.25">
      <c r="A183" s="147">
        <v>10</v>
      </c>
      <c r="B183" s="147"/>
      <c r="C183" s="55" t="s">
        <v>217</v>
      </c>
      <c r="D183" s="56">
        <f>(39.03)*10.764</f>
        <v>420.11892</v>
      </c>
      <c r="E183" s="55">
        <v>0</v>
      </c>
      <c r="F183" s="55">
        <f t="shared" si="7"/>
        <v>651.18432600000006</v>
      </c>
      <c r="G183" s="79"/>
      <c r="H183" s="80"/>
      <c r="I183" s="31"/>
      <c r="N183" s="31"/>
    </row>
    <row r="184" spans="1:14" s="54" customFormat="1" x14ac:dyDescent="0.25">
      <c r="A184" s="147">
        <v>11</v>
      </c>
      <c r="B184" s="147"/>
      <c r="C184" s="55" t="s">
        <v>216</v>
      </c>
      <c r="D184" s="56">
        <f>(45.42)*10.764</f>
        <v>488.90087999999997</v>
      </c>
      <c r="E184" s="55">
        <v>0</v>
      </c>
      <c r="F184" s="55">
        <f t="shared" si="7"/>
        <v>757.79636399999993</v>
      </c>
      <c r="G184" s="79"/>
      <c r="H184" s="80"/>
      <c r="I184" s="31"/>
      <c r="N184" s="31"/>
    </row>
    <row r="185" spans="1:14" s="54" customFormat="1" x14ac:dyDescent="0.25">
      <c r="A185" s="147">
        <v>12</v>
      </c>
      <c r="B185" s="147"/>
      <c r="C185" s="55" t="s">
        <v>216</v>
      </c>
      <c r="D185" s="56">
        <f>(45.42)*10.764</f>
        <v>488.90087999999997</v>
      </c>
      <c r="E185" s="55">
        <v>0</v>
      </c>
      <c r="F185" s="55">
        <f t="shared" si="7"/>
        <v>757.79636399999993</v>
      </c>
      <c r="G185" s="79"/>
      <c r="H185" s="80"/>
      <c r="I185" s="31"/>
      <c r="N185" s="31"/>
    </row>
    <row r="186" spans="1:14" s="54" customFormat="1" x14ac:dyDescent="0.25">
      <c r="A186" s="147">
        <v>13</v>
      </c>
      <c r="B186" s="147"/>
      <c r="C186" s="55" t="s">
        <v>216</v>
      </c>
      <c r="D186" s="56">
        <f>(45.42)*10.764</f>
        <v>488.90087999999997</v>
      </c>
      <c r="E186" s="55">
        <v>0</v>
      </c>
      <c r="F186" s="55">
        <f>D186*(($F$138)+1)+(IF(E186&lt;101,E186,IF(E186&lt;201,E186/2,IF(E186&lt;=301,E186/3,E186/4))))</f>
        <v>757.79636399999993</v>
      </c>
      <c r="G186" s="79"/>
      <c r="H186" s="80"/>
      <c r="I186" s="31"/>
      <c r="N186" s="31"/>
    </row>
    <row r="187" spans="1:14" s="54" customFormat="1" x14ac:dyDescent="0.25">
      <c r="A187" s="147">
        <v>14</v>
      </c>
      <c r="B187" s="147"/>
      <c r="C187" s="55" t="s">
        <v>217</v>
      </c>
      <c r="D187" s="56">
        <f>(39.03)*10.764</f>
        <v>420.11892</v>
      </c>
      <c r="E187" s="55">
        <v>0</v>
      </c>
      <c r="F187" s="55">
        <f t="shared" si="7"/>
        <v>651.18432600000006</v>
      </c>
      <c r="G187" s="81"/>
      <c r="H187" s="82"/>
      <c r="I187" s="31"/>
      <c r="N187" s="31"/>
    </row>
    <row r="188" spans="1:14" s="47" customFormat="1" x14ac:dyDescent="0.25">
      <c r="A188" s="160" t="s">
        <v>221</v>
      </c>
      <c r="B188" s="160"/>
      <c r="C188" s="160"/>
      <c r="D188" s="160"/>
      <c r="E188" s="160"/>
      <c r="F188" s="160"/>
      <c r="G188" s="160"/>
      <c r="H188" s="160"/>
      <c r="I188" s="31"/>
      <c r="L188" s="90"/>
      <c r="M188" s="90"/>
    </row>
    <row r="189" spans="1:14" s="47" customFormat="1" ht="15.75" customHeight="1" x14ac:dyDescent="0.25">
      <c r="A189" s="147">
        <v>1</v>
      </c>
      <c r="B189" s="147"/>
      <c r="C189" s="49" t="s">
        <v>216</v>
      </c>
      <c r="D189" s="56">
        <f>(45.63)*10.764</f>
        <v>491.16131999999999</v>
      </c>
      <c r="E189" s="55">
        <v>0</v>
      </c>
      <c r="F189" s="55">
        <f>D189*(($F$138)+1)+(IF(E189&lt;101,E189,IF(E189&lt;201,E189/2,IF(E189&lt;=301,E189/3,E189/4))))</f>
        <v>761.30004599999995</v>
      </c>
      <c r="G189" s="77" t="str">
        <f>A188</f>
        <v>4th (Pt) &amp; Podium 4th (Pt) Floor Part Parking</v>
      </c>
      <c r="H189" s="78"/>
      <c r="I189" s="31"/>
      <c r="N189" s="31"/>
    </row>
    <row r="190" spans="1:14" s="47" customFormat="1" x14ac:dyDescent="0.25">
      <c r="A190" s="147">
        <v>2</v>
      </c>
      <c r="B190" s="147"/>
      <c r="C190" s="148" t="s">
        <v>188</v>
      </c>
      <c r="D190" s="149"/>
      <c r="E190" s="149"/>
      <c r="F190" s="150"/>
      <c r="G190" s="79"/>
      <c r="H190" s="80"/>
      <c r="I190" s="31"/>
      <c r="N190" s="31"/>
    </row>
    <row r="191" spans="1:14" s="47" customFormat="1" x14ac:dyDescent="0.25">
      <c r="A191" s="147">
        <v>3</v>
      </c>
      <c r="B191" s="147"/>
      <c r="C191" s="151"/>
      <c r="D191" s="152"/>
      <c r="E191" s="152"/>
      <c r="F191" s="153"/>
      <c r="G191" s="79"/>
      <c r="H191" s="80"/>
      <c r="I191" s="31"/>
      <c r="N191" s="31"/>
    </row>
    <row r="192" spans="1:14" s="47" customFormat="1" x14ac:dyDescent="0.25">
      <c r="A192" s="147">
        <v>4</v>
      </c>
      <c r="B192" s="147"/>
      <c r="C192" s="151"/>
      <c r="D192" s="152"/>
      <c r="E192" s="152"/>
      <c r="F192" s="153"/>
      <c r="G192" s="79"/>
      <c r="H192" s="80"/>
      <c r="I192" s="31"/>
      <c r="N192" s="31"/>
    </row>
    <row r="193" spans="1:14" s="54" customFormat="1" ht="15.75" customHeight="1" x14ac:dyDescent="0.25">
      <c r="A193" s="147">
        <v>5</v>
      </c>
      <c r="B193" s="147"/>
      <c r="C193" s="151"/>
      <c r="D193" s="152"/>
      <c r="E193" s="152"/>
      <c r="F193" s="153"/>
      <c r="G193" s="79"/>
      <c r="H193" s="80"/>
      <c r="I193" s="31"/>
      <c r="N193" s="31"/>
    </row>
    <row r="194" spans="1:14" s="54" customFormat="1" x14ac:dyDescent="0.25">
      <c r="A194" s="147">
        <v>6</v>
      </c>
      <c r="B194" s="147"/>
      <c r="C194" s="151"/>
      <c r="D194" s="152"/>
      <c r="E194" s="152"/>
      <c r="F194" s="153"/>
      <c r="G194" s="79"/>
      <c r="H194" s="80"/>
      <c r="I194" s="31"/>
      <c r="N194" s="31"/>
    </row>
    <row r="195" spans="1:14" s="54" customFormat="1" x14ac:dyDescent="0.25">
      <c r="A195" s="147">
        <v>7</v>
      </c>
      <c r="B195" s="147"/>
      <c r="C195" s="154"/>
      <c r="D195" s="155"/>
      <c r="E195" s="155"/>
      <c r="F195" s="156"/>
      <c r="G195" s="79"/>
      <c r="H195" s="80"/>
      <c r="I195" s="31"/>
      <c r="N195" s="31"/>
    </row>
    <row r="196" spans="1:14" s="54" customFormat="1" x14ac:dyDescent="0.25">
      <c r="A196" s="147">
        <v>8</v>
      </c>
      <c r="B196" s="147"/>
      <c r="C196" s="55" t="s">
        <v>216</v>
      </c>
      <c r="D196" s="56">
        <f>(45.45)*10.764</f>
        <v>489.22379999999998</v>
      </c>
      <c r="E196" s="55">
        <v>0</v>
      </c>
      <c r="F196" s="55">
        <f t="shared" ref="F196:F198" si="8">D196*(($F$138)+1)+(IF(E196&lt;101,E196,IF(E196&lt;201,E196/2,IF(E196&lt;=301,E196/3,E196/4))))</f>
        <v>758.29688999999996</v>
      </c>
      <c r="G196" s="79"/>
      <c r="H196" s="80"/>
      <c r="I196" s="31"/>
      <c r="N196" s="31"/>
    </row>
    <row r="197" spans="1:14" s="54" customFormat="1" x14ac:dyDescent="0.25">
      <c r="A197" s="147">
        <v>9</v>
      </c>
      <c r="B197" s="147"/>
      <c r="C197" s="55" t="s">
        <v>217</v>
      </c>
      <c r="D197" s="56">
        <f>(39.03)*10.764</f>
        <v>420.11892</v>
      </c>
      <c r="E197" s="55">
        <v>0</v>
      </c>
      <c r="F197" s="55">
        <f t="shared" si="8"/>
        <v>651.18432600000006</v>
      </c>
      <c r="G197" s="79"/>
      <c r="H197" s="80"/>
      <c r="I197" s="31"/>
      <c r="N197" s="31"/>
    </row>
    <row r="198" spans="1:14" s="54" customFormat="1" x14ac:dyDescent="0.25">
      <c r="A198" s="147">
        <v>10</v>
      </c>
      <c r="B198" s="147"/>
      <c r="C198" s="55" t="s">
        <v>217</v>
      </c>
      <c r="D198" s="56">
        <f>(39.03)*10.764</f>
        <v>420.11892</v>
      </c>
      <c r="E198" s="55">
        <v>0</v>
      </c>
      <c r="F198" s="55">
        <f t="shared" si="8"/>
        <v>651.18432600000006</v>
      </c>
      <c r="G198" s="79"/>
      <c r="H198" s="80"/>
      <c r="I198" s="31"/>
      <c r="N198" s="31"/>
    </row>
    <row r="199" spans="1:14" s="54" customFormat="1" ht="15.75" customHeight="1" x14ac:dyDescent="0.25">
      <c r="A199" s="147">
        <v>11</v>
      </c>
      <c r="B199" s="147"/>
      <c r="C199" s="55" t="s">
        <v>216</v>
      </c>
      <c r="D199" s="56">
        <f>(45.42)*10.764</f>
        <v>488.90087999999997</v>
      </c>
      <c r="E199" s="55">
        <v>0</v>
      </c>
      <c r="F199" s="55">
        <f>D199*(($F$138)+1)+(IF(E199&lt;101,E199,IF(E199&lt;201,E199/2,IF(E199&lt;=301,E199/3,E199/4))))</f>
        <v>757.79636399999993</v>
      </c>
      <c r="G199" s="79"/>
      <c r="H199" s="80"/>
      <c r="I199" s="31"/>
      <c r="N199" s="31"/>
    </row>
    <row r="200" spans="1:14" s="54" customFormat="1" x14ac:dyDescent="0.25">
      <c r="A200" s="147">
        <v>12</v>
      </c>
      <c r="B200" s="147"/>
      <c r="C200" s="55" t="s">
        <v>216</v>
      </c>
      <c r="D200" s="56">
        <f>(45.42)*10.764</f>
        <v>488.90087999999997</v>
      </c>
      <c r="E200" s="55">
        <v>0</v>
      </c>
      <c r="F200" s="55">
        <f t="shared" ref="F200:F202" si="9">D200*(($F$138)+1)+(IF(E200&lt;101,E200,IF(E200&lt;201,E200/2,IF(E200&lt;=301,E200/3,E200/4))))</f>
        <v>757.79636399999993</v>
      </c>
      <c r="G200" s="79"/>
      <c r="H200" s="80"/>
      <c r="I200" s="31"/>
      <c r="N200" s="31"/>
    </row>
    <row r="201" spans="1:14" s="54" customFormat="1" x14ac:dyDescent="0.25">
      <c r="A201" s="147">
        <v>13</v>
      </c>
      <c r="B201" s="147"/>
      <c r="C201" s="55" t="s">
        <v>216</v>
      </c>
      <c r="D201" s="56">
        <f>(45.42)*10.764</f>
        <v>488.90087999999997</v>
      </c>
      <c r="E201" s="55">
        <v>0</v>
      </c>
      <c r="F201" s="55">
        <f t="shared" si="9"/>
        <v>757.79636399999993</v>
      </c>
      <c r="G201" s="79"/>
      <c r="H201" s="80"/>
      <c r="I201" s="31"/>
      <c r="N201" s="31"/>
    </row>
    <row r="202" spans="1:14" s="54" customFormat="1" x14ac:dyDescent="0.25">
      <c r="A202" s="147">
        <v>14</v>
      </c>
      <c r="B202" s="147"/>
      <c r="C202" s="55" t="s">
        <v>217</v>
      </c>
      <c r="D202" s="56">
        <f>(39.03)*10.764</f>
        <v>420.11892</v>
      </c>
      <c r="E202" s="55">
        <v>0</v>
      </c>
      <c r="F202" s="55">
        <f t="shared" si="9"/>
        <v>651.18432600000006</v>
      </c>
      <c r="G202" s="81"/>
      <c r="H202" s="82"/>
      <c r="I202" s="31"/>
      <c r="J202" s="54">
        <v>4</v>
      </c>
      <c r="N202" s="31"/>
    </row>
    <row r="203" spans="1:14" s="2" customFormat="1" ht="15.75" customHeight="1" x14ac:dyDescent="0.25">
      <c r="A203" s="72" t="s">
        <v>222</v>
      </c>
      <c r="B203" s="73"/>
      <c r="C203" s="73"/>
      <c r="D203" s="73"/>
      <c r="E203" s="73"/>
      <c r="F203" s="73"/>
      <c r="G203" s="73"/>
      <c r="H203" s="74"/>
      <c r="I203" s="31"/>
      <c r="J203" s="2">
        <v>4</v>
      </c>
    </row>
    <row r="204" spans="1:14" s="2" customFormat="1" ht="15.75" customHeight="1" x14ac:dyDescent="0.25">
      <c r="A204" s="75">
        <v>1</v>
      </c>
      <c r="B204" s="76"/>
      <c r="C204" s="49" t="s">
        <v>216</v>
      </c>
      <c r="D204" s="56">
        <f>(45.63)*10.764</f>
        <v>491.16131999999999</v>
      </c>
      <c r="E204" s="48">
        <v>0</v>
      </c>
      <c r="F204" s="14">
        <f t="shared" ref="F204:F207" si="10">D204*(($F$138)+1)+(IF(E204&lt;101,E204,IF(E204&lt;201,E204/2,IF(E204&lt;=301,E204/3,E204/4))))</f>
        <v>761.30004599999995</v>
      </c>
      <c r="G204" s="77" t="str">
        <f>A203</f>
        <v>5th to 8th, 10th to 13th, 15th to 18th, 20th to 23rd, 25th to 28th, 30th to 33rd Floor Plans</v>
      </c>
      <c r="H204" s="78"/>
      <c r="I204" s="31"/>
      <c r="J204" s="2">
        <v>4</v>
      </c>
    </row>
    <row r="205" spans="1:14" s="2" customFormat="1" x14ac:dyDescent="0.25">
      <c r="A205" s="75">
        <v>2</v>
      </c>
      <c r="B205" s="76"/>
      <c r="C205" s="49" t="s">
        <v>217</v>
      </c>
      <c r="D205" s="56">
        <f>(38.98)*10.764</f>
        <v>419.58071999999993</v>
      </c>
      <c r="E205" s="48">
        <v>0</v>
      </c>
      <c r="F205" s="14">
        <f t="shared" si="10"/>
        <v>650.35011599999996</v>
      </c>
      <c r="G205" s="79"/>
      <c r="H205" s="80"/>
      <c r="I205" s="31"/>
      <c r="J205" s="2">
        <v>4</v>
      </c>
    </row>
    <row r="206" spans="1:14" s="2" customFormat="1" ht="15.75" customHeight="1" x14ac:dyDescent="0.25">
      <c r="A206" s="75">
        <v>3</v>
      </c>
      <c r="B206" s="76"/>
      <c r="C206" s="49" t="s">
        <v>217</v>
      </c>
      <c r="D206" s="56">
        <f>(39.03)*10.764</f>
        <v>420.11892</v>
      </c>
      <c r="E206" s="48">
        <v>0</v>
      </c>
      <c r="F206" s="14">
        <f t="shared" si="10"/>
        <v>651.18432600000006</v>
      </c>
      <c r="G206" s="79"/>
      <c r="H206" s="80"/>
      <c r="I206" s="31"/>
      <c r="J206" s="2">
        <v>4</v>
      </c>
    </row>
    <row r="207" spans="1:14" s="2" customFormat="1" ht="15.75" customHeight="1" x14ac:dyDescent="0.25">
      <c r="A207" s="75">
        <v>4</v>
      </c>
      <c r="B207" s="76"/>
      <c r="C207" s="49" t="s">
        <v>217</v>
      </c>
      <c r="D207" s="56">
        <f>(39.03)*10.764</f>
        <v>420.11892</v>
      </c>
      <c r="E207" s="48">
        <v>0</v>
      </c>
      <c r="F207" s="14">
        <f t="shared" si="10"/>
        <v>651.18432600000006</v>
      </c>
      <c r="G207" s="79"/>
      <c r="H207" s="80"/>
      <c r="I207" s="31"/>
      <c r="J207" s="2">
        <v>4</v>
      </c>
    </row>
    <row r="208" spans="1:14" s="54" customFormat="1" ht="15.75" customHeight="1" x14ac:dyDescent="0.25">
      <c r="A208" s="75">
        <v>5</v>
      </c>
      <c r="B208" s="76"/>
      <c r="C208" s="49" t="s">
        <v>217</v>
      </c>
      <c r="D208" s="56">
        <f>(39.03)*10.764</f>
        <v>420.11892</v>
      </c>
      <c r="E208" s="55">
        <v>0</v>
      </c>
      <c r="F208" s="55">
        <f t="shared" ref="F208:F213" si="11">D208*(($F$138)+1)+(IF(E208&lt;101,E208,IF(E208&lt;201,E208/2,IF(E208&lt;=301,E208/3,E208/4))))</f>
        <v>651.18432600000006</v>
      </c>
      <c r="G208" s="79"/>
      <c r="H208" s="80"/>
      <c r="I208" s="31"/>
      <c r="J208" s="54">
        <f>SUM(J202:J207)</f>
        <v>24</v>
      </c>
    </row>
    <row r="209" spans="1:10" s="54" customFormat="1" x14ac:dyDescent="0.25">
      <c r="A209" s="75">
        <v>6</v>
      </c>
      <c r="B209" s="76"/>
      <c r="C209" s="49" t="s">
        <v>217</v>
      </c>
      <c r="D209" s="56">
        <f>(39.03)*10.764</f>
        <v>420.11892</v>
      </c>
      <c r="E209" s="55">
        <v>0</v>
      </c>
      <c r="F209" s="55">
        <f t="shared" si="11"/>
        <v>651.18432600000006</v>
      </c>
      <c r="G209" s="79"/>
      <c r="H209" s="80"/>
      <c r="I209" s="56">
        <v>10.763999999999999</v>
      </c>
    </row>
    <row r="210" spans="1:10" s="54" customFormat="1" ht="15.75" customHeight="1" x14ac:dyDescent="0.25">
      <c r="A210" s="75">
        <v>7</v>
      </c>
      <c r="B210" s="76"/>
      <c r="C210" s="49" t="s">
        <v>216</v>
      </c>
      <c r="D210" s="56">
        <f>(45.45)*10.764</f>
        <v>489.22379999999998</v>
      </c>
      <c r="E210" s="55">
        <v>0</v>
      </c>
      <c r="F210" s="55">
        <f t="shared" si="11"/>
        <v>758.29688999999996</v>
      </c>
      <c r="G210" s="79"/>
      <c r="H210" s="80"/>
      <c r="I210" s="31"/>
    </row>
    <row r="211" spans="1:10" s="54" customFormat="1" ht="15.75" customHeight="1" x14ac:dyDescent="0.25">
      <c r="A211" s="75">
        <v>8</v>
      </c>
      <c r="B211" s="76"/>
      <c r="C211" s="49" t="s">
        <v>216</v>
      </c>
      <c r="D211" s="56">
        <f>(45.45)*10.764</f>
        <v>489.22379999999998</v>
      </c>
      <c r="E211" s="55">
        <v>0</v>
      </c>
      <c r="F211" s="55">
        <f t="shared" si="11"/>
        <v>758.29688999999996</v>
      </c>
      <c r="G211" s="79"/>
      <c r="H211" s="80"/>
      <c r="I211" s="31"/>
    </row>
    <row r="212" spans="1:10" s="54" customFormat="1" ht="15.75" customHeight="1" x14ac:dyDescent="0.25">
      <c r="A212" s="75">
        <v>9</v>
      </c>
      <c r="B212" s="76"/>
      <c r="C212" s="49" t="s">
        <v>217</v>
      </c>
      <c r="D212" s="56">
        <f>(39.03)*10.764</f>
        <v>420.11892</v>
      </c>
      <c r="E212" s="55">
        <v>0</v>
      </c>
      <c r="F212" s="55">
        <f t="shared" si="11"/>
        <v>651.18432600000006</v>
      </c>
      <c r="G212" s="79"/>
      <c r="H212" s="80"/>
      <c r="I212" s="31"/>
    </row>
    <row r="213" spans="1:10" s="54" customFormat="1" ht="15.75" customHeight="1" x14ac:dyDescent="0.25">
      <c r="A213" s="75">
        <v>10</v>
      </c>
      <c r="B213" s="76"/>
      <c r="C213" s="49" t="s">
        <v>217</v>
      </c>
      <c r="D213" s="56">
        <f>(39.03)*10.764</f>
        <v>420.11892</v>
      </c>
      <c r="E213" s="55">
        <v>0</v>
      </c>
      <c r="F213" s="55">
        <f t="shared" si="11"/>
        <v>651.18432600000006</v>
      </c>
      <c r="G213" s="79"/>
      <c r="H213" s="80"/>
      <c r="I213" s="31"/>
    </row>
    <row r="214" spans="1:10" s="54" customFormat="1" ht="15.75" customHeight="1" x14ac:dyDescent="0.25">
      <c r="A214" s="75">
        <v>11</v>
      </c>
      <c r="B214" s="76"/>
      <c r="C214" s="49" t="s">
        <v>216</v>
      </c>
      <c r="D214" s="56">
        <f>(45.42)*10.764</f>
        <v>488.90087999999997</v>
      </c>
      <c r="E214" s="55">
        <v>0</v>
      </c>
      <c r="F214" s="55">
        <f t="shared" ref="F214:F217" si="12">D214*(($F$138)+1)+(IF(E214&lt;101,E214,IF(E214&lt;201,E214/2,IF(E214&lt;=301,E214/3,E214/4))))</f>
        <v>757.79636399999993</v>
      </c>
      <c r="G214" s="79"/>
      <c r="H214" s="80"/>
      <c r="I214" s="31"/>
    </row>
    <row r="215" spans="1:10" s="54" customFormat="1" x14ac:dyDescent="0.25">
      <c r="A215" s="75">
        <v>12</v>
      </c>
      <c r="B215" s="76"/>
      <c r="C215" s="49" t="s">
        <v>216</v>
      </c>
      <c r="D215" s="56">
        <f>(45.42)*10.764</f>
        <v>488.90087999999997</v>
      </c>
      <c r="E215" s="55">
        <v>0</v>
      </c>
      <c r="F215" s="55">
        <f t="shared" si="12"/>
        <v>757.79636399999993</v>
      </c>
      <c r="G215" s="79"/>
      <c r="H215" s="80"/>
      <c r="I215" s="31"/>
    </row>
    <row r="216" spans="1:10" s="54" customFormat="1" ht="15.75" customHeight="1" x14ac:dyDescent="0.25">
      <c r="A216" s="75">
        <v>13</v>
      </c>
      <c r="B216" s="76"/>
      <c r="C216" s="49" t="s">
        <v>216</v>
      </c>
      <c r="D216" s="56">
        <f>(45.42)*10.764</f>
        <v>488.90087999999997</v>
      </c>
      <c r="E216" s="55">
        <v>0</v>
      </c>
      <c r="F216" s="55">
        <f t="shared" si="12"/>
        <v>757.79636399999993</v>
      </c>
      <c r="G216" s="79"/>
      <c r="H216" s="80"/>
      <c r="I216" s="31"/>
    </row>
    <row r="217" spans="1:10" s="54" customFormat="1" ht="15.75" customHeight="1" x14ac:dyDescent="0.25">
      <c r="A217" s="75">
        <v>14</v>
      </c>
      <c r="B217" s="76"/>
      <c r="C217" s="49" t="s">
        <v>217</v>
      </c>
      <c r="D217" s="56">
        <f>(39.03)*10.764</f>
        <v>420.11892</v>
      </c>
      <c r="E217" s="55">
        <v>0</v>
      </c>
      <c r="F217" s="55">
        <f t="shared" si="12"/>
        <v>651.18432600000006</v>
      </c>
      <c r="G217" s="81"/>
      <c r="H217" s="82"/>
      <c r="I217" s="31"/>
    </row>
    <row r="218" spans="1:10" s="47" customFormat="1" ht="15.75" customHeight="1" x14ac:dyDescent="0.25">
      <c r="A218" s="72" t="s">
        <v>223</v>
      </c>
      <c r="B218" s="73"/>
      <c r="C218" s="73"/>
      <c r="D218" s="73"/>
      <c r="E218" s="73"/>
      <c r="F218" s="73"/>
      <c r="G218" s="73"/>
      <c r="H218" s="74"/>
      <c r="I218" s="31"/>
      <c r="J218" s="47">
        <v>6</v>
      </c>
    </row>
    <row r="219" spans="1:10" s="58" customFormat="1" ht="15.75" customHeight="1" x14ac:dyDescent="0.25">
      <c r="A219" s="75">
        <v>1</v>
      </c>
      <c r="B219" s="76"/>
      <c r="C219" s="49" t="s">
        <v>216</v>
      </c>
      <c r="D219" s="56">
        <f>(45.63)*10.764</f>
        <v>491.16131999999999</v>
      </c>
      <c r="E219" s="57">
        <v>0</v>
      </c>
      <c r="F219" s="57">
        <f t="shared" ref="F219:F231" si="13">D219*(($F$138)+1)+(IF(E219&lt;101,E219,IF(E219&lt;201,E219/2,IF(E219&lt;=301,E219/3,E219/4))))</f>
        <v>761.30004599999995</v>
      </c>
      <c r="G219" s="77" t="str">
        <f>A218</f>
        <v>9th, 14th, 19th, 24th, 29th &amp; 34th Floor Part Refuge Area</v>
      </c>
      <c r="H219" s="78"/>
      <c r="I219" s="31"/>
    </row>
    <row r="220" spans="1:10" s="58" customFormat="1" x14ac:dyDescent="0.25">
      <c r="A220" s="75">
        <v>2</v>
      </c>
      <c r="B220" s="76"/>
      <c r="C220" s="49" t="s">
        <v>217</v>
      </c>
      <c r="D220" s="56">
        <f>(38.98)*10.764</f>
        <v>419.58071999999993</v>
      </c>
      <c r="E220" s="57">
        <v>0</v>
      </c>
      <c r="F220" s="57">
        <f t="shared" si="13"/>
        <v>650.35011599999996</v>
      </c>
      <c r="G220" s="79"/>
      <c r="H220" s="80"/>
      <c r="I220" s="31"/>
    </row>
    <row r="221" spans="1:10" s="58" customFormat="1" ht="15.75" customHeight="1" x14ac:dyDescent="0.25">
      <c r="A221" s="75">
        <v>3</v>
      </c>
      <c r="B221" s="76"/>
      <c r="C221" s="49" t="s">
        <v>217</v>
      </c>
      <c r="D221" s="56">
        <f>(39.03)*10.764</f>
        <v>420.11892</v>
      </c>
      <c r="E221" s="57">
        <v>0</v>
      </c>
      <c r="F221" s="57">
        <f t="shared" si="13"/>
        <v>651.18432600000006</v>
      </c>
      <c r="G221" s="79"/>
      <c r="H221" s="80"/>
      <c r="I221" s="31"/>
    </row>
    <row r="222" spans="1:10" s="58" customFormat="1" ht="15.75" customHeight="1" x14ac:dyDescent="0.25">
      <c r="A222" s="75">
        <v>4</v>
      </c>
      <c r="B222" s="76"/>
      <c r="C222" s="49" t="s">
        <v>217</v>
      </c>
      <c r="D222" s="56">
        <f>(39.03)*10.764</f>
        <v>420.11892</v>
      </c>
      <c r="E222" s="57">
        <v>0</v>
      </c>
      <c r="F222" s="57">
        <f t="shared" si="13"/>
        <v>651.18432600000006</v>
      </c>
      <c r="G222" s="79"/>
      <c r="H222" s="80"/>
      <c r="I222" s="31"/>
    </row>
    <row r="223" spans="1:10" s="58" customFormat="1" ht="15.75" customHeight="1" x14ac:dyDescent="0.25">
      <c r="A223" s="75">
        <v>5</v>
      </c>
      <c r="B223" s="76"/>
      <c r="C223" s="49" t="s">
        <v>217</v>
      </c>
      <c r="D223" s="56">
        <f>(39.03)*10.764</f>
        <v>420.11892</v>
      </c>
      <c r="E223" s="57">
        <v>0</v>
      </c>
      <c r="F223" s="57">
        <f t="shared" si="13"/>
        <v>651.18432600000006</v>
      </c>
      <c r="G223" s="79"/>
      <c r="H223" s="80"/>
      <c r="I223" s="31"/>
    </row>
    <row r="224" spans="1:10" s="58" customFormat="1" x14ac:dyDescent="0.25">
      <c r="A224" s="75">
        <v>6</v>
      </c>
      <c r="B224" s="76"/>
      <c r="C224" s="49" t="s">
        <v>217</v>
      </c>
      <c r="D224" s="56">
        <f>(39.03)*10.764</f>
        <v>420.11892</v>
      </c>
      <c r="E224" s="57">
        <v>0</v>
      </c>
      <c r="F224" s="57">
        <f t="shared" si="13"/>
        <v>651.18432600000006</v>
      </c>
      <c r="G224" s="79"/>
      <c r="H224" s="80"/>
      <c r="I224" s="56">
        <v>10.763999999999999</v>
      </c>
    </row>
    <row r="225" spans="1:9" s="58" customFormat="1" ht="15.75" customHeight="1" x14ac:dyDescent="0.25">
      <c r="A225" s="75">
        <v>7</v>
      </c>
      <c r="B225" s="76"/>
      <c r="C225" s="49" t="s">
        <v>216</v>
      </c>
      <c r="D225" s="56">
        <f>(45.45)*10.764</f>
        <v>489.22379999999998</v>
      </c>
      <c r="E225" s="57">
        <v>0</v>
      </c>
      <c r="F225" s="57">
        <f t="shared" si="13"/>
        <v>758.29688999999996</v>
      </c>
      <c r="G225" s="79"/>
      <c r="H225" s="80"/>
      <c r="I225" s="31"/>
    </row>
    <row r="226" spans="1:9" s="58" customFormat="1" ht="15.75" customHeight="1" x14ac:dyDescent="0.25">
      <c r="A226" s="75">
        <v>8</v>
      </c>
      <c r="B226" s="76"/>
      <c r="C226" s="49" t="s">
        <v>216</v>
      </c>
      <c r="D226" s="56">
        <f>(45.45)*10.764</f>
        <v>489.22379999999998</v>
      </c>
      <c r="E226" s="57">
        <v>0</v>
      </c>
      <c r="F226" s="57">
        <f t="shared" si="13"/>
        <v>758.29688999999996</v>
      </c>
      <c r="G226" s="79"/>
      <c r="H226" s="80"/>
      <c r="I226" s="31"/>
    </row>
    <row r="227" spans="1:9" s="58" customFormat="1" ht="15.75" customHeight="1" x14ac:dyDescent="0.25">
      <c r="A227" s="75">
        <v>9</v>
      </c>
      <c r="B227" s="76"/>
      <c r="C227" s="49" t="s">
        <v>217</v>
      </c>
      <c r="D227" s="56">
        <f>(39.03)*10.764</f>
        <v>420.11892</v>
      </c>
      <c r="E227" s="57">
        <v>0</v>
      </c>
      <c r="F227" s="57">
        <f t="shared" si="13"/>
        <v>651.18432600000006</v>
      </c>
      <c r="G227" s="79"/>
      <c r="H227" s="80"/>
      <c r="I227" s="31"/>
    </row>
    <row r="228" spans="1:9" s="58" customFormat="1" ht="15.75" customHeight="1" x14ac:dyDescent="0.25">
      <c r="A228" s="75">
        <v>10</v>
      </c>
      <c r="B228" s="76"/>
      <c r="C228" s="49" t="s">
        <v>217</v>
      </c>
      <c r="D228" s="56">
        <f>(39.03)*10.764</f>
        <v>420.11892</v>
      </c>
      <c r="E228" s="57">
        <v>0</v>
      </c>
      <c r="F228" s="57">
        <f t="shared" si="13"/>
        <v>651.18432600000006</v>
      </c>
      <c r="G228" s="79"/>
      <c r="H228" s="80"/>
      <c r="I228" s="31"/>
    </row>
    <row r="229" spans="1:9" s="58" customFormat="1" ht="15.75" customHeight="1" x14ac:dyDescent="0.25">
      <c r="A229" s="75">
        <v>11</v>
      </c>
      <c r="B229" s="76"/>
      <c r="C229" s="49" t="s">
        <v>216</v>
      </c>
      <c r="D229" s="56">
        <f>(45.42)*10.764</f>
        <v>488.90087999999997</v>
      </c>
      <c r="E229" s="57">
        <v>0</v>
      </c>
      <c r="F229" s="57">
        <f t="shared" si="13"/>
        <v>757.79636399999993</v>
      </c>
      <c r="G229" s="79"/>
      <c r="H229" s="80"/>
      <c r="I229" s="31"/>
    </row>
    <row r="230" spans="1:9" s="58" customFormat="1" x14ac:dyDescent="0.25">
      <c r="A230" s="75">
        <v>12</v>
      </c>
      <c r="B230" s="76"/>
      <c r="C230" s="49" t="s">
        <v>216</v>
      </c>
      <c r="D230" s="56">
        <f>(45.42)*10.764</f>
        <v>488.90087999999997</v>
      </c>
      <c r="E230" s="57">
        <v>0</v>
      </c>
      <c r="F230" s="57">
        <f t="shared" si="13"/>
        <v>757.79636399999993</v>
      </c>
      <c r="G230" s="79"/>
      <c r="H230" s="80"/>
      <c r="I230" s="31"/>
    </row>
    <row r="231" spans="1:9" s="58" customFormat="1" ht="15.75" customHeight="1" x14ac:dyDescent="0.25">
      <c r="A231" s="75">
        <v>13</v>
      </c>
      <c r="B231" s="76"/>
      <c r="C231" s="49" t="s">
        <v>216</v>
      </c>
      <c r="D231" s="56">
        <f>(45.42)*10.764</f>
        <v>488.90087999999997</v>
      </c>
      <c r="E231" s="57">
        <v>0</v>
      </c>
      <c r="F231" s="57">
        <f t="shared" si="13"/>
        <v>757.79636399999993</v>
      </c>
      <c r="G231" s="79"/>
      <c r="H231" s="80"/>
      <c r="I231" s="31"/>
    </row>
    <row r="232" spans="1:9" s="58" customFormat="1" ht="15.75" customHeight="1" x14ac:dyDescent="0.25">
      <c r="A232" s="75">
        <v>14</v>
      </c>
      <c r="B232" s="76"/>
      <c r="C232" s="83" t="s">
        <v>224</v>
      </c>
      <c r="D232" s="84"/>
      <c r="E232" s="84"/>
      <c r="F232" s="85"/>
      <c r="G232" s="81"/>
      <c r="H232" s="82"/>
      <c r="I232" s="31"/>
    </row>
    <row r="233" spans="1:9" x14ac:dyDescent="0.25">
      <c r="A233" s="161" t="s">
        <v>211</v>
      </c>
      <c r="B233" s="161"/>
      <c r="C233" s="161"/>
      <c r="D233" s="161"/>
      <c r="E233" s="161"/>
      <c r="F233" s="161"/>
      <c r="G233" s="161"/>
      <c r="H233" s="161"/>
    </row>
    <row r="234" spans="1:9" s="58" customFormat="1" ht="15.75" customHeight="1" x14ac:dyDescent="0.25">
      <c r="A234" s="72" t="s">
        <v>207</v>
      </c>
      <c r="B234" s="73"/>
      <c r="C234" s="73"/>
      <c r="D234" s="73"/>
      <c r="E234" s="73"/>
      <c r="F234" s="73"/>
      <c r="G234" s="73"/>
      <c r="H234" s="74"/>
      <c r="I234" s="31"/>
    </row>
    <row r="235" spans="1:9" s="58" customFormat="1" ht="15.75" customHeight="1" x14ac:dyDescent="0.25">
      <c r="A235" s="72" t="s">
        <v>213</v>
      </c>
      <c r="B235" s="73"/>
      <c r="C235" s="73"/>
      <c r="D235" s="73"/>
      <c r="E235" s="73"/>
      <c r="F235" s="73"/>
      <c r="G235" s="73"/>
      <c r="H235" s="74"/>
      <c r="I235" s="31"/>
    </row>
    <row r="236" spans="1:9" s="58" customFormat="1" ht="15.75" customHeight="1" x14ac:dyDescent="0.25">
      <c r="A236" s="72" t="s">
        <v>215</v>
      </c>
      <c r="B236" s="73"/>
      <c r="C236" s="73"/>
      <c r="D236" s="73"/>
      <c r="E236" s="73"/>
      <c r="F236" s="73"/>
      <c r="G236" s="73"/>
      <c r="H236" s="74"/>
      <c r="I236" s="31"/>
    </row>
    <row r="237" spans="1:9" s="58" customFormat="1" ht="15.75" customHeight="1" x14ac:dyDescent="0.25">
      <c r="A237" s="75">
        <v>1</v>
      </c>
      <c r="B237" s="76"/>
      <c r="C237" s="49" t="s">
        <v>216</v>
      </c>
      <c r="D237" s="56">
        <f>(47.28)*10.764</f>
        <v>508.92192</v>
      </c>
      <c r="E237" s="57">
        <v>0</v>
      </c>
      <c r="F237" s="57">
        <f>D237*(($F$138)+1)+(IF(E237&lt;101,E237,IF(E237&lt;201,E237/2,IF(E237&lt;=301,E237/3,E237/4))))</f>
        <v>788.82897600000001</v>
      </c>
      <c r="G237" s="77" t="str">
        <f>A235</f>
        <v>Ground Floor for commercial &amp; Parking</v>
      </c>
      <c r="H237" s="78"/>
      <c r="I237" s="31"/>
    </row>
    <row r="238" spans="1:9" s="58" customFormat="1" x14ac:dyDescent="0.25">
      <c r="A238" s="75">
        <v>2</v>
      </c>
      <c r="B238" s="76"/>
      <c r="C238" s="77" t="s">
        <v>188</v>
      </c>
      <c r="D238" s="86"/>
      <c r="E238" s="86"/>
      <c r="F238" s="78"/>
      <c r="G238" s="79"/>
      <c r="H238" s="80"/>
      <c r="I238" s="31"/>
    </row>
    <row r="239" spans="1:9" s="58" customFormat="1" ht="15.75" customHeight="1" x14ac:dyDescent="0.25">
      <c r="A239" s="75">
        <v>3</v>
      </c>
      <c r="B239" s="76"/>
      <c r="C239" s="79"/>
      <c r="D239" s="87"/>
      <c r="E239" s="87"/>
      <c r="F239" s="80"/>
      <c r="G239" s="79"/>
      <c r="H239" s="80"/>
      <c r="I239" s="31"/>
    </row>
    <row r="240" spans="1:9" s="58" customFormat="1" ht="15.75" customHeight="1" x14ac:dyDescent="0.25">
      <c r="A240" s="75">
        <v>4</v>
      </c>
      <c r="B240" s="76"/>
      <c r="C240" s="79"/>
      <c r="D240" s="87"/>
      <c r="E240" s="87"/>
      <c r="F240" s="80"/>
      <c r="G240" s="79"/>
      <c r="H240" s="80"/>
      <c r="I240" s="31"/>
    </row>
    <row r="241" spans="1:9" s="58" customFormat="1" ht="15.75" customHeight="1" x14ac:dyDescent="0.25">
      <c r="A241" s="75">
        <v>5</v>
      </c>
      <c r="B241" s="76"/>
      <c r="C241" s="79"/>
      <c r="D241" s="87"/>
      <c r="E241" s="87"/>
      <c r="F241" s="80"/>
      <c r="G241" s="79"/>
      <c r="H241" s="80"/>
      <c r="I241" s="31"/>
    </row>
    <row r="242" spans="1:9" s="58" customFormat="1" x14ac:dyDescent="0.25">
      <c r="A242" s="75">
        <v>6</v>
      </c>
      <c r="B242" s="76"/>
      <c r="C242" s="79"/>
      <c r="D242" s="87"/>
      <c r="E242" s="87"/>
      <c r="F242" s="80"/>
      <c r="G242" s="79"/>
      <c r="H242" s="80"/>
      <c r="I242" s="56">
        <v>10.763999999999999</v>
      </c>
    </row>
    <row r="243" spans="1:9" s="58" customFormat="1" ht="15.75" customHeight="1" x14ac:dyDescent="0.25">
      <c r="A243" s="75">
        <v>7</v>
      </c>
      <c r="B243" s="76"/>
      <c r="C243" s="79"/>
      <c r="D243" s="87"/>
      <c r="E243" s="87"/>
      <c r="F243" s="80"/>
      <c r="G243" s="79"/>
      <c r="H243" s="80"/>
      <c r="I243" s="31"/>
    </row>
    <row r="244" spans="1:9" s="58" customFormat="1" ht="15.75" customHeight="1" x14ac:dyDescent="0.25">
      <c r="A244" s="75">
        <v>8</v>
      </c>
      <c r="B244" s="76"/>
      <c r="C244" s="81"/>
      <c r="D244" s="88"/>
      <c r="E244" s="88"/>
      <c r="F244" s="82"/>
      <c r="G244" s="79"/>
      <c r="H244" s="80"/>
      <c r="I244" s="31"/>
    </row>
    <row r="245" spans="1:9" s="58" customFormat="1" ht="15.75" customHeight="1" x14ac:dyDescent="0.25">
      <c r="A245" s="75">
        <v>9</v>
      </c>
      <c r="B245" s="76"/>
      <c r="C245" s="49" t="s">
        <v>216</v>
      </c>
      <c r="D245" s="56">
        <f>(45.63)*10.764</f>
        <v>491.16131999999999</v>
      </c>
      <c r="E245" s="57">
        <v>0</v>
      </c>
      <c r="F245" s="57">
        <f>D245*(($F$138)+1)+(IF(E245&lt;101,E245,IF(E245&lt;201,E245/2,IF(E245&lt;=301,E245/3,E245/4))))</f>
        <v>761.30004599999995</v>
      </c>
      <c r="G245" s="79"/>
      <c r="H245" s="80"/>
      <c r="I245" s="31"/>
    </row>
    <row r="246" spans="1:9" s="58" customFormat="1" ht="15.75" customHeight="1" x14ac:dyDescent="0.25">
      <c r="A246" s="75">
        <v>10</v>
      </c>
      <c r="B246" s="76"/>
      <c r="C246" s="49" t="s">
        <v>217</v>
      </c>
      <c r="D246" s="56">
        <f>(39.18)*10.764</f>
        <v>421.73352</v>
      </c>
      <c r="E246" s="57">
        <v>0</v>
      </c>
      <c r="F246" s="57">
        <f>D246*(($F$138)+1)+(IF(E246&lt;101,E246,IF(E246&lt;201,E246/2,IF(E246&lt;=301,E246/3,E246/4))))</f>
        <v>653.68695600000001</v>
      </c>
      <c r="G246" s="79"/>
      <c r="H246" s="80"/>
      <c r="I246" s="31"/>
    </row>
    <row r="247" spans="1:9" s="58" customFormat="1" ht="15.75" customHeight="1" x14ac:dyDescent="0.25">
      <c r="A247" s="75">
        <v>11</v>
      </c>
      <c r="B247" s="76"/>
      <c r="C247" s="49" t="s">
        <v>216</v>
      </c>
      <c r="D247" s="56">
        <f>(45.42)*10.764</f>
        <v>488.90087999999997</v>
      </c>
      <c r="E247" s="57">
        <v>0</v>
      </c>
      <c r="F247" s="57">
        <f>D247*(($F$138)+1)+(IF(E247&lt;101,E247,IF(E247&lt;201,E247/2,IF(E247&lt;=301,E247/3,E247/4))))</f>
        <v>757.79636399999993</v>
      </c>
      <c r="G247" s="79"/>
      <c r="H247" s="80"/>
      <c r="I247" s="31"/>
    </row>
    <row r="248" spans="1:9" s="58" customFormat="1" x14ac:dyDescent="0.25">
      <c r="A248" s="75">
        <v>12</v>
      </c>
      <c r="B248" s="76"/>
      <c r="C248" s="75" t="s">
        <v>225</v>
      </c>
      <c r="D248" s="89"/>
      <c r="E248" s="89"/>
      <c r="F248" s="76"/>
      <c r="G248" s="79"/>
      <c r="H248" s="80"/>
      <c r="I248" s="31"/>
    </row>
    <row r="249" spans="1:9" s="58" customFormat="1" ht="15.75" customHeight="1" x14ac:dyDescent="0.25">
      <c r="A249" s="75">
        <v>13</v>
      </c>
      <c r="B249" s="76"/>
      <c r="C249" s="49" t="s">
        <v>216</v>
      </c>
      <c r="D249" s="56">
        <f>(46.32)*10.764</f>
        <v>498.58847999999995</v>
      </c>
      <c r="E249" s="57">
        <v>0</v>
      </c>
      <c r="F249" s="57">
        <f>D249*(($F$138)+1)+(IF(E249&lt;101,E249,IF(E249&lt;201,E249/2,IF(E249&lt;=301,E249/3,E249/4))))</f>
        <v>772.81214399999999</v>
      </c>
      <c r="G249" s="79"/>
      <c r="H249" s="80"/>
      <c r="I249" s="31"/>
    </row>
    <row r="250" spans="1:9" s="58" customFormat="1" ht="15.75" customHeight="1" x14ac:dyDescent="0.25">
      <c r="A250" s="75">
        <v>14</v>
      </c>
      <c r="B250" s="76"/>
      <c r="C250" s="49" t="s">
        <v>217</v>
      </c>
      <c r="D250" s="56">
        <f>(40.76)*10.764</f>
        <v>438.74063999999993</v>
      </c>
      <c r="E250" s="57">
        <v>0</v>
      </c>
      <c r="F250" s="57">
        <f>D250*(($F$138)+1)+(IF(E250&lt;101,E250,IF(E250&lt;201,E250/2,IF(E250&lt;=301,E250/3,E250/4))))</f>
        <v>680.04799199999991</v>
      </c>
      <c r="G250" s="79"/>
      <c r="H250" s="80"/>
      <c r="I250" s="31"/>
    </row>
    <row r="251" spans="1:9" s="58" customFormat="1" ht="15.75" customHeight="1" x14ac:dyDescent="0.25">
      <c r="A251" s="75">
        <v>15</v>
      </c>
      <c r="B251" s="76"/>
      <c r="C251" s="49" t="s">
        <v>217</v>
      </c>
      <c r="D251" s="56">
        <f>(40.76)*10.764</f>
        <v>438.74063999999993</v>
      </c>
      <c r="E251" s="57">
        <v>0</v>
      </c>
      <c r="F251" s="57">
        <f t="shared" ref="F251:F252" si="14">D251*(($F$138)+1)+(IF(E251&lt;101,E251,IF(E251&lt;201,E251/2,IF(E251&lt;=301,E251/3,E251/4))))</f>
        <v>680.04799199999991</v>
      </c>
      <c r="G251" s="79"/>
      <c r="H251" s="80"/>
      <c r="I251" s="31"/>
    </row>
    <row r="252" spans="1:9" s="58" customFormat="1" ht="15.75" customHeight="1" x14ac:dyDescent="0.25">
      <c r="A252" s="75">
        <v>16</v>
      </c>
      <c r="B252" s="76"/>
      <c r="C252" s="49" t="s">
        <v>216</v>
      </c>
      <c r="D252" s="56">
        <f>(47.48)*10.764</f>
        <v>511.07471999999996</v>
      </c>
      <c r="E252" s="57">
        <v>0</v>
      </c>
      <c r="F252" s="57">
        <f t="shared" si="14"/>
        <v>792.16581599999995</v>
      </c>
      <c r="G252" s="81"/>
      <c r="H252" s="82"/>
      <c r="I252" s="31"/>
    </row>
    <row r="253" spans="1:9" s="58" customFormat="1" ht="15.75" customHeight="1" x14ac:dyDescent="0.25">
      <c r="A253" s="72" t="s">
        <v>219</v>
      </c>
      <c r="B253" s="73"/>
      <c r="C253" s="73"/>
      <c r="D253" s="73"/>
      <c r="E253" s="73"/>
      <c r="F253" s="73"/>
      <c r="G253" s="73"/>
      <c r="H253" s="74"/>
      <c r="I253" s="31"/>
    </row>
    <row r="254" spans="1:9" s="58" customFormat="1" ht="15.75" customHeight="1" x14ac:dyDescent="0.25">
      <c r="A254" s="75">
        <v>1</v>
      </c>
      <c r="B254" s="76"/>
      <c r="C254" s="49" t="s">
        <v>216</v>
      </c>
      <c r="D254" s="56">
        <f>(47.28)*10.764</f>
        <v>508.92192</v>
      </c>
      <c r="E254" s="57">
        <v>0</v>
      </c>
      <c r="F254" s="57">
        <f t="shared" ref="F254" si="15">D254*(($F$138)+1)+(IF(E254&lt;101,E254,IF(E254&lt;201,E254/2,IF(E254&lt;=301,E254/3,E254/4))))</f>
        <v>788.82897600000001</v>
      </c>
      <c r="G254" s="77" t="str">
        <f>A253</f>
        <v>2nd (Pt) &amp; Podium 2nd (Pt) Floor Part Parking</v>
      </c>
      <c r="H254" s="78"/>
      <c r="I254" s="31"/>
    </row>
    <row r="255" spans="1:9" s="58" customFormat="1" x14ac:dyDescent="0.25">
      <c r="A255" s="75">
        <v>2</v>
      </c>
      <c r="B255" s="76"/>
      <c r="C255" s="77" t="s">
        <v>188</v>
      </c>
      <c r="D255" s="86"/>
      <c r="E255" s="86"/>
      <c r="F255" s="78"/>
      <c r="G255" s="79"/>
      <c r="H255" s="80"/>
      <c r="I255" s="31"/>
    </row>
    <row r="256" spans="1:9" s="58" customFormat="1" ht="15.75" customHeight="1" x14ac:dyDescent="0.25">
      <c r="A256" s="75">
        <v>3</v>
      </c>
      <c r="B256" s="76"/>
      <c r="C256" s="79"/>
      <c r="D256" s="87"/>
      <c r="E256" s="87"/>
      <c r="F256" s="80"/>
      <c r="G256" s="79"/>
      <c r="H256" s="80"/>
      <c r="I256" s="31"/>
    </row>
    <row r="257" spans="1:9" s="58" customFormat="1" ht="15.75" customHeight="1" x14ac:dyDescent="0.25">
      <c r="A257" s="75">
        <v>4</v>
      </c>
      <c r="B257" s="76"/>
      <c r="C257" s="79"/>
      <c r="D257" s="87"/>
      <c r="E257" s="87"/>
      <c r="F257" s="80"/>
      <c r="G257" s="79"/>
      <c r="H257" s="80"/>
      <c r="I257" s="31"/>
    </row>
    <row r="258" spans="1:9" s="58" customFormat="1" ht="15.75" customHeight="1" x14ac:dyDescent="0.25">
      <c r="A258" s="75">
        <v>5</v>
      </c>
      <c r="B258" s="76"/>
      <c r="C258" s="79"/>
      <c r="D258" s="87"/>
      <c r="E258" s="87"/>
      <c r="F258" s="80"/>
      <c r="G258" s="79"/>
      <c r="H258" s="80"/>
      <c r="I258" s="31"/>
    </row>
    <row r="259" spans="1:9" s="58" customFormat="1" x14ac:dyDescent="0.25">
      <c r="A259" s="75">
        <v>6</v>
      </c>
      <c r="B259" s="76"/>
      <c r="C259" s="79"/>
      <c r="D259" s="87"/>
      <c r="E259" s="87"/>
      <c r="F259" s="80"/>
      <c r="G259" s="79"/>
      <c r="H259" s="80"/>
      <c r="I259" s="56">
        <v>10.763999999999999</v>
      </c>
    </row>
    <row r="260" spans="1:9" s="58" customFormat="1" ht="15.75" customHeight="1" x14ac:dyDescent="0.25">
      <c r="A260" s="75">
        <v>7</v>
      </c>
      <c r="B260" s="76"/>
      <c r="C260" s="79"/>
      <c r="D260" s="87"/>
      <c r="E260" s="87"/>
      <c r="F260" s="80"/>
      <c r="G260" s="79"/>
      <c r="H260" s="80"/>
      <c r="I260" s="31"/>
    </row>
    <row r="261" spans="1:9" s="58" customFormat="1" ht="15.75" customHeight="1" x14ac:dyDescent="0.25">
      <c r="A261" s="75">
        <v>8</v>
      </c>
      <c r="B261" s="76"/>
      <c r="C261" s="81"/>
      <c r="D261" s="88"/>
      <c r="E261" s="88"/>
      <c r="F261" s="82"/>
      <c r="G261" s="79"/>
      <c r="H261" s="80"/>
      <c r="I261" s="31"/>
    </row>
    <row r="262" spans="1:9" s="58" customFormat="1" ht="15.75" customHeight="1" x14ac:dyDescent="0.25">
      <c r="A262" s="75">
        <v>9</v>
      </c>
      <c r="B262" s="76"/>
      <c r="C262" s="49" t="s">
        <v>216</v>
      </c>
      <c r="D262" s="56">
        <f>(45.63)*10.764</f>
        <v>491.16131999999999</v>
      </c>
      <c r="E262" s="57">
        <v>0</v>
      </c>
      <c r="F262" s="57">
        <f t="shared" ref="F262:F265" si="16">D262*(($F$138)+1)+(IF(E262&lt;101,E262,IF(E262&lt;201,E262/2,IF(E262&lt;=301,E262/3,E262/4))))</f>
        <v>761.30004599999995</v>
      </c>
      <c r="G262" s="79"/>
      <c r="H262" s="80"/>
      <c r="I262" s="31"/>
    </row>
    <row r="263" spans="1:9" s="58" customFormat="1" ht="15.75" customHeight="1" x14ac:dyDescent="0.25">
      <c r="A263" s="75">
        <v>10</v>
      </c>
      <c r="B263" s="76"/>
      <c r="C263" s="49" t="s">
        <v>217</v>
      </c>
      <c r="D263" s="56">
        <f>(39.18)*10.764</f>
        <v>421.73352</v>
      </c>
      <c r="E263" s="57">
        <v>0</v>
      </c>
      <c r="F263" s="57">
        <f t="shared" si="16"/>
        <v>653.68695600000001</v>
      </c>
      <c r="G263" s="79"/>
      <c r="H263" s="80"/>
      <c r="I263" s="31"/>
    </row>
    <row r="264" spans="1:9" s="58" customFormat="1" ht="15.75" customHeight="1" x14ac:dyDescent="0.25">
      <c r="A264" s="75">
        <v>11</v>
      </c>
      <c r="B264" s="76"/>
      <c r="C264" s="49" t="s">
        <v>216</v>
      </c>
      <c r="D264" s="56">
        <f>(45.42)*10.764</f>
        <v>488.90087999999997</v>
      </c>
      <c r="E264" s="57">
        <v>0</v>
      </c>
      <c r="F264" s="57">
        <f t="shared" si="16"/>
        <v>757.79636399999993</v>
      </c>
      <c r="G264" s="79"/>
      <c r="H264" s="80"/>
      <c r="I264" s="31"/>
    </row>
    <row r="265" spans="1:9" s="58" customFormat="1" ht="15.75" customHeight="1" x14ac:dyDescent="0.25">
      <c r="A265" s="75">
        <v>12</v>
      </c>
      <c r="B265" s="76"/>
      <c r="C265" s="49" t="s">
        <v>216</v>
      </c>
      <c r="D265" s="56">
        <f>(45.42)*10.764</f>
        <v>488.90087999999997</v>
      </c>
      <c r="E265" s="57">
        <v>0</v>
      </c>
      <c r="F265" s="57">
        <f t="shared" si="16"/>
        <v>757.79636399999993</v>
      </c>
      <c r="G265" s="79"/>
      <c r="H265" s="80"/>
      <c r="I265" s="31"/>
    </row>
    <row r="266" spans="1:9" s="58" customFormat="1" ht="15.75" customHeight="1" x14ac:dyDescent="0.25">
      <c r="A266" s="75">
        <v>13</v>
      </c>
      <c r="B266" s="76"/>
      <c r="C266" s="49" t="s">
        <v>216</v>
      </c>
      <c r="D266" s="56">
        <f>(46.32)*10.764</f>
        <v>498.58847999999995</v>
      </c>
      <c r="E266" s="57">
        <v>0</v>
      </c>
      <c r="F266" s="57">
        <f t="shared" ref="F266:F269" si="17">D266*(($F$138)+1)+(IF(E266&lt;101,E266,IF(E266&lt;201,E266/2,IF(E266&lt;=301,E266/3,E266/4))))</f>
        <v>772.81214399999999</v>
      </c>
      <c r="G266" s="79"/>
      <c r="H266" s="80"/>
      <c r="I266" s="31"/>
    </row>
    <row r="267" spans="1:9" s="58" customFormat="1" ht="15.75" customHeight="1" x14ac:dyDescent="0.25">
      <c r="A267" s="75">
        <v>14</v>
      </c>
      <c r="B267" s="76"/>
      <c r="C267" s="49" t="s">
        <v>217</v>
      </c>
      <c r="D267" s="56">
        <f>(40.76)*10.764</f>
        <v>438.74063999999993</v>
      </c>
      <c r="E267" s="57">
        <v>0</v>
      </c>
      <c r="F267" s="57">
        <f t="shared" si="17"/>
        <v>680.04799199999991</v>
      </c>
      <c r="G267" s="79"/>
      <c r="H267" s="80"/>
      <c r="I267" s="31"/>
    </row>
    <row r="268" spans="1:9" s="58" customFormat="1" ht="15.75" customHeight="1" x14ac:dyDescent="0.25">
      <c r="A268" s="75">
        <v>15</v>
      </c>
      <c r="B268" s="76"/>
      <c r="C268" s="49" t="s">
        <v>217</v>
      </c>
      <c r="D268" s="56">
        <f>(40.76)*10.764</f>
        <v>438.74063999999993</v>
      </c>
      <c r="E268" s="57">
        <v>0</v>
      </c>
      <c r="F268" s="57">
        <f t="shared" si="17"/>
        <v>680.04799199999991</v>
      </c>
      <c r="G268" s="79"/>
      <c r="H268" s="80"/>
      <c r="I268" s="31"/>
    </row>
    <row r="269" spans="1:9" s="58" customFormat="1" ht="15.75" customHeight="1" x14ac:dyDescent="0.25">
      <c r="A269" s="75">
        <v>16</v>
      </c>
      <c r="B269" s="76"/>
      <c r="C269" s="49" t="s">
        <v>216</v>
      </c>
      <c r="D269" s="56">
        <f>(47.48)*10.764</f>
        <v>511.07471999999996</v>
      </c>
      <c r="E269" s="57">
        <v>0</v>
      </c>
      <c r="F269" s="57">
        <f t="shared" si="17"/>
        <v>792.16581599999995</v>
      </c>
      <c r="G269" s="81"/>
      <c r="H269" s="82"/>
      <c r="I269" s="31"/>
    </row>
    <row r="270" spans="1:9" s="58" customFormat="1" ht="15.75" customHeight="1" x14ac:dyDescent="0.25">
      <c r="A270" s="72" t="s">
        <v>220</v>
      </c>
      <c r="B270" s="73"/>
      <c r="C270" s="73"/>
      <c r="D270" s="73"/>
      <c r="E270" s="73"/>
      <c r="F270" s="73"/>
      <c r="G270" s="73"/>
      <c r="H270" s="74"/>
      <c r="I270" s="31"/>
    </row>
    <row r="271" spans="1:9" s="58" customFormat="1" ht="15.75" customHeight="1" x14ac:dyDescent="0.25">
      <c r="A271" s="75">
        <v>1</v>
      </c>
      <c r="B271" s="76"/>
      <c r="C271" s="49" t="s">
        <v>216</v>
      </c>
      <c r="D271" s="56">
        <f>(47.28)*10.764</f>
        <v>508.92192</v>
      </c>
      <c r="E271" s="57">
        <v>0</v>
      </c>
      <c r="F271" s="57">
        <f t="shared" ref="F271" si="18">D271*(($F$138)+1)+(IF(E271&lt;101,E271,IF(E271&lt;201,E271/2,IF(E271&lt;=301,E271/3,E271/4))))</f>
        <v>788.82897600000001</v>
      </c>
      <c r="G271" s="77" t="str">
        <f>A270</f>
        <v>3rd (Pt) &amp; Podium 3rd (Pt) Floor Part Parking</v>
      </c>
      <c r="H271" s="78"/>
      <c r="I271" s="31"/>
    </row>
    <row r="272" spans="1:9" s="58" customFormat="1" x14ac:dyDescent="0.25">
      <c r="A272" s="75">
        <v>2</v>
      </c>
      <c r="B272" s="76"/>
      <c r="C272" s="77" t="s">
        <v>188</v>
      </c>
      <c r="D272" s="86"/>
      <c r="E272" s="86"/>
      <c r="F272" s="78"/>
      <c r="G272" s="79"/>
      <c r="H272" s="80"/>
      <c r="I272" s="31"/>
    </row>
    <row r="273" spans="1:9" s="58" customFormat="1" ht="15.75" customHeight="1" x14ac:dyDescent="0.25">
      <c r="A273" s="75">
        <v>3</v>
      </c>
      <c r="B273" s="76"/>
      <c r="C273" s="79"/>
      <c r="D273" s="87"/>
      <c r="E273" s="87"/>
      <c r="F273" s="80"/>
      <c r="G273" s="79"/>
      <c r="H273" s="80"/>
      <c r="I273" s="31"/>
    </row>
    <row r="274" spans="1:9" s="58" customFormat="1" ht="15.75" customHeight="1" x14ac:dyDescent="0.25">
      <c r="A274" s="75">
        <v>4</v>
      </c>
      <c r="B274" s="76"/>
      <c r="C274" s="79"/>
      <c r="D274" s="87"/>
      <c r="E274" s="87"/>
      <c r="F274" s="80"/>
      <c r="G274" s="79"/>
      <c r="H274" s="80"/>
      <c r="I274" s="31"/>
    </row>
    <row r="275" spans="1:9" s="58" customFormat="1" ht="15.75" customHeight="1" x14ac:dyDescent="0.25">
      <c r="A275" s="75">
        <v>5</v>
      </c>
      <c r="B275" s="76"/>
      <c r="C275" s="79"/>
      <c r="D275" s="87"/>
      <c r="E275" s="87"/>
      <c r="F275" s="80"/>
      <c r="G275" s="79"/>
      <c r="H275" s="80"/>
      <c r="I275" s="31"/>
    </row>
    <row r="276" spans="1:9" s="58" customFormat="1" x14ac:dyDescent="0.25">
      <c r="A276" s="75">
        <v>6</v>
      </c>
      <c r="B276" s="76"/>
      <c r="C276" s="79"/>
      <c r="D276" s="87"/>
      <c r="E276" s="87"/>
      <c r="F276" s="80"/>
      <c r="G276" s="79"/>
      <c r="H276" s="80"/>
      <c r="I276" s="56">
        <v>10.763999999999999</v>
      </c>
    </row>
    <row r="277" spans="1:9" s="58" customFormat="1" ht="15.75" customHeight="1" x14ac:dyDescent="0.25">
      <c r="A277" s="75">
        <v>7</v>
      </c>
      <c r="B277" s="76"/>
      <c r="C277" s="79"/>
      <c r="D277" s="87"/>
      <c r="E277" s="87"/>
      <c r="F277" s="80"/>
      <c r="G277" s="79"/>
      <c r="H277" s="80"/>
      <c r="I277" s="31"/>
    </row>
    <row r="278" spans="1:9" s="58" customFormat="1" ht="15.75" customHeight="1" x14ac:dyDescent="0.25">
      <c r="A278" s="75">
        <v>8</v>
      </c>
      <c r="B278" s="76"/>
      <c r="C278" s="81"/>
      <c r="D278" s="88"/>
      <c r="E278" s="88"/>
      <c r="F278" s="82"/>
      <c r="G278" s="79"/>
      <c r="H278" s="80"/>
      <c r="I278" s="31"/>
    </row>
    <row r="279" spans="1:9" s="58" customFormat="1" ht="15.75" customHeight="1" x14ac:dyDescent="0.25">
      <c r="A279" s="75">
        <v>9</v>
      </c>
      <c r="B279" s="76"/>
      <c r="C279" s="49" t="s">
        <v>216</v>
      </c>
      <c r="D279" s="56">
        <f>(45.63)*10.764</f>
        <v>491.16131999999999</v>
      </c>
      <c r="E279" s="57">
        <v>0</v>
      </c>
      <c r="F279" s="57">
        <f t="shared" ref="F279:F286" si="19">D279*(($F$138)+1)+(IF(E279&lt;101,E279,IF(E279&lt;201,E279/2,IF(E279&lt;=301,E279/3,E279/4))))</f>
        <v>761.30004599999995</v>
      </c>
      <c r="G279" s="79"/>
      <c r="H279" s="80"/>
      <c r="I279" s="31"/>
    </row>
    <row r="280" spans="1:9" s="58" customFormat="1" ht="15.75" customHeight="1" x14ac:dyDescent="0.25">
      <c r="A280" s="75">
        <v>10</v>
      </c>
      <c r="B280" s="76"/>
      <c r="C280" s="49" t="s">
        <v>217</v>
      </c>
      <c r="D280" s="56">
        <f>(39.18)*10.764</f>
        <v>421.73352</v>
      </c>
      <c r="E280" s="57">
        <v>0</v>
      </c>
      <c r="F280" s="57">
        <f t="shared" si="19"/>
        <v>653.68695600000001</v>
      </c>
      <c r="G280" s="79"/>
      <c r="H280" s="80"/>
      <c r="I280" s="31"/>
    </row>
    <row r="281" spans="1:9" s="58" customFormat="1" ht="15.75" customHeight="1" x14ac:dyDescent="0.25">
      <c r="A281" s="75">
        <v>11</v>
      </c>
      <c r="B281" s="76"/>
      <c r="C281" s="49" t="s">
        <v>216</v>
      </c>
      <c r="D281" s="56">
        <f>(45.42)*10.764</f>
        <v>488.90087999999997</v>
      </c>
      <c r="E281" s="57">
        <v>0</v>
      </c>
      <c r="F281" s="57">
        <f t="shared" si="19"/>
        <v>757.79636399999993</v>
      </c>
      <c r="G281" s="79"/>
      <c r="H281" s="80"/>
      <c r="I281" s="31"/>
    </row>
    <row r="282" spans="1:9" s="58" customFormat="1" ht="15.75" customHeight="1" x14ac:dyDescent="0.25">
      <c r="A282" s="75">
        <v>12</v>
      </c>
      <c r="B282" s="76"/>
      <c r="C282" s="49" t="s">
        <v>216</v>
      </c>
      <c r="D282" s="56">
        <f>(45.42)*10.764</f>
        <v>488.90087999999997</v>
      </c>
      <c r="E282" s="57">
        <v>0</v>
      </c>
      <c r="F282" s="57">
        <f t="shared" si="19"/>
        <v>757.79636399999993</v>
      </c>
      <c r="G282" s="79"/>
      <c r="H282" s="80"/>
      <c r="I282" s="31"/>
    </row>
    <row r="283" spans="1:9" s="58" customFormat="1" ht="15.75" customHeight="1" x14ac:dyDescent="0.25">
      <c r="A283" s="75">
        <v>13</v>
      </c>
      <c r="B283" s="76"/>
      <c r="C283" s="49" t="s">
        <v>216</v>
      </c>
      <c r="D283" s="56">
        <f>(46.32)*10.764</f>
        <v>498.58847999999995</v>
      </c>
      <c r="E283" s="57">
        <v>0</v>
      </c>
      <c r="F283" s="57">
        <f t="shared" si="19"/>
        <v>772.81214399999999</v>
      </c>
      <c r="G283" s="79"/>
      <c r="H283" s="80"/>
      <c r="I283" s="31"/>
    </row>
    <row r="284" spans="1:9" s="58" customFormat="1" ht="15.75" customHeight="1" x14ac:dyDescent="0.25">
      <c r="A284" s="75">
        <v>14</v>
      </c>
      <c r="B284" s="76"/>
      <c r="C284" s="49" t="s">
        <v>217</v>
      </c>
      <c r="D284" s="56">
        <f>(40.76)*10.764</f>
        <v>438.74063999999993</v>
      </c>
      <c r="E284" s="57">
        <v>0</v>
      </c>
      <c r="F284" s="57">
        <f t="shared" si="19"/>
        <v>680.04799199999991</v>
      </c>
      <c r="G284" s="79"/>
      <c r="H284" s="80"/>
      <c r="I284" s="31"/>
    </row>
    <row r="285" spans="1:9" s="58" customFormat="1" ht="15.75" customHeight="1" x14ac:dyDescent="0.25">
      <c r="A285" s="75">
        <v>15</v>
      </c>
      <c r="B285" s="76"/>
      <c r="C285" s="49" t="s">
        <v>217</v>
      </c>
      <c r="D285" s="56">
        <f>(40.76)*10.764</f>
        <v>438.74063999999993</v>
      </c>
      <c r="E285" s="57">
        <v>0</v>
      </c>
      <c r="F285" s="57">
        <f t="shared" si="19"/>
        <v>680.04799199999991</v>
      </c>
      <c r="G285" s="79"/>
      <c r="H285" s="80"/>
      <c r="I285" s="31"/>
    </row>
    <row r="286" spans="1:9" s="58" customFormat="1" ht="15.75" customHeight="1" x14ac:dyDescent="0.25">
      <c r="A286" s="75">
        <v>16</v>
      </c>
      <c r="B286" s="76"/>
      <c r="C286" s="49" t="s">
        <v>216</v>
      </c>
      <c r="D286" s="56">
        <f>(47.48)*10.764</f>
        <v>511.07471999999996</v>
      </c>
      <c r="E286" s="57">
        <v>0</v>
      </c>
      <c r="F286" s="57">
        <f t="shared" si="19"/>
        <v>792.16581599999995</v>
      </c>
      <c r="G286" s="81"/>
      <c r="H286" s="82"/>
      <c r="I286" s="31"/>
    </row>
    <row r="287" spans="1:9" s="58" customFormat="1" ht="15.75" customHeight="1" x14ac:dyDescent="0.25">
      <c r="A287" s="72" t="s">
        <v>221</v>
      </c>
      <c r="B287" s="73"/>
      <c r="C287" s="73"/>
      <c r="D287" s="73"/>
      <c r="E287" s="73"/>
      <c r="F287" s="73"/>
      <c r="G287" s="73"/>
      <c r="H287" s="74"/>
      <c r="I287" s="31"/>
    </row>
    <row r="288" spans="1:9" s="58" customFormat="1" ht="15.75" customHeight="1" x14ac:dyDescent="0.25">
      <c r="A288" s="75">
        <v>1</v>
      </c>
      <c r="B288" s="76"/>
      <c r="C288" s="49" t="s">
        <v>216</v>
      </c>
      <c r="D288" s="56">
        <f>(47.28)*10.764</f>
        <v>508.92192</v>
      </c>
      <c r="E288" s="57">
        <v>0</v>
      </c>
      <c r="F288" s="57">
        <f t="shared" ref="F288" si="20">D288*(($F$138)+1)+(IF(E288&lt;101,E288,IF(E288&lt;201,E288/2,IF(E288&lt;=301,E288/3,E288/4))))</f>
        <v>788.82897600000001</v>
      </c>
      <c r="G288" s="77" t="str">
        <f>A287</f>
        <v>4th (Pt) &amp; Podium 4th (Pt) Floor Part Parking</v>
      </c>
      <c r="H288" s="78"/>
      <c r="I288" s="31"/>
    </row>
    <row r="289" spans="1:9" s="58" customFormat="1" x14ac:dyDescent="0.25">
      <c r="A289" s="75">
        <v>2</v>
      </c>
      <c r="B289" s="76"/>
      <c r="C289" s="77" t="s">
        <v>188</v>
      </c>
      <c r="D289" s="86"/>
      <c r="E289" s="86"/>
      <c r="F289" s="78"/>
      <c r="G289" s="79"/>
      <c r="H289" s="80"/>
      <c r="I289" s="31"/>
    </row>
    <row r="290" spans="1:9" s="58" customFormat="1" ht="15.75" customHeight="1" x14ac:dyDescent="0.25">
      <c r="A290" s="75">
        <v>3</v>
      </c>
      <c r="B290" s="76"/>
      <c r="C290" s="79"/>
      <c r="D290" s="87"/>
      <c r="E290" s="87"/>
      <c r="F290" s="80"/>
      <c r="G290" s="79"/>
      <c r="H290" s="80"/>
      <c r="I290" s="31"/>
    </row>
    <row r="291" spans="1:9" s="58" customFormat="1" ht="15.75" customHeight="1" x14ac:dyDescent="0.25">
      <c r="A291" s="75">
        <v>4</v>
      </c>
      <c r="B291" s="76"/>
      <c r="C291" s="79"/>
      <c r="D291" s="87"/>
      <c r="E291" s="87"/>
      <c r="F291" s="80"/>
      <c r="G291" s="79"/>
      <c r="H291" s="80"/>
      <c r="I291" s="31"/>
    </row>
    <row r="292" spans="1:9" s="58" customFormat="1" ht="15.75" customHeight="1" x14ac:dyDescent="0.25">
      <c r="A292" s="75">
        <v>5</v>
      </c>
      <c r="B292" s="76"/>
      <c r="C292" s="79"/>
      <c r="D292" s="87"/>
      <c r="E292" s="87"/>
      <c r="F292" s="80"/>
      <c r="G292" s="79"/>
      <c r="H292" s="80"/>
      <c r="I292" s="31"/>
    </row>
    <row r="293" spans="1:9" s="58" customFormat="1" x14ac:dyDescent="0.25">
      <c r="A293" s="75">
        <v>6</v>
      </c>
      <c r="B293" s="76"/>
      <c r="C293" s="79"/>
      <c r="D293" s="87"/>
      <c r="E293" s="87"/>
      <c r="F293" s="80"/>
      <c r="G293" s="79"/>
      <c r="H293" s="80"/>
      <c r="I293" s="56">
        <v>10.763999999999999</v>
      </c>
    </row>
    <row r="294" spans="1:9" s="58" customFormat="1" ht="15.75" customHeight="1" x14ac:dyDescent="0.25">
      <c r="A294" s="75">
        <v>7</v>
      </c>
      <c r="B294" s="76"/>
      <c r="C294" s="79"/>
      <c r="D294" s="87"/>
      <c r="E294" s="87"/>
      <c r="F294" s="80"/>
      <c r="G294" s="79"/>
      <c r="H294" s="80"/>
      <c r="I294" s="31"/>
    </row>
    <row r="295" spans="1:9" s="58" customFormat="1" ht="15.75" customHeight="1" x14ac:dyDescent="0.25">
      <c r="A295" s="75">
        <v>8</v>
      </c>
      <c r="B295" s="76"/>
      <c r="C295" s="81"/>
      <c r="D295" s="88"/>
      <c r="E295" s="88"/>
      <c r="F295" s="82"/>
      <c r="G295" s="79"/>
      <c r="H295" s="80"/>
      <c r="I295" s="31"/>
    </row>
    <row r="296" spans="1:9" s="58" customFormat="1" ht="15.75" customHeight="1" x14ac:dyDescent="0.25">
      <c r="A296" s="75">
        <v>9</v>
      </c>
      <c r="B296" s="76"/>
      <c r="C296" s="49" t="s">
        <v>216</v>
      </c>
      <c r="D296" s="56">
        <f>(45.63)*10.764</f>
        <v>491.16131999999999</v>
      </c>
      <c r="E296" s="57">
        <v>0</v>
      </c>
      <c r="F296" s="57">
        <f t="shared" ref="F296:F303" si="21">D296*(($F$138)+1)+(IF(E296&lt;101,E296,IF(E296&lt;201,E296/2,IF(E296&lt;=301,E296/3,E296/4))))</f>
        <v>761.30004599999995</v>
      </c>
      <c r="G296" s="79"/>
      <c r="H296" s="80"/>
      <c r="I296" s="31"/>
    </row>
    <row r="297" spans="1:9" s="58" customFormat="1" ht="15.75" customHeight="1" x14ac:dyDescent="0.25">
      <c r="A297" s="75">
        <v>10</v>
      </c>
      <c r="B297" s="76"/>
      <c r="C297" s="49" t="s">
        <v>217</v>
      </c>
      <c r="D297" s="56">
        <f>(39.18)*10.764</f>
        <v>421.73352</v>
      </c>
      <c r="E297" s="57">
        <v>0</v>
      </c>
      <c r="F297" s="57">
        <f t="shared" si="21"/>
        <v>653.68695600000001</v>
      </c>
      <c r="G297" s="79"/>
      <c r="H297" s="80"/>
      <c r="I297" s="31"/>
    </row>
    <row r="298" spans="1:9" s="58" customFormat="1" ht="15.75" customHeight="1" x14ac:dyDescent="0.25">
      <c r="A298" s="75">
        <v>11</v>
      </c>
      <c r="B298" s="76"/>
      <c r="C298" s="49" t="s">
        <v>216</v>
      </c>
      <c r="D298" s="56">
        <f>(45.42)*10.764</f>
        <v>488.90087999999997</v>
      </c>
      <c r="E298" s="57">
        <v>0</v>
      </c>
      <c r="F298" s="57">
        <f t="shared" si="21"/>
        <v>757.79636399999993</v>
      </c>
      <c r="G298" s="79"/>
      <c r="H298" s="80"/>
      <c r="I298" s="31"/>
    </row>
    <row r="299" spans="1:9" s="58" customFormat="1" ht="15.75" customHeight="1" x14ac:dyDescent="0.25">
      <c r="A299" s="75">
        <v>12</v>
      </c>
      <c r="B299" s="76"/>
      <c r="C299" s="49" t="s">
        <v>216</v>
      </c>
      <c r="D299" s="56">
        <f>(45.42)*10.764</f>
        <v>488.90087999999997</v>
      </c>
      <c r="E299" s="57">
        <v>0</v>
      </c>
      <c r="F299" s="57">
        <f t="shared" si="21"/>
        <v>757.79636399999993</v>
      </c>
      <c r="G299" s="79"/>
      <c r="H299" s="80"/>
      <c r="I299" s="31"/>
    </row>
    <row r="300" spans="1:9" s="58" customFormat="1" ht="15.75" customHeight="1" x14ac:dyDescent="0.25">
      <c r="A300" s="75">
        <v>13</v>
      </c>
      <c r="B300" s="76"/>
      <c r="C300" s="49" t="s">
        <v>216</v>
      </c>
      <c r="D300" s="56">
        <f>(46.32)*10.764</f>
        <v>498.58847999999995</v>
      </c>
      <c r="E300" s="57">
        <v>0</v>
      </c>
      <c r="F300" s="57">
        <f t="shared" si="21"/>
        <v>772.81214399999999</v>
      </c>
      <c r="G300" s="79"/>
      <c r="H300" s="80"/>
      <c r="I300" s="31"/>
    </row>
    <row r="301" spans="1:9" s="58" customFormat="1" ht="15.75" customHeight="1" x14ac:dyDescent="0.25">
      <c r="A301" s="75">
        <v>14</v>
      </c>
      <c r="B301" s="76"/>
      <c r="C301" s="49" t="s">
        <v>217</v>
      </c>
      <c r="D301" s="56">
        <f>(40.76)*10.764</f>
        <v>438.74063999999993</v>
      </c>
      <c r="E301" s="57">
        <v>0</v>
      </c>
      <c r="F301" s="57">
        <f t="shared" si="21"/>
        <v>680.04799199999991</v>
      </c>
      <c r="G301" s="79"/>
      <c r="H301" s="80"/>
      <c r="I301" s="31"/>
    </row>
    <row r="302" spans="1:9" s="58" customFormat="1" ht="15.75" customHeight="1" x14ac:dyDescent="0.25">
      <c r="A302" s="75">
        <v>15</v>
      </c>
      <c r="B302" s="76"/>
      <c r="C302" s="49" t="s">
        <v>217</v>
      </c>
      <c r="D302" s="56">
        <f>(40.76)*10.764</f>
        <v>438.74063999999993</v>
      </c>
      <c r="E302" s="57">
        <v>0</v>
      </c>
      <c r="F302" s="57">
        <f t="shared" si="21"/>
        <v>680.04799199999991</v>
      </c>
      <c r="G302" s="79"/>
      <c r="H302" s="80"/>
      <c r="I302" s="31"/>
    </row>
    <row r="303" spans="1:9" s="58" customFormat="1" ht="15.75" customHeight="1" x14ac:dyDescent="0.25">
      <c r="A303" s="75">
        <v>16</v>
      </c>
      <c r="B303" s="76"/>
      <c r="C303" s="49" t="s">
        <v>216</v>
      </c>
      <c r="D303" s="56">
        <f>(47.48)*10.764</f>
        <v>511.07471999999996</v>
      </c>
      <c r="E303" s="57">
        <v>0</v>
      </c>
      <c r="F303" s="57">
        <f t="shared" si="21"/>
        <v>792.16581599999995</v>
      </c>
      <c r="G303" s="81"/>
      <c r="H303" s="82"/>
      <c r="I303" s="31"/>
    </row>
    <row r="304" spans="1:9" s="58" customFormat="1" ht="15.75" customHeight="1" x14ac:dyDescent="0.25">
      <c r="A304" s="72" t="s">
        <v>222</v>
      </c>
      <c r="B304" s="73"/>
      <c r="C304" s="73"/>
      <c r="D304" s="73"/>
      <c r="E304" s="73"/>
      <c r="F304" s="73"/>
      <c r="G304" s="73"/>
      <c r="H304" s="74"/>
      <c r="I304" s="31"/>
    </row>
    <row r="305" spans="1:9" s="58" customFormat="1" ht="15.75" customHeight="1" x14ac:dyDescent="0.25">
      <c r="A305" s="75">
        <v>1</v>
      </c>
      <c r="B305" s="76"/>
      <c r="C305" s="49" t="s">
        <v>216</v>
      </c>
      <c r="D305" s="56">
        <f>(45.61)*10.764</f>
        <v>490.94603999999998</v>
      </c>
      <c r="E305" s="57">
        <v>0</v>
      </c>
      <c r="F305" s="57">
        <f t="shared" ref="F305:F312" si="22">D305*(($F$138)+1)+(IF(E305&lt;101,E305,IF(E305&lt;201,E305/2,IF(E305&lt;=301,E305/3,E305/4))))</f>
        <v>760.966362</v>
      </c>
      <c r="G305" s="77" t="str">
        <f>A304</f>
        <v>5th to 8th, 10th to 13th, 15th to 18th, 20th to 23rd, 25th to 28th, 30th to 33rd Floor Plans</v>
      </c>
      <c r="H305" s="78"/>
      <c r="I305" s="31"/>
    </row>
    <row r="306" spans="1:9" s="58" customFormat="1" x14ac:dyDescent="0.25">
      <c r="A306" s="75">
        <v>2</v>
      </c>
      <c r="B306" s="76"/>
      <c r="C306" s="49" t="s">
        <v>216</v>
      </c>
      <c r="D306" s="56">
        <f>(45.43)*10.764</f>
        <v>489.00851999999998</v>
      </c>
      <c r="E306" s="57">
        <v>0</v>
      </c>
      <c r="F306" s="57">
        <f t="shared" si="22"/>
        <v>757.96320600000001</v>
      </c>
      <c r="G306" s="79"/>
      <c r="H306" s="80"/>
      <c r="I306" s="31"/>
    </row>
    <row r="307" spans="1:9" s="58" customFormat="1" ht="15.75" customHeight="1" x14ac:dyDescent="0.25">
      <c r="A307" s="75">
        <v>3</v>
      </c>
      <c r="B307" s="76"/>
      <c r="C307" s="49" t="s">
        <v>217</v>
      </c>
      <c r="D307" s="56">
        <f>(39.03)*10.764</f>
        <v>420.11892</v>
      </c>
      <c r="E307" s="57">
        <v>0</v>
      </c>
      <c r="F307" s="57">
        <f t="shared" si="22"/>
        <v>651.18432600000006</v>
      </c>
      <c r="G307" s="79"/>
      <c r="H307" s="80"/>
      <c r="I307" s="31"/>
    </row>
    <row r="308" spans="1:9" s="58" customFormat="1" ht="15.75" customHeight="1" x14ac:dyDescent="0.25">
      <c r="A308" s="75">
        <v>4</v>
      </c>
      <c r="B308" s="76"/>
      <c r="C308" s="49" t="s">
        <v>217</v>
      </c>
      <c r="D308" s="56">
        <f>(39.03)*10.764</f>
        <v>420.11892</v>
      </c>
      <c r="E308" s="57">
        <v>0</v>
      </c>
      <c r="F308" s="57">
        <f t="shared" si="22"/>
        <v>651.18432600000006</v>
      </c>
      <c r="G308" s="79"/>
      <c r="H308" s="80"/>
      <c r="I308" s="31"/>
    </row>
    <row r="309" spans="1:9" s="58" customFormat="1" ht="15.75" customHeight="1" x14ac:dyDescent="0.25">
      <c r="A309" s="75">
        <v>5</v>
      </c>
      <c r="B309" s="76"/>
      <c r="C309" s="49" t="s">
        <v>217</v>
      </c>
      <c r="D309" s="56">
        <f>(39.03)*10.764</f>
        <v>420.11892</v>
      </c>
      <c r="E309" s="57">
        <v>0</v>
      </c>
      <c r="F309" s="57">
        <f t="shared" si="22"/>
        <v>651.18432600000006</v>
      </c>
      <c r="G309" s="79"/>
      <c r="H309" s="80"/>
      <c r="I309" s="31"/>
    </row>
    <row r="310" spans="1:9" s="58" customFormat="1" x14ac:dyDescent="0.25">
      <c r="A310" s="75">
        <v>6</v>
      </c>
      <c r="B310" s="76"/>
      <c r="C310" s="49" t="s">
        <v>217</v>
      </c>
      <c r="D310" s="56">
        <f>(39.03)*10.764</f>
        <v>420.11892</v>
      </c>
      <c r="E310" s="57">
        <v>0</v>
      </c>
      <c r="F310" s="57">
        <f t="shared" si="22"/>
        <v>651.18432600000006</v>
      </c>
      <c r="G310" s="79"/>
      <c r="H310" s="80"/>
      <c r="I310" s="56">
        <v>10.763999999999999</v>
      </c>
    </row>
    <row r="311" spans="1:9" s="58" customFormat="1" ht="15.75" customHeight="1" x14ac:dyDescent="0.25">
      <c r="A311" s="75">
        <v>7</v>
      </c>
      <c r="B311" s="76"/>
      <c r="C311" s="49" t="s">
        <v>217</v>
      </c>
      <c r="D311" s="56">
        <f>(39.03)*10.764</f>
        <v>420.11892</v>
      </c>
      <c r="E311" s="57">
        <v>0</v>
      </c>
      <c r="F311" s="57">
        <f t="shared" si="22"/>
        <v>651.18432600000006</v>
      </c>
      <c r="G311" s="79"/>
      <c r="H311" s="80"/>
      <c r="I311" s="31"/>
    </row>
    <row r="312" spans="1:9" s="58" customFormat="1" ht="15.75" customHeight="1" x14ac:dyDescent="0.25">
      <c r="A312" s="75">
        <v>8</v>
      </c>
      <c r="B312" s="76"/>
      <c r="C312" s="49" t="s">
        <v>217</v>
      </c>
      <c r="D312" s="56">
        <f>(38.98)*10.764</f>
        <v>419.58071999999993</v>
      </c>
      <c r="E312" s="57">
        <v>0</v>
      </c>
      <c r="F312" s="57">
        <f t="shared" si="22"/>
        <v>650.35011599999996</v>
      </c>
      <c r="G312" s="79"/>
      <c r="H312" s="80"/>
      <c r="I312" s="31"/>
    </row>
    <row r="313" spans="1:9" s="58" customFormat="1" ht="15.75" customHeight="1" x14ac:dyDescent="0.25">
      <c r="A313" s="75">
        <v>9</v>
      </c>
      <c r="B313" s="76"/>
      <c r="C313" s="49" t="s">
        <v>216</v>
      </c>
      <c r="D313" s="56">
        <f>(45.63)*10.764</f>
        <v>491.16131999999999</v>
      </c>
      <c r="E313" s="57">
        <v>0</v>
      </c>
      <c r="F313" s="57">
        <f t="shared" ref="F313:F320" si="23">D313*(($F$138)+1)+(IF(E313&lt;101,E313,IF(E313&lt;201,E313/2,IF(E313&lt;=301,E313/3,E313/4))))</f>
        <v>761.30004599999995</v>
      </c>
      <c r="G313" s="79"/>
      <c r="H313" s="80"/>
      <c r="I313" s="31"/>
    </row>
    <row r="314" spans="1:9" s="58" customFormat="1" ht="15.75" customHeight="1" x14ac:dyDescent="0.25">
      <c r="A314" s="75">
        <v>10</v>
      </c>
      <c r="B314" s="76"/>
      <c r="C314" s="49" t="s">
        <v>217</v>
      </c>
      <c r="D314" s="56">
        <f>(39.18)*10.764</f>
        <v>421.73352</v>
      </c>
      <c r="E314" s="57">
        <v>0</v>
      </c>
      <c r="F314" s="57">
        <f t="shared" si="23"/>
        <v>653.68695600000001</v>
      </c>
      <c r="G314" s="79"/>
      <c r="H314" s="80"/>
      <c r="I314" s="31"/>
    </row>
    <row r="315" spans="1:9" s="58" customFormat="1" ht="15.75" customHeight="1" x14ac:dyDescent="0.25">
      <c r="A315" s="75">
        <v>11</v>
      </c>
      <c r="B315" s="76"/>
      <c r="C315" s="49" t="s">
        <v>216</v>
      </c>
      <c r="D315" s="56">
        <f>(45.42)*10.764</f>
        <v>488.90087999999997</v>
      </c>
      <c r="E315" s="57">
        <v>0</v>
      </c>
      <c r="F315" s="57">
        <f t="shared" si="23"/>
        <v>757.79636399999993</v>
      </c>
      <c r="G315" s="79"/>
      <c r="H315" s="80"/>
      <c r="I315" s="31"/>
    </row>
    <row r="316" spans="1:9" s="58" customFormat="1" ht="15.75" customHeight="1" x14ac:dyDescent="0.25">
      <c r="A316" s="75">
        <v>12</v>
      </c>
      <c r="B316" s="76"/>
      <c r="C316" s="49" t="s">
        <v>216</v>
      </c>
      <c r="D316" s="56">
        <f>(45.42)*10.764</f>
        <v>488.90087999999997</v>
      </c>
      <c r="E316" s="57">
        <v>0</v>
      </c>
      <c r="F316" s="57">
        <f t="shared" si="23"/>
        <v>757.79636399999993</v>
      </c>
      <c r="G316" s="79"/>
      <c r="H316" s="80"/>
      <c r="I316" s="31"/>
    </row>
    <row r="317" spans="1:9" s="58" customFormat="1" ht="15.75" customHeight="1" x14ac:dyDescent="0.25">
      <c r="A317" s="75">
        <v>13</v>
      </c>
      <c r="B317" s="76"/>
      <c r="C317" s="49" t="s">
        <v>216</v>
      </c>
      <c r="D317" s="56">
        <f>(45.42)*10.764</f>
        <v>488.90087999999997</v>
      </c>
      <c r="E317" s="57">
        <v>0</v>
      </c>
      <c r="F317" s="57">
        <f t="shared" si="23"/>
        <v>757.79636399999993</v>
      </c>
      <c r="G317" s="79"/>
      <c r="H317" s="80"/>
      <c r="I317" s="31"/>
    </row>
    <row r="318" spans="1:9" s="58" customFormat="1" ht="15.75" customHeight="1" x14ac:dyDescent="0.25">
      <c r="A318" s="75">
        <v>14</v>
      </c>
      <c r="B318" s="76"/>
      <c r="C318" s="49" t="s">
        <v>217</v>
      </c>
      <c r="D318" s="56">
        <f>(39.03)*10.764</f>
        <v>420.11892</v>
      </c>
      <c r="E318" s="57">
        <v>0</v>
      </c>
      <c r="F318" s="57">
        <f t="shared" si="23"/>
        <v>651.18432600000006</v>
      </c>
      <c r="G318" s="79"/>
      <c r="H318" s="80"/>
      <c r="I318" s="31"/>
    </row>
    <row r="319" spans="1:9" s="58" customFormat="1" ht="15.75" customHeight="1" x14ac:dyDescent="0.25">
      <c r="A319" s="75">
        <v>15</v>
      </c>
      <c r="B319" s="76"/>
      <c r="C319" s="49" t="s">
        <v>217</v>
      </c>
      <c r="D319" s="56">
        <f>(39.03)*10.764</f>
        <v>420.11892</v>
      </c>
      <c r="E319" s="57">
        <v>0</v>
      </c>
      <c r="F319" s="57">
        <f t="shared" si="23"/>
        <v>651.18432600000006</v>
      </c>
      <c r="G319" s="79"/>
      <c r="H319" s="80"/>
      <c r="I319" s="31"/>
    </row>
    <row r="320" spans="1:9" s="58" customFormat="1" ht="15.75" customHeight="1" x14ac:dyDescent="0.25">
      <c r="A320" s="75">
        <v>16</v>
      </c>
      <c r="B320" s="76"/>
      <c r="C320" s="49" t="s">
        <v>216</v>
      </c>
      <c r="D320" s="56">
        <f>(45.42)*10.764</f>
        <v>488.90087999999997</v>
      </c>
      <c r="E320" s="57">
        <v>0</v>
      </c>
      <c r="F320" s="57">
        <f t="shared" si="23"/>
        <v>757.79636399999993</v>
      </c>
      <c r="G320" s="81"/>
      <c r="H320" s="82"/>
      <c r="I320" s="31"/>
    </row>
    <row r="321" spans="1:9" s="58" customFormat="1" ht="15.75" customHeight="1" x14ac:dyDescent="0.25">
      <c r="A321" s="72" t="s">
        <v>223</v>
      </c>
      <c r="B321" s="73"/>
      <c r="C321" s="73"/>
      <c r="D321" s="73"/>
      <c r="E321" s="73"/>
      <c r="F321" s="73"/>
      <c r="G321" s="73"/>
      <c r="H321" s="74"/>
      <c r="I321" s="31"/>
    </row>
    <row r="322" spans="1:9" s="58" customFormat="1" ht="15.75" customHeight="1" x14ac:dyDescent="0.25">
      <c r="A322" s="75">
        <v>1</v>
      </c>
      <c r="B322" s="76"/>
      <c r="C322" s="49" t="s">
        <v>216</v>
      </c>
      <c r="D322" s="56">
        <f>(45.61)*10.764</f>
        <v>490.94603999999998</v>
      </c>
      <c r="E322" s="57">
        <v>0</v>
      </c>
      <c r="F322" s="57">
        <f t="shared" ref="F322:F337" si="24">D322*(($F$138)+1)+(IF(E322&lt;101,E322,IF(E322&lt;201,E322/2,IF(E322&lt;=301,E322/3,E322/4))))</f>
        <v>760.966362</v>
      </c>
      <c r="G322" s="77" t="str">
        <f>A321</f>
        <v>9th, 14th, 19th, 24th, 29th &amp; 34th Floor Part Refuge Area</v>
      </c>
      <c r="H322" s="78"/>
      <c r="I322" s="31"/>
    </row>
    <row r="323" spans="1:9" s="58" customFormat="1" x14ac:dyDescent="0.25">
      <c r="A323" s="75">
        <v>2</v>
      </c>
      <c r="B323" s="76"/>
      <c r="C323" s="49" t="s">
        <v>216</v>
      </c>
      <c r="D323" s="56">
        <f>(45.43)*10.764</f>
        <v>489.00851999999998</v>
      </c>
      <c r="E323" s="57">
        <v>0</v>
      </c>
      <c r="F323" s="57">
        <f t="shared" si="24"/>
        <v>757.96320600000001</v>
      </c>
      <c r="G323" s="79"/>
      <c r="H323" s="80"/>
      <c r="I323" s="31"/>
    </row>
    <row r="324" spans="1:9" s="58" customFormat="1" ht="15.75" customHeight="1" x14ac:dyDescent="0.25">
      <c r="A324" s="75">
        <v>3</v>
      </c>
      <c r="B324" s="76"/>
      <c r="C324" s="49" t="s">
        <v>217</v>
      </c>
      <c r="D324" s="56">
        <f>(39.03)*10.764</f>
        <v>420.11892</v>
      </c>
      <c r="E324" s="57">
        <v>0</v>
      </c>
      <c r="F324" s="57">
        <f t="shared" si="24"/>
        <v>651.18432600000006</v>
      </c>
      <c r="G324" s="79"/>
      <c r="H324" s="80"/>
      <c r="I324" s="31"/>
    </row>
    <row r="325" spans="1:9" s="58" customFormat="1" ht="15.75" customHeight="1" x14ac:dyDescent="0.25">
      <c r="A325" s="75">
        <v>4</v>
      </c>
      <c r="B325" s="76"/>
      <c r="C325" s="49" t="s">
        <v>217</v>
      </c>
      <c r="D325" s="56">
        <f>(39.03)*10.764</f>
        <v>420.11892</v>
      </c>
      <c r="E325" s="57">
        <v>0</v>
      </c>
      <c r="F325" s="57">
        <f t="shared" si="24"/>
        <v>651.18432600000006</v>
      </c>
      <c r="G325" s="79"/>
      <c r="H325" s="80"/>
      <c r="I325" s="31"/>
    </row>
    <row r="326" spans="1:9" s="58" customFormat="1" ht="15.75" customHeight="1" x14ac:dyDescent="0.25">
      <c r="A326" s="75">
        <v>5</v>
      </c>
      <c r="B326" s="76"/>
      <c r="C326" s="49" t="s">
        <v>217</v>
      </c>
      <c r="D326" s="56">
        <f>(39.03)*10.764</f>
        <v>420.11892</v>
      </c>
      <c r="E326" s="57">
        <v>0</v>
      </c>
      <c r="F326" s="57">
        <f t="shared" si="24"/>
        <v>651.18432600000006</v>
      </c>
      <c r="G326" s="79"/>
      <c r="H326" s="80"/>
      <c r="I326" s="31"/>
    </row>
    <row r="327" spans="1:9" s="58" customFormat="1" x14ac:dyDescent="0.25">
      <c r="A327" s="75">
        <v>6</v>
      </c>
      <c r="B327" s="76"/>
      <c r="C327" s="49" t="s">
        <v>217</v>
      </c>
      <c r="D327" s="56">
        <f>(39.03)*10.764</f>
        <v>420.11892</v>
      </c>
      <c r="E327" s="57">
        <v>0</v>
      </c>
      <c r="F327" s="57">
        <f t="shared" si="24"/>
        <v>651.18432600000006</v>
      </c>
      <c r="G327" s="79"/>
      <c r="H327" s="80"/>
      <c r="I327" s="56">
        <v>10.763999999999999</v>
      </c>
    </row>
    <row r="328" spans="1:9" s="58" customFormat="1" ht="15.75" customHeight="1" x14ac:dyDescent="0.25">
      <c r="A328" s="75">
        <v>7</v>
      </c>
      <c r="B328" s="76"/>
      <c r="C328" s="49" t="s">
        <v>217</v>
      </c>
      <c r="D328" s="56">
        <f>(39.03)*10.764</f>
        <v>420.11892</v>
      </c>
      <c r="E328" s="57">
        <v>0</v>
      </c>
      <c r="F328" s="57">
        <f t="shared" si="24"/>
        <v>651.18432600000006</v>
      </c>
      <c r="G328" s="79"/>
      <c r="H328" s="80"/>
      <c r="I328" s="31"/>
    </row>
    <row r="329" spans="1:9" s="58" customFormat="1" ht="15.75" customHeight="1" x14ac:dyDescent="0.25">
      <c r="A329" s="75">
        <v>8</v>
      </c>
      <c r="B329" s="76"/>
      <c r="C329" s="49" t="s">
        <v>217</v>
      </c>
      <c r="D329" s="56">
        <f>(38.98)*10.764</f>
        <v>419.58071999999993</v>
      </c>
      <c r="E329" s="57">
        <v>0</v>
      </c>
      <c r="F329" s="57">
        <f t="shared" si="24"/>
        <v>650.35011599999996</v>
      </c>
      <c r="G329" s="79"/>
      <c r="H329" s="80"/>
      <c r="I329" s="31"/>
    </row>
    <row r="330" spans="1:9" s="58" customFormat="1" ht="15.75" customHeight="1" x14ac:dyDescent="0.25">
      <c r="A330" s="75">
        <v>9</v>
      </c>
      <c r="B330" s="76"/>
      <c r="C330" s="49" t="s">
        <v>216</v>
      </c>
      <c r="D330" s="56">
        <f>(45.63)*10.764</f>
        <v>491.16131999999999</v>
      </c>
      <c r="E330" s="57">
        <v>0</v>
      </c>
      <c r="F330" s="57">
        <f t="shared" si="24"/>
        <v>761.30004599999995</v>
      </c>
      <c r="G330" s="79"/>
      <c r="H330" s="80"/>
      <c r="I330" s="31"/>
    </row>
    <row r="331" spans="1:9" s="58" customFormat="1" ht="15.75" customHeight="1" x14ac:dyDescent="0.25">
      <c r="A331" s="75">
        <v>10</v>
      </c>
      <c r="B331" s="76"/>
      <c r="C331" s="49" t="s">
        <v>217</v>
      </c>
      <c r="D331" s="56">
        <f>(39.18)*10.764</f>
        <v>421.73352</v>
      </c>
      <c r="E331" s="57">
        <v>0</v>
      </c>
      <c r="F331" s="57">
        <f t="shared" si="24"/>
        <v>653.68695600000001</v>
      </c>
      <c r="G331" s="79"/>
      <c r="H331" s="80"/>
      <c r="I331" s="31"/>
    </row>
    <row r="332" spans="1:9" s="58" customFormat="1" ht="15.75" customHeight="1" x14ac:dyDescent="0.25">
      <c r="A332" s="75">
        <v>11</v>
      </c>
      <c r="B332" s="76"/>
      <c r="C332" s="83" t="s">
        <v>224</v>
      </c>
      <c r="D332" s="84"/>
      <c r="E332" s="84"/>
      <c r="F332" s="85"/>
      <c r="G332" s="79"/>
      <c r="H332" s="80"/>
      <c r="I332" s="31"/>
    </row>
    <row r="333" spans="1:9" s="58" customFormat="1" ht="15.75" customHeight="1" x14ac:dyDescent="0.25">
      <c r="A333" s="75">
        <v>12</v>
      </c>
      <c r="B333" s="76"/>
      <c r="C333" s="49" t="s">
        <v>216</v>
      </c>
      <c r="D333" s="56">
        <f>(45.42)*10.764</f>
        <v>488.90087999999997</v>
      </c>
      <c r="E333" s="57">
        <v>0</v>
      </c>
      <c r="F333" s="57">
        <f t="shared" si="24"/>
        <v>757.79636399999993</v>
      </c>
      <c r="G333" s="79"/>
      <c r="H333" s="80"/>
      <c r="I333" s="31"/>
    </row>
    <row r="334" spans="1:9" s="58" customFormat="1" ht="15.75" customHeight="1" x14ac:dyDescent="0.25">
      <c r="A334" s="75">
        <v>13</v>
      </c>
      <c r="B334" s="76"/>
      <c r="C334" s="49" t="s">
        <v>216</v>
      </c>
      <c r="D334" s="56">
        <f>(45.42)*10.764</f>
        <v>488.90087999999997</v>
      </c>
      <c r="E334" s="57">
        <v>0</v>
      </c>
      <c r="F334" s="57">
        <f t="shared" si="24"/>
        <v>757.79636399999993</v>
      </c>
      <c r="G334" s="79"/>
      <c r="H334" s="80"/>
      <c r="I334" s="31"/>
    </row>
    <row r="335" spans="1:9" s="58" customFormat="1" ht="15.75" customHeight="1" x14ac:dyDescent="0.25">
      <c r="A335" s="75">
        <v>14</v>
      </c>
      <c r="B335" s="76"/>
      <c r="C335" s="49" t="s">
        <v>217</v>
      </c>
      <c r="D335" s="56">
        <f>(39.03)*10.764</f>
        <v>420.11892</v>
      </c>
      <c r="E335" s="57">
        <v>0</v>
      </c>
      <c r="F335" s="57">
        <f t="shared" si="24"/>
        <v>651.18432600000006</v>
      </c>
      <c r="G335" s="79"/>
      <c r="H335" s="80"/>
      <c r="I335" s="31"/>
    </row>
    <row r="336" spans="1:9" s="58" customFormat="1" ht="15.75" customHeight="1" x14ac:dyDescent="0.25">
      <c r="A336" s="75">
        <v>15</v>
      </c>
      <c r="B336" s="76"/>
      <c r="C336" s="83" t="s">
        <v>224</v>
      </c>
      <c r="D336" s="84"/>
      <c r="E336" s="84"/>
      <c r="F336" s="85"/>
      <c r="G336" s="79"/>
      <c r="H336" s="80"/>
      <c r="I336" s="31"/>
    </row>
    <row r="337" spans="1:10" s="58" customFormat="1" ht="15.75" customHeight="1" x14ac:dyDescent="0.25">
      <c r="A337" s="75">
        <v>16</v>
      </c>
      <c r="B337" s="76"/>
      <c r="C337" s="49" t="s">
        <v>216</v>
      </c>
      <c r="D337" s="56">
        <f>(45.42)*10.764</f>
        <v>488.90087999999997</v>
      </c>
      <c r="E337" s="57">
        <v>0</v>
      </c>
      <c r="F337" s="57">
        <f t="shared" si="24"/>
        <v>757.79636399999993</v>
      </c>
      <c r="G337" s="81"/>
      <c r="H337" s="82"/>
      <c r="I337" s="31"/>
    </row>
    <row r="338" spans="1:10" s="1" customFormat="1" x14ac:dyDescent="0.25">
      <c r="A338" s="170" t="s">
        <v>71</v>
      </c>
      <c r="B338" s="170"/>
      <c r="C338" s="170"/>
      <c r="D338" s="170"/>
      <c r="E338" s="170"/>
      <c r="F338" s="170"/>
      <c r="G338" s="170"/>
      <c r="H338" s="170"/>
    </row>
    <row r="339" spans="1:10" s="1" customFormat="1" ht="50.25" customHeight="1" x14ac:dyDescent="0.25">
      <c r="A339" s="46" t="s">
        <v>159</v>
      </c>
      <c r="B339" s="69" t="s">
        <v>238</v>
      </c>
      <c r="C339" s="70"/>
      <c r="D339" s="70"/>
      <c r="E339" s="70"/>
      <c r="F339" s="70"/>
      <c r="G339" s="70"/>
      <c r="H339" s="71"/>
    </row>
    <row r="340" spans="1:10" s="1" customFormat="1" x14ac:dyDescent="0.25">
      <c r="A340" s="46" t="s">
        <v>159</v>
      </c>
      <c r="B340" s="69" t="str">
        <f>(IF(F137="Saleable area Loading :","We have considered Saleable area of Flats as per our Calculation.","We considered Saleable area of Flat as per Builder area Sheet."))</f>
        <v>We have considered Saleable area of Flats as per our Calculation.</v>
      </c>
      <c r="C340" s="70"/>
      <c r="D340" s="70"/>
      <c r="E340" s="70"/>
      <c r="F340" s="70"/>
      <c r="G340" s="70"/>
      <c r="H340" s="71"/>
    </row>
    <row r="341" spans="1:10" s="1" customFormat="1" x14ac:dyDescent="0.25">
      <c r="A341" s="43" t="s">
        <v>159</v>
      </c>
      <c r="B341" s="157" t="s">
        <v>129</v>
      </c>
      <c r="C341" s="158"/>
      <c r="D341" s="158"/>
      <c r="E341" s="158"/>
      <c r="F341" s="158"/>
      <c r="G341" s="158"/>
      <c r="H341" s="159"/>
    </row>
    <row r="342" spans="1:10" s="1" customFormat="1" x14ac:dyDescent="0.25">
      <c r="A342" s="43" t="s">
        <v>159</v>
      </c>
      <c r="B342" s="157" t="s">
        <v>176</v>
      </c>
      <c r="C342" s="158"/>
      <c r="D342" s="158"/>
      <c r="E342" s="158"/>
      <c r="F342" s="158"/>
      <c r="G342" s="158"/>
      <c r="H342" s="159"/>
    </row>
    <row r="343" spans="1:10" s="1" customFormat="1" x14ac:dyDescent="0.25">
      <c r="A343" s="43" t="s">
        <v>159</v>
      </c>
      <c r="B343" s="157" t="s">
        <v>158</v>
      </c>
      <c r="C343" s="158"/>
      <c r="D343" s="158"/>
      <c r="E343" s="158"/>
      <c r="F343" s="158"/>
      <c r="G343" s="158"/>
      <c r="H343" s="159"/>
    </row>
    <row r="344" spans="1:10" s="1" customFormat="1" x14ac:dyDescent="0.25">
      <c r="A344" s="43" t="s">
        <v>159</v>
      </c>
      <c r="B344" s="157" t="s">
        <v>130</v>
      </c>
      <c r="C344" s="158"/>
      <c r="D344" s="158"/>
      <c r="E344" s="158"/>
      <c r="F344" s="158"/>
      <c r="G344" s="158"/>
      <c r="H344" s="159"/>
    </row>
    <row r="345" spans="1:10" s="1" customFormat="1" ht="34.5" customHeight="1" x14ac:dyDescent="0.25">
      <c r="A345" s="43" t="s">
        <v>159</v>
      </c>
      <c r="B345" s="157" t="s">
        <v>163</v>
      </c>
      <c r="C345" s="158"/>
      <c r="D345" s="158"/>
      <c r="E345" s="158"/>
      <c r="F345" s="158"/>
      <c r="G345" s="158"/>
      <c r="H345" s="159"/>
    </row>
    <row r="346" spans="1:10" s="1" customFormat="1" x14ac:dyDescent="0.25">
      <c r="A346" s="46" t="s">
        <v>159</v>
      </c>
      <c r="B346" s="69" t="s">
        <v>131</v>
      </c>
      <c r="C346" s="70"/>
      <c r="D346" s="70"/>
      <c r="E346" s="70"/>
      <c r="F346" s="70"/>
      <c r="G346" s="70"/>
      <c r="H346" s="71"/>
    </row>
    <row r="347" spans="1:10" s="1" customFormat="1" x14ac:dyDescent="0.25">
      <c r="A347" s="46" t="s">
        <v>159</v>
      </c>
      <c r="B347" s="69" t="s">
        <v>237</v>
      </c>
      <c r="C347" s="70"/>
      <c r="D347" s="70"/>
      <c r="E347" s="70"/>
      <c r="F347" s="70"/>
      <c r="G347" s="70"/>
      <c r="H347" s="71"/>
    </row>
    <row r="348" spans="1:10" s="1" customFormat="1" hidden="1" x14ac:dyDescent="0.25">
      <c r="A348" s="46" t="s">
        <v>159</v>
      </c>
      <c r="B348" s="69" t="s">
        <v>180</v>
      </c>
      <c r="C348" s="70"/>
      <c r="D348" s="70"/>
      <c r="E348" s="70"/>
      <c r="F348" s="70"/>
      <c r="G348" s="70"/>
      <c r="H348" s="71"/>
    </row>
    <row r="349" spans="1:10" s="1" customFormat="1" hidden="1" x14ac:dyDescent="0.25">
      <c r="A349" s="46" t="s">
        <v>159</v>
      </c>
      <c r="B349" s="69" t="s">
        <v>177</v>
      </c>
      <c r="C349" s="70"/>
      <c r="D349" s="70"/>
      <c r="E349" s="70"/>
      <c r="F349" s="70"/>
      <c r="G349" s="70"/>
      <c r="H349" s="71"/>
    </row>
    <row r="350" spans="1:10" x14ac:dyDescent="0.25">
      <c r="A350" s="169" t="s">
        <v>64</v>
      </c>
      <c r="B350" s="169"/>
      <c r="C350" s="169"/>
      <c r="D350" s="169"/>
      <c r="E350" s="169"/>
      <c r="F350" s="169"/>
      <c r="G350" s="169"/>
      <c r="H350" s="169"/>
    </row>
    <row r="351" spans="1:10" x14ac:dyDescent="0.25">
      <c r="A351" s="120" t="s">
        <v>65</v>
      </c>
      <c r="B351" s="120"/>
      <c r="C351" s="120"/>
      <c r="D351" s="120"/>
      <c r="E351" s="120"/>
      <c r="F351" s="120"/>
      <c r="G351" s="120"/>
      <c r="H351" s="120"/>
      <c r="J351" t="s">
        <v>180</v>
      </c>
    </row>
    <row r="352" spans="1:10" ht="15.75" customHeight="1" x14ac:dyDescent="0.25">
      <c r="A352" s="168" t="s">
        <v>66</v>
      </c>
      <c r="B352" s="168"/>
      <c r="C352" s="168"/>
      <c r="D352" s="168"/>
      <c r="E352" s="168"/>
      <c r="F352" s="168"/>
      <c r="G352" s="168"/>
      <c r="H352" s="168"/>
    </row>
    <row r="353" spans="1:8" x14ac:dyDescent="0.25">
      <c r="A353" s="120" t="s">
        <v>67</v>
      </c>
      <c r="B353" s="120"/>
      <c r="C353" s="120"/>
      <c r="D353" s="120"/>
      <c r="E353" s="120"/>
      <c r="F353" s="120"/>
      <c r="G353" s="120"/>
      <c r="H353" s="120"/>
    </row>
    <row r="354" spans="1:8" x14ac:dyDescent="0.25">
      <c r="A354" s="120" t="s">
        <v>68</v>
      </c>
      <c r="B354" s="120"/>
      <c r="C354" s="120"/>
      <c r="D354" s="120"/>
      <c r="E354" s="120"/>
      <c r="F354" s="120"/>
      <c r="G354" s="120"/>
      <c r="H354" s="120"/>
    </row>
    <row r="355" spans="1:8" hidden="1" x14ac:dyDescent="0.25">
      <c r="A355" s="120" t="s">
        <v>132</v>
      </c>
      <c r="B355" s="120"/>
      <c r="C355" s="120"/>
      <c r="D355" s="120"/>
      <c r="E355" s="120"/>
      <c r="F355" s="120"/>
      <c r="G355" s="120"/>
      <c r="H355" s="120"/>
    </row>
    <row r="356" spans="1:8" ht="35.25" hidden="1" customHeight="1" x14ac:dyDescent="0.25">
      <c r="A356" s="124" t="s">
        <v>133</v>
      </c>
      <c r="B356" s="124"/>
      <c r="C356" s="124"/>
      <c r="D356" s="124"/>
      <c r="E356" s="124"/>
      <c r="F356" s="124"/>
      <c r="G356" s="124"/>
      <c r="H356" s="124"/>
    </row>
    <row r="357" spans="1:8" x14ac:dyDescent="0.25">
      <c r="A357" s="163" t="s">
        <v>80</v>
      </c>
      <c r="B357" s="163"/>
      <c r="C357" s="163" t="s">
        <v>232</v>
      </c>
      <c r="D357" s="163"/>
      <c r="E357" s="163" t="s">
        <v>112</v>
      </c>
      <c r="F357" s="163"/>
      <c r="G357" s="163" t="s">
        <v>234</v>
      </c>
      <c r="H357" s="163"/>
    </row>
    <row r="358" spans="1:8" x14ac:dyDescent="0.25">
      <c r="A358" s="162" t="s">
        <v>82</v>
      </c>
      <c r="B358" s="162"/>
      <c r="C358" s="162"/>
      <c r="D358" s="162"/>
      <c r="E358" s="162"/>
      <c r="F358" s="162"/>
      <c r="G358" s="162"/>
      <c r="H358" s="162"/>
    </row>
    <row r="359" spans="1:8" x14ac:dyDescent="0.25">
      <c r="A359" s="162"/>
      <c r="B359" s="162"/>
      <c r="C359" s="162"/>
      <c r="D359" s="162"/>
      <c r="E359" s="162"/>
      <c r="F359" s="162"/>
      <c r="G359" s="162"/>
      <c r="H359" s="162"/>
    </row>
    <row r="360" spans="1:8" x14ac:dyDescent="0.25">
      <c r="A360" s="162"/>
      <c r="B360" s="162"/>
      <c r="C360" s="162"/>
      <c r="D360" s="162"/>
      <c r="E360" s="162"/>
      <c r="F360" s="162"/>
      <c r="G360" s="162"/>
      <c r="H360" s="162"/>
    </row>
    <row r="361" spans="1:8" x14ac:dyDescent="0.25">
      <c r="A361" s="162"/>
      <c r="B361" s="162"/>
      <c r="C361" s="162"/>
      <c r="D361" s="162"/>
      <c r="E361" s="162"/>
      <c r="F361" s="162"/>
      <c r="G361" s="162"/>
      <c r="H361" s="162"/>
    </row>
    <row r="362" spans="1:8" x14ac:dyDescent="0.25">
      <c r="A362" s="9" t="s">
        <v>69</v>
      </c>
      <c r="B362" s="10"/>
      <c r="C362" s="10"/>
      <c r="D362" s="9" t="str">
        <f>E8</f>
        <v>Runwal Gardens Phase 6A Bldg No. 53-54</v>
      </c>
      <c r="F362" s="10"/>
      <c r="G362" s="10"/>
      <c r="H362" s="10"/>
    </row>
    <row r="363" spans="1:8" x14ac:dyDescent="0.25">
      <c r="A363" s="10"/>
      <c r="B363" s="10"/>
      <c r="C363" s="10"/>
      <c r="D363" s="10"/>
      <c r="E363" s="10"/>
      <c r="F363" s="10"/>
      <c r="G363" s="10"/>
      <c r="H363" s="10"/>
    </row>
    <row r="364" spans="1:8" x14ac:dyDescent="0.25">
      <c r="A364" s="10"/>
      <c r="B364" s="10"/>
      <c r="C364" s="10"/>
      <c r="D364" s="10"/>
      <c r="E364" s="10"/>
      <c r="F364" s="10"/>
      <c r="G364" s="10"/>
      <c r="H364" s="10"/>
    </row>
    <row r="365" spans="1:8" ht="15" customHeight="1" x14ac:dyDescent="0.25"/>
    <row r="404" spans="1:8" ht="15.75" customHeight="1" x14ac:dyDescent="0.25">
      <c r="A404" s="10" t="s">
        <v>189</v>
      </c>
      <c r="B404" s="10"/>
      <c r="C404" s="10"/>
      <c r="D404" s="9" t="str">
        <f>E8</f>
        <v>Runwal Gardens Phase 6A Bldg No. 53-54</v>
      </c>
      <c r="F404" s="10"/>
      <c r="G404" s="10"/>
      <c r="H404" s="10"/>
    </row>
    <row r="405" spans="1:8" x14ac:dyDescent="0.25">
      <c r="A405" s="10"/>
      <c r="B405" s="10"/>
      <c r="C405" s="10"/>
      <c r="D405" s="10"/>
      <c r="E405" s="10"/>
      <c r="F405" s="10"/>
      <c r="G405" s="10"/>
      <c r="H405" s="10"/>
    </row>
    <row r="429" spans="1:1" x14ac:dyDescent="0.25">
      <c r="A429" s="12" t="s">
        <v>70</v>
      </c>
    </row>
  </sheetData>
  <mergeCells count="527">
    <mergeCell ref="I10:L10"/>
    <mergeCell ref="L188:M188"/>
    <mergeCell ref="A189:B189"/>
    <mergeCell ref="A190:B190"/>
    <mergeCell ref="A191:B191"/>
    <mergeCell ref="A192:B192"/>
    <mergeCell ref="L158:M158"/>
    <mergeCell ref="A161:B161"/>
    <mergeCell ref="A162:B162"/>
    <mergeCell ref="A173:H173"/>
    <mergeCell ref="L173:M173"/>
    <mergeCell ref="A174:B174"/>
    <mergeCell ref="A175:B175"/>
    <mergeCell ref="A176:B176"/>
    <mergeCell ref="A177:B177"/>
    <mergeCell ref="A160:B160"/>
    <mergeCell ref="A167:B167"/>
    <mergeCell ref="A168:B168"/>
    <mergeCell ref="A169:B169"/>
    <mergeCell ref="A170:B170"/>
    <mergeCell ref="A171:B171"/>
    <mergeCell ref="A172:B172"/>
    <mergeCell ref="C160:F165"/>
    <mergeCell ref="G174:H187"/>
    <mergeCell ref="A180:B180"/>
    <mergeCell ref="L143:M143"/>
    <mergeCell ref="A136:H136"/>
    <mergeCell ref="A137:A138"/>
    <mergeCell ref="F100:H100"/>
    <mergeCell ref="A113:B113"/>
    <mergeCell ref="A139:H139"/>
    <mergeCell ref="A105:E105"/>
    <mergeCell ref="F105:H105"/>
    <mergeCell ref="A106:E106"/>
    <mergeCell ref="F106:H106"/>
    <mergeCell ref="A143:H143"/>
    <mergeCell ref="A112:B112"/>
    <mergeCell ref="D137:D138"/>
    <mergeCell ref="E137:E138"/>
    <mergeCell ref="A141:H141"/>
    <mergeCell ref="A111:B111"/>
    <mergeCell ref="E114:F114"/>
    <mergeCell ref="G114:H114"/>
    <mergeCell ref="C113:D113"/>
    <mergeCell ref="E113:F113"/>
    <mergeCell ref="L124:M124"/>
    <mergeCell ref="A125:B125"/>
    <mergeCell ref="L125:M125"/>
    <mergeCell ref="A121:H121"/>
    <mergeCell ref="A122:H122"/>
    <mergeCell ref="G112:H112"/>
    <mergeCell ref="A107:H107"/>
    <mergeCell ref="A108:B108"/>
    <mergeCell ref="C108:D108"/>
    <mergeCell ref="E108:F108"/>
    <mergeCell ref="A81:B81"/>
    <mergeCell ref="C81:H81"/>
    <mergeCell ref="A76:B76"/>
    <mergeCell ref="A46:B46"/>
    <mergeCell ref="C46:H46"/>
    <mergeCell ref="A61:C61"/>
    <mergeCell ref="D61:H61"/>
    <mergeCell ref="A64:C64"/>
    <mergeCell ref="D64:H64"/>
    <mergeCell ref="A62:C62"/>
    <mergeCell ref="D62:H62"/>
    <mergeCell ref="A58:C58"/>
    <mergeCell ref="A59:C59"/>
    <mergeCell ref="D58:H58"/>
    <mergeCell ref="A75:B75"/>
    <mergeCell ref="A68:B68"/>
    <mergeCell ref="A35:H35"/>
    <mergeCell ref="A34:B34"/>
    <mergeCell ref="C34:E34"/>
    <mergeCell ref="A39:D39"/>
    <mergeCell ref="E39:H39"/>
    <mergeCell ref="D53:H53"/>
    <mergeCell ref="C49:E49"/>
    <mergeCell ref="D56:H56"/>
    <mergeCell ref="C48:E48"/>
    <mergeCell ref="A56:C57"/>
    <mergeCell ref="C36:H36"/>
    <mergeCell ref="D55:H55"/>
    <mergeCell ref="A55:C55"/>
    <mergeCell ref="G48:H48"/>
    <mergeCell ref="A49:B50"/>
    <mergeCell ref="A45:H45"/>
    <mergeCell ref="A37:B37"/>
    <mergeCell ref="F31:H31"/>
    <mergeCell ref="F32:H32"/>
    <mergeCell ref="A38:H38"/>
    <mergeCell ref="E69:F78"/>
    <mergeCell ref="G69:H78"/>
    <mergeCell ref="A77:B77"/>
    <mergeCell ref="A78:B78"/>
    <mergeCell ref="D59:H59"/>
    <mergeCell ref="A41:D41"/>
    <mergeCell ref="E41:H41"/>
    <mergeCell ref="E42:H42"/>
    <mergeCell ref="E43:H43"/>
    <mergeCell ref="E44:H44"/>
    <mergeCell ref="A42:D42"/>
    <mergeCell ref="A43:D43"/>
    <mergeCell ref="A44:D44"/>
    <mergeCell ref="F34:H34"/>
    <mergeCell ref="A36:B36"/>
    <mergeCell ref="A47:B47"/>
    <mergeCell ref="C47:E47"/>
    <mergeCell ref="G47:H47"/>
    <mergeCell ref="G49:H49"/>
    <mergeCell ref="A40:D40"/>
    <mergeCell ref="A51:B51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B137:B138"/>
    <mergeCell ref="A203:H203"/>
    <mergeCell ref="C112:D112"/>
    <mergeCell ref="E112:F112"/>
    <mergeCell ref="B344:H344"/>
    <mergeCell ref="B339:H339"/>
    <mergeCell ref="B340:H340"/>
    <mergeCell ref="A146:B146"/>
    <mergeCell ref="A144:B144"/>
    <mergeCell ref="A145:B145"/>
    <mergeCell ref="A207:B207"/>
    <mergeCell ref="A204:B204"/>
    <mergeCell ref="A140:H140"/>
    <mergeCell ref="A159:B159"/>
    <mergeCell ref="G113:H113"/>
    <mergeCell ref="A114:B114"/>
    <mergeCell ref="C114:D114"/>
    <mergeCell ref="A238:B238"/>
    <mergeCell ref="A188:H188"/>
    <mergeCell ref="A253:H253"/>
    <mergeCell ref="A116:H116"/>
    <mergeCell ref="A117:H117"/>
    <mergeCell ref="A157:B157"/>
    <mergeCell ref="C155:F155"/>
    <mergeCell ref="A355:H355"/>
    <mergeCell ref="A352:H352"/>
    <mergeCell ref="B345:H345"/>
    <mergeCell ref="B343:H343"/>
    <mergeCell ref="A248:B248"/>
    <mergeCell ref="A178:B178"/>
    <mergeCell ref="A179:B179"/>
    <mergeCell ref="A350:H350"/>
    <mergeCell ref="A351:H351"/>
    <mergeCell ref="B348:H348"/>
    <mergeCell ref="A187:B187"/>
    <mergeCell ref="C175:F180"/>
    <mergeCell ref="A186:B186"/>
    <mergeCell ref="A202:B202"/>
    <mergeCell ref="A353:H353"/>
    <mergeCell ref="A338:H338"/>
    <mergeCell ref="B349:H349"/>
    <mergeCell ref="A199:B199"/>
    <mergeCell ref="A200:B200"/>
    <mergeCell ref="A224:B224"/>
    <mergeCell ref="A212:B212"/>
    <mergeCell ref="A213:B213"/>
    <mergeCell ref="A214:B214"/>
    <mergeCell ref="A195:B195"/>
    <mergeCell ref="A358:H361"/>
    <mergeCell ref="A357:B357"/>
    <mergeCell ref="E357:F357"/>
    <mergeCell ref="C357:D357"/>
    <mergeCell ref="G357:H357"/>
    <mergeCell ref="A356:H356"/>
    <mergeCell ref="A354:H354"/>
    <mergeCell ref="A118:A119"/>
    <mergeCell ref="B118:B119"/>
    <mergeCell ref="C118:C119"/>
    <mergeCell ref="D118:D119"/>
    <mergeCell ref="A205:B205"/>
    <mergeCell ref="C137:C138"/>
    <mergeCell ref="E118:E119"/>
    <mergeCell ref="G118:H119"/>
    <mergeCell ref="A196:B196"/>
    <mergeCell ref="A197:B197"/>
    <mergeCell ref="A198:B198"/>
    <mergeCell ref="A201:B201"/>
    <mergeCell ref="A193:B193"/>
    <mergeCell ref="A194:B194"/>
    <mergeCell ref="A128:B128"/>
    <mergeCell ref="A132:B132"/>
    <mergeCell ref="A134:B134"/>
    <mergeCell ref="C145:F150"/>
    <mergeCell ref="G189:H202"/>
    <mergeCell ref="C190:F195"/>
    <mergeCell ref="B341:H341"/>
    <mergeCell ref="B342:H342"/>
    <mergeCell ref="A245:B245"/>
    <mergeCell ref="A247:B247"/>
    <mergeCell ref="A228:B228"/>
    <mergeCell ref="A229:B229"/>
    <mergeCell ref="A230:B230"/>
    <mergeCell ref="A218:H218"/>
    <mergeCell ref="A151:B151"/>
    <mergeCell ref="A152:B152"/>
    <mergeCell ref="A153:B153"/>
    <mergeCell ref="A154:B154"/>
    <mergeCell ref="A155:B155"/>
    <mergeCell ref="A147:B147"/>
    <mergeCell ref="A156:B156"/>
    <mergeCell ref="A158:H158"/>
    <mergeCell ref="A233:H233"/>
    <mergeCell ref="A234:H234"/>
    <mergeCell ref="A236:H236"/>
    <mergeCell ref="A239:B239"/>
    <mergeCell ref="A251:B251"/>
    <mergeCell ref="G137:H138"/>
    <mergeCell ref="A225:B225"/>
    <mergeCell ref="A226:B226"/>
    <mergeCell ref="A227:B227"/>
    <mergeCell ref="A208:B208"/>
    <mergeCell ref="A209:B209"/>
    <mergeCell ref="A142:H142"/>
    <mergeCell ref="A148:B148"/>
    <mergeCell ref="A219:B219"/>
    <mergeCell ref="G219:H232"/>
    <mergeCell ref="A181:B181"/>
    <mergeCell ref="A182:B182"/>
    <mergeCell ref="A183:B183"/>
    <mergeCell ref="A184:B184"/>
    <mergeCell ref="A185:B185"/>
    <mergeCell ref="A206:B206"/>
    <mergeCell ref="G144:H157"/>
    <mergeCell ref="A163:B163"/>
    <mergeCell ref="A164:B164"/>
    <mergeCell ref="A165:B165"/>
    <mergeCell ref="A166:B166"/>
    <mergeCell ref="G159:H172"/>
    <mergeCell ref="A149:B149"/>
    <mergeCell ref="A150:B150"/>
    <mergeCell ref="B347:H347"/>
    <mergeCell ref="A240:B240"/>
    <mergeCell ref="A249:B249"/>
    <mergeCell ref="A250:B250"/>
    <mergeCell ref="A242:B242"/>
    <mergeCell ref="A243:B243"/>
    <mergeCell ref="A244:B244"/>
    <mergeCell ref="A210:B210"/>
    <mergeCell ref="A211:B211"/>
    <mergeCell ref="A215:B215"/>
    <mergeCell ref="A216:B216"/>
    <mergeCell ref="A217:B217"/>
    <mergeCell ref="G204:H217"/>
    <mergeCell ref="A220:B220"/>
    <mergeCell ref="A221:B221"/>
    <mergeCell ref="A222:B222"/>
    <mergeCell ref="A223:B223"/>
    <mergeCell ref="A231:B231"/>
    <mergeCell ref="A232:B232"/>
    <mergeCell ref="C232:F232"/>
    <mergeCell ref="A235:H235"/>
    <mergeCell ref="A237:B237"/>
    <mergeCell ref="A241:B241"/>
    <mergeCell ref="A246:B246"/>
    <mergeCell ref="A82:B82"/>
    <mergeCell ref="E82:F82"/>
    <mergeCell ref="F103:H103"/>
    <mergeCell ref="A104:E104"/>
    <mergeCell ref="E111:F111"/>
    <mergeCell ref="F101:H101"/>
    <mergeCell ref="F104:H104"/>
    <mergeCell ref="F102:H102"/>
    <mergeCell ref="A103:E103"/>
    <mergeCell ref="A110:H110"/>
    <mergeCell ref="C111:D111"/>
    <mergeCell ref="G111:H111"/>
    <mergeCell ref="A99:E99"/>
    <mergeCell ref="F99:H99"/>
    <mergeCell ref="A100:E100"/>
    <mergeCell ref="A102:E102"/>
    <mergeCell ref="F96:H96"/>
    <mergeCell ref="A101:E101"/>
    <mergeCell ref="A96:E96"/>
    <mergeCell ref="F95:H95"/>
    <mergeCell ref="G82:H82"/>
    <mergeCell ref="A83:B83"/>
    <mergeCell ref="E83:F92"/>
    <mergeCell ref="G83:H92"/>
    <mergeCell ref="A94:E94"/>
    <mergeCell ref="F98:H98"/>
    <mergeCell ref="A48:B48"/>
    <mergeCell ref="A52:H52"/>
    <mergeCell ref="A53:C53"/>
    <mergeCell ref="A54:C54"/>
    <mergeCell ref="D54:H54"/>
    <mergeCell ref="G51:H51"/>
    <mergeCell ref="C50:H50"/>
    <mergeCell ref="F97:H97"/>
    <mergeCell ref="A95:E95"/>
    <mergeCell ref="A97:E97"/>
    <mergeCell ref="A98:E98"/>
    <mergeCell ref="C51:E51"/>
    <mergeCell ref="A74:B74"/>
    <mergeCell ref="F94:H94"/>
    <mergeCell ref="A93:H93"/>
    <mergeCell ref="D57:H57"/>
    <mergeCell ref="A79:B79"/>
    <mergeCell ref="C79:H79"/>
    <mergeCell ref="A73:B73"/>
    <mergeCell ref="A60:C60"/>
    <mergeCell ref="D60:H60"/>
    <mergeCell ref="C67:H67"/>
    <mergeCell ref="A70:B70"/>
    <mergeCell ref="A72:B72"/>
    <mergeCell ref="E68:F68"/>
    <mergeCell ref="C37:H37"/>
    <mergeCell ref="A63:C63"/>
    <mergeCell ref="D63:H63"/>
    <mergeCell ref="A69:B69"/>
    <mergeCell ref="G68:H68"/>
    <mergeCell ref="A67:B67"/>
    <mergeCell ref="A65:B65"/>
    <mergeCell ref="C65:H65"/>
    <mergeCell ref="E40:H40"/>
    <mergeCell ref="A71:B71"/>
    <mergeCell ref="A84:B84"/>
    <mergeCell ref="A85:B85"/>
    <mergeCell ref="A86:B86"/>
    <mergeCell ref="A87:B87"/>
    <mergeCell ref="A88:B88"/>
    <mergeCell ref="A89:B89"/>
    <mergeCell ref="L132:M132"/>
    <mergeCell ref="A133:B133"/>
    <mergeCell ref="L133:M133"/>
    <mergeCell ref="G108:H108"/>
    <mergeCell ref="A109:B109"/>
    <mergeCell ref="C109:D109"/>
    <mergeCell ref="E109:F109"/>
    <mergeCell ref="G109:H109"/>
    <mergeCell ref="A115:B115"/>
    <mergeCell ref="C115:D115"/>
    <mergeCell ref="E115:F115"/>
    <mergeCell ref="G115:H115"/>
    <mergeCell ref="A90:B90"/>
    <mergeCell ref="A91:B91"/>
    <mergeCell ref="A92:B92"/>
    <mergeCell ref="A123:H123"/>
    <mergeCell ref="A124:B124"/>
    <mergeCell ref="A120:H120"/>
    <mergeCell ref="L134:M134"/>
    <mergeCell ref="A135:B135"/>
    <mergeCell ref="L135:M135"/>
    <mergeCell ref="L128:M128"/>
    <mergeCell ref="A129:B129"/>
    <mergeCell ref="L129:M129"/>
    <mergeCell ref="A130:B130"/>
    <mergeCell ref="L130:M130"/>
    <mergeCell ref="A131:B131"/>
    <mergeCell ref="L131:M131"/>
    <mergeCell ref="G124:H135"/>
    <mergeCell ref="L126:M126"/>
    <mergeCell ref="A127:B127"/>
    <mergeCell ref="L127:M127"/>
    <mergeCell ref="A126:B126"/>
    <mergeCell ref="A252:B252"/>
    <mergeCell ref="C238:F244"/>
    <mergeCell ref="C248:F248"/>
    <mergeCell ref="G237:H252"/>
    <mergeCell ref="A254:B254"/>
    <mergeCell ref="G254:H269"/>
    <mergeCell ref="A255:B255"/>
    <mergeCell ref="C255:F261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H270"/>
    <mergeCell ref="A271:B271"/>
    <mergeCell ref="G271:H286"/>
    <mergeCell ref="A272:B272"/>
    <mergeCell ref="C272:F278"/>
    <mergeCell ref="A273:B273"/>
    <mergeCell ref="A274:B274"/>
    <mergeCell ref="A275:B275"/>
    <mergeCell ref="A276:B276"/>
    <mergeCell ref="A277:B277"/>
    <mergeCell ref="A278:B278"/>
    <mergeCell ref="A279:B279"/>
    <mergeCell ref="A280:B280"/>
    <mergeCell ref="A281:B281"/>
    <mergeCell ref="A282:B282"/>
    <mergeCell ref="A283:B283"/>
    <mergeCell ref="A284:B284"/>
    <mergeCell ref="A285:B285"/>
    <mergeCell ref="A286:B286"/>
    <mergeCell ref="A287:H287"/>
    <mergeCell ref="A288:B288"/>
    <mergeCell ref="G288:H303"/>
    <mergeCell ref="A289:B289"/>
    <mergeCell ref="C289:F295"/>
    <mergeCell ref="A290:B290"/>
    <mergeCell ref="A291:B291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4:H304"/>
    <mergeCell ref="A305:B305"/>
    <mergeCell ref="G305:H320"/>
    <mergeCell ref="A306:B306"/>
    <mergeCell ref="A307:B307"/>
    <mergeCell ref="A308:B308"/>
    <mergeCell ref="A309:B309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318:B318"/>
    <mergeCell ref="A319:B319"/>
    <mergeCell ref="A320:B320"/>
    <mergeCell ref="B346:H346"/>
    <mergeCell ref="A321:H321"/>
    <mergeCell ref="A322:B322"/>
    <mergeCell ref="G322:H337"/>
    <mergeCell ref="A323:B323"/>
    <mergeCell ref="A324:B324"/>
    <mergeCell ref="A325:B325"/>
    <mergeCell ref="A326:B326"/>
    <mergeCell ref="A327:B327"/>
    <mergeCell ref="A333:B333"/>
    <mergeCell ref="A334:B334"/>
    <mergeCell ref="A335:B335"/>
    <mergeCell ref="A336:B336"/>
    <mergeCell ref="C332:F332"/>
    <mergeCell ref="C336:F336"/>
    <mergeCell ref="A337:B337"/>
    <mergeCell ref="A328:B328"/>
    <mergeCell ref="A329:B329"/>
    <mergeCell ref="A330:B330"/>
    <mergeCell ref="A331:B331"/>
    <mergeCell ref="A332:B332"/>
  </mergeCells>
  <hyperlinks>
    <hyperlink ref="C37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92" max="16383" man="1"/>
    <brk id="136" max="7" man="1"/>
    <brk id="349" max="16383" man="1"/>
    <brk id="361" max="16383" man="1"/>
    <brk id="403" max="7" man="1"/>
    <brk id="428" max="16383" man="1"/>
  </rowBreaks>
  <colBreaks count="1" manualBreakCount="1">
    <brk id="1" max="467" man="1"/>
  </col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8"/>
    <col min="2" max="2" width="22.140625" style="18" customWidth="1"/>
    <col min="3" max="3" width="37" style="18" customWidth="1"/>
    <col min="4" max="5" width="11.42578125" style="18" customWidth="1"/>
    <col min="6" max="6" width="14" style="18" customWidth="1"/>
    <col min="7" max="7" width="20" style="18" customWidth="1"/>
    <col min="8" max="8" width="16.42578125" style="18" customWidth="1"/>
    <col min="9" max="16384" width="8.7109375" style="18"/>
  </cols>
  <sheetData>
    <row r="1" spans="1:9" ht="15" customHeight="1" x14ac:dyDescent="0.25"/>
    <row r="2" spans="1:9" ht="15" customHeight="1" x14ac:dyDescent="0.25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25">
      <c r="A3" s="19"/>
      <c r="B3" s="211" t="s">
        <v>113</v>
      </c>
      <c r="C3" s="211"/>
      <c r="D3" s="211"/>
      <c r="E3" s="211"/>
      <c r="F3" s="211"/>
      <c r="G3" s="211"/>
      <c r="H3" s="211"/>
    </row>
    <row r="4" spans="1:9" x14ac:dyDescent="0.25">
      <c r="A4" s="19"/>
      <c r="B4" s="20" t="s">
        <v>114</v>
      </c>
      <c r="C4" s="20" t="s">
        <v>115</v>
      </c>
      <c r="D4" s="20" t="s">
        <v>72</v>
      </c>
      <c r="E4" s="20" t="s">
        <v>116</v>
      </c>
      <c r="F4" s="20" t="s">
        <v>122</v>
      </c>
      <c r="G4" s="20" t="s">
        <v>123</v>
      </c>
      <c r="H4" s="20" t="s">
        <v>117</v>
      </c>
    </row>
    <row r="5" spans="1:9" ht="15" customHeight="1" x14ac:dyDescent="0.25">
      <c r="A5" s="19"/>
      <c r="B5" s="22" t="s">
        <v>118</v>
      </c>
      <c r="C5" s="23"/>
      <c r="D5" s="22"/>
      <c r="E5" s="22"/>
      <c r="F5" s="24">
        <f>E5*1.6</f>
        <v>0</v>
      </c>
      <c r="G5" s="24" t="e">
        <f>H5/F5</f>
        <v>#DIV/0!</v>
      </c>
      <c r="H5" s="25"/>
    </row>
    <row r="6" spans="1:9" x14ac:dyDescent="0.25">
      <c r="A6" s="19"/>
      <c r="B6" s="22" t="s">
        <v>118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25">
      <c r="A7" s="19"/>
      <c r="B7" s="22" t="s">
        <v>118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25">
      <c r="A8" s="19"/>
      <c r="B8" s="22" t="s">
        <v>118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25">
      <c r="A9" s="19"/>
      <c r="B9" s="22" t="s">
        <v>118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25">
      <c r="A10" s="19"/>
      <c r="B10" s="22" t="s">
        <v>119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25">
      <c r="A11" s="19"/>
      <c r="B11" s="22" t="s">
        <v>119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25">
      <c r="A12" s="19"/>
      <c r="B12" s="27" t="s">
        <v>120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25">
      <c r="B13" s="27" t="s">
        <v>121</v>
      </c>
      <c r="C13" s="22"/>
      <c r="D13" s="22"/>
      <c r="E13" s="22"/>
      <c r="F13" s="29"/>
      <c r="G13" s="27"/>
      <c r="H13" s="27"/>
      <c r="I13" s="21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2025-07-16T07:57:27Z</cp:lastPrinted>
  <dcterms:created xsi:type="dcterms:W3CDTF">2019-07-16T09:29:46Z</dcterms:created>
  <dcterms:modified xsi:type="dcterms:W3CDTF">2025-07-16T08:04:08Z</dcterms:modified>
</cp:coreProperties>
</file>