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July 25\Dump\"/>
    </mc:Choice>
  </mc:AlternateContent>
  <xr:revisionPtr revIDLastSave="0" documentId="13_ncr:1_{4E5C561F-9A7B-447B-985A-8FC870780DB4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Report!$A$1:$H$353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8" i="1" l="1"/>
  <c r="L127" i="1" l="1"/>
  <c r="L126" i="1"/>
  <c r="L184" i="1"/>
  <c r="E199" i="1" l="1"/>
  <c r="D208" i="1"/>
  <c r="F208" i="1" s="1"/>
  <c r="D207" i="1"/>
  <c r="F207" i="1" s="1"/>
  <c r="D206" i="1"/>
  <c r="F206" i="1" s="1"/>
  <c r="D205" i="1"/>
  <c r="F205" i="1" s="1"/>
  <c r="D204" i="1"/>
  <c r="F204" i="1" s="1"/>
  <c r="A204" i="1"/>
  <c r="A205" i="1" s="1"/>
  <c r="A206" i="1" s="1"/>
  <c r="A207" i="1" s="1"/>
  <c r="A208" i="1" s="1"/>
  <c r="G203" i="1"/>
  <c r="D203" i="1"/>
  <c r="F203" i="1" s="1"/>
  <c r="I142" i="1"/>
  <c r="D173" i="1"/>
  <c r="D172" i="1"/>
  <c r="D171" i="1"/>
  <c r="D170" i="1"/>
  <c r="D169" i="1"/>
  <c r="D165" i="1"/>
  <c r="D163" i="1"/>
  <c r="D160" i="1"/>
  <c r="D159" i="1"/>
  <c r="D158" i="1"/>
  <c r="D152" i="1"/>
  <c r="D149" i="1"/>
  <c r="D148" i="1"/>
  <c r="D147" i="1"/>
  <c r="D146" i="1"/>
  <c r="D145" i="1"/>
  <c r="D144" i="1"/>
  <c r="D143" i="1"/>
  <c r="D142" i="1"/>
  <c r="I135" i="1"/>
  <c r="D138" i="1"/>
  <c r="E3" i="1" l="1"/>
  <c r="J85" i="1" l="1"/>
  <c r="J84" i="1"/>
  <c r="J83" i="1"/>
  <c r="J82" i="1"/>
  <c r="D225" i="1" l="1"/>
  <c r="D228" i="1"/>
  <c r="D192" i="1"/>
  <c r="D191" i="1"/>
  <c r="D194" i="1"/>
  <c r="D161" i="1"/>
  <c r="D162" i="1"/>
  <c r="D156" i="1"/>
  <c r="D155" i="1"/>
  <c r="D154" i="1"/>
  <c r="A185" i="1" l="1"/>
  <c r="G184" i="1"/>
  <c r="D184" i="1"/>
  <c r="F184" i="1" s="1"/>
  <c r="D222" i="1"/>
  <c r="F222" i="1" s="1"/>
  <c r="D220" i="1"/>
  <c r="F220" i="1" s="1"/>
  <c r="D219" i="1"/>
  <c r="F219" i="1" s="1"/>
  <c r="D218" i="1"/>
  <c r="F218" i="1" s="1"/>
  <c r="A218" i="1"/>
  <c r="A219" i="1" s="1"/>
  <c r="A220" i="1" s="1"/>
  <c r="A221" i="1" s="1"/>
  <c r="A222" i="1" s="1"/>
  <c r="G217" i="1"/>
  <c r="D217" i="1"/>
  <c r="F217" i="1" s="1"/>
  <c r="D243" i="1"/>
  <c r="F243" i="1" s="1"/>
  <c r="D242" i="1"/>
  <c r="F242" i="1" s="1"/>
  <c r="D240" i="1"/>
  <c r="F240" i="1" s="1"/>
  <c r="D237" i="1"/>
  <c r="F237" i="1" s="1"/>
  <c r="A241" i="1"/>
  <c r="A242" i="1" s="1"/>
  <c r="A243" i="1" s="1"/>
  <c r="G240" i="1"/>
  <c r="D238" i="1"/>
  <c r="F238" i="1" s="1"/>
  <c r="A236" i="1"/>
  <c r="A237" i="1" s="1"/>
  <c r="A238" i="1" s="1"/>
  <c r="G235" i="1"/>
  <c r="D235" i="1"/>
  <c r="F235" i="1" s="1"/>
  <c r="D231" i="1"/>
  <c r="F231" i="1" s="1"/>
  <c r="D232" i="1"/>
  <c r="F232" i="1" s="1"/>
  <c r="D233" i="1"/>
  <c r="F233" i="1" s="1"/>
  <c r="D230" i="1"/>
  <c r="F230" i="1" s="1"/>
  <c r="G230" i="1"/>
  <c r="A231" i="1"/>
  <c r="A232" i="1" s="1"/>
  <c r="A233" i="1" s="1"/>
  <c r="D215" i="1"/>
  <c r="F215" i="1" s="1"/>
  <c r="D213" i="1"/>
  <c r="F213" i="1" s="1"/>
  <c r="D212" i="1"/>
  <c r="F212" i="1" s="1"/>
  <c r="D211" i="1"/>
  <c r="F211" i="1" s="1"/>
  <c r="A211" i="1"/>
  <c r="A212" i="1" s="1"/>
  <c r="A213" i="1" s="1"/>
  <c r="A214" i="1" s="1"/>
  <c r="A215" i="1" s="1"/>
  <c r="G210" i="1"/>
  <c r="D210" i="1"/>
  <c r="F210" i="1" s="1"/>
  <c r="A188" i="1"/>
  <c r="G187" i="1"/>
  <c r="D187" i="1"/>
  <c r="F187" i="1" s="1"/>
  <c r="D201" i="1"/>
  <c r="F201" i="1" s="1"/>
  <c r="D200" i="1"/>
  <c r="F200" i="1" s="1"/>
  <c r="F191" i="1"/>
  <c r="D199" i="1"/>
  <c r="F199" i="1" s="1"/>
  <c r="D198" i="1"/>
  <c r="F198" i="1" s="1"/>
  <c r="D197" i="1"/>
  <c r="F197" i="1" s="1"/>
  <c r="D196" i="1"/>
  <c r="G196" i="1"/>
  <c r="A197" i="1"/>
  <c r="A198" i="1" s="1"/>
  <c r="A199" i="1" s="1"/>
  <c r="A200" i="1" s="1"/>
  <c r="A201" i="1" s="1"/>
  <c r="D182" i="1"/>
  <c r="F182" i="1" s="1"/>
  <c r="I182" i="1" s="1"/>
  <c r="D181" i="1"/>
  <c r="A182" i="1"/>
  <c r="G181" i="1"/>
  <c r="E228" i="1"/>
  <c r="E225" i="1"/>
  <c r="A226" i="1"/>
  <c r="A227" i="1" s="1"/>
  <c r="A228" i="1" s="1"/>
  <c r="G225" i="1"/>
  <c r="E194" i="1"/>
  <c r="E192" i="1"/>
  <c r="A193" i="1"/>
  <c r="A194" i="1" s="1"/>
  <c r="G191" i="1"/>
  <c r="G192" i="1" s="1"/>
  <c r="G193" i="1" s="1"/>
  <c r="G194" i="1" s="1"/>
  <c r="F155" i="1"/>
  <c r="F154" i="1"/>
  <c r="D139" i="1"/>
  <c r="F139" i="1" s="1"/>
  <c r="D137" i="1"/>
  <c r="F137" i="1" s="1"/>
  <c r="F171" i="1"/>
  <c r="F172" i="1"/>
  <c r="F173" i="1"/>
  <c r="F170" i="1"/>
  <c r="F169" i="1"/>
  <c r="D168" i="1"/>
  <c r="F168" i="1" s="1"/>
  <c r="D167" i="1"/>
  <c r="F167" i="1" s="1"/>
  <c r="D166" i="1"/>
  <c r="F166" i="1" s="1"/>
  <c r="F165" i="1"/>
  <c r="D164" i="1"/>
  <c r="F164" i="1" s="1"/>
  <c r="F163" i="1"/>
  <c r="F162" i="1"/>
  <c r="F161" i="1"/>
  <c r="F160" i="1"/>
  <c r="F159" i="1"/>
  <c r="D157" i="1"/>
  <c r="F157" i="1" s="1"/>
  <c r="F158" i="1"/>
  <c r="F156" i="1"/>
  <c r="D153" i="1"/>
  <c r="F153" i="1" s="1"/>
  <c r="D151" i="1"/>
  <c r="F151" i="1" s="1"/>
  <c r="D150" i="1"/>
  <c r="F150" i="1" s="1"/>
  <c r="F149" i="1"/>
  <c r="F148" i="1"/>
  <c r="F147" i="1"/>
  <c r="F146" i="1"/>
  <c r="F145" i="1"/>
  <c r="F144" i="1"/>
  <c r="F143" i="1"/>
  <c r="F142" i="1"/>
  <c r="D141" i="1"/>
  <c r="F141" i="1" s="1"/>
  <c r="D140" i="1"/>
  <c r="F140" i="1" s="1"/>
  <c r="F138" i="1"/>
  <c r="D136" i="1"/>
  <c r="F136" i="1" s="1"/>
  <c r="D135" i="1"/>
  <c r="G135" i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E119" i="1" l="1"/>
  <c r="C119" i="1"/>
  <c r="E124" i="1"/>
  <c r="C124" i="1"/>
  <c r="F196" i="1"/>
  <c r="G125" i="1" s="1"/>
  <c r="C125" i="1"/>
  <c r="E125" i="1"/>
  <c r="C126" i="1"/>
  <c r="E126" i="1"/>
  <c r="E120" i="1"/>
  <c r="C120" i="1"/>
  <c r="F152" i="1"/>
  <c r="G120" i="1" s="1"/>
  <c r="F135" i="1"/>
  <c r="G119" i="1" s="1"/>
  <c r="F225" i="1"/>
  <c r="F228" i="1"/>
  <c r="G154" i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F194" i="1"/>
  <c r="F181" i="1"/>
  <c r="F192" i="1"/>
  <c r="D57" i="1"/>
  <c r="C127" i="1" l="1"/>
  <c r="K181" i="1"/>
  <c r="L181" i="1" s="1"/>
  <c r="M181" i="1" s="1"/>
  <c r="Q181" i="1" s="1"/>
  <c r="G124" i="1"/>
  <c r="G126" i="1"/>
  <c r="J181" i="1"/>
  <c r="G121" i="1"/>
  <c r="C121" i="1"/>
  <c r="E121" i="1"/>
  <c r="E127" i="1"/>
  <c r="C88" i="1"/>
  <c r="J99" i="1"/>
  <c r="J98" i="1"/>
  <c r="J71" i="1"/>
  <c r="J70" i="1"/>
  <c r="H89" i="1"/>
  <c r="H61" i="1"/>
  <c r="C128" i="1" l="1"/>
  <c r="E128" i="1"/>
  <c r="G127" i="1"/>
  <c r="G128" i="1" s="1"/>
  <c r="D94" i="1"/>
  <c r="J92" i="1"/>
  <c r="J94" i="1"/>
  <c r="J95" i="1" s="1"/>
  <c r="J100" i="1" s="1"/>
  <c r="D101" i="1"/>
  <c r="D97" i="1"/>
  <c r="J93" i="1"/>
  <c r="J91" i="1"/>
  <c r="D99" i="1"/>
  <c r="D95" i="1"/>
  <c r="D98" i="1"/>
  <c r="D100" i="1"/>
  <c r="D96" i="1"/>
  <c r="D66" i="1"/>
  <c r="D72" i="1"/>
  <c r="J64" i="1"/>
  <c r="D73" i="1"/>
  <c r="D69" i="1"/>
  <c r="J65" i="1"/>
  <c r="C64" i="1" s="1"/>
  <c r="D64" i="1" s="1"/>
  <c r="J63" i="1"/>
  <c r="D68" i="1"/>
  <c r="D71" i="1"/>
  <c r="D67" i="1"/>
  <c r="J66" i="1"/>
  <c r="J67" i="1" s="1"/>
  <c r="J72" i="1" s="1"/>
  <c r="D70" i="1"/>
  <c r="G46" i="1"/>
  <c r="H75" i="1"/>
  <c r="C92" i="1" l="1"/>
  <c r="D92" i="1" s="1"/>
  <c r="D87" i="1"/>
  <c r="D85" i="1"/>
  <c r="D83" i="1"/>
  <c r="D81" i="1"/>
  <c r="J80" i="1"/>
  <c r="J81" i="1" s="1"/>
  <c r="J86" i="1" s="1"/>
  <c r="J87" i="1" s="1"/>
  <c r="C79" i="1" s="1"/>
  <c r="D84" i="1"/>
  <c r="D80" i="1"/>
  <c r="J77" i="1"/>
  <c r="D86" i="1"/>
  <c r="D82" i="1"/>
  <c r="J78" i="1"/>
  <c r="J79" i="1"/>
  <c r="C78" i="1" s="1"/>
  <c r="D78" i="1" s="1"/>
  <c r="J96" i="1"/>
  <c r="J97" i="1" s="1"/>
  <c r="J68" i="1"/>
  <c r="J69" i="1" s="1"/>
  <c r="A247" i="1"/>
  <c r="A248" i="1" s="1"/>
  <c r="A249" i="1" s="1"/>
  <c r="A250" i="1" s="1"/>
  <c r="A251" i="1" l="1"/>
  <c r="E78" i="1"/>
  <c r="I74" i="1" s="1"/>
  <c r="C76" i="1" s="1"/>
  <c r="D79" i="1"/>
  <c r="G78" i="1"/>
  <c r="J101" i="1"/>
  <c r="C93" i="1" s="1"/>
  <c r="J73" i="1"/>
  <c r="C65" i="1" s="1"/>
  <c r="E92" i="1" l="1"/>
  <c r="I88" i="1" s="1"/>
  <c r="C90" i="1" s="1"/>
  <c r="D93" i="1"/>
  <c r="G92" i="1"/>
  <c r="E64" i="1"/>
  <c r="I60" i="1" s="1"/>
  <c r="C62" i="1" s="1"/>
  <c r="D65" i="1"/>
  <c r="G64" i="1"/>
  <c r="D59" i="1" l="1"/>
  <c r="F102" i="1" s="1"/>
  <c r="C13" i="1" l="1"/>
  <c r="E40" i="1" l="1"/>
  <c r="E41" i="1" s="1"/>
  <c r="E24" i="1" l="1"/>
  <c r="E22" i="1"/>
  <c r="F6" i="5" l="1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12" i="5" l="1"/>
  <c r="E7" i="1" l="1"/>
  <c r="D270" i="1" l="1"/>
  <c r="F116" i="1"/>
  <c r="C46" i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<sst xmlns="http://schemas.openxmlformats.org/spreadsheetml/2006/main" count="526" uniqueCount="270">
  <si>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</si>
  <si>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</si>
  <si>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</si>
  <si>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</si>
  <si>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</si>
  <si>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</si>
  <si>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</si>
  <si>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</si>
  <si>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</si>
  <si>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</si>
  <si>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</si>
  <si>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</si>
  <si>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</si>
  <si>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</si>
  <si>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</si>
  <si>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</si>
  <si>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</si>
  <si>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</si>
  <si>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</si>
  <si>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</si>
  <si>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</si>
  <si>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</si>
  <si>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</si>
  <si>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</si>
  <si>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</si>
  <si>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</si>
  <si>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</si>
  <si>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</si>
  <si>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</si>
  <si>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</si>
  <si>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</si>
  <si>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</si>
  <si>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</si>
  <si>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</si>
  <si>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</si>
  <si>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</si>
  <si>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</si>
  <si>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</si>
  <si>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</si>
  <si>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</si>
  <si>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</si>
  <si>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</si>
  <si>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</si>
  <si>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</si>
  <si>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</si>
  <si>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</si>
  <si>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</si>
  <si>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</si>
  <si>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</si>
  <si>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</si>
  <si>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</si>
  <si>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</si>
  <si>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</si>
  <si>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</si>
  <si>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</si>
  <si>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</si>
  <si>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</si>
  <si>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</si>
  <si>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</si>
  <si>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</si>
  <si>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</si>
  <si>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</si>
  <si>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</si>
  <si>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</si>
  <si>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</si>
  <si>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</si>
  <si>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</si>
  <si>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</si>
  <si>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</si>
  <si>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</si>
  <si>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</si>
  <si>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</si>
  <si>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</si>
  <si>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</si>
  <si>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</si>
  <si>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</si>
  <si>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</si>
  <si>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</si>
  <si>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</si>
  <si>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</si>
  <si>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</si>
  <si>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</si>
  <si>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</si>
  <si>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</si>
  <si>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</si>
  <si>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</si>
  <si>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</si>
  <si>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</si>
  <si>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</si>
  <si>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</si>
  <si>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</si>
  <si>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</si>
  <si>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</si>
  <si>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</si>
  <si>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</si>
  <si>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</si>
  <si>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</si>
  <si>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</si>
  <si>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</si>
  <si>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</si>
  <si>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</si>
  <si>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</si>
  <si>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</si>
  <si>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</si>
  <si>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</si>
  <si>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</si>
  <si>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</si>
  <si>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</si>
  <si>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</si>
  <si>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</si>
  <si>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</si>
  <si>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</si>
  <si>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</si>
  <si>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</si>
  <si>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</si>
  <si>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</si>
  <si>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</si>
  <si>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</si>
  <si>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</si>
  <si>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</si>
  <si>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</si>
  <si>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</si>
  <si>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</si>
  <si>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</si>
  <si>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</si>
  <si>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</si>
  <si>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</si>
  <si>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</si>
  <si>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</si>
  <si>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</si>
  <si>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Legal Services Charges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</si>
  <si>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</si>
  <si>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</si>
  <si>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</si>
  <si>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</si>
  <si>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</si>
  <si>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</si>
  <si>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</si>
  <si>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</si>
  <si>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</si>
  <si>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</si>
  <si>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</si>
  <si>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</si>
  <si>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</si>
  <si>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</si>
  <si>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</si>
  <si>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</si>
  <si>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</si>
  <si>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</si>
  <si>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</si>
  <si>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</si>
  <si>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</si>
  <si>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</si>
  <si>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</si>
  <si>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</si>
  <si>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</si>
  <si>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</si>
  <si>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</si>
  <si>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</si>
  <si>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</si>
  <si>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</si>
  <si>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</si>
  <si>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</si>
  <si>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</si>
  <si>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</si>
  <si>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</si>
  <si>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</si>
  <si>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</si>
  <si>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</si>
  <si>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</si>
  <si>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</si>
  <si>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</si>
  <si>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</si>
  <si>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</si>
  <si>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</si>
  <si>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</si>
  <si>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</si>
  <si>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</si>
  <si>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</si>
  <si>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</si>
  <si>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</si>
  <si>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</si>
  <si>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</si>
  <si>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</si>
  <si>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</si>
  <si>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M/s.Shree Sukhakarta Developers Pvt.Ltd.</t>
  </si>
  <si>
    <t>Axis Sanpada</t>
  </si>
  <si>
    <t>Ruparel Regalia</t>
  </si>
  <si>
    <t>Rashmi Ruparel - 9833440194/022-24391100</t>
  </si>
  <si>
    <t xml:space="preserve">P51900009359
</t>
  </si>
  <si>
    <t>Mumbai</t>
  </si>
  <si>
    <t>12(Pt)</t>
  </si>
  <si>
    <t>SRA/ENG/3294/FN/ML/AP</t>
  </si>
  <si>
    <t>Sion Koliwaada</t>
  </si>
  <si>
    <t>Sion</t>
  </si>
  <si>
    <t>Ward Fnorth</t>
  </si>
  <si>
    <t>Wing A</t>
  </si>
  <si>
    <t>Wing B</t>
  </si>
  <si>
    <t>Wing C</t>
  </si>
  <si>
    <t xml:space="preserve">Ground Floor for Commercial &amp; Parking </t>
  </si>
  <si>
    <t>Rehab</t>
  </si>
  <si>
    <t>Shop</t>
  </si>
  <si>
    <t>Sale</t>
  </si>
  <si>
    <t>1st Floor for Parking</t>
  </si>
  <si>
    <t>1st Floor for Residential</t>
  </si>
  <si>
    <t>Commercial</t>
  </si>
  <si>
    <t>2BHK</t>
  </si>
  <si>
    <t>1st Floor for Residential &amp; Amenities</t>
  </si>
  <si>
    <t>15th Floor(Part Refuge Floor)</t>
  </si>
  <si>
    <t>Refuge Area</t>
  </si>
  <si>
    <t>8th Floor(Part Refuge Floor)</t>
  </si>
  <si>
    <t>Dr. Ambedkar Marg</t>
  </si>
  <si>
    <t>0.35Km from GTB Nagar Railway Station</t>
  </si>
  <si>
    <t>We considered Gross carpet area = Net carpet.</t>
  </si>
  <si>
    <t>We considered  Saleable area  as per our calculation.</t>
  </si>
  <si>
    <t>Rehab Shop</t>
  </si>
  <si>
    <t>Sale Shop</t>
  </si>
  <si>
    <t>8,00,000/-</t>
  </si>
  <si>
    <t>Wing C = Gr + 1st to 22nd Floor</t>
  </si>
  <si>
    <t>CTS No</t>
  </si>
  <si>
    <t>Om Shakti CHS</t>
  </si>
  <si>
    <t>Open Plot</t>
  </si>
  <si>
    <t>Slum</t>
  </si>
  <si>
    <t>03 Wings</t>
  </si>
  <si>
    <t>Duplex Shop</t>
  </si>
  <si>
    <t>Wing A &amp; B = Gr + 1st to 22nd Floor</t>
  </si>
  <si>
    <t>20, 21, 22</t>
  </si>
  <si>
    <t>Merged Rehab</t>
  </si>
  <si>
    <t>Ground Floor for Parking</t>
  </si>
  <si>
    <t>Wing B, C, D</t>
  </si>
  <si>
    <t>1BHK</t>
  </si>
  <si>
    <t>20/- per Sq.ft from 2nd Floor</t>
  </si>
  <si>
    <t>Floor Rise Rate Per Sq.ft ( on Saleable area)</t>
  </si>
  <si>
    <t>25,000/-</t>
  </si>
  <si>
    <t>2,50,000/-</t>
  </si>
  <si>
    <t>1,00,000/-</t>
  </si>
  <si>
    <t>Water, Electricity Charges</t>
  </si>
  <si>
    <t>MGL Connection</t>
  </si>
  <si>
    <t>10,000/-</t>
  </si>
  <si>
    <t xml:space="preserve">Development Charges </t>
  </si>
  <si>
    <t>Wing B = Gr + 1st to 22nd Floor</t>
  </si>
  <si>
    <t>Wing A = Gr + 1st to 22nd Floor</t>
  </si>
  <si>
    <t>Recommended rate should be considered as all inclusive rate if other charges are not mentioned. (Excluding GST &amp; other government Taxes)</t>
  </si>
  <si>
    <t>On Site, we meet Mr.Ravi - 8369551243.</t>
  </si>
  <si>
    <t>As per RERA - 30/12/2023</t>
  </si>
  <si>
    <t>Valid Up to: This CC is further extended from 6th to 22nd upper floor including LMR &amp; OHWT of wing A &amp; B of composite Bldg No.2 as per last Approved Amended Plans dated. 14/12/2021.</t>
  </si>
  <si>
    <t>2nd to 7th, 9th to 14th, 16th to 22nd Floor for Residential</t>
  </si>
  <si>
    <t>2nd Floor for Residential</t>
  </si>
  <si>
    <t>3rd to 7th, 9th to 14th, 16th to 22nd Floor</t>
  </si>
  <si>
    <t>Society Office</t>
  </si>
  <si>
    <t xml:space="preserve">Commercial </t>
  </si>
  <si>
    <t xml:space="preserve">Flats - 248, Rehab Shops - 23, Sale Shop - 16 </t>
  </si>
  <si>
    <t>As per latest approved floor plans, Rehab duplex shop no. 20, 21 &amp; 22 are merged into one unit.</t>
  </si>
  <si>
    <t>We have updated latest CC &amp; approved floor plan of building no.02 (on 01/03/2023).</t>
  </si>
  <si>
    <t>Approved Plans, CC</t>
  </si>
  <si>
    <t xml:space="preserve">Office No. 1031, Wing J, Akshar Business Park, Plot No. 03 Sector 25, Near APMC Market, 
Vashi, Navi Mumbai, Maharashtra 400703 TEL: 022-46090378/79/8
E mail : vsjcapf@gmail.com. Web site : www.vsjadon.com </t>
  </si>
  <si>
    <t>Latitude, Longitude</t>
  </si>
  <si>
    <t>19.0371679813,72.86758137</t>
  </si>
  <si>
    <t>Location Link</t>
  </si>
  <si>
    <t>https://goo.gl/maps/MMVMiB5H1kYvB1ei8?coh=178572&amp;entry=tt</t>
  </si>
  <si>
    <t>Grand Total</t>
  </si>
  <si>
    <t>As per RERA, completion period of project Ruparel Regalia has expired on 30/12/2023 but still project is under construction.</t>
  </si>
  <si>
    <t>As per our observation, the construction work of ruparel projects (Ruparel Jewel, Ruparel
Regalia, Ruparel Millennia, etc.) seems to be on a slow speed since last year.</t>
  </si>
  <si>
    <t>Karan Misal</t>
  </si>
  <si>
    <t>Wing A = Gr + 1st to 22nd Floor
Wing B = Gr + 1st to 22nd Floor
Wing C = Gr + 1st to 22nd Floor
Wing D = Gr + 1st to 8th Floor (Reservation for MCGM)</t>
  </si>
  <si>
    <t>Construction work is same as last visit (17/04/2024).</t>
  </si>
  <si>
    <t>Building No.2 - Wing A to C</t>
  </si>
  <si>
    <t>Construction work is the same as last visit (dtd. 13/10/2024)</t>
  </si>
  <si>
    <t>Gaurav Panchal</t>
  </si>
  <si>
    <t>Wing A &amp; B = Construction work is in process at the time of Visit.(Slow Speed) (Internal vist not allowed)
Wing C = Construction work is in process at the time of the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</si>
</sst>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26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17" fillId="0" borderId="13" xfId="0" applyNumberFormat="1" applyFont="1" applyBorder="1" applyProtection="1">
      <protection hidden="1"/>
    </xf>
    <xf numFmtId="0" fontId="7" fillId="0" borderId="11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4" xfId="0" applyFont="1" applyFill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3" xfId="1" applyNumberFormat="1" applyFont="1" applyFill="1" applyBorder="1" applyAlignment="1" applyProtection="1">
      <alignment horizontal="center" vertical="top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top" wrapText="1"/>
      <protection locked="0"/>
    </xf>
    <xf numFmtId="1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1" fontId="8" fillId="0" borderId="23" xfId="1" applyNumberFormat="1" applyFont="1" applyFill="1" applyBorder="1" applyAlignment="1" applyProtection="1">
      <alignment horizontal="center" vertical="top" wrapText="1"/>
      <protection locked="0"/>
    </xf>
    <xf numFmtId="1" fontId="23" fillId="0" borderId="9" xfId="0" applyNumberFormat="1" applyFont="1" applyFill="1" applyBorder="1" applyAlignment="1" applyProtection="1">
      <alignment vertical="top" wrapText="1"/>
      <protection locked="0"/>
    </xf>
    <xf numFmtId="1" fontId="23" fillId="0" borderId="24" xfId="0" applyNumberFormat="1" applyFont="1" applyFill="1" applyBorder="1" applyAlignment="1" applyProtection="1">
      <alignment vertical="top" wrapText="1"/>
      <protection locked="0"/>
    </xf>
    <xf numFmtId="1" fontId="23" fillId="0" borderId="10" xfId="0" applyNumberFormat="1" applyFont="1" applyFill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24" fillId="0" borderId="9" xfId="9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27" xfId="1" applyFont="1" applyFill="1" applyBorder="1" applyAlignment="1" applyProtection="1">
      <alignment horizontal="left" vertical="top" wrapText="1"/>
      <protection locked="0"/>
    </xf>
    <xf numFmtId="0" fontId="12" fillId="0" borderId="28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12" fillId="0" borderId="29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1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26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24" xfId="0" applyNumberFormat="1" applyFont="1" applyFill="1" applyBorder="1" applyAlignment="1" applyProtection="1">
      <alignment vertical="top" wrapText="1"/>
      <protection locked="0"/>
    </xf>
    <xf numFmtId="1" fontId="13" fillId="0" borderId="10" xfId="0" applyNumberFormat="1" applyFont="1" applyFill="1" applyBorder="1" applyAlignment="1" applyProtection="1">
      <alignment vertical="top" wrapText="1"/>
      <protection locked="0"/>
    </xf>
    <xf numFmtId="1" fontId="10" fillId="0" borderId="9" xfId="0" applyNumberFormat="1" applyFont="1" applyFill="1" applyBorder="1" applyAlignment="1" applyProtection="1">
      <alignment vertical="top" wrapText="1"/>
      <protection locked="0"/>
    </xf>
    <xf numFmtId="1" fontId="10" fillId="0" borderId="24" xfId="0" applyNumberFormat="1" applyFont="1" applyFill="1" applyBorder="1" applyAlignment="1" applyProtection="1">
      <alignment vertical="top" wrapText="1"/>
      <protection locked="0"/>
    </xf>
    <xf numFmtId="1" fontId="10" fillId="0" borderId="10" xfId="0" applyNumberFormat="1" applyFont="1" applyFill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0" fontId="8" fillId="0" borderId="19" xfId="1" applyFont="1" applyFill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23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30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1" fontId="10" fillId="0" borderId="31" xfId="0" applyNumberFormat="1" applyFont="1" applyBorder="1" applyAlignment="1" applyProtection="1">
      <alignment horizontal="center" vertical="top" wrapText="1"/>
      <protection locked="0"/>
    </xf>
    <xf numFmtId="0" fontId="10" fillId="0" borderId="31" xfId="0" applyFont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481857</xdr:colOff>
      <xdr:row>333</xdr:row>
      <xdr:rowOff>35276</xdr:rowOff>
    </xdr:from>
    <xdr:to>
      <xdr:col>7</xdr:col>
      <xdr:colOff>437028</xdr:colOff>
      <xdr:row>351</xdr:row>
      <xdr:rowOff>139333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1857" y="68122217"/>
          <a:ext cx="6084789" cy="373476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500798</xdr:colOff>
      <xdr:row>313</xdr:row>
      <xdr:rowOff>179294</xdr:rowOff>
    </xdr:from>
    <xdr:to>
      <xdr:col>7</xdr:col>
      <xdr:colOff>416550</xdr:colOff>
      <xdr:row>332</xdr:row>
      <xdr:rowOff>81643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798" y="64232118"/>
          <a:ext cx="6045370" cy="3734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532071</xdr:colOff>
      <xdr:row>270</xdr:row>
      <xdr:rowOff>161925</xdr:rowOff>
    </xdr:from>
    <xdr:to>
      <xdr:col>9</xdr:col>
      <xdr:colOff>298480</xdr:colOff>
      <xdr:row>272</xdr:row>
      <xdr:rowOff>131207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7056696" y="60064650"/>
          <a:ext cx="928459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Wing </a:t>
          </a:r>
        </a:p>
      </xdr:txBody>
    </xdr:sp>
    <xdr:clientData/>
  </xdr:twoCellAnchor>
  <xdr:twoCellAnchor>
    <xdr:from>
      <xdr:col>16</xdr:col>
      <xdr:colOff>834911</xdr:colOff>
      <xdr:row>270</xdr:row>
      <xdr:rowOff>161925</xdr:rowOff>
    </xdr:from>
    <xdr:to>
      <xdr:col>19</xdr:col>
      <xdr:colOff>36840</xdr:colOff>
      <xdr:row>272</xdr:row>
      <xdr:rowOff>131207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1483861" y="60064650"/>
          <a:ext cx="1326004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&amp; B Wing </a:t>
          </a:r>
        </a:p>
      </xdr:txBody>
    </xdr:sp>
    <xdr:clientData/>
  </xdr:twoCellAnchor>
  <xdr:twoCellAnchor>
    <xdr:from>
      <xdr:col>17</xdr:col>
      <xdr:colOff>322404</xdr:colOff>
      <xdr:row>291</xdr:row>
      <xdr:rowOff>124122</xdr:rowOff>
    </xdr:from>
    <xdr:to>
      <xdr:col>19</xdr:col>
      <xdr:colOff>31663</xdr:colOff>
      <xdr:row>293</xdr:row>
      <xdr:rowOff>93404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1876229" y="64217847"/>
          <a:ext cx="928459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C Wing </a:t>
          </a:r>
        </a:p>
      </xdr:txBody>
    </xdr:sp>
    <xdr:clientData/>
  </xdr:twoCellAnchor>
  <xdr:twoCellAnchor>
    <xdr:from>
      <xdr:col>8</xdr:col>
      <xdr:colOff>443751</xdr:colOff>
      <xdr:row>270</xdr:row>
      <xdr:rowOff>83483</xdr:rowOff>
    </xdr:from>
    <xdr:to>
      <xdr:col>19</xdr:col>
      <xdr:colOff>409724</xdr:colOff>
      <xdr:row>305</xdr:row>
      <xdr:rowOff>137269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EFB42B35-21C3-420F-A2BA-F2E34B44A9F5}"/>
            </a:ext>
          </a:extLst>
        </xdr:cNvPr>
        <xdr:cNvGrpSpPr/>
      </xdr:nvGrpSpPr>
      <xdr:grpSpPr>
        <a:xfrm>
          <a:off x="6968376" y="60967283"/>
          <a:ext cx="6214373" cy="7045136"/>
          <a:chOff x="177051" y="60957758"/>
          <a:chExt cx="6214373" cy="7045136"/>
        </a:xfrm>
      </xdr:grpSpPr>
      <xdr:pic>
        <xdr:nvPicPr>
          <xdr:cNvPr id="26" name="Picture 25" descr="https://vsjcllp.vsjadon.com/upload/insp-214022-1525.jpg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91585" y="65342058"/>
            <a:ext cx="1999839" cy="265635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14022-862.jp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7051" y="65339815"/>
            <a:ext cx="2011044" cy="265635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14022-1022.jpg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06172" y="65346541"/>
            <a:ext cx="2000959" cy="265635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pSpPr/>
        </xdr:nvGrpSpPr>
        <xdr:grpSpPr>
          <a:xfrm>
            <a:off x="201707" y="60957758"/>
            <a:ext cx="3050562" cy="4255994"/>
            <a:chOff x="201707" y="60955517"/>
            <a:chExt cx="3050002" cy="4289611"/>
          </a:xfrm>
        </xdr:grpSpPr>
        <xdr:pic>
          <xdr:nvPicPr>
            <xdr:cNvPr id="27" name="Picture 26" descr="https://vsjcllp.vsjadon.com/upload/insp-214022-843.jpg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01707" y="60955517"/>
              <a:ext cx="3050002" cy="428961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9" name="Rectangle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>
            <a:xfrm>
              <a:off x="2282512" y="61200180"/>
              <a:ext cx="948256" cy="383853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0000"/>
                  </a:solidFill>
                </a:rPr>
                <a:t>B Wing </a:t>
              </a:r>
            </a:p>
          </xdr:txBody>
        </xdr:sp>
        <xdr:sp macro="" textlink="">
          <xdr:nvSpPr>
            <xdr:cNvPr id="41" name="Rectangle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/>
          </xdr:nvSpPr>
          <xdr:spPr>
            <a:xfrm>
              <a:off x="694766" y="61661488"/>
              <a:ext cx="948256" cy="383853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0000"/>
                  </a:solidFill>
                </a:rPr>
                <a:t>A Wing </a:t>
              </a:r>
            </a:p>
          </xdr:txBody>
        </xdr:sp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3341622" y="60964483"/>
            <a:ext cx="3039937" cy="4255994"/>
            <a:chOff x="3341062" y="60962242"/>
            <a:chExt cx="3048341" cy="4289611"/>
          </a:xfrm>
        </xdr:grpSpPr>
        <xdr:pic>
          <xdr:nvPicPr>
            <xdr:cNvPr id="29" name="Picture 28" descr="https://vsjcllp.vsjadon.com/upload/insp-214022-849.jpg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41062" y="60962242"/>
              <a:ext cx="3048341" cy="428961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42" name="Rectangle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>
            <a:xfrm>
              <a:off x="5212444" y="62116448"/>
              <a:ext cx="948256" cy="383853"/>
            </a:xfrm>
            <a:prstGeom prst="rect">
              <a:avLst/>
            </a:prstGeom>
          </xdr:spPr>
          <xdr:txBody>
            <a:bodyPr wrap="square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0000"/>
                  </a:solidFill>
                </a:rPr>
                <a:t>C Wing </a:t>
              </a:r>
            </a:p>
          </xdr:txBody>
        </xdr:sp>
      </xdr:grpSp>
    </xdr:grpSp>
    <xdr:clientData/>
  </xdr:twoCellAnchor>
  <xdr:twoCellAnchor>
    <xdr:from>
      <xdr:col>8</xdr:col>
      <xdr:colOff>628650</xdr:colOff>
      <xdr:row>270</xdr:row>
      <xdr:rowOff>57150</xdr:rowOff>
    </xdr:from>
    <xdr:to>
      <xdr:col>18</xdr:col>
      <xdr:colOff>145288</xdr:colOff>
      <xdr:row>307</xdr:row>
      <xdr:rowOff>198926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952D0D16-1241-4535-B936-9BF51CA10515}"/>
            </a:ext>
          </a:extLst>
        </xdr:cNvPr>
        <xdr:cNvGrpSpPr/>
      </xdr:nvGrpSpPr>
      <xdr:grpSpPr>
        <a:xfrm>
          <a:off x="7153275" y="60940950"/>
          <a:ext cx="5155438" cy="7533176"/>
          <a:chOff x="549324" y="537882"/>
          <a:chExt cx="5155438" cy="7533176"/>
        </a:xfrm>
      </xdr:grpSpPr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8CC8E168-4F7A-48F7-8AB3-60A0076A93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1102" y="537882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9D3DA0FA-B772-46AF-9724-A61D69800A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9324" y="3944470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7103D883-FFDA-4917-BE41-4779C7BDC5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51790" y="537882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3D4DC292-34D9-421E-93CB-7C2BA66EB8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17887" y="3944470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B0DD78DC-C45F-4B37-932F-D3DC7B61AB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86450" y="3944470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42E18B13-EC7A-425B-94B9-4BCC24797D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37685" y="6271058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0FD128D5-E1AA-4D07-B585-DB49996369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52842" y="6271058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1" name="TextBox 52">
            <a:extLst>
              <a:ext uri="{FF2B5EF4-FFF2-40B4-BE49-F238E27FC236}">
                <a16:creationId xmlns:a16="http://schemas.microsoft.com/office/drawing/2014/main" id="{A6A106C8-F62D-4DB0-8DD9-771975CBB4A8}"/>
              </a:ext>
            </a:extLst>
          </xdr:cNvPr>
          <xdr:cNvSpPr txBox="1"/>
        </xdr:nvSpPr>
        <xdr:spPr>
          <a:xfrm flipH="1">
            <a:off x="887334" y="537882"/>
            <a:ext cx="1155837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>
                <a:solidFill>
                  <a:srgbClr val="FF0000"/>
                </a:solidFill>
              </a:rPr>
              <a:t>Wing B</a:t>
            </a:r>
            <a:endParaRPr lang="en-IN" sz="2400" b="1">
              <a:solidFill>
                <a:srgbClr val="FF0000"/>
              </a:solidFill>
            </a:endParaRPr>
          </a:p>
        </xdr:txBody>
      </xdr:sp>
      <xdr:sp macro="" textlink="">
        <xdr:nvSpPr>
          <xdr:cNvPr id="52" name="TextBox 53">
            <a:extLst>
              <a:ext uri="{FF2B5EF4-FFF2-40B4-BE49-F238E27FC236}">
                <a16:creationId xmlns:a16="http://schemas.microsoft.com/office/drawing/2014/main" id="{F6954199-FCF9-454B-9542-23BBF6000D55}"/>
              </a:ext>
            </a:extLst>
          </xdr:cNvPr>
          <xdr:cNvSpPr txBox="1"/>
        </xdr:nvSpPr>
        <xdr:spPr>
          <a:xfrm flipH="1">
            <a:off x="4317687" y="768714"/>
            <a:ext cx="1155837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>
                <a:solidFill>
                  <a:srgbClr val="FF0000"/>
                </a:solidFill>
              </a:rPr>
              <a:t>Wing C</a:t>
            </a:r>
            <a:endParaRPr lang="en-IN" sz="24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47625</xdr:colOff>
      <xdr:row>271</xdr:row>
      <xdr:rowOff>28575</xdr:rowOff>
    </xdr:from>
    <xdr:to>
      <xdr:col>7</xdr:col>
      <xdr:colOff>781050</xdr:colOff>
      <xdr:row>297</xdr:row>
      <xdr:rowOff>31296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EAFC80C5-D9FD-449C-8F91-76591A78459C}"/>
            </a:ext>
          </a:extLst>
        </xdr:cNvPr>
        <xdr:cNvGrpSpPr/>
      </xdr:nvGrpSpPr>
      <xdr:grpSpPr>
        <a:xfrm>
          <a:off x="47625" y="61112400"/>
          <a:ext cx="6429375" cy="5193846"/>
          <a:chOff x="187891" y="591670"/>
          <a:chExt cx="6482218" cy="5422446"/>
        </a:xfrm>
      </xdr:grpSpPr>
      <xdr:grpSp>
        <xdr:nvGrpSpPr>
          <xdr:cNvPr id="32" name="Group 31">
            <a:extLst>
              <a:ext uri="{FF2B5EF4-FFF2-40B4-BE49-F238E27FC236}">
                <a16:creationId xmlns:a16="http://schemas.microsoft.com/office/drawing/2014/main" id="{6710711B-1E80-413C-8542-2B46A87E47AD}"/>
              </a:ext>
            </a:extLst>
          </xdr:cNvPr>
          <xdr:cNvGrpSpPr/>
        </xdr:nvGrpSpPr>
        <xdr:grpSpPr>
          <a:xfrm>
            <a:off x="187891" y="591670"/>
            <a:ext cx="6482218" cy="5422446"/>
            <a:chOff x="-91137" y="358588"/>
            <a:chExt cx="6482218" cy="5422446"/>
          </a:xfrm>
        </xdr:grpSpPr>
        <xdr:pic>
          <xdr:nvPicPr>
            <xdr:cNvPr id="53" name="Picture 52">
              <a:extLst>
                <a:ext uri="{FF2B5EF4-FFF2-40B4-BE49-F238E27FC236}">
                  <a16:creationId xmlns:a16="http://schemas.microsoft.com/office/drawing/2014/main" id="{B2A09FC8-D4BA-4041-A755-A7358DFB7ED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13173" y="358588"/>
              <a:ext cx="2427469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4" name="Picture 53">
              <a:extLst>
                <a:ext uri="{FF2B5EF4-FFF2-40B4-BE49-F238E27FC236}">
                  <a16:creationId xmlns:a16="http://schemas.microsoft.com/office/drawing/2014/main" id="{F0199A5E-A07D-444A-9BCC-1A13C2F33CD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66726" y="358588"/>
              <a:ext cx="2427469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5" name="Picture 54">
              <a:extLst>
                <a:ext uri="{FF2B5EF4-FFF2-40B4-BE49-F238E27FC236}">
                  <a16:creationId xmlns:a16="http://schemas.microsoft.com/office/drawing/2014/main" id="{C22C0566-9645-4EE1-A848-A5392164B26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75118" y="3801034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6" name="Picture 55">
              <a:extLst>
                <a:ext uri="{FF2B5EF4-FFF2-40B4-BE49-F238E27FC236}">
                  <a16:creationId xmlns:a16="http://schemas.microsoft.com/office/drawing/2014/main" id="{46CDFBFA-7765-4ECF-8DFA-D5C61CF8AB3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91137" y="3801034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7" name="Picture 56">
              <a:extLst>
                <a:ext uri="{FF2B5EF4-FFF2-40B4-BE49-F238E27FC236}">
                  <a16:creationId xmlns:a16="http://schemas.microsoft.com/office/drawing/2014/main" id="{78731DC1-AA13-49A6-BA02-2253684634F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41373" y="3801034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8" name="Picture 57">
              <a:extLst>
                <a:ext uri="{FF2B5EF4-FFF2-40B4-BE49-F238E27FC236}">
                  <a16:creationId xmlns:a16="http://schemas.microsoft.com/office/drawing/2014/main" id="{C24311E2-00BC-459E-AF9D-71ADDFD9C4E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907628" y="3801034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34" name="TextBox 336">
            <a:extLst>
              <a:ext uri="{FF2B5EF4-FFF2-40B4-BE49-F238E27FC236}">
                <a16:creationId xmlns:a16="http://schemas.microsoft.com/office/drawing/2014/main" id="{611B894C-0299-42DA-B35A-2173D854EB10}"/>
              </a:ext>
            </a:extLst>
          </xdr:cNvPr>
          <xdr:cNvSpPr txBox="1"/>
        </xdr:nvSpPr>
        <xdr:spPr>
          <a:xfrm>
            <a:off x="1664147" y="591670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5" name="TextBox 337">
            <a:extLst>
              <a:ext uri="{FF2B5EF4-FFF2-40B4-BE49-F238E27FC236}">
                <a16:creationId xmlns:a16="http://schemas.microsoft.com/office/drawing/2014/main" id="{C598FCBF-2D56-4501-91C8-3FE3C0B8B54E}"/>
              </a:ext>
            </a:extLst>
          </xdr:cNvPr>
          <xdr:cNvSpPr txBox="1"/>
        </xdr:nvSpPr>
        <xdr:spPr>
          <a:xfrm>
            <a:off x="669064" y="4034116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7" name="TextBox 338">
            <a:extLst>
              <a:ext uri="{FF2B5EF4-FFF2-40B4-BE49-F238E27FC236}">
                <a16:creationId xmlns:a16="http://schemas.microsoft.com/office/drawing/2014/main" id="{51690D4C-A3B4-4484-A926-0A6A79D9B78E}"/>
              </a:ext>
            </a:extLst>
          </xdr:cNvPr>
          <xdr:cNvSpPr txBox="1"/>
        </xdr:nvSpPr>
        <xdr:spPr>
          <a:xfrm>
            <a:off x="4570882" y="1407458"/>
            <a:ext cx="85792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8" name="TextBox 339">
            <a:extLst>
              <a:ext uri="{FF2B5EF4-FFF2-40B4-BE49-F238E27FC236}">
                <a16:creationId xmlns:a16="http://schemas.microsoft.com/office/drawing/2014/main" id="{08091F0B-62C8-46CD-BB09-45B9EB402FEA}"/>
              </a:ext>
            </a:extLst>
          </xdr:cNvPr>
          <xdr:cNvSpPr txBox="1"/>
        </xdr:nvSpPr>
        <xdr:spPr>
          <a:xfrm>
            <a:off x="2461743" y="4034116"/>
            <a:ext cx="85792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MVMiB5H1kYvB1ei8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13"/>
  <sheetViews>
    <sheetView tabSelected="1" view="pageBreakPreview" topLeftCell="A234" zoomScaleNormal="100" zoomScaleSheetLayoutView="100" zoomScalePageLayoutView="85" workbookViewId="0">
      <selection activeCell="I9" sqref="I9"/>
    </sheetView>
  </sheetViews>
  <sheetFormatPr defaultColWidth="9.140625" defaultRowHeight="15.75" x14ac:dyDescent="0.25"/>
  <cols>
    <col min="1" max="1" width="11.42578125" style="16" customWidth="1"/>
    <col min="2" max="2" width="12" style="16" customWidth="1"/>
    <col min="3" max="3" width="12.7109375" style="16" customWidth="1"/>
    <col min="4" max="4" width="14.140625" style="16" customWidth="1"/>
    <col min="5" max="7" width="11.7109375" style="16" customWidth="1"/>
    <col min="8" max="8" width="12.42578125" style="16" customWidth="1"/>
    <col min="9" max="9" width="17.42578125" style="8" customWidth="1"/>
    <col min="10" max="10" width="11.42578125" style="8" customWidth="1"/>
    <col min="11" max="11" width="10.5703125" style="8" bestFit="1" customWidth="1"/>
    <col min="12" max="12" width="10.5703125" style="8" customWidth="1"/>
    <col min="13" max="13" width="11.85546875" style="8" customWidth="1"/>
    <col min="14" max="14" width="12.5703125" style="8" hidden="1" customWidth="1"/>
    <col min="15" max="15" width="9.85546875" style="8" hidden="1" customWidth="1"/>
    <col min="16" max="16" width="10.42578125" style="8" hidden="1" customWidth="1"/>
    <col min="17" max="17" width="13.5703125" style="8" bestFit="1" customWidth="1"/>
    <col min="18" max="247" width="9.140625" style="8"/>
    <col min="248" max="248" width="8.7109375" style="8" customWidth="1"/>
    <col min="249" max="249" width="9.85546875" style="8" customWidth="1"/>
    <col min="250" max="250" width="14.42578125" style="8" customWidth="1"/>
    <col min="251" max="251" width="7.28515625" style="8" customWidth="1"/>
    <col min="252" max="252" width="5.5703125" style="8" customWidth="1"/>
    <col min="253" max="253" width="9" style="8" customWidth="1"/>
    <col min="254" max="255" width="9.85546875" style="8" customWidth="1"/>
    <col min="256" max="256" width="11.140625" style="8" customWidth="1"/>
    <col min="257" max="257" width="2.85546875" style="8" customWidth="1"/>
    <col min="258" max="258" width="3.5703125" style="8" customWidth="1"/>
    <col min="259" max="503" width="9.140625" style="8"/>
    <col min="504" max="504" width="8.7109375" style="8" customWidth="1"/>
    <col min="505" max="505" width="9.85546875" style="8" customWidth="1"/>
    <col min="506" max="506" width="14.42578125" style="8" customWidth="1"/>
    <col min="507" max="507" width="7.28515625" style="8" customWidth="1"/>
    <col min="508" max="508" width="5.5703125" style="8" customWidth="1"/>
    <col min="509" max="509" width="9" style="8" customWidth="1"/>
    <col min="510" max="511" width="9.85546875" style="8" customWidth="1"/>
    <col min="512" max="512" width="11.140625" style="8" customWidth="1"/>
    <col min="513" max="513" width="2.85546875" style="8" customWidth="1"/>
    <col min="514" max="514" width="3.5703125" style="8" customWidth="1"/>
    <col min="515" max="759" width="9.140625" style="8"/>
    <col min="760" max="760" width="8.7109375" style="8" customWidth="1"/>
    <col min="761" max="761" width="9.85546875" style="8" customWidth="1"/>
    <col min="762" max="762" width="14.42578125" style="8" customWidth="1"/>
    <col min="763" max="763" width="7.28515625" style="8" customWidth="1"/>
    <col min="764" max="764" width="5.5703125" style="8" customWidth="1"/>
    <col min="765" max="765" width="9" style="8" customWidth="1"/>
    <col min="766" max="767" width="9.85546875" style="8" customWidth="1"/>
    <col min="768" max="768" width="11.140625" style="8" customWidth="1"/>
    <col min="769" max="769" width="2.85546875" style="8" customWidth="1"/>
    <col min="770" max="770" width="3.5703125" style="8" customWidth="1"/>
    <col min="771" max="1015" width="9.140625" style="8"/>
    <col min="1016" max="1016" width="8.7109375" style="8" customWidth="1"/>
    <col min="1017" max="1017" width="9.85546875" style="8" customWidth="1"/>
    <col min="1018" max="1018" width="14.42578125" style="8" customWidth="1"/>
    <col min="1019" max="1019" width="7.28515625" style="8" customWidth="1"/>
    <col min="1020" max="1020" width="5.5703125" style="8" customWidth="1"/>
    <col min="1021" max="1021" width="9" style="8" customWidth="1"/>
    <col min="1022" max="1023" width="9.85546875" style="8" customWidth="1"/>
    <col min="1024" max="1024" width="11.140625" style="8" customWidth="1"/>
    <col min="1025" max="1025" width="2.85546875" style="8" customWidth="1"/>
    <col min="1026" max="1026" width="3.5703125" style="8" customWidth="1"/>
    <col min="1027" max="1271" width="9.140625" style="8"/>
    <col min="1272" max="1272" width="8.7109375" style="8" customWidth="1"/>
    <col min="1273" max="1273" width="9.85546875" style="8" customWidth="1"/>
    <col min="1274" max="1274" width="14.42578125" style="8" customWidth="1"/>
    <col min="1275" max="1275" width="7.28515625" style="8" customWidth="1"/>
    <col min="1276" max="1276" width="5.5703125" style="8" customWidth="1"/>
    <col min="1277" max="1277" width="9" style="8" customWidth="1"/>
    <col min="1278" max="1279" width="9.85546875" style="8" customWidth="1"/>
    <col min="1280" max="1280" width="11.140625" style="8" customWidth="1"/>
    <col min="1281" max="1281" width="2.85546875" style="8" customWidth="1"/>
    <col min="1282" max="1282" width="3.5703125" style="8" customWidth="1"/>
    <col min="1283" max="1527" width="9.140625" style="8"/>
    <col min="1528" max="1528" width="8.7109375" style="8" customWidth="1"/>
    <col min="1529" max="1529" width="9.85546875" style="8" customWidth="1"/>
    <col min="1530" max="1530" width="14.42578125" style="8" customWidth="1"/>
    <col min="1531" max="1531" width="7.28515625" style="8" customWidth="1"/>
    <col min="1532" max="1532" width="5.5703125" style="8" customWidth="1"/>
    <col min="1533" max="1533" width="9" style="8" customWidth="1"/>
    <col min="1534" max="1535" width="9.85546875" style="8" customWidth="1"/>
    <col min="1536" max="1536" width="11.140625" style="8" customWidth="1"/>
    <col min="1537" max="1537" width="2.85546875" style="8" customWidth="1"/>
    <col min="1538" max="1538" width="3.5703125" style="8" customWidth="1"/>
    <col min="1539" max="1783" width="9.140625" style="8"/>
    <col min="1784" max="1784" width="8.7109375" style="8" customWidth="1"/>
    <col min="1785" max="1785" width="9.85546875" style="8" customWidth="1"/>
    <col min="1786" max="1786" width="14.42578125" style="8" customWidth="1"/>
    <col min="1787" max="1787" width="7.28515625" style="8" customWidth="1"/>
    <col min="1788" max="1788" width="5.5703125" style="8" customWidth="1"/>
    <col min="1789" max="1789" width="9" style="8" customWidth="1"/>
    <col min="1790" max="1791" width="9.85546875" style="8" customWidth="1"/>
    <col min="1792" max="1792" width="11.140625" style="8" customWidth="1"/>
    <col min="1793" max="1793" width="2.85546875" style="8" customWidth="1"/>
    <col min="1794" max="1794" width="3.5703125" style="8" customWidth="1"/>
    <col min="1795" max="2039" width="9.140625" style="8"/>
    <col min="2040" max="2040" width="8.7109375" style="8" customWidth="1"/>
    <col min="2041" max="2041" width="9.85546875" style="8" customWidth="1"/>
    <col min="2042" max="2042" width="14.42578125" style="8" customWidth="1"/>
    <col min="2043" max="2043" width="7.28515625" style="8" customWidth="1"/>
    <col min="2044" max="2044" width="5.5703125" style="8" customWidth="1"/>
    <col min="2045" max="2045" width="9" style="8" customWidth="1"/>
    <col min="2046" max="2047" width="9.85546875" style="8" customWidth="1"/>
    <col min="2048" max="2048" width="11.140625" style="8" customWidth="1"/>
    <col min="2049" max="2049" width="2.85546875" style="8" customWidth="1"/>
    <col min="2050" max="2050" width="3.5703125" style="8" customWidth="1"/>
    <col min="2051" max="2295" width="9.140625" style="8"/>
    <col min="2296" max="2296" width="8.7109375" style="8" customWidth="1"/>
    <col min="2297" max="2297" width="9.85546875" style="8" customWidth="1"/>
    <col min="2298" max="2298" width="14.42578125" style="8" customWidth="1"/>
    <col min="2299" max="2299" width="7.28515625" style="8" customWidth="1"/>
    <col min="2300" max="2300" width="5.5703125" style="8" customWidth="1"/>
    <col min="2301" max="2301" width="9" style="8" customWidth="1"/>
    <col min="2302" max="2303" width="9.85546875" style="8" customWidth="1"/>
    <col min="2304" max="2304" width="11.140625" style="8" customWidth="1"/>
    <col min="2305" max="2305" width="2.85546875" style="8" customWidth="1"/>
    <col min="2306" max="2306" width="3.5703125" style="8" customWidth="1"/>
    <col min="2307" max="2551" width="9.140625" style="8"/>
    <col min="2552" max="2552" width="8.7109375" style="8" customWidth="1"/>
    <col min="2553" max="2553" width="9.85546875" style="8" customWidth="1"/>
    <col min="2554" max="2554" width="14.42578125" style="8" customWidth="1"/>
    <col min="2555" max="2555" width="7.28515625" style="8" customWidth="1"/>
    <col min="2556" max="2556" width="5.5703125" style="8" customWidth="1"/>
    <col min="2557" max="2557" width="9" style="8" customWidth="1"/>
    <col min="2558" max="2559" width="9.85546875" style="8" customWidth="1"/>
    <col min="2560" max="2560" width="11.140625" style="8" customWidth="1"/>
    <col min="2561" max="2561" width="2.85546875" style="8" customWidth="1"/>
    <col min="2562" max="2562" width="3.5703125" style="8" customWidth="1"/>
    <col min="2563" max="2807" width="9.140625" style="8"/>
    <col min="2808" max="2808" width="8.7109375" style="8" customWidth="1"/>
    <col min="2809" max="2809" width="9.85546875" style="8" customWidth="1"/>
    <col min="2810" max="2810" width="14.42578125" style="8" customWidth="1"/>
    <col min="2811" max="2811" width="7.28515625" style="8" customWidth="1"/>
    <col min="2812" max="2812" width="5.5703125" style="8" customWidth="1"/>
    <col min="2813" max="2813" width="9" style="8" customWidth="1"/>
    <col min="2814" max="2815" width="9.85546875" style="8" customWidth="1"/>
    <col min="2816" max="2816" width="11.140625" style="8" customWidth="1"/>
    <col min="2817" max="2817" width="2.85546875" style="8" customWidth="1"/>
    <col min="2818" max="2818" width="3.5703125" style="8" customWidth="1"/>
    <col min="2819" max="3063" width="9.140625" style="8"/>
    <col min="3064" max="3064" width="8.7109375" style="8" customWidth="1"/>
    <col min="3065" max="3065" width="9.85546875" style="8" customWidth="1"/>
    <col min="3066" max="3066" width="14.42578125" style="8" customWidth="1"/>
    <col min="3067" max="3067" width="7.28515625" style="8" customWidth="1"/>
    <col min="3068" max="3068" width="5.5703125" style="8" customWidth="1"/>
    <col min="3069" max="3069" width="9" style="8" customWidth="1"/>
    <col min="3070" max="3071" width="9.85546875" style="8" customWidth="1"/>
    <col min="3072" max="3072" width="11.140625" style="8" customWidth="1"/>
    <col min="3073" max="3073" width="2.85546875" style="8" customWidth="1"/>
    <col min="3074" max="3074" width="3.5703125" style="8" customWidth="1"/>
    <col min="3075" max="3319" width="9.140625" style="8"/>
    <col min="3320" max="3320" width="8.7109375" style="8" customWidth="1"/>
    <col min="3321" max="3321" width="9.85546875" style="8" customWidth="1"/>
    <col min="3322" max="3322" width="14.42578125" style="8" customWidth="1"/>
    <col min="3323" max="3323" width="7.28515625" style="8" customWidth="1"/>
    <col min="3324" max="3324" width="5.5703125" style="8" customWidth="1"/>
    <col min="3325" max="3325" width="9" style="8" customWidth="1"/>
    <col min="3326" max="3327" width="9.85546875" style="8" customWidth="1"/>
    <col min="3328" max="3328" width="11.140625" style="8" customWidth="1"/>
    <col min="3329" max="3329" width="2.85546875" style="8" customWidth="1"/>
    <col min="3330" max="3330" width="3.5703125" style="8" customWidth="1"/>
    <col min="3331" max="3575" width="9.140625" style="8"/>
    <col min="3576" max="3576" width="8.7109375" style="8" customWidth="1"/>
    <col min="3577" max="3577" width="9.85546875" style="8" customWidth="1"/>
    <col min="3578" max="3578" width="14.42578125" style="8" customWidth="1"/>
    <col min="3579" max="3579" width="7.28515625" style="8" customWidth="1"/>
    <col min="3580" max="3580" width="5.5703125" style="8" customWidth="1"/>
    <col min="3581" max="3581" width="9" style="8" customWidth="1"/>
    <col min="3582" max="3583" width="9.85546875" style="8" customWidth="1"/>
    <col min="3584" max="3584" width="11.140625" style="8" customWidth="1"/>
    <col min="3585" max="3585" width="2.85546875" style="8" customWidth="1"/>
    <col min="3586" max="3586" width="3.5703125" style="8" customWidth="1"/>
    <col min="3587" max="3831" width="9.140625" style="8"/>
    <col min="3832" max="3832" width="8.7109375" style="8" customWidth="1"/>
    <col min="3833" max="3833" width="9.85546875" style="8" customWidth="1"/>
    <col min="3834" max="3834" width="14.42578125" style="8" customWidth="1"/>
    <col min="3835" max="3835" width="7.28515625" style="8" customWidth="1"/>
    <col min="3836" max="3836" width="5.5703125" style="8" customWidth="1"/>
    <col min="3837" max="3837" width="9" style="8" customWidth="1"/>
    <col min="3838" max="3839" width="9.85546875" style="8" customWidth="1"/>
    <col min="3840" max="3840" width="11.140625" style="8" customWidth="1"/>
    <col min="3841" max="3841" width="2.85546875" style="8" customWidth="1"/>
    <col min="3842" max="3842" width="3.5703125" style="8" customWidth="1"/>
    <col min="3843" max="4087" width="9.140625" style="8"/>
    <col min="4088" max="4088" width="8.7109375" style="8" customWidth="1"/>
    <col min="4089" max="4089" width="9.85546875" style="8" customWidth="1"/>
    <col min="4090" max="4090" width="14.42578125" style="8" customWidth="1"/>
    <col min="4091" max="4091" width="7.28515625" style="8" customWidth="1"/>
    <col min="4092" max="4092" width="5.5703125" style="8" customWidth="1"/>
    <col min="4093" max="4093" width="9" style="8" customWidth="1"/>
    <col min="4094" max="4095" width="9.85546875" style="8" customWidth="1"/>
    <col min="4096" max="4096" width="11.140625" style="8" customWidth="1"/>
    <col min="4097" max="4097" width="2.85546875" style="8" customWidth="1"/>
    <col min="4098" max="4098" width="3.5703125" style="8" customWidth="1"/>
    <col min="4099" max="4343" width="9.140625" style="8"/>
    <col min="4344" max="4344" width="8.7109375" style="8" customWidth="1"/>
    <col min="4345" max="4345" width="9.85546875" style="8" customWidth="1"/>
    <col min="4346" max="4346" width="14.42578125" style="8" customWidth="1"/>
    <col min="4347" max="4347" width="7.28515625" style="8" customWidth="1"/>
    <col min="4348" max="4348" width="5.5703125" style="8" customWidth="1"/>
    <col min="4349" max="4349" width="9" style="8" customWidth="1"/>
    <col min="4350" max="4351" width="9.85546875" style="8" customWidth="1"/>
    <col min="4352" max="4352" width="11.140625" style="8" customWidth="1"/>
    <col min="4353" max="4353" width="2.85546875" style="8" customWidth="1"/>
    <col min="4354" max="4354" width="3.5703125" style="8" customWidth="1"/>
    <col min="4355" max="4599" width="9.140625" style="8"/>
    <col min="4600" max="4600" width="8.7109375" style="8" customWidth="1"/>
    <col min="4601" max="4601" width="9.85546875" style="8" customWidth="1"/>
    <col min="4602" max="4602" width="14.42578125" style="8" customWidth="1"/>
    <col min="4603" max="4603" width="7.28515625" style="8" customWidth="1"/>
    <col min="4604" max="4604" width="5.5703125" style="8" customWidth="1"/>
    <col min="4605" max="4605" width="9" style="8" customWidth="1"/>
    <col min="4606" max="4607" width="9.85546875" style="8" customWidth="1"/>
    <col min="4608" max="4608" width="11.140625" style="8" customWidth="1"/>
    <col min="4609" max="4609" width="2.85546875" style="8" customWidth="1"/>
    <col min="4610" max="4610" width="3.5703125" style="8" customWidth="1"/>
    <col min="4611" max="4855" width="9.140625" style="8"/>
    <col min="4856" max="4856" width="8.7109375" style="8" customWidth="1"/>
    <col min="4857" max="4857" width="9.85546875" style="8" customWidth="1"/>
    <col min="4858" max="4858" width="14.42578125" style="8" customWidth="1"/>
    <col min="4859" max="4859" width="7.28515625" style="8" customWidth="1"/>
    <col min="4860" max="4860" width="5.5703125" style="8" customWidth="1"/>
    <col min="4861" max="4861" width="9" style="8" customWidth="1"/>
    <col min="4862" max="4863" width="9.85546875" style="8" customWidth="1"/>
    <col min="4864" max="4864" width="11.140625" style="8" customWidth="1"/>
    <col min="4865" max="4865" width="2.85546875" style="8" customWidth="1"/>
    <col min="4866" max="4866" width="3.5703125" style="8" customWidth="1"/>
    <col min="4867" max="5111" width="9.140625" style="8"/>
    <col min="5112" max="5112" width="8.7109375" style="8" customWidth="1"/>
    <col min="5113" max="5113" width="9.85546875" style="8" customWidth="1"/>
    <col min="5114" max="5114" width="14.42578125" style="8" customWidth="1"/>
    <col min="5115" max="5115" width="7.28515625" style="8" customWidth="1"/>
    <col min="5116" max="5116" width="5.5703125" style="8" customWidth="1"/>
    <col min="5117" max="5117" width="9" style="8" customWidth="1"/>
    <col min="5118" max="5119" width="9.85546875" style="8" customWidth="1"/>
    <col min="5120" max="5120" width="11.140625" style="8" customWidth="1"/>
    <col min="5121" max="5121" width="2.85546875" style="8" customWidth="1"/>
    <col min="5122" max="5122" width="3.5703125" style="8" customWidth="1"/>
    <col min="5123" max="5367" width="9.140625" style="8"/>
    <col min="5368" max="5368" width="8.7109375" style="8" customWidth="1"/>
    <col min="5369" max="5369" width="9.85546875" style="8" customWidth="1"/>
    <col min="5370" max="5370" width="14.42578125" style="8" customWidth="1"/>
    <col min="5371" max="5371" width="7.28515625" style="8" customWidth="1"/>
    <col min="5372" max="5372" width="5.5703125" style="8" customWidth="1"/>
    <col min="5373" max="5373" width="9" style="8" customWidth="1"/>
    <col min="5374" max="5375" width="9.85546875" style="8" customWidth="1"/>
    <col min="5376" max="5376" width="11.140625" style="8" customWidth="1"/>
    <col min="5377" max="5377" width="2.85546875" style="8" customWidth="1"/>
    <col min="5378" max="5378" width="3.5703125" style="8" customWidth="1"/>
    <col min="5379" max="5623" width="9.140625" style="8"/>
    <col min="5624" max="5624" width="8.7109375" style="8" customWidth="1"/>
    <col min="5625" max="5625" width="9.85546875" style="8" customWidth="1"/>
    <col min="5626" max="5626" width="14.42578125" style="8" customWidth="1"/>
    <col min="5627" max="5627" width="7.28515625" style="8" customWidth="1"/>
    <col min="5628" max="5628" width="5.5703125" style="8" customWidth="1"/>
    <col min="5629" max="5629" width="9" style="8" customWidth="1"/>
    <col min="5630" max="5631" width="9.85546875" style="8" customWidth="1"/>
    <col min="5632" max="5632" width="11.140625" style="8" customWidth="1"/>
    <col min="5633" max="5633" width="2.85546875" style="8" customWidth="1"/>
    <col min="5634" max="5634" width="3.5703125" style="8" customWidth="1"/>
    <col min="5635" max="5879" width="9.140625" style="8"/>
    <col min="5880" max="5880" width="8.7109375" style="8" customWidth="1"/>
    <col min="5881" max="5881" width="9.85546875" style="8" customWidth="1"/>
    <col min="5882" max="5882" width="14.42578125" style="8" customWidth="1"/>
    <col min="5883" max="5883" width="7.28515625" style="8" customWidth="1"/>
    <col min="5884" max="5884" width="5.5703125" style="8" customWidth="1"/>
    <col min="5885" max="5885" width="9" style="8" customWidth="1"/>
    <col min="5886" max="5887" width="9.85546875" style="8" customWidth="1"/>
    <col min="5888" max="5888" width="11.140625" style="8" customWidth="1"/>
    <col min="5889" max="5889" width="2.85546875" style="8" customWidth="1"/>
    <col min="5890" max="5890" width="3.5703125" style="8" customWidth="1"/>
    <col min="5891" max="6135" width="9.140625" style="8"/>
    <col min="6136" max="6136" width="8.7109375" style="8" customWidth="1"/>
    <col min="6137" max="6137" width="9.85546875" style="8" customWidth="1"/>
    <col min="6138" max="6138" width="14.42578125" style="8" customWidth="1"/>
    <col min="6139" max="6139" width="7.28515625" style="8" customWidth="1"/>
    <col min="6140" max="6140" width="5.5703125" style="8" customWidth="1"/>
    <col min="6141" max="6141" width="9" style="8" customWidth="1"/>
    <col min="6142" max="6143" width="9.85546875" style="8" customWidth="1"/>
    <col min="6144" max="6144" width="11.140625" style="8" customWidth="1"/>
    <col min="6145" max="6145" width="2.85546875" style="8" customWidth="1"/>
    <col min="6146" max="6146" width="3.5703125" style="8" customWidth="1"/>
    <col min="6147" max="6391" width="9.140625" style="8"/>
    <col min="6392" max="6392" width="8.7109375" style="8" customWidth="1"/>
    <col min="6393" max="6393" width="9.85546875" style="8" customWidth="1"/>
    <col min="6394" max="6394" width="14.42578125" style="8" customWidth="1"/>
    <col min="6395" max="6395" width="7.28515625" style="8" customWidth="1"/>
    <col min="6396" max="6396" width="5.5703125" style="8" customWidth="1"/>
    <col min="6397" max="6397" width="9" style="8" customWidth="1"/>
    <col min="6398" max="6399" width="9.85546875" style="8" customWidth="1"/>
    <col min="6400" max="6400" width="11.140625" style="8" customWidth="1"/>
    <col min="6401" max="6401" width="2.85546875" style="8" customWidth="1"/>
    <col min="6402" max="6402" width="3.5703125" style="8" customWidth="1"/>
    <col min="6403" max="6647" width="9.140625" style="8"/>
    <col min="6648" max="6648" width="8.7109375" style="8" customWidth="1"/>
    <col min="6649" max="6649" width="9.85546875" style="8" customWidth="1"/>
    <col min="6650" max="6650" width="14.42578125" style="8" customWidth="1"/>
    <col min="6651" max="6651" width="7.28515625" style="8" customWidth="1"/>
    <col min="6652" max="6652" width="5.5703125" style="8" customWidth="1"/>
    <col min="6653" max="6653" width="9" style="8" customWidth="1"/>
    <col min="6654" max="6655" width="9.85546875" style="8" customWidth="1"/>
    <col min="6656" max="6656" width="11.140625" style="8" customWidth="1"/>
    <col min="6657" max="6657" width="2.85546875" style="8" customWidth="1"/>
    <col min="6658" max="6658" width="3.5703125" style="8" customWidth="1"/>
    <col min="6659" max="6903" width="9.140625" style="8"/>
    <col min="6904" max="6904" width="8.7109375" style="8" customWidth="1"/>
    <col min="6905" max="6905" width="9.85546875" style="8" customWidth="1"/>
    <col min="6906" max="6906" width="14.42578125" style="8" customWidth="1"/>
    <col min="6907" max="6907" width="7.28515625" style="8" customWidth="1"/>
    <col min="6908" max="6908" width="5.5703125" style="8" customWidth="1"/>
    <col min="6909" max="6909" width="9" style="8" customWidth="1"/>
    <col min="6910" max="6911" width="9.85546875" style="8" customWidth="1"/>
    <col min="6912" max="6912" width="11.140625" style="8" customWidth="1"/>
    <col min="6913" max="6913" width="2.85546875" style="8" customWidth="1"/>
    <col min="6914" max="6914" width="3.5703125" style="8" customWidth="1"/>
    <col min="6915" max="7159" width="9.140625" style="8"/>
    <col min="7160" max="7160" width="8.7109375" style="8" customWidth="1"/>
    <col min="7161" max="7161" width="9.85546875" style="8" customWidth="1"/>
    <col min="7162" max="7162" width="14.42578125" style="8" customWidth="1"/>
    <col min="7163" max="7163" width="7.28515625" style="8" customWidth="1"/>
    <col min="7164" max="7164" width="5.5703125" style="8" customWidth="1"/>
    <col min="7165" max="7165" width="9" style="8" customWidth="1"/>
    <col min="7166" max="7167" width="9.85546875" style="8" customWidth="1"/>
    <col min="7168" max="7168" width="11.140625" style="8" customWidth="1"/>
    <col min="7169" max="7169" width="2.85546875" style="8" customWidth="1"/>
    <col min="7170" max="7170" width="3.5703125" style="8" customWidth="1"/>
    <col min="7171" max="7415" width="9.140625" style="8"/>
    <col min="7416" max="7416" width="8.7109375" style="8" customWidth="1"/>
    <col min="7417" max="7417" width="9.85546875" style="8" customWidth="1"/>
    <col min="7418" max="7418" width="14.42578125" style="8" customWidth="1"/>
    <col min="7419" max="7419" width="7.28515625" style="8" customWidth="1"/>
    <col min="7420" max="7420" width="5.5703125" style="8" customWidth="1"/>
    <col min="7421" max="7421" width="9" style="8" customWidth="1"/>
    <col min="7422" max="7423" width="9.85546875" style="8" customWidth="1"/>
    <col min="7424" max="7424" width="11.140625" style="8" customWidth="1"/>
    <col min="7425" max="7425" width="2.85546875" style="8" customWidth="1"/>
    <col min="7426" max="7426" width="3.5703125" style="8" customWidth="1"/>
    <col min="7427" max="7671" width="9.140625" style="8"/>
    <col min="7672" max="7672" width="8.7109375" style="8" customWidth="1"/>
    <col min="7673" max="7673" width="9.85546875" style="8" customWidth="1"/>
    <col min="7674" max="7674" width="14.42578125" style="8" customWidth="1"/>
    <col min="7675" max="7675" width="7.28515625" style="8" customWidth="1"/>
    <col min="7676" max="7676" width="5.5703125" style="8" customWidth="1"/>
    <col min="7677" max="7677" width="9" style="8" customWidth="1"/>
    <col min="7678" max="7679" width="9.85546875" style="8" customWidth="1"/>
    <col min="7680" max="7680" width="11.140625" style="8" customWidth="1"/>
    <col min="7681" max="7681" width="2.85546875" style="8" customWidth="1"/>
    <col min="7682" max="7682" width="3.5703125" style="8" customWidth="1"/>
    <col min="7683" max="7927" width="9.140625" style="8"/>
    <col min="7928" max="7928" width="8.7109375" style="8" customWidth="1"/>
    <col min="7929" max="7929" width="9.85546875" style="8" customWidth="1"/>
    <col min="7930" max="7930" width="14.42578125" style="8" customWidth="1"/>
    <col min="7931" max="7931" width="7.28515625" style="8" customWidth="1"/>
    <col min="7932" max="7932" width="5.5703125" style="8" customWidth="1"/>
    <col min="7933" max="7933" width="9" style="8" customWidth="1"/>
    <col min="7934" max="7935" width="9.85546875" style="8" customWidth="1"/>
    <col min="7936" max="7936" width="11.140625" style="8" customWidth="1"/>
    <col min="7937" max="7937" width="2.85546875" style="8" customWidth="1"/>
    <col min="7938" max="7938" width="3.5703125" style="8" customWidth="1"/>
    <col min="7939" max="8183" width="9.140625" style="8"/>
    <col min="8184" max="8184" width="8.7109375" style="8" customWidth="1"/>
    <col min="8185" max="8185" width="9.85546875" style="8" customWidth="1"/>
    <col min="8186" max="8186" width="14.42578125" style="8" customWidth="1"/>
    <col min="8187" max="8187" width="7.28515625" style="8" customWidth="1"/>
    <col min="8188" max="8188" width="5.5703125" style="8" customWidth="1"/>
    <col min="8189" max="8189" width="9" style="8" customWidth="1"/>
    <col min="8190" max="8191" width="9.85546875" style="8" customWidth="1"/>
    <col min="8192" max="8192" width="11.140625" style="8" customWidth="1"/>
    <col min="8193" max="8193" width="2.85546875" style="8" customWidth="1"/>
    <col min="8194" max="8194" width="3.5703125" style="8" customWidth="1"/>
    <col min="8195" max="8439" width="9.140625" style="8"/>
    <col min="8440" max="8440" width="8.7109375" style="8" customWidth="1"/>
    <col min="8441" max="8441" width="9.85546875" style="8" customWidth="1"/>
    <col min="8442" max="8442" width="14.42578125" style="8" customWidth="1"/>
    <col min="8443" max="8443" width="7.28515625" style="8" customWidth="1"/>
    <col min="8444" max="8444" width="5.5703125" style="8" customWidth="1"/>
    <col min="8445" max="8445" width="9" style="8" customWidth="1"/>
    <col min="8446" max="8447" width="9.85546875" style="8" customWidth="1"/>
    <col min="8448" max="8448" width="11.140625" style="8" customWidth="1"/>
    <col min="8449" max="8449" width="2.85546875" style="8" customWidth="1"/>
    <col min="8450" max="8450" width="3.5703125" style="8" customWidth="1"/>
    <col min="8451" max="8695" width="9.140625" style="8"/>
    <col min="8696" max="8696" width="8.7109375" style="8" customWidth="1"/>
    <col min="8697" max="8697" width="9.85546875" style="8" customWidth="1"/>
    <col min="8698" max="8698" width="14.42578125" style="8" customWidth="1"/>
    <col min="8699" max="8699" width="7.28515625" style="8" customWidth="1"/>
    <col min="8700" max="8700" width="5.5703125" style="8" customWidth="1"/>
    <col min="8701" max="8701" width="9" style="8" customWidth="1"/>
    <col min="8702" max="8703" width="9.85546875" style="8" customWidth="1"/>
    <col min="8704" max="8704" width="11.140625" style="8" customWidth="1"/>
    <col min="8705" max="8705" width="2.85546875" style="8" customWidth="1"/>
    <col min="8706" max="8706" width="3.5703125" style="8" customWidth="1"/>
    <col min="8707" max="8951" width="9.140625" style="8"/>
    <col min="8952" max="8952" width="8.7109375" style="8" customWidth="1"/>
    <col min="8953" max="8953" width="9.85546875" style="8" customWidth="1"/>
    <col min="8954" max="8954" width="14.42578125" style="8" customWidth="1"/>
    <col min="8955" max="8955" width="7.28515625" style="8" customWidth="1"/>
    <col min="8956" max="8956" width="5.5703125" style="8" customWidth="1"/>
    <col min="8957" max="8957" width="9" style="8" customWidth="1"/>
    <col min="8958" max="8959" width="9.85546875" style="8" customWidth="1"/>
    <col min="8960" max="8960" width="11.140625" style="8" customWidth="1"/>
    <col min="8961" max="8961" width="2.85546875" style="8" customWidth="1"/>
    <col min="8962" max="8962" width="3.5703125" style="8" customWidth="1"/>
    <col min="8963" max="9207" width="9.140625" style="8"/>
    <col min="9208" max="9208" width="8.7109375" style="8" customWidth="1"/>
    <col min="9209" max="9209" width="9.85546875" style="8" customWidth="1"/>
    <col min="9210" max="9210" width="14.42578125" style="8" customWidth="1"/>
    <col min="9211" max="9211" width="7.28515625" style="8" customWidth="1"/>
    <col min="9212" max="9212" width="5.5703125" style="8" customWidth="1"/>
    <col min="9213" max="9213" width="9" style="8" customWidth="1"/>
    <col min="9214" max="9215" width="9.85546875" style="8" customWidth="1"/>
    <col min="9216" max="9216" width="11.140625" style="8" customWidth="1"/>
    <col min="9217" max="9217" width="2.85546875" style="8" customWidth="1"/>
    <col min="9218" max="9218" width="3.5703125" style="8" customWidth="1"/>
    <col min="9219" max="9463" width="9.140625" style="8"/>
    <col min="9464" max="9464" width="8.7109375" style="8" customWidth="1"/>
    <col min="9465" max="9465" width="9.85546875" style="8" customWidth="1"/>
    <col min="9466" max="9466" width="14.42578125" style="8" customWidth="1"/>
    <col min="9467" max="9467" width="7.28515625" style="8" customWidth="1"/>
    <col min="9468" max="9468" width="5.5703125" style="8" customWidth="1"/>
    <col min="9469" max="9469" width="9" style="8" customWidth="1"/>
    <col min="9470" max="9471" width="9.85546875" style="8" customWidth="1"/>
    <col min="9472" max="9472" width="11.140625" style="8" customWidth="1"/>
    <col min="9473" max="9473" width="2.85546875" style="8" customWidth="1"/>
    <col min="9474" max="9474" width="3.5703125" style="8" customWidth="1"/>
    <col min="9475" max="9719" width="9.140625" style="8"/>
    <col min="9720" max="9720" width="8.7109375" style="8" customWidth="1"/>
    <col min="9721" max="9721" width="9.85546875" style="8" customWidth="1"/>
    <col min="9722" max="9722" width="14.42578125" style="8" customWidth="1"/>
    <col min="9723" max="9723" width="7.28515625" style="8" customWidth="1"/>
    <col min="9724" max="9724" width="5.5703125" style="8" customWidth="1"/>
    <col min="9725" max="9725" width="9" style="8" customWidth="1"/>
    <col min="9726" max="9727" width="9.85546875" style="8" customWidth="1"/>
    <col min="9728" max="9728" width="11.140625" style="8" customWidth="1"/>
    <col min="9729" max="9729" width="2.85546875" style="8" customWidth="1"/>
    <col min="9730" max="9730" width="3.5703125" style="8" customWidth="1"/>
    <col min="9731" max="9975" width="9.140625" style="8"/>
    <col min="9976" max="9976" width="8.7109375" style="8" customWidth="1"/>
    <col min="9977" max="9977" width="9.85546875" style="8" customWidth="1"/>
    <col min="9978" max="9978" width="14.42578125" style="8" customWidth="1"/>
    <col min="9979" max="9979" width="7.28515625" style="8" customWidth="1"/>
    <col min="9980" max="9980" width="5.5703125" style="8" customWidth="1"/>
    <col min="9981" max="9981" width="9" style="8" customWidth="1"/>
    <col min="9982" max="9983" width="9.85546875" style="8" customWidth="1"/>
    <col min="9984" max="9984" width="11.140625" style="8" customWidth="1"/>
    <col min="9985" max="9985" width="2.85546875" style="8" customWidth="1"/>
    <col min="9986" max="9986" width="3.5703125" style="8" customWidth="1"/>
    <col min="9987" max="10231" width="9.140625" style="8"/>
    <col min="10232" max="10232" width="8.7109375" style="8" customWidth="1"/>
    <col min="10233" max="10233" width="9.85546875" style="8" customWidth="1"/>
    <col min="10234" max="10234" width="14.42578125" style="8" customWidth="1"/>
    <col min="10235" max="10235" width="7.28515625" style="8" customWidth="1"/>
    <col min="10236" max="10236" width="5.5703125" style="8" customWidth="1"/>
    <col min="10237" max="10237" width="9" style="8" customWidth="1"/>
    <col min="10238" max="10239" width="9.85546875" style="8" customWidth="1"/>
    <col min="10240" max="10240" width="11.140625" style="8" customWidth="1"/>
    <col min="10241" max="10241" width="2.85546875" style="8" customWidth="1"/>
    <col min="10242" max="10242" width="3.5703125" style="8" customWidth="1"/>
    <col min="10243" max="10487" width="9.140625" style="8"/>
    <col min="10488" max="10488" width="8.7109375" style="8" customWidth="1"/>
    <col min="10489" max="10489" width="9.85546875" style="8" customWidth="1"/>
    <col min="10490" max="10490" width="14.42578125" style="8" customWidth="1"/>
    <col min="10491" max="10491" width="7.28515625" style="8" customWidth="1"/>
    <col min="10492" max="10492" width="5.5703125" style="8" customWidth="1"/>
    <col min="10493" max="10493" width="9" style="8" customWidth="1"/>
    <col min="10494" max="10495" width="9.85546875" style="8" customWidth="1"/>
    <col min="10496" max="10496" width="11.140625" style="8" customWidth="1"/>
    <col min="10497" max="10497" width="2.85546875" style="8" customWidth="1"/>
    <col min="10498" max="10498" width="3.5703125" style="8" customWidth="1"/>
    <col min="10499" max="10743" width="9.140625" style="8"/>
    <col min="10744" max="10744" width="8.7109375" style="8" customWidth="1"/>
    <col min="10745" max="10745" width="9.85546875" style="8" customWidth="1"/>
    <col min="10746" max="10746" width="14.42578125" style="8" customWidth="1"/>
    <col min="10747" max="10747" width="7.28515625" style="8" customWidth="1"/>
    <col min="10748" max="10748" width="5.5703125" style="8" customWidth="1"/>
    <col min="10749" max="10749" width="9" style="8" customWidth="1"/>
    <col min="10750" max="10751" width="9.85546875" style="8" customWidth="1"/>
    <col min="10752" max="10752" width="11.140625" style="8" customWidth="1"/>
    <col min="10753" max="10753" width="2.85546875" style="8" customWidth="1"/>
    <col min="10754" max="10754" width="3.5703125" style="8" customWidth="1"/>
    <col min="10755" max="10999" width="9.140625" style="8"/>
    <col min="11000" max="11000" width="8.7109375" style="8" customWidth="1"/>
    <col min="11001" max="11001" width="9.85546875" style="8" customWidth="1"/>
    <col min="11002" max="11002" width="14.42578125" style="8" customWidth="1"/>
    <col min="11003" max="11003" width="7.28515625" style="8" customWidth="1"/>
    <col min="11004" max="11004" width="5.5703125" style="8" customWidth="1"/>
    <col min="11005" max="11005" width="9" style="8" customWidth="1"/>
    <col min="11006" max="11007" width="9.85546875" style="8" customWidth="1"/>
    <col min="11008" max="11008" width="11.140625" style="8" customWidth="1"/>
    <col min="11009" max="11009" width="2.85546875" style="8" customWidth="1"/>
    <col min="11010" max="11010" width="3.5703125" style="8" customWidth="1"/>
    <col min="11011" max="11255" width="9.140625" style="8"/>
    <col min="11256" max="11256" width="8.7109375" style="8" customWidth="1"/>
    <col min="11257" max="11257" width="9.85546875" style="8" customWidth="1"/>
    <col min="11258" max="11258" width="14.42578125" style="8" customWidth="1"/>
    <col min="11259" max="11259" width="7.28515625" style="8" customWidth="1"/>
    <col min="11260" max="11260" width="5.5703125" style="8" customWidth="1"/>
    <col min="11261" max="11261" width="9" style="8" customWidth="1"/>
    <col min="11262" max="11263" width="9.85546875" style="8" customWidth="1"/>
    <col min="11264" max="11264" width="11.140625" style="8" customWidth="1"/>
    <col min="11265" max="11265" width="2.85546875" style="8" customWidth="1"/>
    <col min="11266" max="11266" width="3.5703125" style="8" customWidth="1"/>
    <col min="11267" max="11511" width="9.140625" style="8"/>
    <col min="11512" max="11512" width="8.7109375" style="8" customWidth="1"/>
    <col min="11513" max="11513" width="9.85546875" style="8" customWidth="1"/>
    <col min="11514" max="11514" width="14.42578125" style="8" customWidth="1"/>
    <col min="11515" max="11515" width="7.28515625" style="8" customWidth="1"/>
    <col min="11516" max="11516" width="5.5703125" style="8" customWidth="1"/>
    <col min="11517" max="11517" width="9" style="8" customWidth="1"/>
    <col min="11518" max="11519" width="9.85546875" style="8" customWidth="1"/>
    <col min="11520" max="11520" width="11.140625" style="8" customWidth="1"/>
    <col min="11521" max="11521" width="2.85546875" style="8" customWidth="1"/>
    <col min="11522" max="11522" width="3.5703125" style="8" customWidth="1"/>
    <col min="11523" max="11767" width="9.140625" style="8"/>
    <col min="11768" max="11768" width="8.7109375" style="8" customWidth="1"/>
    <col min="11769" max="11769" width="9.85546875" style="8" customWidth="1"/>
    <col min="11770" max="11770" width="14.42578125" style="8" customWidth="1"/>
    <col min="11771" max="11771" width="7.28515625" style="8" customWidth="1"/>
    <col min="11772" max="11772" width="5.5703125" style="8" customWidth="1"/>
    <col min="11773" max="11773" width="9" style="8" customWidth="1"/>
    <col min="11774" max="11775" width="9.85546875" style="8" customWidth="1"/>
    <col min="11776" max="11776" width="11.140625" style="8" customWidth="1"/>
    <col min="11777" max="11777" width="2.85546875" style="8" customWidth="1"/>
    <col min="11778" max="11778" width="3.5703125" style="8" customWidth="1"/>
    <col min="11779" max="12023" width="9.140625" style="8"/>
    <col min="12024" max="12024" width="8.7109375" style="8" customWidth="1"/>
    <col min="12025" max="12025" width="9.85546875" style="8" customWidth="1"/>
    <col min="12026" max="12026" width="14.42578125" style="8" customWidth="1"/>
    <col min="12027" max="12027" width="7.28515625" style="8" customWidth="1"/>
    <col min="12028" max="12028" width="5.5703125" style="8" customWidth="1"/>
    <col min="12029" max="12029" width="9" style="8" customWidth="1"/>
    <col min="12030" max="12031" width="9.85546875" style="8" customWidth="1"/>
    <col min="12032" max="12032" width="11.140625" style="8" customWidth="1"/>
    <col min="12033" max="12033" width="2.85546875" style="8" customWidth="1"/>
    <col min="12034" max="12034" width="3.5703125" style="8" customWidth="1"/>
    <col min="12035" max="12279" width="9.140625" style="8"/>
    <col min="12280" max="12280" width="8.7109375" style="8" customWidth="1"/>
    <col min="12281" max="12281" width="9.85546875" style="8" customWidth="1"/>
    <col min="12282" max="12282" width="14.42578125" style="8" customWidth="1"/>
    <col min="12283" max="12283" width="7.28515625" style="8" customWidth="1"/>
    <col min="12284" max="12284" width="5.5703125" style="8" customWidth="1"/>
    <col min="12285" max="12285" width="9" style="8" customWidth="1"/>
    <col min="12286" max="12287" width="9.85546875" style="8" customWidth="1"/>
    <col min="12288" max="12288" width="11.140625" style="8" customWidth="1"/>
    <col min="12289" max="12289" width="2.85546875" style="8" customWidth="1"/>
    <col min="12290" max="12290" width="3.5703125" style="8" customWidth="1"/>
    <col min="12291" max="12535" width="9.140625" style="8"/>
    <col min="12536" max="12536" width="8.7109375" style="8" customWidth="1"/>
    <col min="12537" max="12537" width="9.85546875" style="8" customWidth="1"/>
    <col min="12538" max="12538" width="14.42578125" style="8" customWidth="1"/>
    <col min="12539" max="12539" width="7.28515625" style="8" customWidth="1"/>
    <col min="12540" max="12540" width="5.5703125" style="8" customWidth="1"/>
    <col min="12541" max="12541" width="9" style="8" customWidth="1"/>
    <col min="12542" max="12543" width="9.85546875" style="8" customWidth="1"/>
    <col min="12544" max="12544" width="11.140625" style="8" customWidth="1"/>
    <col min="12545" max="12545" width="2.85546875" style="8" customWidth="1"/>
    <col min="12546" max="12546" width="3.5703125" style="8" customWidth="1"/>
    <col min="12547" max="12791" width="9.140625" style="8"/>
    <col min="12792" max="12792" width="8.7109375" style="8" customWidth="1"/>
    <col min="12793" max="12793" width="9.85546875" style="8" customWidth="1"/>
    <col min="12794" max="12794" width="14.42578125" style="8" customWidth="1"/>
    <col min="12795" max="12795" width="7.28515625" style="8" customWidth="1"/>
    <col min="12796" max="12796" width="5.5703125" style="8" customWidth="1"/>
    <col min="12797" max="12797" width="9" style="8" customWidth="1"/>
    <col min="12798" max="12799" width="9.85546875" style="8" customWidth="1"/>
    <col min="12800" max="12800" width="11.140625" style="8" customWidth="1"/>
    <col min="12801" max="12801" width="2.85546875" style="8" customWidth="1"/>
    <col min="12802" max="12802" width="3.5703125" style="8" customWidth="1"/>
    <col min="12803" max="13047" width="9.140625" style="8"/>
    <col min="13048" max="13048" width="8.7109375" style="8" customWidth="1"/>
    <col min="13049" max="13049" width="9.85546875" style="8" customWidth="1"/>
    <col min="13050" max="13050" width="14.42578125" style="8" customWidth="1"/>
    <col min="13051" max="13051" width="7.28515625" style="8" customWidth="1"/>
    <col min="13052" max="13052" width="5.5703125" style="8" customWidth="1"/>
    <col min="13053" max="13053" width="9" style="8" customWidth="1"/>
    <col min="13054" max="13055" width="9.85546875" style="8" customWidth="1"/>
    <col min="13056" max="13056" width="11.140625" style="8" customWidth="1"/>
    <col min="13057" max="13057" width="2.85546875" style="8" customWidth="1"/>
    <col min="13058" max="13058" width="3.5703125" style="8" customWidth="1"/>
    <col min="13059" max="13303" width="9.140625" style="8"/>
    <col min="13304" max="13304" width="8.7109375" style="8" customWidth="1"/>
    <col min="13305" max="13305" width="9.85546875" style="8" customWidth="1"/>
    <col min="13306" max="13306" width="14.42578125" style="8" customWidth="1"/>
    <col min="13307" max="13307" width="7.28515625" style="8" customWidth="1"/>
    <col min="13308" max="13308" width="5.5703125" style="8" customWidth="1"/>
    <col min="13309" max="13309" width="9" style="8" customWidth="1"/>
    <col min="13310" max="13311" width="9.85546875" style="8" customWidth="1"/>
    <col min="13312" max="13312" width="11.140625" style="8" customWidth="1"/>
    <col min="13313" max="13313" width="2.85546875" style="8" customWidth="1"/>
    <col min="13314" max="13314" width="3.5703125" style="8" customWidth="1"/>
    <col min="13315" max="13559" width="9.140625" style="8"/>
    <col min="13560" max="13560" width="8.7109375" style="8" customWidth="1"/>
    <col min="13561" max="13561" width="9.85546875" style="8" customWidth="1"/>
    <col min="13562" max="13562" width="14.42578125" style="8" customWidth="1"/>
    <col min="13563" max="13563" width="7.28515625" style="8" customWidth="1"/>
    <col min="13564" max="13564" width="5.5703125" style="8" customWidth="1"/>
    <col min="13565" max="13565" width="9" style="8" customWidth="1"/>
    <col min="13566" max="13567" width="9.85546875" style="8" customWidth="1"/>
    <col min="13568" max="13568" width="11.140625" style="8" customWidth="1"/>
    <col min="13569" max="13569" width="2.85546875" style="8" customWidth="1"/>
    <col min="13570" max="13570" width="3.5703125" style="8" customWidth="1"/>
    <col min="13571" max="13815" width="9.140625" style="8"/>
    <col min="13816" max="13816" width="8.7109375" style="8" customWidth="1"/>
    <col min="13817" max="13817" width="9.85546875" style="8" customWidth="1"/>
    <col min="13818" max="13818" width="14.42578125" style="8" customWidth="1"/>
    <col min="13819" max="13819" width="7.28515625" style="8" customWidth="1"/>
    <col min="13820" max="13820" width="5.5703125" style="8" customWidth="1"/>
    <col min="13821" max="13821" width="9" style="8" customWidth="1"/>
    <col min="13822" max="13823" width="9.85546875" style="8" customWidth="1"/>
    <col min="13824" max="13824" width="11.140625" style="8" customWidth="1"/>
    <col min="13825" max="13825" width="2.85546875" style="8" customWidth="1"/>
    <col min="13826" max="13826" width="3.5703125" style="8" customWidth="1"/>
    <col min="13827" max="14071" width="9.140625" style="8"/>
    <col min="14072" max="14072" width="8.7109375" style="8" customWidth="1"/>
    <col min="14073" max="14073" width="9.85546875" style="8" customWidth="1"/>
    <col min="14074" max="14074" width="14.42578125" style="8" customWidth="1"/>
    <col min="14075" max="14075" width="7.28515625" style="8" customWidth="1"/>
    <col min="14076" max="14076" width="5.5703125" style="8" customWidth="1"/>
    <col min="14077" max="14077" width="9" style="8" customWidth="1"/>
    <col min="14078" max="14079" width="9.85546875" style="8" customWidth="1"/>
    <col min="14080" max="14080" width="11.140625" style="8" customWidth="1"/>
    <col min="14081" max="14081" width="2.85546875" style="8" customWidth="1"/>
    <col min="14082" max="14082" width="3.5703125" style="8" customWidth="1"/>
    <col min="14083" max="14327" width="9.140625" style="8"/>
    <col min="14328" max="14328" width="8.7109375" style="8" customWidth="1"/>
    <col min="14329" max="14329" width="9.85546875" style="8" customWidth="1"/>
    <col min="14330" max="14330" width="14.42578125" style="8" customWidth="1"/>
    <col min="14331" max="14331" width="7.28515625" style="8" customWidth="1"/>
    <col min="14332" max="14332" width="5.5703125" style="8" customWidth="1"/>
    <col min="14333" max="14333" width="9" style="8" customWidth="1"/>
    <col min="14334" max="14335" width="9.85546875" style="8" customWidth="1"/>
    <col min="14336" max="14336" width="11.140625" style="8" customWidth="1"/>
    <col min="14337" max="14337" width="2.85546875" style="8" customWidth="1"/>
    <col min="14338" max="14338" width="3.5703125" style="8" customWidth="1"/>
    <col min="14339" max="14583" width="9.140625" style="8"/>
    <col min="14584" max="14584" width="8.7109375" style="8" customWidth="1"/>
    <col min="14585" max="14585" width="9.85546875" style="8" customWidth="1"/>
    <col min="14586" max="14586" width="14.42578125" style="8" customWidth="1"/>
    <col min="14587" max="14587" width="7.28515625" style="8" customWidth="1"/>
    <col min="14588" max="14588" width="5.5703125" style="8" customWidth="1"/>
    <col min="14589" max="14589" width="9" style="8" customWidth="1"/>
    <col min="14590" max="14591" width="9.85546875" style="8" customWidth="1"/>
    <col min="14592" max="14592" width="11.140625" style="8" customWidth="1"/>
    <col min="14593" max="14593" width="2.85546875" style="8" customWidth="1"/>
    <col min="14594" max="14594" width="3.5703125" style="8" customWidth="1"/>
    <col min="14595" max="14839" width="9.140625" style="8"/>
    <col min="14840" max="14840" width="8.7109375" style="8" customWidth="1"/>
    <col min="14841" max="14841" width="9.85546875" style="8" customWidth="1"/>
    <col min="14842" max="14842" width="14.42578125" style="8" customWidth="1"/>
    <col min="14843" max="14843" width="7.28515625" style="8" customWidth="1"/>
    <col min="14844" max="14844" width="5.5703125" style="8" customWidth="1"/>
    <col min="14845" max="14845" width="9" style="8" customWidth="1"/>
    <col min="14846" max="14847" width="9.85546875" style="8" customWidth="1"/>
    <col min="14848" max="14848" width="11.140625" style="8" customWidth="1"/>
    <col min="14849" max="14849" width="2.85546875" style="8" customWidth="1"/>
    <col min="14850" max="14850" width="3.5703125" style="8" customWidth="1"/>
    <col min="14851" max="15095" width="9.140625" style="8"/>
    <col min="15096" max="15096" width="8.7109375" style="8" customWidth="1"/>
    <col min="15097" max="15097" width="9.85546875" style="8" customWidth="1"/>
    <col min="15098" max="15098" width="14.42578125" style="8" customWidth="1"/>
    <col min="15099" max="15099" width="7.28515625" style="8" customWidth="1"/>
    <col min="15100" max="15100" width="5.5703125" style="8" customWidth="1"/>
    <col min="15101" max="15101" width="9" style="8" customWidth="1"/>
    <col min="15102" max="15103" width="9.85546875" style="8" customWidth="1"/>
    <col min="15104" max="15104" width="11.140625" style="8" customWidth="1"/>
    <col min="15105" max="15105" width="2.85546875" style="8" customWidth="1"/>
    <col min="15106" max="15106" width="3.5703125" style="8" customWidth="1"/>
    <col min="15107" max="15351" width="9.140625" style="8"/>
    <col min="15352" max="15352" width="8.7109375" style="8" customWidth="1"/>
    <col min="15353" max="15353" width="9.85546875" style="8" customWidth="1"/>
    <col min="15354" max="15354" width="14.42578125" style="8" customWidth="1"/>
    <col min="15355" max="15355" width="7.28515625" style="8" customWidth="1"/>
    <col min="15356" max="15356" width="5.5703125" style="8" customWidth="1"/>
    <col min="15357" max="15357" width="9" style="8" customWidth="1"/>
    <col min="15358" max="15359" width="9.85546875" style="8" customWidth="1"/>
    <col min="15360" max="15360" width="11.140625" style="8" customWidth="1"/>
    <col min="15361" max="15361" width="2.85546875" style="8" customWidth="1"/>
    <col min="15362" max="15362" width="3.5703125" style="8" customWidth="1"/>
    <col min="15363" max="15607" width="9.140625" style="8"/>
    <col min="15608" max="15608" width="8.7109375" style="8" customWidth="1"/>
    <col min="15609" max="15609" width="9.85546875" style="8" customWidth="1"/>
    <col min="15610" max="15610" width="14.42578125" style="8" customWidth="1"/>
    <col min="15611" max="15611" width="7.28515625" style="8" customWidth="1"/>
    <col min="15612" max="15612" width="5.5703125" style="8" customWidth="1"/>
    <col min="15613" max="15613" width="9" style="8" customWidth="1"/>
    <col min="15614" max="15615" width="9.85546875" style="8" customWidth="1"/>
    <col min="15616" max="15616" width="11.140625" style="8" customWidth="1"/>
    <col min="15617" max="15617" width="2.85546875" style="8" customWidth="1"/>
    <col min="15618" max="15618" width="3.5703125" style="8" customWidth="1"/>
    <col min="15619" max="15863" width="9.140625" style="8"/>
    <col min="15864" max="15864" width="8.7109375" style="8" customWidth="1"/>
    <col min="15865" max="15865" width="9.85546875" style="8" customWidth="1"/>
    <col min="15866" max="15866" width="14.42578125" style="8" customWidth="1"/>
    <col min="15867" max="15867" width="7.28515625" style="8" customWidth="1"/>
    <col min="15868" max="15868" width="5.5703125" style="8" customWidth="1"/>
    <col min="15869" max="15869" width="9" style="8" customWidth="1"/>
    <col min="15870" max="15871" width="9.85546875" style="8" customWidth="1"/>
    <col min="15872" max="15872" width="11.140625" style="8" customWidth="1"/>
    <col min="15873" max="15873" width="2.85546875" style="8" customWidth="1"/>
    <col min="15874" max="15874" width="3.5703125" style="8" customWidth="1"/>
    <col min="15875" max="16119" width="9.140625" style="8"/>
    <col min="16120" max="16120" width="8.7109375" style="8" customWidth="1"/>
    <col min="16121" max="16121" width="9.85546875" style="8" customWidth="1"/>
    <col min="16122" max="16122" width="14.42578125" style="8" customWidth="1"/>
    <col min="16123" max="16123" width="7.28515625" style="8" customWidth="1"/>
    <col min="16124" max="16124" width="5.5703125" style="8" customWidth="1"/>
    <col min="16125" max="16125" width="9" style="8" customWidth="1"/>
    <col min="16126" max="16127" width="9.85546875" style="8" customWidth="1"/>
    <col min="16128" max="16128" width="11.140625" style="8" customWidth="1"/>
    <col min="16129" max="16129" width="2.85546875" style="8" customWidth="1"/>
    <col min="16130" max="16130" width="3.5703125" style="8" customWidth="1"/>
    <col min="16131" max="16384" width="9.140625" style="8"/>
  </cols>
  <sheetData>
    <row r="1" spans="1:8" ht="46.5" customHeight="1" x14ac:dyDescent="0.25">
      <c r="A1" s="141" t="s">
        <v>255</v>
      </c>
      <c r="B1" s="141"/>
      <c r="C1" s="141"/>
      <c r="D1" s="141"/>
      <c r="E1" s="141"/>
      <c r="F1" s="141"/>
      <c r="G1" s="141"/>
      <c r="H1" s="141"/>
    </row>
    <row r="2" spans="1:8" ht="16.5" customHeight="1" x14ac:dyDescent="0.25">
      <c r="A2" s="142" t="s">
        <v>0</v>
      </c>
      <c r="B2" s="142"/>
      <c r="C2" s="142"/>
      <c r="D2" s="142"/>
      <c r="E2" s="142"/>
      <c r="F2" s="142"/>
      <c r="G2" s="142"/>
      <c r="H2" s="142"/>
    </row>
    <row r="3" spans="1:8" x14ac:dyDescent="0.25">
      <c r="A3" s="137" t="s">
        <v>1</v>
      </c>
      <c r="B3" s="137"/>
      <c r="C3" s="137"/>
      <c r="D3" s="137"/>
      <c r="E3" s="140" t="str">
        <f ca="1">TEXT(TODAY(),"DD/MM/YYYY")</f>
        <v>15/07/2025</v>
      </c>
      <c r="F3" s="140"/>
      <c r="G3" s="140"/>
      <c r="H3" s="140"/>
    </row>
    <row r="4" spans="1:8" ht="15" customHeight="1" x14ac:dyDescent="0.25">
      <c r="A4" s="137" t="s">
        <v>2</v>
      </c>
      <c r="B4" s="137"/>
      <c r="C4" s="137"/>
      <c r="D4" s="137"/>
      <c r="E4" s="134" t="s">
        <v>186</v>
      </c>
      <c r="F4" s="134"/>
      <c r="G4" s="134"/>
      <c r="H4" s="134"/>
    </row>
    <row r="5" spans="1:8" x14ac:dyDescent="0.25">
      <c r="A5" s="137" t="s">
        <v>3</v>
      </c>
      <c r="B5" s="137"/>
      <c r="C5" s="137"/>
      <c r="D5" s="137"/>
      <c r="E5" s="140">
        <v>45850</v>
      </c>
      <c r="F5" s="140"/>
      <c r="G5" s="140"/>
      <c r="H5" s="140"/>
    </row>
    <row r="6" spans="1:8" ht="16.5" customHeight="1" x14ac:dyDescent="0.25">
      <c r="A6" s="137" t="s">
        <v>4</v>
      </c>
      <c r="B6" s="137"/>
      <c r="C6" s="137"/>
      <c r="D6" s="137"/>
      <c r="E6" s="136" t="s">
        <v>185</v>
      </c>
      <c r="F6" s="136"/>
      <c r="G6" s="136"/>
      <c r="H6" s="136"/>
    </row>
    <row r="7" spans="1:8" ht="15" customHeight="1" x14ac:dyDescent="0.25">
      <c r="A7" s="137" t="s">
        <v>5</v>
      </c>
      <c r="B7" s="137"/>
      <c r="C7" s="137"/>
      <c r="D7" s="137"/>
      <c r="E7" s="136" t="str">
        <f>E6</f>
        <v>M/s.Shree Sukhakarta Developers Pvt.Ltd.</v>
      </c>
      <c r="F7" s="136"/>
      <c r="G7" s="136"/>
      <c r="H7" s="136"/>
    </row>
    <row r="8" spans="1:8" x14ac:dyDescent="0.25">
      <c r="A8" s="137" t="s">
        <v>6</v>
      </c>
      <c r="B8" s="137"/>
      <c r="C8" s="137"/>
      <c r="D8" s="137"/>
      <c r="E8" s="143" t="s">
        <v>187</v>
      </c>
      <c r="F8" s="143"/>
      <c r="G8" s="143"/>
      <c r="H8" s="143"/>
    </row>
    <row r="9" spans="1:8" x14ac:dyDescent="0.25">
      <c r="A9" s="137" t="s">
        <v>158</v>
      </c>
      <c r="B9" s="137"/>
      <c r="C9" s="137"/>
      <c r="D9" s="137"/>
      <c r="E9" s="137" t="s">
        <v>188</v>
      </c>
      <c r="F9" s="137"/>
      <c r="G9" s="137"/>
      <c r="H9" s="137"/>
    </row>
    <row r="10" spans="1:8" x14ac:dyDescent="0.25">
      <c r="A10" s="137" t="s">
        <v>7</v>
      </c>
      <c r="B10" s="137"/>
      <c r="C10" s="137"/>
      <c r="D10" s="137"/>
      <c r="E10" s="137" t="s">
        <v>266</v>
      </c>
      <c r="F10" s="137"/>
      <c r="G10" s="137"/>
      <c r="H10" s="137"/>
    </row>
    <row r="11" spans="1:8" x14ac:dyDescent="0.25">
      <c r="A11" s="137" t="s">
        <v>8</v>
      </c>
      <c r="B11" s="137"/>
      <c r="C11" s="137"/>
      <c r="D11" s="137"/>
      <c r="E11" s="136" t="s">
        <v>254</v>
      </c>
      <c r="F11" s="136"/>
      <c r="G11" s="136"/>
      <c r="H11" s="136"/>
    </row>
    <row r="12" spans="1:8" x14ac:dyDescent="0.25">
      <c r="A12" s="137" t="s">
        <v>9</v>
      </c>
      <c r="B12" s="137"/>
      <c r="C12" s="137"/>
      <c r="D12" s="137"/>
      <c r="E12" s="136" t="s">
        <v>189</v>
      </c>
      <c r="F12" s="137"/>
      <c r="G12" s="137"/>
      <c r="H12" s="137"/>
    </row>
    <row r="13" spans="1:8" ht="33.75" customHeight="1" x14ac:dyDescent="0.25">
      <c r="A13" s="136" t="s">
        <v>10</v>
      </c>
      <c r="B13" s="136"/>
      <c r="C13" s="136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Ruparel Regalia, CTS No.12(Pt), near Om Shakti CHS, Dr. Ambedkar Marg, Sion Koliwaada, Sion, Ward Fnorth, Mumbai.</v>
      </c>
      <c r="D13" s="136"/>
      <c r="E13" s="136"/>
      <c r="F13" s="136"/>
      <c r="G13" s="136"/>
      <c r="H13" s="136"/>
    </row>
    <row r="14" spans="1:8" x14ac:dyDescent="0.25">
      <c r="A14" s="132" t="s">
        <v>219</v>
      </c>
      <c r="B14" s="132"/>
      <c r="C14" s="132" t="s">
        <v>191</v>
      </c>
      <c r="D14" s="132"/>
      <c r="E14" s="132"/>
      <c r="F14" s="132"/>
      <c r="G14" s="132"/>
      <c r="H14" s="132"/>
    </row>
    <row r="15" spans="1:8" ht="15.75" customHeight="1" x14ac:dyDescent="0.25">
      <c r="A15" s="132" t="s">
        <v>11</v>
      </c>
      <c r="B15" s="132"/>
      <c r="C15" s="135" t="s">
        <v>211</v>
      </c>
      <c r="D15" s="135"/>
      <c r="E15" s="132" t="s">
        <v>102</v>
      </c>
      <c r="F15" s="132"/>
      <c r="G15" s="132" t="s">
        <v>193</v>
      </c>
      <c r="H15" s="132"/>
    </row>
    <row r="16" spans="1:8" x14ac:dyDescent="0.25">
      <c r="A16" s="135" t="s">
        <v>13</v>
      </c>
      <c r="B16" s="135"/>
      <c r="C16" s="132" t="s">
        <v>194</v>
      </c>
      <c r="D16" s="132"/>
      <c r="E16" s="132" t="s">
        <v>12</v>
      </c>
      <c r="F16" s="132"/>
      <c r="G16" s="138" t="s">
        <v>190</v>
      </c>
      <c r="H16" s="138"/>
    </row>
    <row r="17" spans="1:8" x14ac:dyDescent="0.25">
      <c r="A17" s="119" t="s">
        <v>103</v>
      </c>
      <c r="B17" s="119"/>
      <c r="C17" s="132" t="s">
        <v>195</v>
      </c>
      <c r="D17" s="132"/>
      <c r="E17" s="133" t="s">
        <v>14</v>
      </c>
      <c r="F17" s="133"/>
      <c r="G17" s="132">
        <v>400022</v>
      </c>
      <c r="H17" s="132"/>
    </row>
    <row r="18" spans="1:8" ht="32.25" customHeight="1" x14ac:dyDescent="0.25">
      <c r="A18" s="119" t="s">
        <v>159</v>
      </c>
      <c r="B18" s="119"/>
      <c r="C18" s="139" t="s">
        <v>220</v>
      </c>
      <c r="D18" s="139"/>
      <c r="E18" s="133" t="s">
        <v>15</v>
      </c>
      <c r="F18" s="133"/>
      <c r="G18" s="132" t="s">
        <v>212</v>
      </c>
      <c r="H18" s="132"/>
    </row>
    <row r="19" spans="1:8" ht="15" customHeight="1" x14ac:dyDescent="0.25">
      <c r="A19" s="133" t="s">
        <v>108</v>
      </c>
      <c r="B19" s="133"/>
      <c r="C19" s="133"/>
      <c r="D19" s="133"/>
      <c r="E19" s="135" t="s">
        <v>16</v>
      </c>
      <c r="F19" s="135"/>
      <c r="G19" s="135"/>
      <c r="H19" s="135"/>
    </row>
    <row r="20" spans="1:8" ht="18.75" customHeight="1" x14ac:dyDescent="0.25">
      <c r="A20" s="133"/>
      <c r="B20" s="133"/>
      <c r="C20" s="133"/>
      <c r="D20" s="133"/>
      <c r="E20" s="135"/>
      <c r="F20" s="135"/>
      <c r="G20" s="135"/>
      <c r="H20" s="135"/>
    </row>
    <row r="21" spans="1:8" ht="15" customHeight="1" x14ac:dyDescent="0.25">
      <c r="A21" s="133" t="s">
        <v>17</v>
      </c>
      <c r="B21" s="133"/>
      <c r="C21" s="133"/>
      <c r="D21" s="133"/>
      <c r="E21" s="132" t="s">
        <v>18</v>
      </c>
      <c r="F21" s="132"/>
      <c r="G21" s="132"/>
      <c r="H21" s="132"/>
    </row>
    <row r="22" spans="1:8" ht="15" customHeight="1" x14ac:dyDescent="0.25">
      <c r="A22" s="119" t="s">
        <v>19</v>
      </c>
      <c r="B22" s="119"/>
      <c r="C22" s="119"/>
      <c r="D22" s="119"/>
      <c r="E22" s="132" t="str">
        <f>IF(AND(G16="Mumbai"),"Upper Class","Middle Class")</f>
        <v>Upper Class</v>
      </c>
      <c r="F22" s="132"/>
      <c r="G22" s="132"/>
      <c r="H22" s="132"/>
    </row>
    <row r="23" spans="1:8" x14ac:dyDescent="0.25">
      <c r="A23" s="119" t="s">
        <v>20</v>
      </c>
      <c r="B23" s="119"/>
      <c r="C23" s="119"/>
      <c r="D23" s="119"/>
      <c r="E23" s="132" t="s">
        <v>21</v>
      </c>
      <c r="F23" s="132"/>
      <c r="G23" s="132"/>
      <c r="H23" s="132"/>
    </row>
    <row r="24" spans="1:8" ht="15.75" customHeight="1" x14ac:dyDescent="0.25">
      <c r="A24" s="119" t="s">
        <v>22</v>
      </c>
      <c r="B24" s="119"/>
      <c r="C24" s="119"/>
      <c r="D24" s="119"/>
      <c r="E24" s="132" t="str">
        <f>IF(AND(G16="Mumbai"),"Developed","Developing")</f>
        <v>Developed</v>
      </c>
      <c r="F24" s="132"/>
      <c r="G24" s="132"/>
      <c r="H24" s="132"/>
    </row>
    <row r="25" spans="1:8" x14ac:dyDescent="0.25">
      <c r="A25" s="119" t="s">
        <v>23</v>
      </c>
      <c r="B25" s="119"/>
      <c r="C25" s="119"/>
      <c r="D25" s="119"/>
      <c r="E25" s="132" t="s">
        <v>24</v>
      </c>
      <c r="F25" s="132"/>
      <c r="G25" s="132"/>
      <c r="H25" s="132"/>
    </row>
    <row r="26" spans="1:8" x14ac:dyDescent="0.25">
      <c r="A26" s="119" t="s">
        <v>115</v>
      </c>
      <c r="B26" s="119"/>
      <c r="C26" s="119"/>
      <c r="D26" s="119"/>
      <c r="E26" s="132" t="s">
        <v>116</v>
      </c>
      <c r="F26" s="132"/>
      <c r="G26" s="132"/>
      <c r="H26" s="132"/>
    </row>
    <row r="27" spans="1:8" ht="15" customHeight="1" x14ac:dyDescent="0.25">
      <c r="A27" s="133" t="s">
        <v>33</v>
      </c>
      <c r="B27" s="133"/>
      <c r="C27" s="133"/>
      <c r="D27" s="133"/>
      <c r="E27" s="134" t="s">
        <v>112</v>
      </c>
      <c r="F27" s="134"/>
      <c r="G27" s="134"/>
      <c r="H27" s="134"/>
    </row>
    <row r="28" spans="1:8" x14ac:dyDescent="0.25">
      <c r="A28" s="133" t="s">
        <v>127</v>
      </c>
      <c r="B28" s="133"/>
      <c r="C28" s="133"/>
      <c r="D28" s="133"/>
      <c r="E28" s="132" t="s">
        <v>34</v>
      </c>
      <c r="F28" s="132"/>
      <c r="G28" s="132"/>
      <c r="H28" s="132"/>
    </row>
    <row r="29" spans="1:8" s="11" customFormat="1" x14ac:dyDescent="0.25">
      <c r="A29" s="126" t="s">
        <v>128</v>
      </c>
      <c r="B29" s="126"/>
      <c r="C29" s="123" t="s">
        <v>29</v>
      </c>
      <c r="D29" s="123"/>
      <c r="E29" s="123"/>
      <c r="F29" s="123" t="s">
        <v>31</v>
      </c>
      <c r="G29" s="123"/>
      <c r="H29" s="123"/>
    </row>
    <row r="30" spans="1:8" s="11" customFormat="1" x14ac:dyDescent="0.25">
      <c r="A30" s="125" t="s">
        <v>25</v>
      </c>
      <c r="B30" s="125" t="s">
        <v>30</v>
      </c>
      <c r="C30" s="122" t="s">
        <v>30</v>
      </c>
      <c r="D30" s="122"/>
      <c r="E30" s="122"/>
      <c r="F30" s="122" t="s">
        <v>220</v>
      </c>
      <c r="G30" s="122"/>
      <c r="H30" s="122"/>
    </row>
    <row r="31" spans="1:8" x14ac:dyDescent="0.25">
      <c r="A31" s="125" t="s">
        <v>26</v>
      </c>
      <c r="B31" s="125" t="s">
        <v>30</v>
      </c>
      <c r="C31" s="122" t="s">
        <v>30</v>
      </c>
      <c r="D31" s="122"/>
      <c r="E31" s="122"/>
      <c r="F31" s="122" t="s">
        <v>222</v>
      </c>
      <c r="G31" s="122"/>
      <c r="H31" s="122"/>
    </row>
    <row r="32" spans="1:8" s="11" customFormat="1" x14ac:dyDescent="0.25">
      <c r="A32" s="125" t="s">
        <v>28</v>
      </c>
      <c r="B32" s="125" t="s">
        <v>30</v>
      </c>
      <c r="C32" s="122" t="s">
        <v>30</v>
      </c>
      <c r="D32" s="122"/>
      <c r="E32" s="122"/>
      <c r="F32" s="122" t="s">
        <v>221</v>
      </c>
      <c r="G32" s="122"/>
      <c r="H32" s="122"/>
    </row>
    <row r="33" spans="1:8" x14ac:dyDescent="0.25">
      <c r="A33" s="125" t="s">
        <v>27</v>
      </c>
      <c r="B33" s="125" t="s">
        <v>30</v>
      </c>
      <c r="C33" s="122" t="s">
        <v>30</v>
      </c>
      <c r="D33" s="122"/>
      <c r="E33" s="122"/>
      <c r="F33" s="122" t="s">
        <v>211</v>
      </c>
      <c r="G33" s="122"/>
      <c r="H33" s="122"/>
    </row>
    <row r="34" spans="1:8" x14ac:dyDescent="0.25">
      <c r="A34" s="119" t="s">
        <v>32</v>
      </c>
      <c r="B34" s="119"/>
      <c r="C34" s="119"/>
      <c r="D34" s="119"/>
      <c r="E34" s="119"/>
      <c r="F34" s="119"/>
      <c r="G34" s="119"/>
      <c r="H34" s="119"/>
    </row>
    <row r="35" spans="1:8" ht="15.75" customHeight="1" x14ac:dyDescent="0.25">
      <c r="A35" s="124" t="s">
        <v>256</v>
      </c>
      <c r="B35" s="124"/>
      <c r="C35" s="128" t="s">
        <v>257</v>
      </c>
      <c r="D35" s="129"/>
      <c r="E35" s="129"/>
      <c r="F35" s="129"/>
      <c r="G35" s="129"/>
      <c r="H35" s="130"/>
    </row>
    <row r="36" spans="1:8" ht="15.75" customHeight="1" x14ac:dyDescent="0.25">
      <c r="A36" s="124" t="s">
        <v>258</v>
      </c>
      <c r="B36" s="124"/>
      <c r="C36" s="131" t="s">
        <v>259</v>
      </c>
      <c r="D36" s="129"/>
      <c r="E36" s="129"/>
      <c r="F36" s="129"/>
      <c r="G36" s="129"/>
      <c r="H36" s="130"/>
    </row>
    <row r="37" spans="1:8" x14ac:dyDescent="0.25">
      <c r="A37" s="127" t="s">
        <v>35</v>
      </c>
      <c r="B37" s="127"/>
      <c r="C37" s="127"/>
      <c r="D37" s="127"/>
      <c r="E37" s="127"/>
      <c r="F37" s="127"/>
      <c r="G37" s="127"/>
      <c r="H37" s="127"/>
    </row>
    <row r="38" spans="1:8" x14ac:dyDescent="0.25">
      <c r="A38" s="119" t="s">
        <v>36</v>
      </c>
      <c r="B38" s="119"/>
      <c r="C38" s="119"/>
      <c r="D38" s="119"/>
      <c r="E38" s="121">
        <v>4398.6899999999996</v>
      </c>
      <c r="F38" s="121"/>
      <c r="G38" s="121"/>
      <c r="H38" s="121"/>
    </row>
    <row r="39" spans="1:8" x14ac:dyDescent="0.25">
      <c r="A39" s="119" t="s">
        <v>37</v>
      </c>
      <c r="B39" s="119"/>
      <c r="C39" s="119"/>
      <c r="D39" s="119"/>
      <c r="E39" s="144">
        <v>4</v>
      </c>
      <c r="F39" s="144"/>
      <c r="G39" s="144"/>
      <c r="H39" s="144"/>
    </row>
    <row r="40" spans="1:8" x14ac:dyDescent="0.25">
      <c r="A40" s="119" t="s">
        <v>38</v>
      </c>
      <c r="B40" s="119"/>
      <c r="C40" s="119"/>
      <c r="D40" s="119"/>
      <c r="E40" s="144">
        <f>E42/E38-E39</f>
        <v>0.94489495736230644</v>
      </c>
      <c r="F40" s="144"/>
      <c r="G40" s="144"/>
      <c r="H40" s="144"/>
    </row>
    <row r="41" spans="1:8" x14ac:dyDescent="0.25">
      <c r="A41" s="119" t="s">
        <v>39</v>
      </c>
      <c r="B41" s="119"/>
      <c r="C41" s="119"/>
      <c r="D41" s="119"/>
      <c r="E41" s="144">
        <f>E39+E40</f>
        <v>4.9448949573623064</v>
      </c>
      <c r="F41" s="144"/>
      <c r="G41" s="144"/>
      <c r="H41" s="144"/>
    </row>
    <row r="42" spans="1:8" x14ac:dyDescent="0.25">
      <c r="A42" s="135" t="s">
        <v>126</v>
      </c>
      <c r="B42" s="135"/>
      <c r="C42" s="135"/>
      <c r="D42" s="135"/>
      <c r="E42" s="145">
        <v>21751.06</v>
      </c>
      <c r="F42" s="145"/>
      <c r="G42" s="145"/>
      <c r="H42" s="145"/>
    </row>
    <row r="43" spans="1:8" x14ac:dyDescent="0.25">
      <c r="A43" s="135" t="s">
        <v>40</v>
      </c>
      <c r="B43" s="135"/>
      <c r="C43" s="135"/>
      <c r="D43" s="135"/>
      <c r="E43" s="135" t="s">
        <v>223</v>
      </c>
      <c r="F43" s="135"/>
      <c r="G43" s="135"/>
      <c r="H43" s="135"/>
    </row>
    <row r="44" spans="1:8" x14ac:dyDescent="0.25">
      <c r="A44" s="146" t="s">
        <v>41</v>
      </c>
      <c r="B44" s="146"/>
      <c r="C44" s="146"/>
      <c r="D44" s="146"/>
      <c r="E44" s="146"/>
      <c r="F44" s="146"/>
      <c r="G44" s="146"/>
      <c r="H44" s="146"/>
    </row>
    <row r="45" spans="1:8" x14ac:dyDescent="0.25">
      <c r="A45" s="132" t="s">
        <v>42</v>
      </c>
      <c r="B45" s="132"/>
      <c r="C45" s="153" t="s">
        <v>192</v>
      </c>
      <c r="D45" s="153"/>
      <c r="E45" s="153"/>
      <c r="F45" s="56" t="s">
        <v>43</v>
      </c>
      <c r="G45" s="159">
        <v>44544</v>
      </c>
      <c r="H45" s="159"/>
    </row>
    <row r="46" spans="1:8" x14ac:dyDescent="0.25">
      <c r="A46" s="135" t="s">
        <v>44</v>
      </c>
      <c r="B46" s="135"/>
      <c r="C46" s="153" t="str">
        <f>C45</f>
        <v>SRA/ENG/3294/FN/ML/AP</v>
      </c>
      <c r="D46" s="153"/>
      <c r="E46" s="153"/>
      <c r="F46" s="56" t="s">
        <v>43</v>
      </c>
      <c r="G46" s="159">
        <f>G45</f>
        <v>44544</v>
      </c>
      <c r="H46" s="159"/>
    </row>
    <row r="47" spans="1:8" s="10" customFormat="1" x14ac:dyDescent="0.25">
      <c r="A47" s="148" t="s">
        <v>45</v>
      </c>
      <c r="B47" s="157"/>
      <c r="C47" s="153" t="s">
        <v>192</v>
      </c>
      <c r="D47" s="153"/>
      <c r="E47" s="153"/>
      <c r="F47" s="13" t="s">
        <v>43</v>
      </c>
      <c r="G47" s="159">
        <v>44574</v>
      </c>
      <c r="H47" s="159"/>
    </row>
    <row r="48" spans="1:8" s="10" customFormat="1" ht="47.25" customHeight="1" x14ac:dyDescent="0.25">
      <c r="A48" s="150"/>
      <c r="B48" s="158"/>
      <c r="C48" s="162" t="s">
        <v>245</v>
      </c>
      <c r="D48" s="163"/>
      <c r="E48" s="163"/>
      <c r="F48" s="163"/>
      <c r="G48" s="163"/>
      <c r="H48" s="164"/>
    </row>
    <row r="49" spans="1:14" x14ac:dyDescent="0.25">
      <c r="A49" s="154" t="s">
        <v>46</v>
      </c>
      <c r="B49" s="154"/>
      <c r="C49" s="155" t="s">
        <v>138</v>
      </c>
      <c r="D49" s="156"/>
      <c r="E49" s="156" t="s">
        <v>47</v>
      </c>
      <c r="F49" s="69" t="s">
        <v>43</v>
      </c>
      <c r="G49" s="210" t="s">
        <v>30</v>
      </c>
      <c r="H49" s="210"/>
    </row>
    <row r="50" spans="1:14" x14ac:dyDescent="0.25">
      <c r="A50" s="209" t="s">
        <v>49</v>
      </c>
      <c r="B50" s="209"/>
      <c r="C50" s="209"/>
      <c r="D50" s="209"/>
      <c r="E50" s="209"/>
      <c r="F50" s="209"/>
      <c r="G50" s="209"/>
      <c r="H50" s="209"/>
    </row>
    <row r="51" spans="1:14" x14ac:dyDescent="0.25">
      <c r="A51" s="132" t="s">
        <v>125</v>
      </c>
      <c r="B51" s="132"/>
      <c r="C51" s="132"/>
      <c r="D51" s="135">
        <f>E42</f>
        <v>21751.06</v>
      </c>
      <c r="E51" s="135"/>
      <c r="F51" s="135"/>
      <c r="G51" s="135"/>
      <c r="H51" s="135"/>
    </row>
    <row r="52" spans="1:14" x14ac:dyDescent="0.25">
      <c r="A52" s="132" t="s">
        <v>50</v>
      </c>
      <c r="B52" s="135"/>
      <c r="C52" s="135"/>
      <c r="D52" s="135" t="s">
        <v>251</v>
      </c>
      <c r="E52" s="135"/>
      <c r="F52" s="135"/>
      <c r="G52" s="135"/>
      <c r="H52" s="135"/>
      <c r="I52" s="44"/>
    </row>
    <row r="53" spans="1:14" ht="48.75" customHeight="1" x14ac:dyDescent="0.25">
      <c r="A53" s="148" t="s">
        <v>51</v>
      </c>
      <c r="B53" s="149"/>
      <c r="C53" s="157"/>
      <c r="D53" s="161" t="s">
        <v>264</v>
      </c>
      <c r="E53" s="152"/>
      <c r="F53" s="152"/>
      <c r="G53" s="152"/>
      <c r="H53" s="152"/>
      <c r="I53" s="45"/>
    </row>
    <row r="54" spans="1:14" ht="15.75" customHeight="1" x14ac:dyDescent="0.25">
      <c r="A54" s="148" t="s">
        <v>123</v>
      </c>
      <c r="B54" s="149"/>
      <c r="C54" s="149"/>
      <c r="D54" s="152" t="s">
        <v>225</v>
      </c>
      <c r="E54" s="152"/>
      <c r="F54" s="152"/>
      <c r="G54" s="152"/>
      <c r="H54" s="152"/>
      <c r="I54" s="45"/>
    </row>
    <row r="55" spans="1:14" ht="15.75" customHeight="1" x14ac:dyDescent="0.25">
      <c r="A55" s="150"/>
      <c r="B55" s="151"/>
      <c r="C55" s="151"/>
      <c r="D55" s="135" t="s">
        <v>218</v>
      </c>
      <c r="E55" s="135"/>
      <c r="F55" s="135"/>
      <c r="G55" s="135"/>
      <c r="H55" s="135"/>
      <c r="I55" s="45"/>
    </row>
    <row r="56" spans="1:14" ht="15.75" customHeight="1" x14ac:dyDescent="0.25">
      <c r="A56" s="119" t="s">
        <v>48</v>
      </c>
      <c r="B56" s="119"/>
      <c r="C56" s="119"/>
      <c r="D56" s="147" t="s">
        <v>244</v>
      </c>
      <c r="E56" s="147"/>
      <c r="F56" s="147"/>
      <c r="G56" s="147"/>
      <c r="H56" s="147"/>
      <c r="J56" s="43"/>
      <c r="K56" s="44"/>
      <c r="N56" s="44"/>
    </row>
    <row r="57" spans="1:14" ht="15.75" customHeight="1" x14ac:dyDescent="0.25">
      <c r="A57" s="119" t="s">
        <v>121</v>
      </c>
      <c r="B57" s="119"/>
      <c r="C57" s="119"/>
      <c r="D57" s="160" t="str">
        <f>(IF(G49="NA","60 Years After Completion",IF(G49&lt;&gt;"NA",""&amp;60-ROUNDDOWN((E3-G49)/360,0)&amp;" Years"," ")))</f>
        <v>60 Years After Completion</v>
      </c>
      <c r="E57" s="160"/>
      <c r="F57" s="160"/>
      <c r="G57" s="160"/>
      <c r="H57" s="160"/>
      <c r="N57" s="44"/>
    </row>
    <row r="58" spans="1:14" ht="15.75" customHeight="1" x14ac:dyDescent="0.25">
      <c r="A58" s="119" t="s">
        <v>122</v>
      </c>
      <c r="B58" s="119"/>
      <c r="C58" s="119"/>
      <c r="D58" s="133" t="s">
        <v>24</v>
      </c>
      <c r="E58" s="133"/>
      <c r="F58" s="133"/>
      <c r="G58" s="133"/>
      <c r="H58" s="133"/>
      <c r="J58" s="18"/>
      <c r="K58" s="18"/>
    </row>
    <row r="59" spans="1:14" ht="15.75" customHeight="1" thickBot="1" x14ac:dyDescent="0.3">
      <c r="A59" s="180" t="s">
        <v>120</v>
      </c>
      <c r="B59" s="180"/>
      <c r="C59" s="180"/>
      <c r="D59" s="161" t="str">
        <f ca="1">(IF(G64&gt;95%,"Nothing",IF(G64&gt;0%,"Cement, Aggregate, Steel, etc",IF(G64=0%,"Work not yet Started"))))</f>
        <v>Cement, Aggregate, Steel, etc</v>
      </c>
      <c r="E59" s="161"/>
      <c r="F59" s="161"/>
      <c r="G59" s="161"/>
      <c r="H59" s="161"/>
      <c r="J59" s="18"/>
    </row>
    <row r="60" spans="1:14" ht="15.75" customHeight="1" x14ac:dyDescent="0.25">
      <c r="A60" s="165" t="s">
        <v>177</v>
      </c>
      <c r="B60" s="166"/>
      <c r="C60" s="167" t="s">
        <v>241</v>
      </c>
      <c r="D60" s="168"/>
      <c r="E60" s="168"/>
      <c r="F60" s="168"/>
      <c r="G60" s="168"/>
      <c r="H60" s="169"/>
      <c r="I60" s="47" t="str">
        <f ca="1">(IF(E64&gt;99%,"All work completed. Please provide OC.",IF(E64&gt;89.8%,"Plinth, RCC, Brick, Plaster, Flooring, Painting work Completed. Finishing work is in process.",IF(E64&lt;94%,(IF(C64=0,"Work not yet Started.",IF(D64=25%,"Piling work in process",IF(D64=50%,"Excavation work in process",IF(D64=100%,"Excavation work Completed. ","0")))&amp;(IF(C65=0%,"",IF(C65=J66,"Footing work is process",IF(C65=J67,"Footing work Completed",IF(C65=J68,"1st Basement Completed",IF(C65=J69,"1st &amp; 2nd Basement Completed",IF(C65=J70,"1st to 3rd Basement Completed",IF(C65=J71,"1st to 4th Basement Completed",IF(C65=J72,"Plinth work is process",IF(C65=J73,"Plinth work completed","0")))))))))))&amp;(IF(C66=(D61+F61+H61),", RCC Slab",IF(C66&gt;0,", RCC upto "&amp;C66&amp;" Slab",""))&amp;(IF(C67=H61,", Brickwork",IF(C67&gt;0,", Brickwork upto "&amp;C67&amp;" Floor",""))&amp;(IF(C68=H61,", Internal Plaster",IF(C68&gt;0,", Internal Plaster upto "&amp;C68&amp;" Floor",""))&amp;(IF(C69=H61,", External Plaster",IF(C69&gt;0,", External Plaster upto "&amp;C69&amp;" Floor",""))&amp;(IF(C70=H61,", Flooring",IF(C70&gt;0,", Flooring upto "&amp;C70&amp;" Floor",""))&amp;(IF(C71=H61,", Painting",IF(C71&gt;0,", Painting upto "&amp;C71&amp;" Floor",""))&amp;(IF(C72&gt;0,", Finishing upto "&amp;C72&amp;" Floor","")&amp;(IF(C66&gt;0.5," Completed",""))))))))))))))</f>
        <v>Excavation work Completed. Plinth work completed, RCC Slab, Brickwork upto 15 Floor, Internal Plaster upto 12 Floor, External Plaster upto 4 Floor Completed</v>
      </c>
      <c r="J60" s="19"/>
    </row>
    <row r="61" spans="1:14" x14ac:dyDescent="0.25">
      <c r="A61" s="53" t="s">
        <v>179</v>
      </c>
      <c r="B61" s="57">
        <v>0</v>
      </c>
      <c r="C61" s="57" t="s">
        <v>101</v>
      </c>
      <c r="D61" s="57">
        <v>1</v>
      </c>
      <c r="E61" s="57" t="s">
        <v>100</v>
      </c>
      <c r="F61" s="57">
        <v>0</v>
      </c>
      <c r="G61" s="57" t="s">
        <v>114</v>
      </c>
      <c r="H61" s="54">
        <f ca="1">--TRIM(RIGHT(SUBSTITUTE(LEFT(C60,_xlfn.AGGREGATE(16,6,FIND({0,1,2,3,4,5,6,7,8,9},C60,ROW(INDIRECT("1:"&amp;LEN(C60)))),1))," ",REPT(" ",LEN(C60))),LEN(C60)))</f>
        <v>22</v>
      </c>
      <c r="I61" s="48"/>
      <c r="J61" s="20"/>
    </row>
    <row r="62" spans="1:14" ht="50.25" customHeight="1" x14ac:dyDescent="0.25">
      <c r="A62" s="182" t="s">
        <v>124</v>
      </c>
      <c r="B62" s="146"/>
      <c r="C62" s="154" t="str">
        <f ca="1">I60</f>
        <v>Excavation work Completed. Plinth work completed, RCC Slab, Brickwork upto 15 Floor, Internal Plaster upto 12 Floor, External Plaster upto 4 Floor Completed</v>
      </c>
      <c r="D62" s="154"/>
      <c r="E62" s="154"/>
      <c r="F62" s="154"/>
      <c r="G62" s="154"/>
      <c r="H62" s="172"/>
      <c r="I62" s="48" t="s">
        <v>137</v>
      </c>
      <c r="J62" s="20"/>
    </row>
    <row r="63" spans="1:14" ht="15.75" customHeight="1" x14ac:dyDescent="0.25">
      <c r="A63" s="170" t="s">
        <v>52</v>
      </c>
      <c r="B63" s="171"/>
      <c r="C63" s="62" t="s">
        <v>176</v>
      </c>
      <c r="D63" s="63" t="s">
        <v>117</v>
      </c>
      <c r="E63" s="171" t="s">
        <v>119</v>
      </c>
      <c r="F63" s="171"/>
      <c r="G63" s="171" t="s">
        <v>118</v>
      </c>
      <c r="H63" s="181"/>
      <c r="I63" s="42" t="s">
        <v>178</v>
      </c>
      <c r="J63" s="21">
        <f ca="1">H61*25%</f>
        <v>5.5</v>
      </c>
    </row>
    <row r="64" spans="1:14" x14ac:dyDescent="0.25">
      <c r="A64" s="170" t="s">
        <v>165</v>
      </c>
      <c r="B64" s="171"/>
      <c r="C64" s="64">
        <f ca="1">J65</f>
        <v>22</v>
      </c>
      <c r="D64" s="65">
        <f ca="1">((100/H61)*C64)/100</f>
        <v>1.0000000000000002</v>
      </c>
      <c r="E64" s="173">
        <f ca="1">(((C65/H61*10)+(40/(D61+F61+H61)*C66)+(7.5/(H61)*C67)+(7.5/(H61)*C68)+(10/H61*C69)+(10/H61*C70)+(5/H61*C71)+(5/H61*C72)+(5/H61*C73))/100)</f>
        <v>0.61022727272727273</v>
      </c>
      <c r="F64" s="173"/>
      <c r="G64" s="173">
        <f ca="1">((((C64/H61)*20)+((C65/H61)*25)+(30/(H61+F61+D61)*C66)+(5/H61*C67)+(5/H61*C68)+(5/H61*C69)+(5/H61*C70)+(0/H61*C71)+(0/H61*C72)+(5/H61*C73))/100)</f>
        <v>0.82045454545454544</v>
      </c>
      <c r="H64" s="175"/>
      <c r="I64" s="42" t="s">
        <v>132</v>
      </c>
      <c r="J64" s="46">
        <f ca="1">H61*50%</f>
        <v>11</v>
      </c>
    </row>
    <row r="65" spans="1:10" x14ac:dyDescent="0.25">
      <c r="A65" s="170" t="s">
        <v>53</v>
      </c>
      <c r="B65" s="171"/>
      <c r="C65" s="66">
        <f ca="1">J73</f>
        <v>22</v>
      </c>
      <c r="D65" s="65">
        <f ca="1">((100/H61)*C65)/100</f>
        <v>1.0000000000000002</v>
      </c>
      <c r="E65" s="173"/>
      <c r="F65" s="173"/>
      <c r="G65" s="173"/>
      <c r="H65" s="175"/>
      <c r="I65" s="42" t="s">
        <v>133</v>
      </c>
      <c r="J65" s="46">
        <f ca="1">H61</f>
        <v>22</v>
      </c>
    </row>
    <row r="66" spans="1:10" ht="15.75" customHeight="1" x14ac:dyDescent="0.25">
      <c r="A66" s="179" t="s">
        <v>166</v>
      </c>
      <c r="B66" s="122"/>
      <c r="C66" s="66">
        <v>23</v>
      </c>
      <c r="D66" s="65">
        <f ca="1">((100/(D61+F61+H61))*C66)/100</f>
        <v>1</v>
      </c>
      <c r="E66" s="173"/>
      <c r="F66" s="173"/>
      <c r="G66" s="173"/>
      <c r="H66" s="175"/>
      <c r="I66" s="42" t="s">
        <v>134</v>
      </c>
      <c r="J66" s="50">
        <f ca="1">(IF(B61&gt;1,(H61/(B61+2)),H61/4))</f>
        <v>5.5</v>
      </c>
    </row>
    <row r="67" spans="1:10" ht="15.75" customHeight="1" x14ac:dyDescent="0.25">
      <c r="A67" s="170" t="s">
        <v>173</v>
      </c>
      <c r="B67" s="171" t="s">
        <v>167</v>
      </c>
      <c r="C67" s="64">
        <v>15</v>
      </c>
      <c r="D67" s="65">
        <f ca="1">((100/H61)*C67)/100</f>
        <v>0.68181818181818188</v>
      </c>
      <c r="E67" s="173"/>
      <c r="F67" s="173"/>
      <c r="G67" s="173"/>
      <c r="H67" s="175"/>
      <c r="I67" s="42" t="s">
        <v>135</v>
      </c>
      <c r="J67" s="50">
        <f ca="1">(IF(B61&gt;1,(H61/(B61+2)+J66),H61/4+J66))</f>
        <v>11</v>
      </c>
    </row>
    <row r="68" spans="1:10" ht="15.75" customHeight="1" x14ac:dyDescent="0.25">
      <c r="A68" s="170" t="s">
        <v>174</v>
      </c>
      <c r="B68" s="171" t="s">
        <v>167</v>
      </c>
      <c r="C68" s="64">
        <v>12</v>
      </c>
      <c r="D68" s="65">
        <f ca="1">((100/H61)*C68)/100</f>
        <v>0.54545454545454541</v>
      </c>
      <c r="E68" s="173"/>
      <c r="F68" s="173"/>
      <c r="G68" s="173"/>
      <c r="H68" s="175"/>
      <c r="I68" s="42" t="s">
        <v>183</v>
      </c>
      <c r="J68" s="50">
        <f>(IF(B61&gt;1,(H61/(B61+2)+J67),0))</f>
        <v>0</v>
      </c>
    </row>
    <row r="69" spans="1:10" ht="15" customHeight="1" x14ac:dyDescent="0.25">
      <c r="A69" s="170" t="s">
        <v>172</v>
      </c>
      <c r="B69" s="171" t="s">
        <v>169</v>
      </c>
      <c r="C69" s="64">
        <v>4</v>
      </c>
      <c r="D69" s="65">
        <f ca="1">((100/(H61))*C69)/100</f>
        <v>0.18181818181818182</v>
      </c>
      <c r="E69" s="173"/>
      <c r="F69" s="173"/>
      <c r="G69" s="173"/>
      <c r="H69" s="175"/>
      <c r="I69" s="42" t="s">
        <v>180</v>
      </c>
      <c r="J69" s="50">
        <f>(IF(B61&gt;2,(H61/(B61+2)+J68),0))</f>
        <v>0</v>
      </c>
    </row>
    <row r="70" spans="1:10" ht="15.75" customHeight="1" x14ac:dyDescent="0.25">
      <c r="A70" s="170" t="s">
        <v>168</v>
      </c>
      <c r="B70" s="171" t="s">
        <v>168</v>
      </c>
      <c r="C70" s="64">
        <v>0</v>
      </c>
      <c r="D70" s="65">
        <f ca="1">((100/H61)*C70)/100</f>
        <v>0</v>
      </c>
      <c r="E70" s="173"/>
      <c r="F70" s="173"/>
      <c r="G70" s="173"/>
      <c r="H70" s="175"/>
      <c r="I70" s="42" t="s">
        <v>181</v>
      </c>
      <c r="J70" s="51">
        <f>(IF(B61&gt;3,(H61/(B61+2)+J69),0))</f>
        <v>0</v>
      </c>
    </row>
    <row r="71" spans="1:10" ht="15.75" customHeight="1" x14ac:dyDescent="0.25">
      <c r="A71" s="170" t="s">
        <v>175</v>
      </c>
      <c r="B71" s="171"/>
      <c r="C71" s="64">
        <v>0</v>
      </c>
      <c r="D71" s="65">
        <f ca="1">((100/H61)*C71)/100</f>
        <v>0</v>
      </c>
      <c r="E71" s="173"/>
      <c r="F71" s="173"/>
      <c r="G71" s="173"/>
      <c r="H71" s="175"/>
      <c r="I71" s="42" t="s">
        <v>182</v>
      </c>
      <c r="J71" s="50">
        <f>(IF(B61&gt;4,(H61/(B61+2)+J70),0))</f>
        <v>0</v>
      </c>
    </row>
    <row r="72" spans="1:10" ht="15.75" customHeight="1" x14ac:dyDescent="0.25">
      <c r="A72" s="170" t="s">
        <v>170</v>
      </c>
      <c r="B72" s="171" t="s">
        <v>170</v>
      </c>
      <c r="C72" s="64">
        <v>0</v>
      </c>
      <c r="D72" s="65">
        <f ca="1">((100/(H61))*C72)/100</f>
        <v>0</v>
      </c>
      <c r="E72" s="173"/>
      <c r="F72" s="173"/>
      <c r="G72" s="173"/>
      <c r="H72" s="175"/>
      <c r="I72" s="42" t="s">
        <v>184</v>
      </c>
      <c r="J72" s="50">
        <f ca="1">(IF(B61=1,(H61/(B61+3)+J67),IF(B61=0,(H61/4+J67),IF(B61&gt;1,0))))</f>
        <v>16.5</v>
      </c>
    </row>
    <row r="73" spans="1:10" ht="16.5" thickBot="1" x14ac:dyDescent="0.3">
      <c r="A73" s="177" t="s">
        <v>171</v>
      </c>
      <c r="B73" s="178"/>
      <c r="C73" s="67">
        <v>0</v>
      </c>
      <c r="D73" s="68">
        <f ca="1">((100/(H61))*C73)/100</f>
        <v>0</v>
      </c>
      <c r="E73" s="174"/>
      <c r="F73" s="174"/>
      <c r="G73" s="174"/>
      <c r="H73" s="176"/>
      <c r="I73" s="49" t="s">
        <v>136</v>
      </c>
      <c r="J73" s="52">
        <f ca="1">(IF(B61&gt;1.5,(H61/(B61+2)+J67+MAX(0,J68-J67)+MAX(0,J69-J68)+MAX(0,J70-J69)+MAX(0,J71-J70)+MAX(0,J72-J71)),IF(B61=1,(H61/(B61+3)+J72),IF(B61=0,H61/4+J72))))</f>
        <v>22</v>
      </c>
    </row>
    <row r="74" spans="1:10" ht="15.75" customHeight="1" x14ac:dyDescent="0.25">
      <c r="A74" s="165" t="s">
        <v>177</v>
      </c>
      <c r="B74" s="166"/>
      <c r="C74" s="167" t="s">
        <v>240</v>
      </c>
      <c r="D74" s="168"/>
      <c r="E74" s="168"/>
      <c r="F74" s="168"/>
      <c r="G74" s="168"/>
      <c r="H74" s="169"/>
      <c r="I74" s="47" t="str">
        <f ca="1">(IF(E78&gt;99%,"All work completed. Please provide OC.",IF(E78&gt;89.8%,"Plinth, RCC, Brick, Plaster, Flooring, Painting work Completed. Finishing work is in process.",IF(E78&lt;94%,(IF(C78=0,"Work not yet Started.",IF(D78=25%,"Piling work in process",IF(D78=50%,"Excavation work in process",IF(D78=100%,"Excavation work Completed. ","0")))&amp;(IF(C79=0%,"",IF(C79=J80,"Footing work is process",IF(C79=J81,"Footing work Completed",IF(C79=J82,"1st Basement Completed",IF(C79=J83,"1st &amp; 2nd Basement Completed",IF(C79=J84,"1st to 3rd Basement Completed",IF(C79=J85,"1st to 4th Basement Completed",IF(C79=J86,"Plinth work is process",IF(C79=J87,"Plinth work completed","0")))))))))))&amp;(IF(C80=(D75+F75+H75),", RCC Slab",IF(C80&gt;0,", RCC upto "&amp;C80&amp;" Slab",""))&amp;(IF(C81=H75,", Brickwork",IF(C81&gt;0,", Brickwork upto "&amp;C81&amp;" Floor",""))&amp;(IF(C82=H75,", Internal Plaster",IF(C82&gt;0,", Internal Plaster upto "&amp;C82&amp;" Floor",""))&amp;(IF(C83=H75,", External Plaster",IF(C83&gt;0,", External Plaster upto "&amp;C83&amp;" Floor",""))&amp;(IF(C84=H75,", Flooring",IF(C84&gt;0,", Flooring upto "&amp;C84&amp;" Floor",""))&amp;(IF(C85=H75,", Painting",IF(C85&gt;0,", Painting upto "&amp;C85&amp;" Floor",""))&amp;(IF(C86&gt;0,", Finishing upto "&amp;C86&amp;" Floor","")&amp;(IF(C80&gt;0.5," Completed",""))))))))))))))</f>
        <v>Excavation work Completed. Plinth work completed, RCC Slab, Brickwork upto 13 Floor, Internal Plaster upto 11 Floor, External Plaster upto 10 Floor, Flooring upto 2 Floor Completed</v>
      </c>
      <c r="J74" s="19"/>
    </row>
    <row r="75" spans="1:10" x14ac:dyDescent="0.25">
      <c r="A75" s="80" t="s">
        <v>179</v>
      </c>
      <c r="B75" s="79">
        <v>0</v>
      </c>
      <c r="C75" s="79" t="s">
        <v>101</v>
      </c>
      <c r="D75" s="79">
        <v>1</v>
      </c>
      <c r="E75" s="79" t="s">
        <v>100</v>
      </c>
      <c r="F75" s="79">
        <v>0</v>
      </c>
      <c r="G75" s="79" t="s">
        <v>114</v>
      </c>
      <c r="H75" s="54">
        <f ca="1">--TRIM(RIGHT(SUBSTITUTE(LEFT(C74,_xlfn.AGGREGATE(16,6,FIND({0,1,2,3,4,5,6,7,8,9},C74,ROW(INDIRECT("1:"&amp;LEN(C74)))),1))," ",REPT(" ",LEN(C74))),LEN(C74)))</f>
        <v>22</v>
      </c>
      <c r="I75" s="48"/>
      <c r="J75" s="20"/>
    </row>
    <row r="76" spans="1:10" ht="50.25" customHeight="1" x14ac:dyDescent="0.25">
      <c r="A76" s="182" t="s">
        <v>124</v>
      </c>
      <c r="B76" s="146"/>
      <c r="C76" s="154" t="str">
        <f ca="1">I74</f>
        <v>Excavation work Completed. Plinth work completed, RCC Slab, Brickwork upto 13 Floor, Internal Plaster upto 11 Floor, External Plaster upto 10 Floor, Flooring upto 2 Floor Completed</v>
      </c>
      <c r="D76" s="154"/>
      <c r="E76" s="154"/>
      <c r="F76" s="154"/>
      <c r="G76" s="154"/>
      <c r="H76" s="172"/>
      <c r="I76" s="48" t="s">
        <v>137</v>
      </c>
      <c r="J76" s="20"/>
    </row>
    <row r="77" spans="1:10" ht="15.75" customHeight="1" x14ac:dyDescent="0.25">
      <c r="A77" s="170" t="s">
        <v>52</v>
      </c>
      <c r="B77" s="171"/>
      <c r="C77" s="62" t="s">
        <v>176</v>
      </c>
      <c r="D77" s="75" t="s">
        <v>117</v>
      </c>
      <c r="E77" s="171" t="s">
        <v>119</v>
      </c>
      <c r="F77" s="171"/>
      <c r="G77" s="171" t="s">
        <v>118</v>
      </c>
      <c r="H77" s="181"/>
      <c r="I77" s="42" t="s">
        <v>178</v>
      </c>
      <c r="J77" s="21">
        <f ca="1">H75*25%</f>
        <v>5.5</v>
      </c>
    </row>
    <row r="78" spans="1:10" x14ac:dyDescent="0.25">
      <c r="A78" s="170" t="s">
        <v>165</v>
      </c>
      <c r="B78" s="171"/>
      <c r="C78" s="64">
        <f ca="1">J79</f>
        <v>22</v>
      </c>
      <c r="D78" s="77">
        <f ca="1">((100/H75)*C78)/100</f>
        <v>1.0000000000000002</v>
      </c>
      <c r="E78" s="173">
        <f ca="1">(((C79/H75*10)+(40/(D75+F75+H75)*C80)+(7.5/(H75)*C81)+(7.5/(H75)*C82)+(10/H75*C83)+(10/H75*C84)+(5/H75*C85)+(5/H75*C86)+(5/H75*C87))/100)</f>
        <v>0.63636363636363635</v>
      </c>
      <c r="F78" s="173"/>
      <c r="G78" s="173">
        <f ca="1">((((C78/H75)*20)+((C79/H75)*25)+(30/(H75+F75+D75)*C80)+(5/H75*C81)+(5/H75*C82)+(5/H75*C83)+(5/H75*C84)+(0/H75*C85)+(0/H75*C86)+(5/H75*C87))/100)</f>
        <v>0.83181818181818168</v>
      </c>
      <c r="H78" s="175"/>
      <c r="I78" s="42" t="s">
        <v>132</v>
      </c>
      <c r="J78" s="46">
        <f ca="1">H75*50%</f>
        <v>11</v>
      </c>
    </row>
    <row r="79" spans="1:10" x14ac:dyDescent="0.25">
      <c r="A79" s="170" t="s">
        <v>53</v>
      </c>
      <c r="B79" s="171"/>
      <c r="C79" s="66">
        <f ca="1">J87</f>
        <v>22</v>
      </c>
      <c r="D79" s="77">
        <f ca="1">((100/H75)*C79)/100</f>
        <v>1.0000000000000002</v>
      </c>
      <c r="E79" s="173"/>
      <c r="F79" s="173"/>
      <c r="G79" s="173"/>
      <c r="H79" s="175"/>
      <c r="I79" s="42" t="s">
        <v>133</v>
      </c>
      <c r="J79" s="46">
        <f ca="1">H75</f>
        <v>22</v>
      </c>
    </row>
    <row r="80" spans="1:10" ht="15.75" customHeight="1" x14ac:dyDescent="0.25">
      <c r="A80" s="179" t="s">
        <v>166</v>
      </c>
      <c r="B80" s="122"/>
      <c r="C80" s="66">
        <v>23</v>
      </c>
      <c r="D80" s="77">
        <f ca="1">((100/(D75+F75+H75))*C80)/100</f>
        <v>1</v>
      </c>
      <c r="E80" s="173"/>
      <c r="F80" s="173"/>
      <c r="G80" s="173"/>
      <c r="H80" s="175"/>
      <c r="I80" s="42" t="s">
        <v>134</v>
      </c>
      <c r="J80" s="50">
        <f ca="1">(IF(B75&gt;1,(H75/(B75+2)),H75/4))</f>
        <v>5.5</v>
      </c>
    </row>
    <row r="81" spans="1:10" ht="15.75" customHeight="1" x14ac:dyDescent="0.25">
      <c r="A81" s="170" t="s">
        <v>173</v>
      </c>
      <c r="B81" s="171" t="s">
        <v>167</v>
      </c>
      <c r="C81" s="64">
        <v>13</v>
      </c>
      <c r="D81" s="77">
        <f ca="1">((100/H75)*C81)/100</f>
        <v>0.59090909090909094</v>
      </c>
      <c r="E81" s="173"/>
      <c r="F81" s="173"/>
      <c r="G81" s="173"/>
      <c r="H81" s="175"/>
      <c r="I81" s="42" t="s">
        <v>135</v>
      </c>
      <c r="J81" s="50">
        <f ca="1">(IF(B75&gt;1,(H75/(B75+2)+J80),H75/4+J80))</f>
        <v>11</v>
      </c>
    </row>
    <row r="82" spans="1:10" ht="15.75" customHeight="1" x14ac:dyDescent="0.25">
      <c r="A82" s="170" t="s">
        <v>174</v>
      </c>
      <c r="B82" s="171" t="s">
        <v>167</v>
      </c>
      <c r="C82" s="64">
        <v>11</v>
      </c>
      <c r="D82" s="77">
        <f ca="1">((100/H75)*C82)/100</f>
        <v>0.50000000000000011</v>
      </c>
      <c r="E82" s="173"/>
      <c r="F82" s="173"/>
      <c r="G82" s="173"/>
      <c r="H82" s="175"/>
      <c r="I82" s="42" t="s">
        <v>183</v>
      </c>
      <c r="J82" s="50">
        <f>(IF(B75&gt;1,(H75/(B75+2)+J81),0))</f>
        <v>0</v>
      </c>
    </row>
    <row r="83" spans="1:10" ht="15" customHeight="1" x14ac:dyDescent="0.25">
      <c r="A83" s="170" t="s">
        <v>172</v>
      </c>
      <c r="B83" s="171" t="s">
        <v>169</v>
      </c>
      <c r="C83" s="64">
        <v>10</v>
      </c>
      <c r="D83" s="77">
        <f ca="1">((100/(H75))*C83)/100</f>
        <v>0.45454545454545459</v>
      </c>
      <c r="E83" s="173"/>
      <c r="F83" s="173"/>
      <c r="G83" s="173"/>
      <c r="H83" s="175"/>
      <c r="I83" s="42" t="s">
        <v>180</v>
      </c>
      <c r="J83" s="50">
        <f>(IF(B75&gt;2,(H75/(B75+2)+J82),0))</f>
        <v>0</v>
      </c>
    </row>
    <row r="84" spans="1:10" ht="15.75" customHeight="1" x14ac:dyDescent="0.25">
      <c r="A84" s="170" t="s">
        <v>168</v>
      </c>
      <c r="B84" s="171" t="s">
        <v>168</v>
      </c>
      <c r="C84" s="64">
        <v>2</v>
      </c>
      <c r="D84" s="77">
        <f ca="1">((100/H75)*C84)/100</f>
        <v>9.0909090909090912E-2</v>
      </c>
      <c r="E84" s="173"/>
      <c r="F84" s="173"/>
      <c r="G84" s="173"/>
      <c r="H84" s="175"/>
      <c r="I84" s="42" t="s">
        <v>181</v>
      </c>
      <c r="J84" s="51">
        <f>(IF(B75&gt;3,(H75/(B75+2)+J83),0))</f>
        <v>0</v>
      </c>
    </row>
    <row r="85" spans="1:10" ht="15.75" customHeight="1" x14ac:dyDescent="0.25">
      <c r="A85" s="170" t="s">
        <v>175</v>
      </c>
      <c r="B85" s="171"/>
      <c r="C85" s="64">
        <v>0</v>
      </c>
      <c r="D85" s="77">
        <f ca="1">((100/H75)*C85)/100</f>
        <v>0</v>
      </c>
      <c r="E85" s="173"/>
      <c r="F85" s="173"/>
      <c r="G85" s="173"/>
      <c r="H85" s="175"/>
      <c r="I85" s="42" t="s">
        <v>182</v>
      </c>
      <c r="J85" s="50">
        <f>(IF(B75&gt;4,(H75/(B75+2)+J84),0))</f>
        <v>0</v>
      </c>
    </row>
    <row r="86" spans="1:10" ht="15.75" customHeight="1" x14ac:dyDescent="0.25">
      <c r="A86" s="170" t="s">
        <v>170</v>
      </c>
      <c r="B86" s="171" t="s">
        <v>170</v>
      </c>
      <c r="C86" s="64">
        <v>0</v>
      </c>
      <c r="D86" s="77">
        <f ca="1">((100/(H75))*C86)/100</f>
        <v>0</v>
      </c>
      <c r="E86" s="173"/>
      <c r="F86" s="173"/>
      <c r="G86" s="173"/>
      <c r="H86" s="175"/>
      <c r="I86" s="42" t="s">
        <v>184</v>
      </c>
      <c r="J86" s="50">
        <f ca="1">(IF(B75=1,(H75/(B75+3)+J81),IF(B75=0,(H75/4+J81),IF(B75&gt;1,0))))</f>
        <v>16.5</v>
      </c>
    </row>
    <row r="87" spans="1:10" ht="16.5" thickBot="1" x14ac:dyDescent="0.3">
      <c r="A87" s="177" t="s">
        <v>171</v>
      </c>
      <c r="B87" s="178"/>
      <c r="C87" s="67">
        <v>0</v>
      </c>
      <c r="D87" s="78">
        <f ca="1">((100/(H75))*C87)/100</f>
        <v>0</v>
      </c>
      <c r="E87" s="174"/>
      <c r="F87" s="174"/>
      <c r="G87" s="174"/>
      <c r="H87" s="176"/>
      <c r="I87" s="49" t="s">
        <v>136</v>
      </c>
      <c r="J87" s="52">
        <f ca="1">(IF(B75&gt;1.5,(H75/(B75+2)+J81+MAX(0,J82-J81)+MAX(0,J83-J82)+MAX(0,J84-J83)+MAX(0,J85-J84)+MAX(0,J86-J85)),IF(B75=1,(H75/(B75+3)+J86),IF(B75=0,H75/4+J86))))</f>
        <v>22</v>
      </c>
    </row>
    <row r="88" spans="1:10" ht="15.75" customHeight="1" x14ac:dyDescent="0.25">
      <c r="A88" s="165" t="s">
        <v>177</v>
      </c>
      <c r="B88" s="166"/>
      <c r="C88" s="167" t="str">
        <f>D55</f>
        <v>Wing C = Gr + 1st to 22nd Floor</v>
      </c>
      <c r="D88" s="168"/>
      <c r="E88" s="168"/>
      <c r="F88" s="168"/>
      <c r="G88" s="168"/>
      <c r="H88" s="169"/>
      <c r="I88" s="47" t="str">
        <f ca="1">(IF(E92&gt;99%,"All work completed. Please provide OC.",IF(E92&gt;89.8%,"Plinth, RCC, Brick, Plaster, Flooring, Painting work Completed. Finishing work is in process.",IF(E92&lt;94%,(IF(C92=0,"Work not yet Started.",IF(D92=25%,"Piling work in process",IF(D92=50%,"Excavation work in process",IF(D92=100%,"Excavation work Completed. ","0")))&amp;(IF(C93=0%,"",IF(C93=J94,"Footing work is process",IF(C93=J95,"Footing work Completed",IF(C93=J96,"1st Basement Completed",IF(C93=J97,"1st &amp; 2nd Basement Completed",IF(C93=J98,"1st to 3rd Basement Completed",IF(C93=J99,"1st to 4th Basement Completed",IF(C93=J100,"Plinth work is process",IF(C93=J101,"Plinth work completed","0")))))))))))&amp;(IF(C94=(D89+F89+H89),", RCC Slab",IF(C94&gt;0,", RCC upto "&amp;C94&amp;" Slab",""))&amp;(IF(C95=H89,", Brickwork",IF(C95&gt;0,", Brickwork upto "&amp;C95&amp;" Floor",""))&amp;(IF(C96=H89,", Internal Plaster",IF(C96&gt;0,", Internal Plaster upto "&amp;C96&amp;" Floor",""))&amp;(IF(C97=H89,", External Plaster",IF(C97&gt;0,", External Plaster upto "&amp;C97&amp;" Floor",""))&amp;(IF(C98=H89,", Flooring",IF(C98&gt;0,", Flooring upto "&amp;C98&amp;" Floor",""))&amp;(IF(C99=H89,", Painting",IF(C99&gt;0,", Painting upto "&amp;C99&amp;" Floor",""))&amp;(IF(C100&gt;0,", Finishing upto "&amp;C100&amp;" Floor","")&amp;(IF(C94&gt;0.5," Completed",""))))))))))))))</f>
        <v>Excavation work Completed. Plinth work completed, RCC upto 7 Slab Completed</v>
      </c>
      <c r="J88" s="19"/>
    </row>
    <row r="89" spans="1:10" x14ac:dyDescent="0.25">
      <c r="A89" s="53" t="s">
        <v>179</v>
      </c>
      <c r="B89" s="57">
        <v>0</v>
      </c>
      <c r="C89" s="57" t="s">
        <v>101</v>
      </c>
      <c r="D89" s="57">
        <v>1</v>
      </c>
      <c r="E89" s="57" t="s">
        <v>100</v>
      </c>
      <c r="F89" s="57">
        <v>0</v>
      </c>
      <c r="G89" s="57" t="s">
        <v>114</v>
      </c>
      <c r="H89" s="54">
        <f ca="1">--TRIM(RIGHT(SUBSTITUTE(LEFT(C88,_xlfn.AGGREGATE(16,6,FIND({0,1,2,3,4,5,6,7,8,9},C88,ROW(INDIRECT("1:"&amp;LEN(C88)))),1))," ",REPT(" ",LEN(C88))),LEN(C88)))</f>
        <v>22</v>
      </c>
      <c r="I89" s="48"/>
      <c r="J89" s="20"/>
    </row>
    <row r="90" spans="1:10" ht="30.75" customHeight="1" x14ac:dyDescent="0.25">
      <c r="A90" s="182" t="s">
        <v>124</v>
      </c>
      <c r="B90" s="146"/>
      <c r="C90" s="154" t="str">
        <f ca="1">I88</f>
        <v>Excavation work Completed. Plinth work completed, RCC upto 7 Slab Completed</v>
      </c>
      <c r="D90" s="154"/>
      <c r="E90" s="154"/>
      <c r="F90" s="154"/>
      <c r="G90" s="154"/>
      <c r="H90" s="172"/>
      <c r="I90" s="48" t="s">
        <v>137</v>
      </c>
      <c r="J90" s="20"/>
    </row>
    <row r="91" spans="1:10" ht="15.75" customHeight="1" x14ac:dyDescent="0.25">
      <c r="A91" s="170" t="s">
        <v>52</v>
      </c>
      <c r="B91" s="171"/>
      <c r="C91" s="62" t="s">
        <v>176</v>
      </c>
      <c r="D91" s="63" t="s">
        <v>117</v>
      </c>
      <c r="E91" s="171" t="s">
        <v>119</v>
      </c>
      <c r="F91" s="171"/>
      <c r="G91" s="171" t="s">
        <v>118</v>
      </c>
      <c r="H91" s="181"/>
      <c r="I91" s="42" t="s">
        <v>178</v>
      </c>
      <c r="J91" s="21">
        <f ca="1">H89*25%</f>
        <v>5.5</v>
      </c>
    </row>
    <row r="92" spans="1:10" x14ac:dyDescent="0.25">
      <c r="A92" s="170" t="s">
        <v>165</v>
      </c>
      <c r="B92" s="171"/>
      <c r="C92" s="64">
        <f ca="1">J93</f>
        <v>22</v>
      </c>
      <c r="D92" s="65">
        <f ca="1">((100/H89)*C92)/100</f>
        <v>1.0000000000000002</v>
      </c>
      <c r="E92" s="173">
        <f ca="1">(((C93/H89*10)+(40/(D89+F89+H89)*C94)+(7.5/(H89)*C95)+(7.5/(H89)*C96)+(10/H89*C97)+(10/H89*C98)+(5/H89*C99)+(5/H89*C100)+(5/H89*C101))/100)</f>
        <v>0.22173913043478258</v>
      </c>
      <c r="F92" s="173"/>
      <c r="G92" s="173">
        <f ca="1">((((C92/H89)*20)+((C93/H89)*25)+(30/(H89+F89+D89)*C94)+(5/H89*C95)+(5/H89*C96)+(5/H89*C97)+(5/H89*C98)+(0/H89*C99)+(0/H89*C100)+(5/H89*C101))/100)</f>
        <v>0.54130434782608694</v>
      </c>
      <c r="H92" s="175"/>
      <c r="I92" s="42" t="s">
        <v>132</v>
      </c>
      <c r="J92" s="46">
        <f ca="1">H89*50%</f>
        <v>11</v>
      </c>
    </row>
    <row r="93" spans="1:10" x14ac:dyDescent="0.25">
      <c r="A93" s="170" t="s">
        <v>53</v>
      </c>
      <c r="B93" s="171"/>
      <c r="C93" s="66">
        <f ca="1">J101</f>
        <v>22</v>
      </c>
      <c r="D93" s="65">
        <f ca="1">((100/H89)*C93)/100</f>
        <v>1.0000000000000002</v>
      </c>
      <c r="E93" s="173"/>
      <c r="F93" s="173"/>
      <c r="G93" s="173"/>
      <c r="H93" s="175"/>
      <c r="I93" s="42" t="s">
        <v>133</v>
      </c>
      <c r="J93" s="46">
        <f ca="1">H89</f>
        <v>22</v>
      </c>
    </row>
    <row r="94" spans="1:10" ht="15.75" customHeight="1" x14ac:dyDescent="0.25">
      <c r="A94" s="170" t="s">
        <v>166</v>
      </c>
      <c r="B94" s="171"/>
      <c r="C94" s="66">
        <v>7</v>
      </c>
      <c r="D94" s="65">
        <f ca="1">((100/(D89+F89+H89))*C94)/100</f>
        <v>0.30434782608695649</v>
      </c>
      <c r="E94" s="173"/>
      <c r="F94" s="173"/>
      <c r="G94" s="173"/>
      <c r="H94" s="175"/>
      <c r="I94" s="42" t="s">
        <v>134</v>
      </c>
      <c r="J94" s="50">
        <f ca="1">(IF(B89&gt;1,(H89/(B89+2)),H89/4))</f>
        <v>5.5</v>
      </c>
    </row>
    <row r="95" spans="1:10" ht="15.75" customHeight="1" x14ac:dyDescent="0.25">
      <c r="A95" s="170" t="s">
        <v>173</v>
      </c>
      <c r="B95" s="171" t="s">
        <v>167</v>
      </c>
      <c r="C95" s="64">
        <v>0</v>
      </c>
      <c r="D95" s="65">
        <f ca="1">((100/H89)*C95)/100</f>
        <v>0</v>
      </c>
      <c r="E95" s="173"/>
      <c r="F95" s="173"/>
      <c r="G95" s="173"/>
      <c r="H95" s="175"/>
      <c r="I95" s="42" t="s">
        <v>135</v>
      </c>
      <c r="J95" s="50">
        <f ca="1">(IF(B89&gt;1,(H89/(B89+2)+J94),H89/4+J94))</f>
        <v>11</v>
      </c>
    </row>
    <row r="96" spans="1:10" ht="15.75" customHeight="1" x14ac:dyDescent="0.25">
      <c r="A96" s="170" t="s">
        <v>174</v>
      </c>
      <c r="B96" s="171" t="s">
        <v>167</v>
      </c>
      <c r="C96" s="64">
        <v>0</v>
      </c>
      <c r="D96" s="65">
        <f ca="1">((100/H89)*C96)/100</f>
        <v>0</v>
      </c>
      <c r="E96" s="173"/>
      <c r="F96" s="173"/>
      <c r="G96" s="173"/>
      <c r="H96" s="175"/>
      <c r="I96" s="42" t="s">
        <v>183</v>
      </c>
      <c r="J96" s="50">
        <f>(IF(B89&gt;1,(H89/(B89+2)+J95),0))</f>
        <v>0</v>
      </c>
    </row>
    <row r="97" spans="1:10" ht="15" customHeight="1" x14ac:dyDescent="0.25">
      <c r="A97" s="170" t="s">
        <v>172</v>
      </c>
      <c r="B97" s="171" t="s">
        <v>169</v>
      </c>
      <c r="C97" s="64">
        <v>0</v>
      </c>
      <c r="D97" s="65">
        <f ca="1">((100/(H89))*C97)/100</f>
        <v>0</v>
      </c>
      <c r="E97" s="173"/>
      <c r="F97" s="173"/>
      <c r="G97" s="173"/>
      <c r="H97" s="175"/>
      <c r="I97" s="42" t="s">
        <v>180</v>
      </c>
      <c r="J97" s="50">
        <f>(IF(B89&gt;2,(H89/(B89+2)+J96),0))</f>
        <v>0</v>
      </c>
    </row>
    <row r="98" spans="1:10" ht="15.75" customHeight="1" x14ac:dyDescent="0.25">
      <c r="A98" s="170" t="s">
        <v>168</v>
      </c>
      <c r="B98" s="171" t="s">
        <v>168</v>
      </c>
      <c r="C98" s="64">
        <v>0</v>
      </c>
      <c r="D98" s="65">
        <f ca="1">((100/H89)*C98)/100</f>
        <v>0</v>
      </c>
      <c r="E98" s="173"/>
      <c r="F98" s="173"/>
      <c r="G98" s="173"/>
      <c r="H98" s="175"/>
      <c r="I98" s="42" t="s">
        <v>181</v>
      </c>
      <c r="J98" s="51">
        <f>(IF(B89&gt;3,(H89/(B89+2)+J97),0))</f>
        <v>0</v>
      </c>
    </row>
    <row r="99" spans="1:10" ht="15.75" customHeight="1" x14ac:dyDescent="0.25">
      <c r="A99" s="170" t="s">
        <v>175</v>
      </c>
      <c r="B99" s="171"/>
      <c r="C99" s="64">
        <v>0</v>
      </c>
      <c r="D99" s="65">
        <f ca="1">((100/H89)*C99)/100</f>
        <v>0</v>
      </c>
      <c r="E99" s="173"/>
      <c r="F99" s="173"/>
      <c r="G99" s="173"/>
      <c r="H99" s="175"/>
      <c r="I99" s="42" t="s">
        <v>182</v>
      </c>
      <c r="J99" s="50">
        <f>(IF(B89&gt;4,(H89/(B89+2)+J98),0))</f>
        <v>0</v>
      </c>
    </row>
    <row r="100" spans="1:10" ht="15.75" customHeight="1" x14ac:dyDescent="0.25">
      <c r="A100" s="170" t="s">
        <v>170</v>
      </c>
      <c r="B100" s="171" t="s">
        <v>170</v>
      </c>
      <c r="C100" s="64">
        <v>0</v>
      </c>
      <c r="D100" s="65">
        <f ca="1">((100/(H89))*C100)/100</f>
        <v>0</v>
      </c>
      <c r="E100" s="173"/>
      <c r="F100" s="173"/>
      <c r="G100" s="173"/>
      <c r="H100" s="175"/>
      <c r="I100" s="42" t="s">
        <v>184</v>
      </c>
      <c r="J100" s="50">
        <f ca="1">(IF(B89=1,(H89/(B89+3)+J95),IF(B89=0,(H89/4+J95),IF(B89&gt;1,0))))</f>
        <v>16.5</v>
      </c>
    </row>
    <row r="101" spans="1:10" ht="16.5" thickBot="1" x14ac:dyDescent="0.3">
      <c r="A101" s="177" t="s">
        <v>171</v>
      </c>
      <c r="B101" s="178"/>
      <c r="C101" s="67">
        <v>0</v>
      </c>
      <c r="D101" s="68">
        <f ca="1">((100/(H89))*C101)/100</f>
        <v>0</v>
      </c>
      <c r="E101" s="174"/>
      <c r="F101" s="174"/>
      <c r="G101" s="174"/>
      <c r="H101" s="176"/>
      <c r="I101" s="49" t="s">
        <v>136</v>
      </c>
      <c r="J101" s="52">
        <f ca="1">(IF(B89&gt;1.5,(H89/(B89+2)+J95+MAX(0,J96-J95)+MAX(0,J97-J96)+MAX(0,J98-J97)+MAX(0,J99-J98)+MAX(0,J100-J99)),IF(B89=1,(H89/(B89+3)+J100),IF(B89=0,H89/4+J100))))</f>
        <v>22</v>
      </c>
    </row>
    <row r="102" spans="1:10" x14ac:dyDescent="0.25">
      <c r="A102" s="202" t="s">
        <v>152</v>
      </c>
      <c r="B102" s="203"/>
      <c r="C102" s="203"/>
      <c r="D102" s="203"/>
      <c r="E102" s="204"/>
      <c r="F102" s="202" t="str">
        <f ca="1">(IF(D59="Nothing","Yes",IF(D59="Cement, Aggregate, Steel, etc","Under Construction",IF(D59="Work not yet Started","Work not yet Started"))))</f>
        <v>Under Construction</v>
      </c>
      <c r="G102" s="203"/>
      <c r="H102" s="204"/>
    </row>
    <row r="103" spans="1:10" x14ac:dyDescent="0.25">
      <c r="A103" s="119" t="s">
        <v>54</v>
      </c>
      <c r="B103" s="119"/>
      <c r="C103" s="119"/>
      <c r="D103" s="119"/>
      <c r="E103" s="119"/>
      <c r="F103" s="119"/>
      <c r="G103" s="119"/>
      <c r="H103" s="119"/>
    </row>
    <row r="104" spans="1:10" ht="15" customHeight="1" x14ac:dyDescent="0.25">
      <c r="A104" s="146" t="s">
        <v>104</v>
      </c>
      <c r="B104" s="146"/>
      <c r="C104" s="154" t="s">
        <v>105</v>
      </c>
      <c r="D104" s="154"/>
      <c r="E104" s="154"/>
      <c r="F104" s="154"/>
      <c r="G104" s="154"/>
      <c r="H104" s="154"/>
    </row>
    <row r="105" spans="1:10" x14ac:dyDescent="0.25">
      <c r="A105" s="127" t="s">
        <v>55</v>
      </c>
      <c r="B105" s="127"/>
      <c r="C105" s="127"/>
      <c r="D105" s="127"/>
      <c r="E105" s="127"/>
      <c r="F105" s="127"/>
      <c r="G105" s="127"/>
      <c r="H105" s="127"/>
    </row>
    <row r="106" spans="1:10" x14ac:dyDescent="0.25">
      <c r="A106" s="119" t="s">
        <v>106</v>
      </c>
      <c r="B106" s="119"/>
      <c r="C106" s="119"/>
      <c r="D106" s="119"/>
      <c r="E106" s="119"/>
      <c r="F106" s="156">
        <v>13000</v>
      </c>
      <c r="G106" s="156"/>
      <c r="H106" s="156"/>
    </row>
    <row r="107" spans="1:10" x14ac:dyDescent="0.25">
      <c r="A107" s="119" t="s">
        <v>113</v>
      </c>
      <c r="B107" s="119"/>
      <c r="C107" s="119"/>
      <c r="D107" s="119"/>
      <c r="E107" s="119"/>
      <c r="F107" s="187">
        <v>25000</v>
      </c>
      <c r="G107" s="187"/>
      <c r="H107" s="187"/>
    </row>
    <row r="108" spans="1:10" s="12" customFormat="1" x14ac:dyDescent="0.25">
      <c r="A108" s="119" t="s">
        <v>232</v>
      </c>
      <c r="B108" s="119"/>
      <c r="C108" s="119"/>
      <c r="D108" s="119"/>
      <c r="E108" s="119"/>
      <c r="F108" s="187" t="s">
        <v>231</v>
      </c>
      <c r="G108" s="187"/>
      <c r="H108" s="187"/>
    </row>
    <row r="109" spans="1:10" s="12" customFormat="1" x14ac:dyDescent="0.25">
      <c r="A109" s="119" t="s">
        <v>239</v>
      </c>
      <c r="B109" s="119"/>
      <c r="C109" s="119"/>
      <c r="D109" s="119"/>
      <c r="E109" s="119"/>
      <c r="F109" s="187" t="s">
        <v>234</v>
      </c>
      <c r="G109" s="187"/>
      <c r="H109" s="187"/>
    </row>
    <row r="110" spans="1:10" s="12" customFormat="1" x14ac:dyDescent="0.25">
      <c r="A110" s="119" t="s">
        <v>129</v>
      </c>
      <c r="B110" s="119"/>
      <c r="C110" s="119"/>
      <c r="D110" s="119"/>
      <c r="E110" s="119"/>
      <c r="F110" s="187" t="s">
        <v>234</v>
      </c>
      <c r="G110" s="187"/>
      <c r="H110" s="187"/>
    </row>
    <row r="111" spans="1:10" s="12" customFormat="1" hidden="1" x14ac:dyDescent="0.25">
      <c r="A111" s="119" t="s">
        <v>130</v>
      </c>
      <c r="B111" s="119"/>
      <c r="C111" s="119"/>
      <c r="D111" s="119"/>
      <c r="E111" s="119"/>
      <c r="F111" s="187" t="s">
        <v>233</v>
      </c>
      <c r="G111" s="187"/>
      <c r="H111" s="187"/>
    </row>
    <row r="112" spans="1:10" s="12" customFormat="1" x14ac:dyDescent="0.25">
      <c r="A112" s="119" t="s">
        <v>237</v>
      </c>
      <c r="B112" s="119"/>
      <c r="C112" s="119"/>
      <c r="D112" s="119"/>
      <c r="E112" s="119"/>
      <c r="F112" s="187" t="s">
        <v>238</v>
      </c>
      <c r="G112" s="187"/>
      <c r="H112" s="187"/>
    </row>
    <row r="113" spans="1:12" s="12" customFormat="1" x14ac:dyDescent="0.25">
      <c r="A113" s="119" t="s">
        <v>236</v>
      </c>
      <c r="B113" s="119"/>
      <c r="C113" s="119"/>
      <c r="D113" s="119"/>
      <c r="E113" s="119"/>
      <c r="F113" s="187" t="s">
        <v>235</v>
      </c>
      <c r="G113" s="187"/>
      <c r="H113" s="187"/>
    </row>
    <row r="114" spans="1:12" s="12" customFormat="1" x14ac:dyDescent="0.25">
      <c r="A114" s="119" t="s">
        <v>131</v>
      </c>
      <c r="B114" s="119"/>
      <c r="C114" s="119"/>
      <c r="D114" s="119"/>
      <c r="E114" s="119"/>
      <c r="F114" s="187" t="s">
        <v>233</v>
      </c>
      <c r="G114" s="187"/>
      <c r="H114" s="187"/>
    </row>
    <row r="115" spans="1:12" x14ac:dyDescent="0.25">
      <c r="A115" s="119" t="s">
        <v>56</v>
      </c>
      <c r="B115" s="119"/>
      <c r="C115" s="119"/>
      <c r="D115" s="119"/>
      <c r="E115" s="119"/>
      <c r="F115" s="153" t="s">
        <v>217</v>
      </c>
      <c r="G115" s="153"/>
      <c r="H115" s="153"/>
    </row>
    <row r="116" spans="1:12" s="9" customFormat="1" ht="15" customHeight="1" x14ac:dyDescent="0.25">
      <c r="A116" s="127" t="s">
        <v>57</v>
      </c>
      <c r="B116" s="127"/>
      <c r="C116" s="127"/>
      <c r="D116" s="127"/>
      <c r="E116" s="127"/>
      <c r="F116" s="187">
        <f>F106*0.8</f>
        <v>10400</v>
      </c>
      <c r="G116" s="187"/>
      <c r="H116" s="187"/>
    </row>
    <row r="117" spans="1:12" s="1" customFormat="1" ht="15.75" customHeight="1" x14ac:dyDescent="0.25">
      <c r="A117" s="186" t="s">
        <v>107</v>
      </c>
      <c r="B117" s="186"/>
      <c r="C117" s="186"/>
      <c r="D117" s="186"/>
      <c r="E117" s="186"/>
      <c r="F117" s="186"/>
      <c r="G117" s="186"/>
      <c r="H117" s="186"/>
    </row>
    <row r="118" spans="1:12" s="1" customFormat="1" ht="15.75" customHeight="1" x14ac:dyDescent="0.25">
      <c r="A118" s="108" t="s">
        <v>58</v>
      </c>
      <c r="B118" s="108"/>
      <c r="C118" s="120" t="s">
        <v>110</v>
      </c>
      <c r="D118" s="120"/>
      <c r="E118" s="201" t="s">
        <v>59</v>
      </c>
      <c r="F118" s="201"/>
      <c r="G118" s="108" t="s">
        <v>60</v>
      </c>
      <c r="H118" s="108"/>
    </row>
    <row r="119" spans="1:12" s="1" customFormat="1" ht="15.75" customHeight="1" x14ac:dyDescent="0.25">
      <c r="A119" s="105" t="s">
        <v>215</v>
      </c>
      <c r="B119" s="105"/>
      <c r="C119" s="106">
        <f>COUNT(D135:D151,D153:D154,D161:D162,D172:D173)</f>
        <v>23</v>
      </c>
      <c r="D119" s="107"/>
      <c r="E119" s="103">
        <f>SUM(D135:D151,D153:D154,D161:D162,D172:D173)</f>
        <v>5058.4341599999989</v>
      </c>
      <c r="F119" s="104"/>
      <c r="G119" s="103">
        <f>SUM(F135:F151,F153:F154,F161:F162,F172:F173)</f>
        <v>8093.4946559999998</v>
      </c>
      <c r="H119" s="104"/>
    </row>
    <row r="120" spans="1:12" s="1" customFormat="1" ht="15.75" customHeight="1" x14ac:dyDescent="0.25">
      <c r="A120" s="105" t="s">
        <v>216</v>
      </c>
      <c r="B120" s="105"/>
      <c r="C120" s="106">
        <f>COUNT(D152,D155:D160,D163:D171)</f>
        <v>16</v>
      </c>
      <c r="D120" s="107"/>
      <c r="E120" s="103">
        <f>SUM(D152,D155:D160,D163:D171)</f>
        <v>1864.6477199999995</v>
      </c>
      <c r="F120" s="104"/>
      <c r="G120" s="103">
        <f>SUM(F152,F155:F160,F163:F171)</f>
        <v>2983.4363519999997</v>
      </c>
      <c r="H120" s="104"/>
    </row>
    <row r="121" spans="1:12" s="1" customFormat="1" x14ac:dyDescent="0.25">
      <c r="A121" s="186" t="s">
        <v>62</v>
      </c>
      <c r="B121" s="186"/>
      <c r="C121" s="120">
        <f>SUM(C119:D120)</f>
        <v>39</v>
      </c>
      <c r="D121" s="120"/>
      <c r="E121" s="206">
        <f>SUM(E119:F120)</f>
        <v>6923.0818799999979</v>
      </c>
      <c r="F121" s="201"/>
      <c r="G121" s="108">
        <f>SUM(G119:H120)</f>
        <v>11076.931008</v>
      </c>
      <c r="H121" s="108"/>
      <c r="I121" s="61"/>
    </row>
    <row r="122" spans="1:12" s="1" customFormat="1" x14ac:dyDescent="0.25">
      <c r="A122" s="186" t="s">
        <v>99</v>
      </c>
      <c r="B122" s="186"/>
      <c r="C122" s="186"/>
      <c r="D122" s="186"/>
      <c r="E122" s="186"/>
      <c r="F122" s="186"/>
      <c r="G122" s="186"/>
      <c r="H122" s="186"/>
    </row>
    <row r="123" spans="1:12" s="1" customFormat="1" ht="15.75" customHeight="1" x14ac:dyDescent="0.25">
      <c r="A123" s="108" t="s">
        <v>58</v>
      </c>
      <c r="B123" s="108"/>
      <c r="C123" s="120" t="s">
        <v>110</v>
      </c>
      <c r="D123" s="120"/>
      <c r="E123" s="201" t="s">
        <v>59</v>
      </c>
      <c r="F123" s="201"/>
      <c r="G123" s="108" t="s">
        <v>60</v>
      </c>
      <c r="H123" s="108"/>
    </row>
    <row r="124" spans="1:12" s="1" customFormat="1" ht="15.75" customHeight="1" x14ac:dyDescent="0.25">
      <c r="A124" s="105" t="s">
        <v>196</v>
      </c>
      <c r="B124" s="105"/>
      <c r="C124" s="107">
        <f>COUNT(D181:D182)*19+COUNT(D184)+COUNT(D187)</f>
        <v>40</v>
      </c>
      <c r="D124" s="107"/>
      <c r="E124" s="103">
        <f>SUM(D181:D182)*19+SUM(D184)+SUM(D187)</f>
        <v>24404.140800000001</v>
      </c>
      <c r="F124" s="104"/>
      <c r="G124" s="103">
        <f>SUM(F181:F182)*19+SUM(F184)+SUM(F187)</f>
        <v>39046.625279999993</v>
      </c>
      <c r="H124" s="104"/>
    </row>
    <row r="125" spans="1:12" s="1" customFormat="1" ht="15.75" customHeight="1" x14ac:dyDescent="0.25">
      <c r="A125" s="105" t="s">
        <v>197</v>
      </c>
      <c r="B125" s="105"/>
      <c r="C125" s="107">
        <f>COUNT(D196:D201)+COUNT(D203:D208)*18+COUNT(D210:D213,D215)+COUNT(D217:D220,D222)</f>
        <v>124</v>
      </c>
      <c r="D125" s="107"/>
      <c r="E125" s="103">
        <f>SUM(D196:D201)+SUM(D203:D208)*18+SUM(D210:D213,D215)+SUM(D217:D220,D222)</f>
        <v>75788.462879999992</v>
      </c>
      <c r="F125" s="104"/>
      <c r="G125" s="103">
        <f>SUM(F196:F201)+SUM(F203:F208)*18+SUM(F210:F213,F215)+SUM(F217:F220,F222)</f>
        <v>121291.80897599997</v>
      </c>
      <c r="H125" s="104"/>
    </row>
    <row r="126" spans="1:12" s="1" customFormat="1" ht="15.75" customHeight="1" x14ac:dyDescent="0.25">
      <c r="A126" s="105" t="s">
        <v>198</v>
      </c>
      <c r="B126" s="105"/>
      <c r="C126" s="107">
        <f>COUNT(D225,D228)+COUNT(D230:D233)*19+COUNT(D235,D237:D238)+COUNT(D240,D242:D243)</f>
        <v>84</v>
      </c>
      <c r="D126" s="107"/>
      <c r="E126" s="103">
        <f>SUM(D225,D228)+SUM(D230:D233)*19+SUM(D235,D237:D238)+SUM(D240,D242:D243)</f>
        <v>51248.695679999997</v>
      </c>
      <c r="F126" s="104"/>
      <c r="G126" s="103">
        <f>SUM(F225,F228)+SUM(F230:F233)*19+SUM(F235,F237:F238)+SUM(F240,F242:F243)</f>
        <v>82110.289247999986</v>
      </c>
      <c r="H126" s="104"/>
      <c r="L126" s="1">
        <f>6*21-2</f>
        <v>124</v>
      </c>
    </row>
    <row r="127" spans="1:12" s="1" customFormat="1" ht="16.5" thickBot="1" x14ac:dyDescent="0.3">
      <c r="A127" s="188" t="s">
        <v>62</v>
      </c>
      <c r="B127" s="188"/>
      <c r="C127" s="91">
        <f>SUM(C124:D126)</f>
        <v>248</v>
      </c>
      <c r="D127" s="91"/>
      <c r="E127" s="92">
        <f>SUM(E124:F126)</f>
        <v>151441.29936</v>
      </c>
      <c r="F127" s="93"/>
      <c r="G127" s="92">
        <f>SUM(G124:H126)</f>
        <v>242448.72350399997</v>
      </c>
      <c r="H127" s="93"/>
      <c r="L127" s="1">
        <f>4*21-1</f>
        <v>83</v>
      </c>
    </row>
    <row r="128" spans="1:12" s="1" customFormat="1" ht="16.5" thickBot="1" x14ac:dyDescent="0.3">
      <c r="A128" s="217" t="s">
        <v>260</v>
      </c>
      <c r="B128" s="218"/>
      <c r="C128" s="219">
        <f>C121+C127</f>
        <v>287</v>
      </c>
      <c r="D128" s="219"/>
      <c r="E128" s="220">
        <f>E121+E127</f>
        <v>158364.38124000002</v>
      </c>
      <c r="F128" s="221"/>
      <c r="G128" s="220">
        <f>G121+G127</f>
        <v>253525.65451199998</v>
      </c>
      <c r="H128" s="222"/>
      <c r="L128" s="1">
        <f>4*21-1</f>
        <v>83</v>
      </c>
    </row>
    <row r="129" spans="1:14" s="9" customFormat="1" x14ac:dyDescent="0.25">
      <c r="A129" s="205" t="s">
        <v>63</v>
      </c>
      <c r="B129" s="205"/>
      <c r="C129" s="205"/>
      <c r="D129" s="205"/>
      <c r="E129" s="205"/>
      <c r="F129" s="205"/>
      <c r="G129" s="205"/>
      <c r="H129" s="205"/>
      <c r="I129" s="1"/>
    </row>
    <row r="130" spans="1:14" x14ac:dyDescent="0.25">
      <c r="A130" s="124" t="s">
        <v>64</v>
      </c>
      <c r="B130" s="124"/>
      <c r="C130" s="124"/>
      <c r="D130" s="124"/>
      <c r="E130" s="124"/>
      <c r="F130" s="124"/>
      <c r="G130" s="124"/>
      <c r="H130" s="124"/>
    </row>
    <row r="131" spans="1:14" ht="47.25" customHeight="1" x14ac:dyDescent="0.25">
      <c r="A131" s="192" t="s">
        <v>155</v>
      </c>
      <c r="B131" s="192" t="s">
        <v>154</v>
      </c>
      <c r="C131" s="192" t="s">
        <v>65</v>
      </c>
      <c r="D131" s="192" t="s">
        <v>66</v>
      </c>
      <c r="E131" s="94" t="s">
        <v>67</v>
      </c>
      <c r="F131" s="36" t="s">
        <v>153</v>
      </c>
      <c r="G131" s="96" t="s">
        <v>68</v>
      </c>
      <c r="H131" s="97"/>
    </row>
    <row r="132" spans="1:14" s="2" customFormat="1" x14ac:dyDescent="0.25">
      <c r="A132" s="193"/>
      <c r="B132" s="193"/>
      <c r="C132" s="193"/>
      <c r="D132" s="193"/>
      <c r="E132" s="95"/>
      <c r="F132" s="37">
        <v>0.6</v>
      </c>
      <c r="G132" s="98"/>
      <c r="H132" s="99"/>
    </row>
    <row r="133" spans="1:14" s="58" customFormat="1" x14ac:dyDescent="0.25">
      <c r="A133" s="214" t="s">
        <v>229</v>
      </c>
      <c r="B133" s="215"/>
      <c r="C133" s="215"/>
      <c r="D133" s="215"/>
      <c r="E133" s="215"/>
      <c r="F133" s="215"/>
      <c r="G133" s="215"/>
      <c r="H133" s="216"/>
    </row>
    <row r="134" spans="1:14" s="58" customFormat="1" x14ac:dyDescent="0.25">
      <c r="A134" s="214" t="s">
        <v>199</v>
      </c>
      <c r="B134" s="215"/>
      <c r="C134" s="215"/>
      <c r="D134" s="215"/>
      <c r="E134" s="215"/>
      <c r="F134" s="215"/>
      <c r="G134" s="215"/>
      <c r="H134" s="216"/>
    </row>
    <row r="135" spans="1:14" s="58" customFormat="1" ht="36" customHeight="1" x14ac:dyDescent="0.25">
      <c r="A135" s="59">
        <v>1</v>
      </c>
      <c r="B135" s="73" t="s">
        <v>200</v>
      </c>
      <c r="C135" s="55" t="s">
        <v>224</v>
      </c>
      <c r="D135" s="55">
        <f>(26.39)*10.764</f>
        <v>284.06196</v>
      </c>
      <c r="E135" s="55">
        <v>0</v>
      </c>
      <c r="F135" s="55">
        <f>D135*(($F$132)+1)+E135</f>
        <v>454.49913600000002</v>
      </c>
      <c r="G135" s="110" t="str">
        <f>A134</f>
        <v xml:space="preserve">Ground Floor for Commercial &amp; Parking </v>
      </c>
      <c r="H135" s="112"/>
      <c r="I135" s="38">
        <f>(1.98*4.25+3.05*1.6)+(1.98*4.15+3.05*1.5)</f>
        <v>26.086999999999996</v>
      </c>
      <c r="L135" s="211"/>
      <c r="M135" s="211"/>
      <c r="N135" s="38"/>
    </row>
    <row r="136" spans="1:14" s="58" customFormat="1" ht="35.25" customHeight="1" x14ac:dyDescent="0.25">
      <c r="A136" s="59">
        <v>2</v>
      </c>
      <c r="B136" s="73" t="s">
        <v>200</v>
      </c>
      <c r="C136" s="70" t="s">
        <v>224</v>
      </c>
      <c r="D136" s="55">
        <f>28.74*10.764</f>
        <v>309.35735999999997</v>
      </c>
      <c r="E136" s="55">
        <v>0</v>
      </c>
      <c r="F136" s="55">
        <f t="shared" ref="F136:F140" si="0">D136*(($F$132)+1)+E136</f>
        <v>494.97177599999998</v>
      </c>
      <c r="G136" s="110" t="str">
        <f t="shared" ref="G136:G173" si="1">G135</f>
        <v xml:space="preserve">Ground Floor for Commercial &amp; Parking </v>
      </c>
      <c r="H136" s="112"/>
      <c r="I136" s="38"/>
      <c r="L136" s="211"/>
      <c r="M136" s="211"/>
      <c r="N136" s="38"/>
    </row>
    <row r="137" spans="1:14" s="58" customFormat="1" ht="34.5" customHeight="1" x14ac:dyDescent="0.25">
      <c r="A137" s="59">
        <v>3</v>
      </c>
      <c r="B137" s="73" t="s">
        <v>200</v>
      </c>
      <c r="C137" s="70" t="s">
        <v>224</v>
      </c>
      <c r="D137" s="55">
        <f>23.58*10.764</f>
        <v>253.81511999999998</v>
      </c>
      <c r="E137" s="55">
        <v>0</v>
      </c>
      <c r="F137" s="55">
        <f t="shared" si="0"/>
        <v>406.10419200000001</v>
      </c>
      <c r="G137" s="110" t="str">
        <f t="shared" si="1"/>
        <v xml:space="preserve">Ground Floor for Commercial &amp; Parking </v>
      </c>
      <c r="H137" s="112"/>
      <c r="I137" s="38"/>
      <c r="L137" s="211"/>
      <c r="M137" s="211"/>
      <c r="N137" s="38"/>
    </row>
    <row r="138" spans="1:14" s="58" customFormat="1" ht="33.75" customHeight="1" x14ac:dyDescent="0.25">
      <c r="A138" s="59">
        <v>4</v>
      </c>
      <c r="B138" s="73" t="s">
        <v>200</v>
      </c>
      <c r="C138" s="70" t="s">
        <v>224</v>
      </c>
      <c r="D138" s="55">
        <f>18.03*10.764</f>
        <v>194.07491999999999</v>
      </c>
      <c r="E138" s="55">
        <v>0</v>
      </c>
      <c r="F138" s="55">
        <f t="shared" si="0"/>
        <v>310.51987200000002</v>
      </c>
      <c r="G138" s="110" t="str">
        <f t="shared" si="1"/>
        <v xml:space="preserve">Ground Floor for Commercial &amp; Parking </v>
      </c>
      <c r="H138" s="112"/>
      <c r="I138" s="38"/>
      <c r="L138" s="211"/>
      <c r="M138" s="211"/>
      <c r="N138" s="38"/>
    </row>
    <row r="139" spans="1:14" s="58" customFormat="1" ht="33.75" customHeight="1" x14ac:dyDescent="0.25">
      <c r="A139" s="59">
        <v>5</v>
      </c>
      <c r="B139" s="73" t="s">
        <v>200</v>
      </c>
      <c r="C139" s="70" t="s">
        <v>224</v>
      </c>
      <c r="D139" s="55">
        <f>29.53*10.764</f>
        <v>317.86091999999996</v>
      </c>
      <c r="E139" s="55">
        <v>0</v>
      </c>
      <c r="F139" s="55">
        <f t="shared" si="0"/>
        <v>508.57747199999994</v>
      </c>
      <c r="G139" s="110" t="str">
        <f t="shared" si="1"/>
        <v xml:space="preserve">Ground Floor for Commercial &amp; Parking </v>
      </c>
      <c r="H139" s="112"/>
      <c r="I139" s="38"/>
      <c r="L139" s="211"/>
      <c r="M139" s="211"/>
      <c r="N139" s="38"/>
    </row>
    <row r="140" spans="1:14" s="58" customFormat="1" ht="35.25" customHeight="1" x14ac:dyDescent="0.25">
      <c r="A140" s="72">
        <v>6</v>
      </c>
      <c r="B140" s="70" t="s">
        <v>200</v>
      </c>
      <c r="C140" s="70" t="s">
        <v>224</v>
      </c>
      <c r="D140" s="55">
        <f>40.15*10.764</f>
        <v>432.17459999999994</v>
      </c>
      <c r="E140" s="55">
        <v>0</v>
      </c>
      <c r="F140" s="55">
        <f t="shared" si="0"/>
        <v>691.47935999999993</v>
      </c>
      <c r="G140" s="110" t="str">
        <f t="shared" si="1"/>
        <v xml:space="preserve">Ground Floor for Commercial &amp; Parking </v>
      </c>
      <c r="H140" s="112"/>
      <c r="I140" s="38"/>
      <c r="L140" s="211"/>
      <c r="M140" s="211"/>
      <c r="N140" s="38"/>
    </row>
    <row r="141" spans="1:14" s="58" customFormat="1" x14ac:dyDescent="0.25">
      <c r="A141" s="59">
        <v>7</v>
      </c>
      <c r="B141" s="59" t="s">
        <v>200</v>
      </c>
      <c r="C141" s="55" t="s">
        <v>201</v>
      </c>
      <c r="D141" s="55">
        <f>2.34*10.764</f>
        <v>25.187759999999997</v>
      </c>
      <c r="E141" s="55">
        <v>0</v>
      </c>
      <c r="F141" s="55">
        <f t="shared" ref="F141:F149" si="2">D141*(($F$132)+1)+E141</f>
        <v>40.300415999999998</v>
      </c>
      <c r="G141" s="110" t="str">
        <f t="shared" si="1"/>
        <v xml:space="preserve">Ground Floor for Commercial &amp; Parking </v>
      </c>
      <c r="H141" s="112"/>
      <c r="I141" s="38"/>
      <c r="L141" s="211"/>
      <c r="M141" s="211"/>
      <c r="N141" s="38"/>
    </row>
    <row r="142" spans="1:14" s="58" customFormat="1" ht="31.5" customHeight="1" x14ac:dyDescent="0.25">
      <c r="A142" s="59">
        <v>8</v>
      </c>
      <c r="B142" s="59" t="s">
        <v>200</v>
      </c>
      <c r="C142" s="82" t="s">
        <v>224</v>
      </c>
      <c r="D142" s="85">
        <f>13.88*10.764</f>
        <v>149.40432000000001</v>
      </c>
      <c r="E142" s="55">
        <v>0</v>
      </c>
      <c r="F142" s="55">
        <f t="shared" si="2"/>
        <v>239.04691200000002</v>
      </c>
      <c r="G142" s="110" t="str">
        <f t="shared" si="1"/>
        <v xml:space="preserve">Ground Floor for Commercial &amp; Parking </v>
      </c>
      <c r="H142" s="112"/>
      <c r="I142" s="86">
        <f>1.78*3.85+1.78*3.85</f>
        <v>13.706000000000001</v>
      </c>
      <c r="L142" s="211"/>
      <c r="M142" s="211"/>
      <c r="N142" s="38"/>
    </row>
    <row r="143" spans="1:14" s="58" customFormat="1" ht="33" customHeight="1" x14ac:dyDescent="0.25">
      <c r="A143" s="59">
        <v>9</v>
      </c>
      <c r="B143" s="59" t="s">
        <v>200</v>
      </c>
      <c r="C143" s="82" t="s">
        <v>224</v>
      </c>
      <c r="D143" s="55">
        <f>19.8*10.764</f>
        <v>213.12719999999999</v>
      </c>
      <c r="E143" s="55">
        <v>0</v>
      </c>
      <c r="F143" s="55">
        <f t="shared" si="2"/>
        <v>341.00351999999998</v>
      </c>
      <c r="G143" s="110" t="str">
        <f t="shared" si="1"/>
        <v xml:space="preserve">Ground Floor for Commercial &amp; Parking </v>
      </c>
      <c r="H143" s="112"/>
      <c r="I143" s="38"/>
      <c r="L143" s="211"/>
      <c r="M143" s="211"/>
      <c r="N143" s="38"/>
    </row>
    <row r="144" spans="1:14" s="58" customFormat="1" ht="30.75" customHeight="1" x14ac:dyDescent="0.25">
      <c r="A144" s="59">
        <v>10</v>
      </c>
      <c r="B144" s="59" t="s">
        <v>200</v>
      </c>
      <c r="C144" s="82" t="s">
        <v>224</v>
      </c>
      <c r="D144" s="55">
        <f>22.67*10.764</f>
        <v>244.01988</v>
      </c>
      <c r="E144" s="55">
        <v>0</v>
      </c>
      <c r="F144" s="55">
        <f t="shared" si="2"/>
        <v>390.43180800000005</v>
      </c>
      <c r="G144" s="110" t="str">
        <f t="shared" si="1"/>
        <v xml:space="preserve">Ground Floor for Commercial &amp; Parking </v>
      </c>
      <c r="H144" s="112"/>
      <c r="I144" s="38"/>
      <c r="L144" s="211"/>
      <c r="M144" s="211"/>
      <c r="N144" s="38"/>
    </row>
    <row r="145" spans="1:14" s="58" customFormat="1" ht="33" customHeight="1" x14ac:dyDescent="0.25">
      <c r="A145" s="59">
        <v>11</v>
      </c>
      <c r="B145" s="59" t="s">
        <v>200</v>
      </c>
      <c r="C145" s="82" t="s">
        <v>224</v>
      </c>
      <c r="D145" s="55">
        <f>21.78*10.764</f>
        <v>234.43992</v>
      </c>
      <c r="E145" s="55">
        <v>0</v>
      </c>
      <c r="F145" s="55">
        <f t="shared" si="2"/>
        <v>375.10387200000002</v>
      </c>
      <c r="G145" s="110" t="str">
        <f t="shared" si="1"/>
        <v xml:space="preserve">Ground Floor for Commercial &amp; Parking </v>
      </c>
      <c r="H145" s="112"/>
      <c r="I145" s="38"/>
      <c r="L145" s="211"/>
      <c r="M145" s="211"/>
      <c r="N145" s="38"/>
    </row>
    <row r="146" spans="1:14" s="58" customFormat="1" ht="30.75" customHeight="1" x14ac:dyDescent="0.25">
      <c r="A146" s="59">
        <v>12</v>
      </c>
      <c r="B146" s="59" t="s">
        <v>200</v>
      </c>
      <c r="C146" s="82" t="s">
        <v>224</v>
      </c>
      <c r="D146" s="55">
        <f>23.37*10.764</f>
        <v>251.55467999999999</v>
      </c>
      <c r="E146" s="55">
        <v>0</v>
      </c>
      <c r="F146" s="55">
        <f t="shared" si="2"/>
        <v>402.48748799999998</v>
      </c>
      <c r="G146" s="110" t="str">
        <f t="shared" si="1"/>
        <v xml:space="preserve">Ground Floor for Commercial &amp; Parking </v>
      </c>
      <c r="H146" s="112"/>
      <c r="I146" s="38"/>
      <c r="L146" s="211"/>
      <c r="M146" s="211"/>
      <c r="N146" s="38"/>
    </row>
    <row r="147" spans="1:14" s="58" customFormat="1" ht="31.5" customHeight="1" x14ac:dyDescent="0.25">
      <c r="A147" s="59">
        <v>13</v>
      </c>
      <c r="B147" s="59" t="s">
        <v>200</v>
      </c>
      <c r="C147" s="82" t="s">
        <v>224</v>
      </c>
      <c r="D147" s="55">
        <f>36.98*10.764</f>
        <v>398.05271999999997</v>
      </c>
      <c r="E147" s="55">
        <v>0</v>
      </c>
      <c r="F147" s="55">
        <f t="shared" si="2"/>
        <v>636.88435200000004</v>
      </c>
      <c r="G147" s="110" t="str">
        <f t="shared" si="1"/>
        <v xml:space="preserve">Ground Floor for Commercial &amp; Parking </v>
      </c>
      <c r="H147" s="112"/>
      <c r="I147" s="38"/>
      <c r="L147" s="211"/>
      <c r="M147" s="211"/>
      <c r="N147" s="38"/>
    </row>
    <row r="148" spans="1:14" s="58" customFormat="1" x14ac:dyDescent="0.25">
      <c r="A148" s="59">
        <v>14</v>
      </c>
      <c r="B148" s="59" t="s">
        <v>200</v>
      </c>
      <c r="C148" s="55" t="s">
        <v>201</v>
      </c>
      <c r="D148" s="55">
        <f>14.13*10.764</f>
        <v>152.09531999999999</v>
      </c>
      <c r="E148" s="55">
        <v>0</v>
      </c>
      <c r="F148" s="55">
        <f t="shared" si="2"/>
        <v>243.35251199999999</v>
      </c>
      <c r="G148" s="110" t="str">
        <f t="shared" si="1"/>
        <v xml:space="preserve">Ground Floor for Commercial &amp; Parking </v>
      </c>
      <c r="H148" s="112"/>
      <c r="I148" s="38"/>
      <c r="L148" s="211"/>
      <c r="M148" s="211"/>
      <c r="N148" s="38"/>
    </row>
    <row r="149" spans="1:14" s="58" customFormat="1" x14ac:dyDescent="0.25">
      <c r="A149" s="59">
        <v>15</v>
      </c>
      <c r="B149" s="59" t="s">
        <v>200</v>
      </c>
      <c r="C149" s="55" t="s">
        <v>201</v>
      </c>
      <c r="D149" s="55">
        <f>16.64*10.764</f>
        <v>179.11295999999999</v>
      </c>
      <c r="E149" s="55">
        <v>0</v>
      </c>
      <c r="F149" s="55">
        <f t="shared" si="2"/>
        <v>286.580736</v>
      </c>
      <c r="G149" s="110" t="str">
        <f t="shared" si="1"/>
        <v xml:space="preserve">Ground Floor for Commercial &amp; Parking </v>
      </c>
      <c r="H149" s="112"/>
      <c r="I149" s="38"/>
      <c r="L149" s="211"/>
      <c r="M149" s="211"/>
      <c r="N149" s="38"/>
    </row>
    <row r="150" spans="1:14" s="58" customFormat="1" x14ac:dyDescent="0.25">
      <c r="A150" s="59">
        <v>16</v>
      </c>
      <c r="B150" s="59" t="s">
        <v>200</v>
      </c>
      <c r="C150" s="55" t="s">
        <v>201</v>
      </c>
      <c r="D150" s="55">
        <f>2.01*10.764</f>
        <v>21.635639999999995</v>
      </c>
      <c r="E150" s="55">
        <v>0</v>
      </c>
      <c r="F150" s="55">
        <f t="shared" ref="F150:F165" si="3">D150*(($F$132)+1)+E150</f>
        <v>34.617023999999994</v>
      </c>
      <c r="G150" s="110" t="str">
        <f t="shared" si="1"/>
        <v xml:space="preserve">Ground Floor for Commercial &amp; Parking </v>
      </c>
      <c r="H150" s="112"/>
      <c r="I150" s="38"/>
      <c r="L150" s="211"/>
      <c r="M150" s="211"/>
      <c r="N150" s="38"/>
    </row>
    <row r="151" spans="1:14" s="58" customFormat="1" x14ac:dyDescent="0.25">
      <c r="A151" s="59">
        <v>17</v>
      </c>
      <c r="B151" s="59" t="s">
        <v>200</v>
      </c>
      <c r="C151" s="55" t="s">
        <v>201</v>
      </c>
      <c r="D151" s="55">
        <f>2.16*10.764</f>
        <v>23.250240000000002</v>
      </c>
      <c r="E151" s="55">
        <v>0</v>
      </c>
      <c r="F151" s="55">
        <f t="shared" si="3"/>
        <v>37.200384000000007</v>
      </c>
      <c r="G151" s="110" t="str">
        <f t="shared" si="1"/>
        <v xml:space="preserve">Ground Floor for Commercial &amp; Parking </v>
      </c>
      <c r="H151" s="112"/>
      <c r="I151" s="38"/>
      <c r="L151" s="211"/>
      <c r="M151" s="211"/>
      <c r="N151" s="38"/>
    </row>
    <row r="152" spans="1:14" s="58" customFormat="1" x14ac:dyDescent="0.25">
      <c r="A152" s="59">
        <v>18</v>
      </c>
      <c r="B152" s="59" t="s">
        <v>202</v>
      </c>
      <c r="C152" s="55" t="s">
        <v>201</v>
      </c>
      <c r="D152" s="85">
        <f>(4.24)*10.764</f>
        <v>45.639359999999996</v>
      </c>
      <c r="E152" s="55">
        <v>0</v>
      </c>
      <c r="F152" s="55">
        <f t="shared" si="3"/>
        <v>73.022976</v>
      </c>
      <c r="G152" s="110" t="str">
        <f t="shared" si="1"/>
        <v xml:space="preserve">Ground Floor for Commercial &amp; Parking </v>
      </c>
      <c r="H152" s="112"/>
      <c r="I152" s="38"/>
      <c r="L152" s="211"/>
      <c r="M152" s="211"/>
      <c r="N152" s="38"/>
    </row>
    <row r="153" spans="1:14" s="58" customFormat="1" x14ac:dyDescent="0.25">
      <c r="A153" s="59">
        <v>19</v>
      </c>
      <c r="B153" s="59" t="s">
        <v>200</v>
      </c>
      <c r="C153" s="55" t="s">
        <v>201</v>
      </c>
      <c r="D153" s="55">
        <f>2.68*10.764</f>
        <v>28.847519999999999</v>
      </c>
      <c r="E153" s="55">
        <v>0</v>
      </c>
      <c r="F153" s="55">
        <f t="shared" si="3"/>
        <v>46.156032000000003</v>
      </c>
      <c r="G153" s="110" t="str">
        <f t="shared" si="1"/>
        <v xml:space="preserve">Ground Floor for Commercial &amp; Parking </v>
      </c>
      <c r="H153" s="112"/>
      <c r="I153" s="38"/>
      <c r="L153" s="211"/>
      <c r="M153" s="211"/>
      <c r="N153" s="38"/>
    </row>
    <row r="154" spans="1:14" s="58" customFormat="1" ht="32.25" customHeight="1" x14ac:dyDescent="0.25">
      <c r="A154" s="73" t="s">
        <v>226</v>
      </c>
      <c r="B154" s="73" t="s">
        <v>227</v>
      </c>
      <c r="C154" s="70" t="s">
        <v>224</v>
      </c>
      <c r="D154" s="55">
        <f>100.47*10.764</f>
        <v>1081.4590799999999</v>
      </c>
      <c r="E154" s="55">
        <v>0</v>
      </c>
      <c r="F154" s="55">
        <f t="shared" si="3"/>
        <v>1730.3345279999999</v>
      </c>
      <c r="G154" s="110" t="str">
        <f t="shared" si="1"/>
        <v xml:space="preserve">Ground Floor for Commercial &amp; Parking </v>
      </c>
      <c r="H154" s="112"/>
      <c r="I154" s="38"/>
      <c r="L154" s="211"/>
      <c r="M154" s="211"/>
      <c r="N154" s="38"/>
    </row>
    <row r="155" spans="1:14" s="58" customFormat="1" ht="32.25" customHeight="1" x14ac:dyDescent="0.25">
      <c r="A155" s="73">
        <v>23</v>
      </c>
      <c r="B155" s="73" t="s">
        <v>202</v>
      </c>
      <c r="C155" s="70" t="s">
        <v>224</v>
      </c>
      <c r="D155" s="55">
        <f>(17.9)*10.764</f>
        <v>192.67559999999997</v>
      </c>
      <c r="E155" s="55">
        <v>0</v>
      </c>
      <c r="F155" s="55">
        <f t="shared" si="3"/>
        <v>308.28095999999999</v>
      </c>
      <c r="G155" s="110" t="str">
        <f t="shared" si="1"/>
        <v xml:space="preserve">Ground Floor for Commercial &amp; Parking </v>
      </c>
      <c r="H155" s="112"/>
      <c r="I155" s="38"/>
      <c r="L155" s="211"/>
      <c r="M155" s="211"/>
      <c r="N155" s="38"/>
    </row>
    <row r="156" spans="1:14" s="58" customFormat="1" ht="32.25" customHeight="1" x14ac:dyDescent="0.25">
      <c r="A156" s="73">
        <v>24</v>
      </c>
      <c r="B156" s="73" t="s">
        <v>202</v>
      </c>
      <c r="C156" s="70" t="s">
        <v>224</v>
      </c>
      <c r="D156" s="70">
        <f>(17.9)*10.764</f>
        <v>192.67559999999997</v>
      </c>
      <c r="E156" s="55">
        <v>0</v>
      </c>
      <c r="F156" s="55">
        <f t="shared" si="3"/>
        <v>308.28095999999999</v>
      </c>
      <c r="G156" s="110" t="str">
        <f t="shared" si="1"/>
        <v xml:space="preserve">Ground Floor for Commercial &amp; Parking </v>
      </c>
      <c r="H156" s="112"/>
      <c r="I156" s="38"/>
      <c r="L156" s="211"/>
      <c r="M156" s="211"/>
      <c r="N156" s="38"/>
    </row>
    <row r="157" spans="1:14" s="58" customFormat="1" x14ac:dyDescent="0.25">
      <c r="A157" s="59">
        <v>25</v>
      </c>
      <c r="B157" s="59" t="s">
        <v>202</v>
      </c>
      <c r="C157" s="55" t="s">
        <v>201</v>
      </c>
      <c r="D157" s="55">
        <f>21.59*10.764</f>
        <v>232.39475999999999</v>
      </c>
      <c r="E157" s="55">
        <v>0</v>
      </c>
      <c r="F157" s="55">
        <f t="shared" si="3"/>
        <v>371.831616</v>
      </c>
      <c r="G157" s="110" t="str">
        <f t="shared" si="1"/>
        <v xml:space="preserve">Ground Floor for Commercial &amp; Parking </v>
      </c>
      <c r="H157" s="112"/>
      <c r="I157" s="38"/>
      <c r="L157" s="211"/>
      <c r="M157" s="211"/>
      <c r="N157" s="38"/>
    </row>
    <row r="158" spans="1:14" s="58" customFormat="1" x14ac:dyDescent="0.25">
      <c r="A158" s="59">
        <v>26</v>
      </c>
      <c r="B158" s="59" t="s">
        <v>202</v>
      </c>
      <c r="C158" s="55" t="s">
        <v>201</v>
      </c>
      <c r="D158" s="55">
        <f>16.98*10.764</f>
        <v>182.77271999999999</v>
      </c>
      <c r="E158" s="55">
        <v>0</v>
      </c>
      <c r="F158" s="55">
        <f t="shared" si="3"/>
        <v>292.436352</v>
      </c>
      <c r="G158" s="110" t="str">
        <f t="shared" si="1"/>
        <v xml:space="preserve">Ground Floor for Commercial &amp; Parking </v>
      </c>
      <c r="H158" s="112"/>
      <c r="I158" s="38"/>
      <c r="L158" s="211"/>
      <c r="M158" s="211"/>
      <c r="N158" s="38"/>
    </row>
    <row r="159" spans="1:14" s="58" customFormat="1" x14ac:dyDescent="0.25">
      <c r="A159" s="59">
        <v>27</v>
      </c>
      <c r="B159" s="59" t="s">
        <v>202</v>
      </c>
      <c r="C159" s="55" t="s">
        <v>201</v>
      </c>
      <c r="D159" s="55">
        <f>20.08*10.764</f>
        <v>216.14111999999997</v>
      </c>
      <c r="E159" s="55">
        <v>0</v>
      </c>
      <c r="F159" s="55">
        <f t="shared" si="3"/>
        <v>345.82579199999998</v>
      </c>
      <c r="G159" s="110" t="str">
        <f t="shared" si="1"/>
        <v xml:space="preserve">Ground Floor for Commercial &amp; Parking </v>
      </c>
      <c r="H159" s="112"/>
      <c r="I159" s="38"/>
      <c r="L159" s="211"/>
      <c r="M159" s="211"/>
      <c r="N159" s="38"/>
    </row>
    <row r="160" spans="1:14" s="58" customFormat="1" x14ac:dyDescent="0.25">
      <c r="A160" s="59">
        <v>28</v>
      </c>
      <c r="B160" s="59" t="s">
        <v>202</v>
      </c>
      <c r="C160" s="55" t="s">
        <v>201</v>
      </c>
      <c r="D160" s="55">
        <f>10.55*10.764</f>
        <v>113.56019999999999</v>
      </c>
      <c r="E160" s="55">
        <v>0</v>
      </c>
      <c r="F160" s="55">
        <f t="shared" si="3"/>
        <v>181.69632000000001</v>
      </c>
      <c r="G160" s="110" t="str">
        <f t="shared" si="1"/>
        <v xml:space="preserve">Ground Floor for Commercial &amp; Parking </v>
      </c>
      <c r="H160" s="112"/>
      <c r="I160" s="38"/>
      <c r="L160" s="211"/>
      <c r="M160" s="211"/>
      <c r="N160" s="38"/>
    </row>
    <row r="161" spans="1:14" s="58" customFormat="1" x14ac:dyDescent="0.25">
      <c r="A161" s="59">
        <v>29</v>
      </c>
      <c r="B161" s="59" t="s">
        <v>200</v>
      </c>
      <c r="C161" s="55" t="s">
        <v>201</v>
      </c>
      <c r="D161" s="70">
        <f>2.78*10.764</f>
        <v>29.923919999999995</v>
      </c>
      <c r="E161" s="55">
        <v>0</v>
      </c>
      <c r="F161" s="55">
        <f t="shared" si="3"/>
        <v>47.878271999999996</v>
      </c>
      <c r="G161" s="110" t="str">
        <f t="shared" si="1"/>
        <v xml:space="preserve">Ground Floor for Commercial &amp; Parking </v>
      </c>
      <c r="H161" s="112"/>
      <c r="I161" s="38"/>
      <c r="L161" s="211"/>
      <c r="M161" s="211"/>
      <c r="N161" s="38"/>
    </row>
    <row r="162" spans="1:14" s="58" customFormat="1" x14ac:dyDescent="0.25">
      <c r="A162" s="72">
        <v>30</v>
      </c>
      <c r="B162" s="72" t="s">
        <v>200</v>
      </c>
      <c r="C162" s="55" t="s">
        <v>201</v>
      </c>
      <c r="D162" s="55">
        <f>2.78*10.764</f>
        <v>29.923919999999995</v>
      </c>
      <c r="E162" s="55">
        <v>0</v>
      </c>
      <c r="F162" s="55">
        <f t="shared" si="3"/>
        <v>47.878271999999996</v>
      </c>
      <c r="G162" s="110" t="str">
        <f t="shared" si="1"/>
        <v xml:space="preserve">Ground Floor for Commercial &amp; Parking </v>
      </c>
      <c r="H162" s="112"/>
      <c r="I162" s="38"/>
      <c r="L162" s="211"/>
      <c r="M162" s="211"/>
      <c r="N162" s="38"/>
    </row>
    <row r="163" spans="1:14" s="58" customFormat="1" x14ac:dyDescent="0.25">
      <c r="A163" s="59">
        <v>31</v>
      </c>
      <c r="B163" s="59" t="s">
        <v>202</v>
      </c>
      <c r="C163" s="55" t="s">
        <v>201</v>
      </c>
      <c r="D163" s="55">
        <f>10.54*10.764</f>
        <v>113.45255999999998</v>
      </c>
      <c r="E163" s="55">
        <v>0</v>
      </c>
      <c r="F163" s="55">
        <f t="shared" si="3"/>
        <v>181.52409599999999</v>
      </c>
      <c r="G163" s="110" t="str">
        <f t="shared" si="1"/>
        <v xml:space="preserve">Ground Floor for Commercial &amp; Parking </v>
      </c>
      <c r="H163" s="112"/>
      <c r="I163" s="38"/>
      <c r="L163" s="211"/>
      <c r="M163" s="211"/>
      <c r="N163" s="38"/>
    </row>
    <row r="164" spans="1:14" s="58" customFormat="1" x14ac:dyDescent="0.25">
      <c r="A164" s="59">
        <v>32</v>
      </c>
      <c r="B164" s="59" t="s">
        <v>202</v>
      </c>
      <c r="C164" s="55" t="s">
        <v>201</v>
      </c>
      <c r="D164" s="55">
        <f>10.06*10.764</f>
        <v>108.28583999999999</v>
      </c>
      <c r="E164" s="55">
        <v>0</v>
      </c>
      <c r="F164" s="55">
        <f t="shared" si="3"/>
        <v>173.25734399999999</v>
      </c>
      <c r="G164" s="110" t="str">
        <f t="shared" si="1"/>
        <v xml:space="preserve">Ground Floor for Commercial &amp; Parking </v>
      </c>
      <c r="H164" s="112"/>
      <c r="I164" s="38"/>
      <c r="L164" s="211"/>
      <c r="M164" s="211"/>
      <c r="N164" s="38"/>
    </row>
    <row r="165" spans="1:14" s="58" customFormat="1" x14ac:dyDescent="0.25">
      <c r="A165" s="59">
        <v>33</v>
      </c>
      <c r="B165" s="59" t="s">
        <v>202</v>
      </c>
      <c r="C165" s="55" t="s">
        <v>201</v>
      </c>
      <c r="D165" s="55">
        <f>6.88*10.764</f>
        <v>74.056319999999999</v>
      </c>
      <c r="E165" s="55">
        <v>0</v>
      </c>
      <c r="F165" s="55">
        <f t="shared" si="3"/>
        <v>118.49011200000001</v>
      </c>
      <c r="G165" s="110" t="str">
        <f t="shared" si="1"/>
        <v xml:space="preserve">Ground Floor for Commercial &amp; Parking </v>
      </c>
      <c r="H165" s="112"/>
      <c r="I165" s="38"/>
      <c r="L165" s="211"/>
      <c r="M165" s="211"/>
      <c r="N165" s="38"/>
    </row>
    <row r="166" spans="1:14" s="58" customFormat="1" x14ac:dyDescent="0.25">
      <c r="A166" s="59">
        <v>34</v>
      </c>
      <c r="B166" s="59" t="s">
        <v>202</v>
      </c>
      <c r="C166" s="55" t="s">
        <v>201</v>
      </c>
      <c r="D166" s="55">
        <f>7.05*10.764</f>
        <v>75.886199999999988</v>
      </c>
      <c r="E166" s="55">
        <v>0</v>
      </c>
      <c r="F166" s="55">
        <f t="shared" ref="F166:F169" si="4">D166*(($F$132)+1)+E166</f>
        <v>121.41791999999998</v>
      </c>
      <c r="G166" s="110" t="str">
        <f t="shared" si="1"/>
        <v xml:space="preserve">Ground Floor for Commercial &amp; Parking </v>
      </c>
      <c r="H166" s="112"/>
      <c r="I166" s="38"/>
      <c r="L166" s="211"/>
      <c r="M166" s="211"/>
      <c r="N166" s="38"/>
    </row>
    <row r="167" spans="1:14" s="58" customFormat="1" x14ac:dyDescent="0.25">
      <c r="A167" s="59">
        <v>35</v>
      </c>
      <c r="B167" s="59" t="s">
        <v>202</v>
      </c>
      <c r="C167" s="55" t="s">
        <v>201</v>
      </c>
      <c r="D167" s="55">
        <f>6.92*10.764</f>
        <v>74.486879999999999</v>
      </c>
      <c r="E167" s="55">
        <v>0</v>
      </c>
      <c r="F167" s="55">
        <f t="shared" si="4"/>
        <v>119.17900800000001</v>
      </c>
      <c r="G167" s="110" t="str">
        <f t="shared" si="1"/>
        <v xml:space="preserve">Ground Floor for Commercial &amp; Parking </v>
      </c>
      <c r="H167" s="112"/>
      <c r="I167" s="38"/>
      <c r="L167" s="211"/>
      <c r="M167" s="211"/>
      <c r="N167" s="38"/>
    </row>
    <row r="168" spans="1:14" s="58" customFormat="1" x14ac:dyDescent="0.25">
      <c r="A168" s="59">
        <v>36</v>
      </c>
      <c r="B168" s="59" t="s">
        <v>202</v>
      </c>
      <c r="C168" s="55" t="s">
        <v>201</v>
      </c>
      <c r="D168" s="55">
        <f>6.19*10.764</f>
        <v>66.629159999999999</v>
      </c>
      <c r="E168" s="55">
        <v>0</v>
      </c>
      <c r="F168" s="55">
        <f t="shared" si="4"/>
        <v>106.606656</v>
      </c>
      <c r="G168" s="110" t="str">
        <f t="shared" si="1"/>
        <v xml:space="preserve">Ground Floor for Commercial &amp; Parking </v>
      </c>
      <c r="H168" s="112"/>
      <c r="I168" s="38"/>
      <c r="L168" s="211"/>
      <c r="M168" s="211"/>
      <c r="N168" s="38"/>
    </row>
    <row r="169" spans="1:14" s="58" customFormat="1" x14ac:dyDescent="0.25">
      <c r="A169" s="59">
        <v>37</v>
      </c>
      <c r="B169" s="59" t="s">
        <v>202</v>
      </c>
      <c r="C169" s="55" t="s">
        <v>201</v>
      </c>
      <c r="D169" s="55">
        <f>5.25*10.764</f>
        <v>56.510999999999996</v>
      </c>
      <c r="E169" s="55">
        <v>0</v>
      </c>
      <c r="F169" s="55">
        <f t="shared" si="4"/>
        <v>90.417599999999993</v>
      </c>
      <c r="G169" s="110" t="str">
        <f t="shared" si="1"/>
        <v xml:space="preserve">Ground Floor for Commercial &amp; Parking </v>
      </c>
      <c r="H169" s="112"/>
      <c r="I169" s="38"/>
      <c r="L169" s="211"/>
      <c r="M169" s="211"/>
      <c r="N169" s="38"/>
    </row>
    <row r="170" spans="1:14" s="58" customFormat="1" x14ac:dyDescent="0.25">
      <c r="A170" s="72">
        <v>38</v>
      </c>
      <c r="B170" s="72" t="s">
        <v>202</v>
      </c>
      <c r="C170" s="55" t="s">
        <v>201</v>
      </c>
      <c r="D170" s="55">
        <f>5.55*10.764</f>
        <v>59.740199999999994</v>
      </c>
      <c r="E170" s="55">
        <v>0</v>
      </c>
      <c r="F170" s="55">
        <f t="shared" ref="F170:F173" si="5">D170*(($F$132)+1)+E170</f>
        <v>95.584319999999991</v>
      </c>
      <c r="G170" s="110" t="str">
        <f t="shared" si="1"/>
        <v xml:space="preserve">Ground Floor for Commercial &amp; Parking </v>
      </c>
      <c r="H170" s="112"/>
      <c r="I170" s="38"/>
      <c r="L170" s="211"/>
      <c r="M170" s="211"/>
      <c r="N170" s="38"/>
    </row>
    <row r="171" spans="1:14" s="58" customFormat="1" x14ac:dyDescent="0.25">
      <c r="A171" s="59">
        <v>39</v>
      </c>
      <c r="B171" s="59" t="s">
        <v>202</v>
      </c>
      <c r="C171" s="55" t="s">
        <v>201</v>
      </c>
      <c r="D171" s="82">
        <f>5.55*10.764</f>
        <v>59.740199999999994</v>
      </c>
      <c r="E171" s="55">
        <v>0</v>
      </c>
      <c r="F171" s="55">
        <f t="shared" si="5"/>
        <v>95.584319999999991</v>
      </c>
      <c r="G171" s="110" t="str">
        <f t="shared" si="1"/>
        <v xml:space="preserve">Ground Floor for Commercial &amp; Parking </v>
      </c>
      <c r="H171" s="112"/>
      <c r="I171" s="38"/>
      <c r="L171" s="211"/>
      <c r="M171" s="211"/>
      <c r="N171" s="38"/>
    </row>
    <row r="172" spans="1:14" s="58" customFormat="1" x14ac:dyDescent="0.25">
      <c r="A172" s="59">
        <v>40</v>
      </c>
      <c r="B172" s="59" t="s">
        <v>200</v>
      </c>
      <c r="C172" s="55" t="s">
        <v>201</v>
      </c>
      <c r="D172" s="55">
        <f>9.5*10.764</f>
        <v>102.258</v>
      </c>
      <c r="E172" s="55">
        <v>0</v>
      </c>
      <c r="F172" s="55">
        <f t="shared" si="5"/>
        <v>163.61279999999999</v>
      </c>
      <c r="G172" s="110" t="str">
        <f t="shared" si="1"/>
        <v xml:space="preserve">Ground Floor for Commercial &amp; Parking </v>
      </c>
      <c r="H172" s="112"/>
      <c r="I172" s="38"/>
      <c r="L172" s="211"/>
      <c r="M172" s="211"/>
      <c r="N172" s="38"/>
    </row>
    <row r="173" spans="1:14" s="58" customFormat="1" x14ac:dyDescent="0.25">
      <c r="A173" s="59">
        <v>41</v>
      </c>
      <c r="B173" s="59" t="s">
        <v>200</v>
      </c>
      <c r="C173" s="55" t="s">
        <v>201</v>
      </c>
      <c r="D173" s="55">
        <f>9.55*10.764</f>
        <v>102.7962</v>
      </c>
      <c r="E173" s="55">
        <v>0</v>
      </c>
      <c r="F173" s="55">
        <f t="shared" si="5"/>
        <v>164.47392000000002</v>
      </c>
      <c r="G173" s="110" t="str">
        <f t="shared" si="1"/>
        <v xml:space="preserve">Ground Floor for Commercial &amp; Parking </v>
      </c>
      <c r="H173" s="112"/>
      <c r="I173" s="38"/>
      <c r="L173" s="211"/>
      <c r="M173" s="211"/>
      <c r="N173" s="38"/>
    </row>
    <row r="174" spans="1:14" s="39" customFormat="1" x14ac:dyDescent="0.25">
      <c r="A174" s="110"/>
      <c r="B174" s="111"/>
      <c r="C174" s="111"/>
      <c r="D174" s="111"/>
      <c r="E174" s="111"/>
      <c r="F174" s="111"/>
      <c r="G174" s="111"/>
      <c r="H174" s="112"/>
      <c r="I174" s="38"/>
      <c r="N174" s="38"/>
    </row>
    <row r="175" spans="1:14" ht="47.25" customHeight="1" x14ac:dyDescent="0.25">
      <c r="A175" s="96" t="s">
        <v>156</v>
      </c>
      <c r="B175" s="96" t="s">
        <v>157</v>
      </c>
      <c r="C175" s="192" t="s">
        <v>65</v>
      </c>
      <c r="D175" s="192" t="s">
        <v>66</v>
      </c>
      <c r="E175" s="94" t="s">
        <v>67</v>
      </c>
      <c r="F175" s="40" t="s">
        <v>153</v>
      </c>
      <c r="G175" s="96" t="s">
        <v>68</v>
      </c>
      <c r="H175" s="97"/>
      <c r="I175" s="38"/>
    </row>
    <row r="176" spans="1:14" s="39" customFormat="1" x14ac:dyDescent="0.25">
      <c r="A176" s="98"/>
      <c r="B176" s="98"/>
      <c r="C176" s="193"/>
      <c r="D176" s="193"/>
      <c r="E176" s="95"/>
      <c r="F176" s="37">
        <v>0.6</v>
      </c>
      <c r="G176" s="98"/>
      <c r="H176" s="99"/>
      <c r="I176" s="38"/>
    </row>
    <row r="177" spans="1:17" s="58" customFormat="1" x14ac:dyDescent="0.25">
      <c r="A177" s="208" t="s">
        <v>196</v>
      </c>
      <c r="B177" s="208"/>
      <c r="C177" s="208"/>
      <c r="D177" s="208"/>
      <c r="E177" s="208"/>
      <c r="F177" s="208"/>
      <c r="G177" s="208"/>
      <c r="H177" s="208"/>
      <c r="I177" s="38"/>
    </row>
    <row r="178" spans="1:17" s="71" customFormat="1" x14ac:dyDescent="0.25">
      <c r="A178" s="208" t="s">
        <v>228</v>
      </c>
      <c r="B178" s="208"/>
      <c r="C178" s="208"/>
      <c r="D178" s="208"/>
      <c r="E178" s="208"/>
      <c r="F178" s="208"/>
      <c r="G178" s="208"/>
      <c r="H178" s="208"/>
      <c r="I178" s="38"/>
    </row>
    <row r="179" spans="1:17" s="58" customFormat="1" x14ac:dyDescent="0.25">
      <c r="A179" s="208" t="s">
        <v>203</v>
      </c>
      <c r="B179" s="208"/>
      <c r="C179" s="208"/>
      <c r="D179" s="208"/>
      <c r="E179" s="208"/>
      <c r="F179" s="208"/>
      <c r="G179" s="208"/>
      <c r="H179" s="208"/>
      <c r="I179" s="38"/>
    </row>
    <row r="180" spans="1:17" s="58" customFormat="1" x14ac:dyDescent="0.25">
      <c r="A180" s="208" t="s">
        <v>246</v>
      </c>
      <c r="B180" s="208"/>
      <c r="C180" s="208"/>
      <c r="D180" s="208"/>
      <c r="E180" s="208"/>
      <c r="F180" s="208"/>
      <c r="G180" s="208"/>
      <c r="H180" s="208"/>
      <c r="I180" s="38"/>
      <c r="L180" s="211"/>
      <c r="M180" s="211"/>
    </row>
    <row r="181" spans="1:17" s="58" customFormat="1" ht="21" customHeight="1" x14ac:dyDescent="0.25">
      <c r="A181" s="109">
        <v>1</v>
      </c>
      <c r="B181" s="109"/>
      <c r="C181" s="55" t="s">
        <v>206</v>
      </c>
      <c r="D181" s="55">
        <f>56.68*10.764</f>
        <v>610.10352</v>
      </c>
      <c r="E181" s="55">
        <v>0</v>
      </c>
      <c r="F181" s="41">
        <f>D181*(($F$176)+1)+E181</f>
        <v>976.16563200000007</v>
      </c>
      <c r="G181" s="113" t="str">
        <f>A180</f>
        <v>2nd to 7th, 9th to 14th, 16th to 22nd Floor for Residential</v>
      </c>
      <c r="H181" s="114"/>
      <c r="I181" s="38">
        <v>13000</v>
      </c>
      <c r="J181" s="58">
        <f>(150000/F181)/8</f>
        <v>19.207805914642158</v>
      </c>
      <c r="K181" s="58">
        <f>F181*20*9+F181*195+250000+25000+10000+0+25000</f>
        <v>676062.11199999996</v>
      </c>
      <c r="L181" s="58">
        <f>K181/F181</f>
        <v>692.56905778875023</v>
      </c>
      <c r="M181" s="38">
        <f>I181+L181</f>
        <v>13692.569057788751</v>
      </c>
      <c r="N181" s="38"/>
      <c r="Q181" s="58">
        <f>M181*F181</f>
        <v>13366215.328000002</v>
      </c>
    </row>
    <row r="182" spans="1:17" s="58" customFormat="1" ht="24.75" customHeight="1" x14ac:dyDescent="0.25">
      <c r="A182" s="109">
        <f>A181+1</f>
        <v>2</v>
      </c>
      <c r="B182" s="109"/>
      <c r="C182" s="55" t="s">
        <v>206</v>
      </c>
      <c r="D182" s="55">
        <f>56.68*10.764</f>
        <v>610.10352</v>
      </c>
      <c r="E182" s="55">
        <v>0</v>
      </c>
      <c r="F182" s="41">
        <f t="shared" ref="F182" si="6">D182*(($F$176)+1)+E182</f>
        <v>976.16563200000007</v>
      </c>
      <c r="G182" s="117"/>
      <c r="H182" s="118"/>
      <c r="I182" s="38">
        <f>F182*13700</f>
        <v>13373469.158400001</v>
      </c>
      <c r="N182" s="38"/>
    </row>
    <row r="183" spans="1:17" s="58" customFormat="1" x14ac:dyDescent="0.25">
      <c r="A183" s="208" t="s">
        <v>210</v>
      </c>
      <c r="B183" s="208"/>
      <c r="C183" s="208"/>
      <c r="D183" s="208"/>
      <c r="E183" s="208"/>
      <c r="F183" s="208"/>
      <c r="G183" s="208"/>
      <c r="H183" s="208"/>
      <c r="I183" s="38"/>
      <c r="L183" s="211"/>
      <c r="M183" s="211"/>
    </row>
    <row r="184" spans="1:17" s="58" customFormat="1" ht="15.75" customHeight="1" x14ac:dyDescent="0.25">
      <c r="A184" s="109">
        <v>1</v>
      </c>
      <c r="B184" s="109"/>
      <c r="C184" s="55" t="s">
        <v>206</v>
      </c>
      <c r="D184" s="55">
        <f>56.68*10.764</f>
        <v>610.10352</v>
      </c>
      <c r="E184" s="55">
        <v>0</v>
      </c>
      <c r="F184" s="41">
        <f>D184*(($F$176)+1)+E184</f>
        <v>976.16563200000007</v>
      </c>
      <c r="G184" s="113" t="str">
        <f>A183</f>
        <v>8th Floor(Part Refuge Floor)</v>
      </c>
      <c r="H184" s="114"/>
      <c r="I184" s="38"/>
      <c r="L184" s="58">
        <f>2*21-2</f>
        <v>40</v>
      </c>
      <c r="N184" s="38"/>
    </row>
    <row r="185" spans="1:17" s="58" customFormat="1" x14ac:dyDescent="0.25">
      <c r="A185" s="109">
        <f>A184+1</f>
        <v>2</v>
      </c>
      <c r="B185" s="109"/>
      <c r="C185" s="110" t="s">
        <v>209</v>
      </c>
      <c r="D185" s="111"/>
      <c r="E185" s="111"/>
      <c r="F185" s="112"/>
      <c r="G185" s="117"/>
      <c r="H185" s="118"/>
      <c r="I185" s="38"/>
      <c r="N185" s="38"/>
    </row>
    <row r="186" spans="1:17" s="58" customFormat="1" x14ac:dyDescent="0.25">
      <c r="A186" s="208" t="s">
        <v>208</v>
      </c>
      <c r="B186" s="208"/>
      <c r="C186" s="208"/>
      <c r="D186" s="208"/>
      <c r="E186" s="208"/>
      <c r="F186" s="208"/>
      <c r="G186" s="208"/>
      <c r="H186" s="208"/>
      <c r="I186" s="38"/>
      <c r="L186" s="211"/>
      <c r="M186" s="211"/>
    </row>
    <row r="187" spans="1:17" s="58" customFormat="1" ht="15.75" customHeight="1" x14ac:dyDescent="0.25">
      <c r="A187" s="109">
        <v>1</v>
      </c>
      <c r="B187" s="109"/>
      <c r="C187" s="55" t="s">
        <v>206</v>
      </c>
      <c r="D187" s="55">
        <f>56.68*10.764</f>
        <v>610.10352</v>
      </c>
      <c r="E187" s="55">
        <v>0</v>
      </c>
      <c r="F187" s="41">
        <f>D187*(($F$176)+1)+E187</f>
        <v>976.16563200000007</v>
      </c>
      <c r="G187" s="113" t="str">
        <f>A186</f>
        <v>15th Floor(Part Refuge Floor)</v>
      </c>
      <c r="H187" s="114"/>
      <c r="I187" s="38"/>
      <c r="N187" s="38"/>
    </row>
    <row r="188" spans="1:17" s="58" customFormat="1" x14ac:dyDescent="0.25">
      <c r="A188" s="109">
        <f>A187+1</f>
        <v>2</v>
      </c>
      <c r="B188" s="109"/>
      <c r="C188" s="110" t="s">
        <v>209</v>
      </c>
      <c r="D188" s="111"/>
      <c r="E188" s="111"/>
      <c r="F188" s="112"/>
      <c r="G188" s="117"/>
      <c r="H188" s="118"/>
      <c r="I188" s="38"/>
      <c r="N188" s="38"/>
    </row>
    <row r="189" spans="1:17" s="58" customFormat="1" x14ac:dyDescent="0.25">
      <c r="A189" s="208" t="s">
        <v>197</v>
      </c>
      <c r="B189" s="208"/>
      <c r="C189" s="208"/>
      <c r="D189" s="208"/>
      <c r="E189" s="208"/>
      <c r="F189" s="208"/>
      <c r="G189" s="208"/>
      <c r="H189" s="208"/>
      <c r="I189" s="38"/>
    </row>
    <row r="190" spans="1:17" s="58" customFormat="1" hidden="1" x14ac:dyDescent="0.25">
      <c r="A190" s="213" t="s">
        <v>204</v>
      </c>
      <c r="B190" s="213"/>
      <c r="C190" s="213"/>
      <c r="D190" s="213"/>
      <c r="E190" s="213"/>
      <c r="F190" s="213"/>
      <c r="G190" s="213"/>
      <c r="H190" s="213"/>
      <c r="I190" s="38"/>
      <c r="L190" s="211"/>
      <c r="M190" s="211"/>
    </row>
    <row r="191" spans="1:17" s="58" customFormat="1" hidden="1" x14ac:dyDescent="0.25">
      <c r="A191" s="109">
        <v>1</v>
      </c>
      <c r="B191" s="109"/>
      <c r="C191" s="55" t="s">
        <v>206</v>
      </c>
      <c r="D191" s="70">
        <f t="shared" ref="D191:D192" si="7">56.68*10.764</f>
        <v>610.10352</v>
      </c>
      <c r="E191" s="55">
        <v>0</v>
      </c>
      <c r="F191" s="41">
        <f>D191*(($F$176)+1)+E191</f>
        <v>976.16563200000007</v>
      </c>
      <c r="G191" s="109" t="str">
        <f>A190</f>
        <v>1st Floor for Residential</v>
      </c>
      <c r="H191" s="109"/>
      <c r="I191" s="38"/>
      <c r="N191" s="38"/>
    </row>
    <row r="192" spans="1:17" s="58" customFormat="1" hidden="1" x14ac:dyDescent="0.25">
      <c r="A192" s="109">
        <v>2</v>
      </c>
      <c r="B192" s="109"/>
      <c r="C192" s="55" t="s">
        <v>206</v>
      </c>
      <c r="D192" s="70">
        <f t="shared" si="7"/>
        <v>610.10352</v>
      </c>
      <c r="E192" s="55">
        <f>(1.8*6+3*1.9)*10.764</f>
        <v>177.60599999999999</v>
      </c>
      <c r="F192" s="41">
        <f t="shared" ref="F192" si="8">D192*(($F$176)+1)+E192</f>
        <v>1153.771632</v>
      </c>
      <c r="G192" s="109" t="str">
        <f t="shared" ref="G192:G194" si="9">G191</f>
        <v>1st Floor for Residential</v>
      </c>
      <c r="H192" s="109"/>
      <c r="I192" s="38"/>
      <c r="N192" s="38"/>
    </row>
    <row r="193" spans="1:14" s="58" customFormat="1" hidden="1" x14ac:dyDescent="0.25">
      <c r="A193" s="109">
        <f>A192+1</f>
        <v>3</v>
      </c>
      <c r="B193" s="109"/>
      <c r="C193" s="110" t="s">
        <v>205</v>
      </c>
      <c r="D193" s="111"/>
      <c r="E193" s="111"/>
      <c r="F193" s="112"/>
      <c r="G193" s="109" t="str">
        <f t="shared" si="9"/>
        <v>1st Floor for Residential</v>
      </c>
      <c r="H193" s="109"/>
      <c r="I193" s="38"/>
      <c r="N193" s="38"/>
    </row>
    <row r="194" spans="1:14" s="58" customFormat="1" hidden="1" x14ac:dyDescent="0.25">
      <c r="A194" s="109">
        <f t="shared" ref="A194" si="10">A193+1</f>
        <v>4</v>
      </c>
      <c r="B194" s="109"/>
      <c r="C194" s="55" t="s">
        <v>230</v>
      </c>
      <c r="D194" s="55">
        <f>31.53*10.764</f>
        <v>339.38891999999998</v>
      </c>
      <c r="E194" s="55">
        <f>(2.5*1.5+2*0.5)*10.764</f>
        <v>51.128999999999998</v>
      </c>
      <c r="F194" s="41">
        <f>D194*(($F$176)+1)+E194</f>
        <v>594.15127200000006</v>
      </c>
      <c r="G194" s="109" t="str">
        <f t="shared" si="9"/>
        <v>1st Floor for Residential</v>
      </c>
      <c r="H194" s="109"/>
      <c r="I194" s="38"/>
      <c r="N194" s="38"/>
    </row>
    <row r="195" spans="1:14" s="58" customFormat="1" ht="15.75" customHeight="1" x14ac:dyDescent="0.25">
      <c r="A195" s="208" t="s">
        <v>247</v>
      </c>
      <c r="B195" s="208"/>
      <c r="C195" s="208"/>
      <c r="D195" s="208"/>
      <c r="E195" s="208"/>
      <c r="F195" s="208"/>
      <c r="G195" s="208"/>
      <c r="H195" s="208"/>
      <c r="I195" s="38"/>
      <c r="L195" s="211"/>
      <c r="M195" s="211"/>
    </row>
    <row r="196" spans="1:14" s="58" customFormat="1" ht="15.75" customHeight="1" x14ac:dyDescent="0.25">
      <c r="A196" s="109">
        <v>1</v>
      </c>
      <c r="B196" s="109"/>
      <c r="C196" s="55" t="s">
        <v>206</v>
      </c>
      <c r="D196" s="55">
        <f>56.68*10.764</f>
        <v>610.10352</v>
      </c>
      <c r="E196" s="55">
        <v>0</v>
      </c>
      <c r="F196" s="41">
        <f>D196*(($F$176)+1)+E196</f>
        <v>976.16563200000007</v>
      </c>
      <c r="G196" s="113" t="str">
        <f>A195</f>
        <v>2nd Floor for Residential</v>
      </c>
      <c r="H196" s="114"/>
      <c r="I196" s="38"/>
      <c r="N196" s="38"/>
    </row>
    <row r="197" spans="1:14" s="58" customFormat="1" x14ac:dyDescent="0.25">
      <c r="A197" s="109">
        <f>A196+1</f>
        <v>2</v>
      </c>
      <c r="B197" s="109"/>
      <c r="C197" s="55" t="s">
        <v>206</v>
      </c>
      <c r="D197" s="55">
        <f>56.68*10.764</f>
        <v>610.10352</v>
      </c>
      <c r="E197" s="55">
        <v>0</v>
      </c>
      <c r="F197" s="41">
        <f t="shared" ref="F197:F201" si="11">D197*(($F$176)+1)+E197</f>
        <v>976.16563200000007</v>
      </c>
      <c r="G197" s="115"/>
      <c r="H197" s="116"/>
      <c r="I197" s="38"/>
      <c r="N197" s="38"/>
    </row>
    <row r="198" spans="1:14" s="58" customFormat="1" x14ac:dyDescent="0.25">
      <c r="A198" s="109">
        <f>A197+1</f>
        <v>3</v>
      </c>
      <c r="B198" s="109"/>
      <c r="C198" s="55" t="s">
        <v>206</v>
      </c>
      <c r="D198" s="55">
        <f>56.55*10.764</f>
        <v>608.7041999999999</v>
      </c>
      <c r="E198" s="55">
        <v>0</v>
      </c>
      <c r="F198" s="41">
        <f t="shared" si="11"/>
        <v>973.92671999999993</v>
      </c>
      <c r="G198" s="115"/>
      <c r="H198" s="116"/>
      <c r="I198" s="38"/>
      <c r="N198" s="38"/>
    </row>
    <row r="199" spans="1:14" s="58" customFormat="1" x14ac:dyDescent="0.25">
      <c r="A199" s="109">
        <f t="shared" ref="A199:A201" si="12">A198+1</f>
        <v>4</v>
      </c>
      <c r="B199" s="109"/>
      <c r="C199" s="70" t="s">
        <v>206</v>
      </c>
      <c r="D199" s="55">
        <f>57.41*10.764</f>
        <v>617.96123999999998</v>
      </c>
      <c r="E199" s="55">
        <f>(1.9*1.48)*10.764</f>
        <v>30.268367999999995</v>
      </c>
      <c r="F199" s="41">
        <f t="shared" si="11"/>
        <v>1019.006352</v>
      </c>
      <c r="G199" s="115"/>
      <c r="H199" s="116"/>
      <c r="I199" s="38"/>
      <c r="N199" s="38"/>
    </row>
    <row r="200" spans="1:14" s="58" customFormat="1" x14ac:dyDescent="0.25">
      <c r="A200" s="109">
        <f t="shared" si="12"/>
        <v>5</v>
      </c>
      <c r="B200" s="109"/>
      <c r="C200" s="55" t="s">
        <v>206</v>
      </c>
      <c r="D200" s="55">
        <f>56.68*10.764</f>
        <v>610.10352</v>
      </c>
      <c r="E200" s="55">
        <v>0</v>
      </c>
      <c r="F200" s="41">
        <f t="shared" si="11"/>
        <v>976.16563200000007</v>
      </c>
      <c r="G200" s="115"/>
      <c r="H200" s="116"/>
      <c r="I200" s="38"/>
      <c r="N200" s="38"/>
    </row>
    <row r="201" spans="1:14" s="58" customFormat="1" x14ac:dyDescent="0.25">
      <c r="A201" s="109">
        <f t="shared" si="12"/>
        <v>6</v>
      </c>
      <c r="B201" s="109"/>
      <c r="C201" s="55" t="s">
        <v>206</v>
      </c>
      <c r="D201" s="55">
        <f>56.68*10.764</f>
        <v>610.10352</v>
      </c>
      <c r="E201" s="55">
        <v>0</v>
      </c>
      <c r="F201" s="41">
        <f t="shared" si="11"/>
        <v>976.16563200000007</v>
      </c>
      <c r="G201" s="117"/>
      <c r="H201" s="118"/>
      <c r="I201" s="38"/>
      <c r="N201" s="38"/>
    </row>
    <row r="202" spans="1:14" s="83" customFormat="1" ht="15.75" customHeight="1" x14ac:dyDescent="0.25">
      <c r="A202" s="208" t="s">
        <v>248</v>
      </c>
      <c r="B202" s="208"/>
      <c r="C202" s="208"/>
      <c r="D202" s="208"/>
      <c r="E202" s="208"/>
      <c r="F202" s="208"/>
      <c r="G202" s="208"/>
      <c r="H202" s="208"/>
      <c r="I202" s="38"/>
      <c r="L202" s="211"/>
      <c r="M202" s="211"/>
    </row>
    <row r="203" spans="1:14" s="83" customFormat="1" ht="15.75" customHeight="1" x14ac:dyDescent="0.25">
      <c r="A203" s="109">
        <v>1</v>
      </c>
      <c r="B203" s="109"/>
      <c r="C203" s="82" t="s">
        <v>206</v>
      </c>
      <c r="D203" s="82">
        <f>56.68*10.764</f>
        <v>610.10352</v>
      </c>
      <c r="E203" s="82">
        <v>0</v>
      </c>
      <c r="F203" s="41">
        <f>D203*(($F$176)+1)+E203</f>
        <v>976.16563200000007</v>
      </c>
      <c r="G203" s="113" t="str">
        <f>A202</f>
        <v>3rd to 7th, 9th to 14th, 16th to 22nd Floor</v>
      </c>
      <c r="H203" s="114"/>
      <c r="I203" s="38"/>
      <c r="N203" s="38"/>
    </row>
    <row r="204" spans="1:14" s="83" customFormat="1" x14ac:dyDescent="0.25">
      <c r="A204" s="109">
        <f>A203+1</f>
        <v>2</v>
      </c>
      <c r="B204" s="109"/>
      <c r="C204" s="82" t="s">
        <v>206</v>
      </c>
      <c r="D204" s="82">
        <f>56.68*10.764</f>
        <v>610.10352</v>
      </c>
      <c r="E204" s="82">
        <v>0</v>
      </c>
      <c r="F204" s="41">
        <f t="shared" ref="F204:F208" si="13">D204*(($F$176)+1)+E204</f>
        <v>976.16563200000007</v>
      </c>
      <c r="G204" s="115"/>
      <c r="H204" s="116"/>
      <c r="I204" s="38"/>
      <c r="N204" s="38"/>
    </row>
    <row r="205" spans="1:14" s="83" customFormat="1" x14ac:dyDescent="0.25">
      <c r="A205" s="109">
        <f>A204+1</f>
        <v>3</v>
      </c>
      <c r="B205" s="109"/>
      <c r="C205" s="82" t="s">
        <v>206</v>
      </c>
      <c r="D205" s="82">
        <f>56.55*10.764</f>
        <v>608.7041999999999</v>
      </c>
      <c r="E205" s="82">
        <v>0</v>
      </c>
      <c r="F205" s="41">
        <f t="shared" si="13"/>
        <v>973.92671999999993</v>
      </c>
      <c r="G205" s="115"/>
      <c r="H205" s="116"/>
      <c r="I205" s="38"/>
      <c r="N205" s="38"/>
    </row>
    <row r="206" spans="1:14" s="83" customFormat="1" x14ac:dyDescent="0.25">
      <c r="A206" s="109">
        <f t="shared" ref="A206:A208" si="14">A205+1</f>
        <v>4</v>
      </c>
      <c r="B206" s="109"/>
      <c r="C206" s="82" t="s">
        <v>206</v>
      </c>
      <c r="D206" s="82">
        <f>57.41*10.764</f>
        <v>617.96123999999998</v>
      </c>
      <c r="E206" s="82">
        <v>0</v>
      </c>
      <c r="F206" s="41">
        <f t="shared" si="13"/>
        <v>988.73798399999998</v>
      </c>
      <c r="G206" s="115"/>
      <c r="H206" s="116"/>
      <c r="I206" s="38"/>
      <c r="N206" s="38"/>
    </row>
    <row r="207" spans="1:14" s="83" customFormat="1" x14ac:dyDescent="0.25">
      <c r="A207" s="109">
        <f t="shared" si="14"/>
        <v>5</v>
      </c>
      <c r="B207" s="109"/>
      <c r="C207" s="82" t="s">
        <v>206</v>
      </c>
      <c r="D207" s="82">
        <f>56.68*10.764</f>
        <v>610.10352</v>
      </c>
      <c r="E207" s="82">
        <v>0</v>
      </c>
      <c r="F207" s="41">
        <f t="shared" si="13"/>
        <v>976.16563200000007</v>
      </c>
      <c r="G207" s="115"/>
      <c r="H207" s="116"/>
      <c r="I207" s="38"/>
      <c r="N207" s="38"/>
    </row>
    <row r="208" spans="1:14" s="83" customFormat="1" x14ac:dyDescent="0.25">
      <c r="A208" s="109">
        <f t="shared" si="14"/>
        <v>6</v>
      </c>
      <c r="B208" s="109"/>
      <c r="C208" s="82" t="s">
        <v>206</v>
      </c>
      <c r="D208" s="82">
        <f>56.68*10.764</f>
        <v>610.10352</v>
      </c>
      <c r="E208" s="82">
        <v>0</v>
      </c>
      <c r="F208" s="41">
        <f t="shared" si="13"/>
        <v>976.16563200000007</v>
      </c>
      <c r="G208" s="117"/>
      <c r="H208" s="118"/>
      <c r="I208" s="38"/>
      <c r="N208" s="38"/>
    </row>
    <row r="209" spans="1:14" s="58" customFormat="1" x14ac:dyDescent="0.25">
      <c r="A209" s="208" t="s">
        <v>210</v>
      </c>
      <c r="B209" s="208"/>
      <c r="C209" s="208"/>
      <c r="D209" s="208"/>
      <c r="E209" s="208"/>
      <c r="F209" s="208"/>
      <c r="G209" s="208"/>
      <c r="H209" s="208"/>
      <c r="I209" s="38"/>
      <c r="L209" s="211"/>
      <c r="M209" s="211"/>
    </row>
    <row r="210" spans="1:14" s="58" customFormat="1" ht="15.75" customHeight="1" x14ac:dyDescent="0.25">
      <c r="A210" s="109">
        <v>1</v>
      </c>
      <c r="B210" s="109"/>
      <c r="C210" s="55" t="s">
        <v>206</v>
      </c>
      <c r="D210" s="55">
        <f>56.68*10.764</f>
        <v>610.10352</v>
      </c>
      <c r="E210" s="55">
        <v>0</v>
      </c>
      <c r="F210" s="41">
        <f>D210*(($F$176)+1)+E210</f>
        <v>976.16563200000007</v>
      </c>
      <c r="G210" s="113" t="str">
        <f>A209</f>
        <v>8th Floor(Part Refuge Floor)</v>
      </c>
      <c r="H210" s="114"/>
      <c r="I210" s="38"/>
      <c r="N210" s="38"/>
    </row>
    <row r="211" spans="1:14" s="58" customFormat="1" x14ac:dyDescent="0.25">
      <c r="A211" s="109">
        <f>A210+1</f>
        <v>2</v>
      </c>
      <c r="B211" s="109"/>
      <c r="C211" s="55" t="s">
        <v>206</v>
      </c>
      <c r="D211" s="55">
        <f>56.68*10.764</f>
        <v>610.10352</v>
      </c>
      <c r="E211" s="55">
        <v>0</v>
      </c>
      <c r="F211" s="41">
        <f t="shared" ref="F211:F215" si="15">D211*(($F$176)+1)+E211</f>
        <v>976.16563200000007</v>
      </c>
      <c r="G211" s="115"/>
      <c r="H211" s="116"/>
      <c r="I211" s="38"/>
      <c r="N211" s="38"/>
    </row>
    <row r="212" spans="1:14" s="58" customFormat="1" x14ac:dyDescent="0.25">
      <c r="A212" s="109">
        <f>A211+1</f>
        <v>3</v>
      </c>
      <c r="B212" s="109"/>
      <c r="C212" s="55" t="s">
        <v>206</v>
      </c>
      <c r="D212" s="55">
        <f>56.55*10.764</f>
        <v>608.7041999999999</v>
      </c>
      <c r="E212" s="55">
        <v>0</v>
      </c>
      <c r="F212" s="41">
        <f t="shared" si="15"/>
        <v>973.92671999999993</v>
      </c>
      <c r="G212" s="115"/>
      <c r="H212" s="116"/>
      <c r="I212" s="38"/>
      <c r="N212" s="38"/>
    </row>
    <row r="213" spans="1:14" s="58" customFormat="1" x14ac:dyDescent="0.25">
      <c r="A213" s="109">
        <f t="shared" ref="A213:A215" si="16">A212+1</f>
        <v>4</v>
      </c>
      <c r="B213" s="109"/>
      <c r="C213" s="70" t="s">
        <v>206</v>
      </c>
      <c r="D213" s="55">
        <f>57.41*10.764</f>
        <v>617.96123999999998</v>
      </c>
      <c r="E213" s="55">
        <v>0</v>
      </c>
      <c r="F213" s="41">
        <f t="shared" si="15"/>
        <v>988.73798399999998</v>
      </c>
      <c r="G213" s="115"/>
      <c r="H213" s="116"/>
      <c r="I213" s="38"/>
      <c r="N213" s="38"/>
    </row>
    <row r="214" spans="1:14" s="58" customFormat="1" x14ac:dyDescent="0.25">
      <c r="A214" s="109">
        <f t="shared" si="16"/>
        <v>5</v>
      </c>
      <c r="B214" s="109"/>
      <c r="C214" s="110" t="s">
        <v>209</v>
      </c>
      <c r="D214" s="111"/>
      <c r="E214" s="111"/>
      <c r="F214" s="112"/>
      <c r="G214" s="115"/>
      <c r="H214" s="116"/>
      <c r="I214" s="38"/>
      <c r="N214" s="38"/>
    </row>
    <row r="215" spans="1:14" s="58" customFormat="1" x14ac:dyDescent="0.25">
      <c r="A215" s="109">
        <f t="shared" si="16"/>
        <v>6</v>
      </c>
      <c r="B215" s="109"/>
      <c r="C215" s="55" t="s">
        <v>206</v>
      </c>
      <c r="D215" s="55">
        <f>56.68*10.764</f>
        <v>610.10352</v>
      </c>
      <c r="E215" s="55">
        <v>0</v>
      </c>
      <c r="F215" s="41">
        <f t="shared" si="15"/>
        <v>976.16563200000007</v>
      </c>
      <c r="G215" s="117"/>
      <c r="H215" s="118"/>
      <c r="I215" s="38"/>
      <c r="N215" s="38"/>
    </row>
    <row r="216" spans="1:14" s="58" customFormat="1" x14ac:dyDescent="0.25">
      <c r="A216" s="208" t="s">
        <v>208</v>
      </c>
      <c r="B216" s="208"/>
      <c r="C216" s="208"/>
      <c r="D216" s="208"/>
      <c r="E216" s="208"/>
      <c r="F216" s="208"/>
      <c r="G216" s="208"/>
      <c r="H216" s="208"/>
      <c r="I216" s="38"/>
      <c r="L216" s="211"/>
      <c r="M216" s="211"/>
    </row>
    <row r="217" spans="1:14" s="58" customFormat="1" ht="15.75" customHeight="1" x14ac:dyDescent="0.25">
      <c r="A217" s="109">
        <v>1</v>
      </c>
      <c r="B217" s="109"/>
      <c r="C217" s="55" t="s">
        <v>206</v>
      </c>
      <c r="D217" s="55">
        <f>56.68*10.764</f>
        <v>610.10352</v>
      </c>
      <c r="E217" s="55">
        <v>0</v>
      </c>
      <c r="F217" s="41">
        <f>D217*(($F$176)+1)+E217</f>
        <v>976.16563200000007</v>
      </c>
      <c r="G217" s="113" t="str">
        <f>A216</f>
        <v>15th Floor(Part Refuge Floor)</v>
      </c>
      <c r="H217" s="114"/>
      <c r="I217" s="38"/>
      <c r="N217" s="38"/>
    </row>
    <row r="218" spans="1:14" s="58" customFormat="1" x14ac:dyDescent="0.25">
      <c r="A218" s="109">
        <f>A217+1</f>
        <v>2</v>
      </c>
      <c r="B218" s="109"/>
      <c r="C218" s="55" t="s">
        <v>206</v>
      </c>
      <c r="D218" s="55">
        <f>56.68*10.764</f>
        <v>610.10352</v>
      </c>
      <c r="E218" s="55">
        <v>0</v>
      </c>
      <c r="F218" s="41">
        <f t="shared" ref="F218:F220" si="17">D218*(($F$176)+1)+E218</f>
        <v>976.16563200000007</v>
      </c>
      <c r="G218" s="115"/>
      <c r="H218" s="116"/>
      <c r="I218" s="38"/>
      <c r="N218" s="38"/>
    </row>
    <row r="219" spans="1:14" s="58" customFormat="1" x14ac:dyDescent="0.25">
      <c r="A219" s="109">
        <f>A218+1</f>
        <v>3</v>
      </c>
      <c r="B219" s="109"/>
      <c r="C219" s="55" t="s">
        <v>206</v>
      </c>
      <c r="D219" s="55">
        <f>56.55*10.764</f>
        <v>608.7041999999999</v>
      </c>
      <c r="E219" s="55">
        <v>0</v>
      </c>
      <c r="F219" s="41">
        <f t="shared" si="17"/>
        <v>973.92671999999993</v>
      </c>
      <c r="G219" s="115"/>
      <c r="H219" s="116"/>
      <c r="I219" s="38"/>
      <c r="N219" s="38"/>
    </row>
    <row r="220" spans="1:14" s="58" customFormat="1" x14ac:dyDescent="0.25">
      <c r="A220" s="109">
        <f t="shared" ref="A220:A222" si="18">A219+1</f>
        <v>4</v>
      </c>
      <c r="B220" s="109"/>
      <c r="C220" s="70" t="s">
        <v>206</v>
      </c>
      <c r="D220" s="55">
        <f>57.41*10.764</f>
        <v>617.96123999999998</v>
      </c>
      <c r="E220" s="55">
        <v>0</v>
      </c>
      <c r="F220" s="41">
        <f t="shared" si="17"/>
        <v>988.73798399999998</v>
      </c>
      <c r="G220" s="115"/>
      <c r="H220" s="116"/>
      <c r="I220" s="38"/>
      <c r="N220" s="38"/>
    </row>
    <row r="221" spans="1:14" s="58" customFormat="1" x14ac:dyDescent="0.25">
      <c r="A221" s="109">
        <f t="shared" si="18"/>
        <v>5</v>
      </c>
      <c r="B221" s="109"/>
      <c r="C221" s="110" t="s">
        <v>209</v>
      </c>
      <c r="D221" s="111"/>
      <c r="E221" s="111"/>
      <c r="F221" s="112"/>
      <c r="G221" s="115"/>
      <c r="H221" s="116"/>
      <c r="I221" s="38"/>
      <c r="N221" s="38"/>
    </row>
    <row r="222" spans="1:14" s="58" customFormat="1" x14ac:dyDescent="0.25">
      <c r="A222" s="109">
        <f t="shared" si="18"/>
        <v>6</v>
      </c>
      <c r="B222" s="109"/>
      <c r="C222" s="55" t="s">
        <v>206</v>
      </c>
      <c r="D222" s="55">
        <f>56.68*10.764</f>
        <v>610.10352</v>
      </c>
      <c r="E222" s="55">
        <v>0</v>
      </c>
      <c r="F222" s="41">
        <f t="shared" ref="F222" si="19">D222*(($F$176)+1)+E222</f>
        <v>976.16563200000007</v>
      </c>
      <c r="G222" s="117"/>
      <c r="H222" s="118"/>
      <c r="I222" s="38"/>
      <c r="N222" s="38"/>
    </row>
    <row r="223" spans="1:14" s="58" customFormat="1" x14ac:dyDescent="0.25">
      <c r="A223" s="208" t="s">
        <v>198</v>
      </c>
      <c r="B223" s="208"/>
      <c r="C223" s="208"/>
      <c r="D223" s="208"/>
      <c r="E223" s="208"/>
      <c r="F223" s="208"/>
      <c r="G223" s="208"/>
      <c r="H223" s="208"/>
      <c r="I223" s="38"/>
    </row>
    <row r="224" spans="1:14" s="58" customFormat="1" x14ac:dyDescent="0.25">
      <c r="A224" s="212" t="s">
        <v>207</v>
      </c>
      <c r="B224" s="212"/>
      <c r="C224" s="212"/>
      <c r="D224" s="212"/>
      <c r="E224" s="212"/>
      <c r="F224" s="212"/>
      <c r="G224" s="212"/>
      <c r="H224" s="212"/>
      <c r="I224" s="38"/>
      <c r="L224" s="211"/>
      <c r="M224" s="211"/>
    </row>
    <row r="225" spans="1:14" s="58" customFormat="1" ht="15.75" customHeight="1" x14ac:dyDescent="0.25">
      <c r="A225" s="109">
        <v>1</v>
      </c>
      <c r="B225" s="109"/>
      <c r="C225" s="74" t="s">
        <v>206</v>
      </c>
      <c r="D225" s="74">
        <f>56.68*10.764</f>
        <v>610.10352</v>
      </c>
      <c r="E225" s="74">
        <f>2.9*1.8*10.764</f>
        <v>56.188079999999992</v>
      </c>
      <c r="F225" s="41">
        <f>D225*(($F$176)+1)+E225</f>
        <v>1032.3537120000001</v>
      </c>
      <c r="G225" s="113" t="str">
        <f>A224</f>
        <v>1st Floor for Residential &amp; Amenities</v>
      </c>
      <c r="H225" s="114"/>
      <c r="I225" s="38"/>
      <c r="N225" s="38"/>
    </row>
    <row r="226" spans="1:14" s="58" customFormat="1" ht="15.75" customHeight="1" x14ac:dyDescent="0.25">
      <c r="A226" s="109">
        <f>A225+1</f>
        <v>2</v>
      </c>
      <c r="B226" s="109"/>
      <c r="C226" s="109" t="s">
        <v>249</v>
      </c>
      <c r="D226" s="109"/>
      <c r="E226" s="109"/>
      <c r="F226" s="109"/>
      <c r="G226" s="115"/>
      <c r="H226" s="116"/>
      <c r="I226" s="38"/>
      <c r="N226" s="38"/>
    </row>
    <row r="227" spans="1:14" s="58" customFormat="1" ht="15.75" customHeight="1" x14ac:dyDescent="0.25">
      <c r="A227" s="109">
        <f>A226+1</f>
        <v>3</v>
      </c>
      <c r="B227" s="109"/>
      <c r="C227" s="110" t="s">
        <v>250</v>
      </c>
      <c r="D227" s="111"/>
      <c r="E227" s="111"/>
      <c r="F227" s="112"/>
      <c r="G227" s="115"/>
      <c r="H227" s="116"/>
      <c r="I227" s="38"/>
      <c r="N227" s="38"/>
    </row>
    <row r="228" spans="1:14" s="58" customFormat="1" ht="15.75" customHeight="1" x14ac:dyDescent="0.25">
      <c r="A228" s="109">
        <f t="shared" ref="A228" si="20">A227+1</f>
        <v>4</v>
      </c>
      <c r="B228" s="109"/>
      <c r="C228" s="74" t="s">
        <v>206</v>
      </c>
      <c r="D228" s="74">
        <f t="shared" ref="D228" si="21">56.68*10.764</f>
        <v>610.10352</v>
      </c>
      <c r="E228" s="74">
        <f>2.9*1.8*10.764</f>
        <v>56.188079999999992</v>
      </c>
      <c r="F228" s="41">
        <f t="shared" ref="F228" si="22">D228*(($F$176)+1)+E228</f>
        <v>1032.3537120000001</v>
      </c>
      <c r="G228" s="117"/>
      <c r="H228" s="118"/>
      <c r="I228" s="38"/>
      <c r="N228" s="38"/>
    </row>
    <row r="229" spans="1:14" s="58" customFormat="1" ht="15.75" customHeight="1" x14ac:dyDescent="0.25">
      <c r="A229" s="208" t="s">
        <v>246</v>
      </c>
      <c r="B229" s="208"/>
      <c r="C229" s="208"/>
      <c r="D229" s="208"/>
      <c r="E229" s="208"/>
      <c r="F229" s="208"/>
      <c r="G229" s="208"/>
      <c r="H229" s="208"/>
      <c r="I229" s="38"/>
      <c r="L229" s="211"/>
      <c r="M229" s="211"/>
    </row>
    <row r="230" spans="1:14" s="58" customFormat="1" ht="15.75" customHeight="1" x14ac:dyDescent="0.25">
      <c r="A230" s="109">
        <v>1</v>
      </c>
      <c r="B230" s="109"/>
      <c r="C230" s="74" t="s">
        <v>206</v>
      </c>
      <c r="D230" s="74">
        <f>56.68*10.764</f>
        <v>610.10352</v>
      </c>
      <c r="E230" s="74">
        <v>0</v>
      </c>
      <c r="F230" s="41">
        <f>D230*(($F$176)+1)+E230</f>
        <v>976.16563200000007</v>
      </c>
      <c r="G230" s="113" t="str">
        <f>A229</f>
        <v>2nd to 7th, 9th to 14th, 16th to 22nd Floor for Residential</v>
      </c>
      <c r="H230" s="114"/>
      <c r="I230" s="38"/>
      <c r="N230" s="38"/>
    </row>
    <row r="231" spans="1:14" s="58" customFormat="1" ht="15.75" customHeight="1" x14ac:dyDescent="0.25">
      <c r="A231" s="109">
        <f>A230+1</f>
        <v>2</v>
      </c>
      <c r="B231" s="109"/>
      <c r="C231" s="74" t="s">
        <v>206</v>
      </c>
      <c r="D231" s="74">
        <f t="shared" ref="D231:D233" si="23">56.68*10.764</f>
        <v>610.10352</v>
      </c>
      <c r="E231" s="74">
        <v>0</v>
      </c>
      <c r="F231" s="41">
        <f t="shared" ref="F231:F233" si="24">D231*(($F$176)+1)+E231</f>
        <v>976.16563200000007</v>
      </c>
      <c r="G231" s="115"/>
      <c r="H231" s="116"/>
      <c r="I231" s="38"/>
      <c r="N231" s="38"/>
    </row>
    <row r="232" spans="1:14" s="58" customFormat="1" ht="15.75" customHeight="1" x14ac:dyDescent="0.25">
      <c r="A232" s="109">
        <f>A231+1</f>
        <v>3</v>
      </c>
      <c r="B232" s="109"/>
      <c r="C232" s="74" t="s">
        <v>206</v>
      </c>
      <c r="D232" s="74">
        <f t="shared" si="23"/>
        <v>610.10352</v>
      </c>
      <c r="E232" s="74">
        <v>0</v>
      </c>
      <c r="F232" s="41">
        <f t="shared" si="24"/>
        <v>976.16563200000007</v>
      </c>
      <c r="G232" s="115"/>
      <c r="H232" s="116"/>
      <c r="I232" s="38"/>
      <c r="N232" s="38"/>
    </row>
    <row r="233" spans="1:14" s="58" customFormat="1" ht="15.75" customHeight="1" x14ac:dyDescent="0.25">
      <c r="A233" s="109">
        <f t="shared" ref="A233" si="25">A232+1</f>
        <v>4</v>
      </c>
      <c r="B233" s="109"/>
      <c r="C233" s="74" t="s">
        <v>206</v>
      </c>
      <c r="D233" s="74">
        <f t="shared" si="23"/>
        <v>610.10352</v>
      </c>
      <c r="E233" s="74">
        <v>0</v>
      </c>
      <c r="F233" s="41">
        <f t="shared" si="24"/>
        <v>976.16563200000007</v>
      </c>
      <c r="G233" s="117"/>
      <c r="H233" s="118"/>
      <c r="I233" s="38"/>
      <c r="N233" s="38"/>
    </row>
    <row r="234" spans="1:14" s="58" customFormat="1" x14ac:dyDescent="0.25">
      <c r="A234" s="208" t="s">
        <v>210</v>
      </c>
      <c r="B234" s="208"/>
      <c r="C234" s="208"/>
      <c r="D234" s="208"/>
      <c r="E234" s="208"/>
      <c r="F234" s="208"/>
      <c r="G234" s="208"/>
      <c r="H234" s="208"/>
      <c r="I234" s="38"/>
      <c r="L234" s="211"/>
      <c r="M234" s="211"/>
    </row>
    <row r="235" spans="1:14" s="58" customFormat="1" ht="15.75" customHeight="1" x14ac:dyDescent="0.25">
      <c r="A235" s="109">
        <v>1</v>
      </c>
      <c r="B235" s="109"/>
      <c r="C235" s="74" t="s">
        <v>206</v>
      </c>
      <c r="D235" s="74">
        <f>56.68*10.764</f>
        <v>610.10352</v>
      </c>
      <c r="E235" s="74">
        <v>0</v>
      </c>
      <c r="F235" s="41">
        <f>D235*(($F$176)+1)+E235</f>
        <v>976.16563200000007</v>
      </c>
      <c r="G235" s="113" t="str">
        <f>A234</f>
        <v>8th Floor(Part Refuge Floor)</v>
      </c>
      <c r="H235" s="114"/>
      <c r="I235" s="38"/>
      <c r="N235" s="38"/>
    </row>
    <row r="236" spans="1:14" s="58" customFormat="1" ht="15.75" customHeight="1" x14ac:dyDescent="0.25">
      <c r="A236" s="109">
        <f>A235+1</f>
        <v>2</v>
      </c>
      <c r="B236" s="109"/>
      <c r="C236" s="109" t="s">
        <v>209</v>
      </c>
      <c r="D236" s="109"/>
      <c r="E236" s="109"/>
      <c r="F236" s="109"/>
      <c r="G236" s="115"/>
      <c r="H236" s="116"/>
      <c r="I236" s="38"/>
      <c r="N236" s="38"/>
    </row>
    <row r="237" spans="1:14" s="58" customFormat="1" ht="15.75" customHeight="1" x14ac:dyDescent="0.25">
      <c r="A237" s="109">
        <f>A236+1</f>
        <v>3</v>
      </c>
      <c r="B237" s="109"/>
      <c r="C237" s="74" t="s">
        <v>206</v>
      </c>
      <c r="D237" s="74">
        <f t="shared" ref="D237:D238" si="26">56.68*10.764</f>
        <v>610.10352</v>
      </c>
      <c r="E237" s="74">
        <v>0</v>
      </c>
      <c r="F237" s="41">
        <f>D237*(($F$176)+1)+E237</f>
        <v>976.16563200000007</v>
      </c>
      <c r="G237" s="115"/>
      <c r="H237" s="116"/>
      <c r="I237" s="38"/>
      <c r="N237" s="38"/>
    </row>
    <row r="238" spans="1:14" s="58" customFormat="1" ht="15.75" customHeight="1" x14ac:dyDescent="0.25">
      <c r="A238" s="109">
        <f t="shared" ref="A238" si="27">A237+1</f>
        <v>4</v>
      </c>
      <c r="B238" s="109"/>
      <c r="C238" s="74" t="s">
        <v>206</v>
      </c>
      <c r="D238" s="74">
        <f t="shared" si="26"/>
        <v>610.10352</v>
      </c>
      <c r="E238" s="74">
        <v>0</v>
      </c>
      <c r="F238" s="41">
        <f>D238*(($F$176)+1)+E238</f>
        <v>976.16563200000007</v>
      </c>
      <c r="G238" s="117"/>
      <c r="H238" s="118"/>
      <c r="I238" s="38"/>
      <c r="N238" s="38"/>
    </row>
    <row r="239" spans="1:14" s="58" customFormat="1" x14ac:dyDescent="0.25">
      <c r="A239" s="208" t="s">
        <v>208</v>
      </c>
      <c r="B239" s="208"/>
      <c r="C239" s="208"/>
      <c r="D239" s="208"/>
      <c r="E239" s="208"/>
      <c r="F239" s="208"/>
      <c r="G239" s="208"/>
      <c r="H239" s="208"/>
      <c r="I239" s="38"/>
      <c r="L239" s="211"/>
      <c r="M239" s="211"/>
    </row>
    <row r="240" spans="1:14" s="58" customFormat="1" ht="15.75" customHeight="1" x14ac:dyDescent="0.25">
      <c r="A240" s="109">
        <v>1</v>
      </c>
      <c r="B240" s="109"/>
      <c r="C240" s="74" t="s">
        <v>206</v>
      </c>
      <c r="D240" s="74">
        <f>56.68*10.764</f>
        <v>610.10352</v>
      </c>
      <c r="E240" s="74">
        <v>0</v>
      </c>
      <c r="F240" s="41">
        <f>D240*(($F$176)+1)+E240</f>
        <v>976.16563200000007</v>
      </c>
      <c r="G240" s="113" t="str">
        <f>A239</f>
        <v>15th Floor(Part Refuge Floor)</v>
      </c>
      <c r="H240" s="114"/>
      <c r="I240" s="38"/>
      <c r="N240" s="38"/>
    </row>
    <row r="241" spans="1:14" s="58" customFormat="1" ht="15.75" customHeight="1" x14ac:dyDescent="0.25">
      <c r="A241" s="109">
        <f>A240+1</f>
        <v>2</v>
      </c>
      <c r="B241" s="109"/>
      <c r="C241" s="109" t="s">
        <v>209</v>
      </c>
      <c r="D241" s="109"/>
      <c r="E241" s="109"/>
      <c r="F241" s="109"/>
      <c r="G241" s="115"/>
      <c r="H241" s="116"/>
      <c r="I241" s="38"/>
      <c r="N241" s="38"/>
    </row>
    <row r="242" spans="1:14" s="58" customFormat="1" ht="15.75" customHeight="1" x14ac:dyDescent="0.25">
      <c r="A242" s="109">
        <f>A241+1</f>
        <v>3</v>
      </c>
      <c r="B242" s="109"/>
      <c r="C242" s="74" t="s">
        <v>206</v>
      </c>
      <c r="D242" s="74">
        <f t="shared" ref="D242:D243" si="28">56.68*10.764</f>
        <v>610.10352</v>
      </c>
      <c r="E242" s="74">
        <v>0</v>
      </c>
      <c r="F242" s="41">
        <f t="shared" ref="F242:F243" si="29">D242*(($F$176)+1)+E242</f>
        <v>976.16563200000007</v>
      </c>
      <c r="G242" s="115"/>
      <c r="H242" s="116"/>
      <c r="I242" s="38"/>
      <c r="N242" s="38"/>
    </row>
    <row r="243" spans="1:14" s="58" customFormat="1" ht="15.75" customHeight="1" x14ac:dyDescent="0.25">
      <c r="A243" s="109">
        <f t="shared" ref="A243" si="30">A242+1</f>
        <v>4</v>
      </c>
      <c r="B243" s="109"/>
      <c r="C243" s="74" t="s">
        <v>206</v>
      </c>
      <c r="D243" s="74">
        <f t="shared" si="28"/>
        <v>610.10352</v>
      </c>
      <c r="E243" s="74">
        <v>0</v>
      </c>
      <c r="F243" s="41">
        <f t="shared" si="29"/>
        <v>976.16563200000007</v>
      </c>
      <c r="G243" s="117"/>
      <c r="H243" s="118"/>
      <c r="I243" s="38"/>
      <c r="N243" s="38"/>
    </row>
    <row r="244" spans="1:14" s="58" customFormat="1" x14ac:dyDescent="0.25">
      <c r="A244" s="208"/>
      <c r="B244" s="208"/>
      <c r="C244" s="208"/>
      <c r="D244" s="208"/>
      <c r="E244" s="208"/>
      <c r="F244" s="208"/>
      <c r="G244" s="208"/>
      <c r="H244" s="208"/>
      <c r="I244" s="38"/>
    </row>
    <row r="245" spans="1:14" s="1" customFormat="1" x14ac:dyDescent="0.25">
      <c r="A245" s="191" t="s">
        <v>76</v>
      </c>
      <c r="B245" s="191"/>
      <c r="C245" s="191"/>
      <c r="D245" s="191"/>
      <c r="E245" s="191"/>
      <c r="F245" s="191"/>
      <c r="G245" s="191"/>
      <c r="H245" s="191"/>
    </row>
    <row r="246" spans="1:14" s="1" customFormat="1" ht="49.5" customHeight="1" x14ac:dyDescent="0.25">
      <c r="A246" s="60">
        <v>1</v>
      </c>
      <c r="B246" s="197" t="s">
        <v>269</v>
      </c>
      <c r="C246" s="198"/>
      <c r="D246" s="198"/>
      <c r="E246" s="198"/>
      <c r="F246" s="198"/>
      <c r="G246" s="198"/>
      <c r="H246" s="199"/>
      <c r="I246" s="88" t="s">
        <v>265</v>
      </c>
    </row>
    <row r="247" spans="1:14" s="1" customFormat="1" x14ac:dyDescent="0.25">
      <c r="A247" s="60">
        <f>A246+1</f>
        <v>2</v>
      </c>
      <c r="B247" s="194" t="s">
        <v>214</v>
      </c>
      <c r="C247" s="195"/>
      <c r="D247" s="195"/>
      <c r="E247" s="195"/>
      <c r="F247" s="195"/>
      <c r="G247" s="195"/>
      <c r="H247" s="196"/>
      <c r="I247" s="89" t="s">
        <v>267</v>
      </c>
      <c r="J247" s="90"/>
      <c r="K247" s="90"/>
      <c r="L247" s="90"/>
      <c r="M247" s="90"/>
    </row>
    <row r="248" spans="1:14" s="1" customFormat="1" x14ac:dyDescent="0.25">
      <c r="A248" s="60">
        <f t="shared" ref="A248:A251" si="31">A247+1</f>
        <v>3</v>
      </c>
      <c r="B248" s="194" t="s">
        <v>160</v>
      </c>
      <c r="C248" s="195"/>
      <c r="D248" s="195"/>
      <c r="E248" s="195"/>
      <c r="F248" s="195"/>
      <c r="G248" s="195"/>
      <c r="H248" s="196"/>
    </row>
    <row r="249" spans="1:14" s="1" customFormat="1" x14ac:dyDescent="0.25">
      <c r="A249" s="60">
        <f t="shared" si="31"/>
        <v>4</v>
      </c>
      <c r="B249" s="194" t="s">
        <v>213</v>
      </c>
      <c r="C249" s="195"/>
      <c r="D249" s="195"/>
      <c r="E249" s="195"/>
      <c r="F249" s="195"/>
      <c r="G249" s="195"/>
      <c r="H249" s="196"/>
    </row>
    <row r="250" spans="1:14" s="1" customFormat="1" x14ac:dyDescent="0.25">
      <c r="A250" s="60">
        <f t="shared" si="31"/>
        <v>5</v>
      </c>
      <c r="B250" s="194" t="s">
        <v>161</v>
      </c>
      <c r="C250" s="195"/>
      <c r="D250" s="195"/>
      <c r="E250" s="195"/>
      <c r="F250" s="195"/>
      <c r="G250" s="195"/>
      <c r="H250" s="196"/>
    </row>
    <row r="251" spans="1:14" s="1" customFormat="1" ht="32.25" customHeight="1" x14ac:dyDescent="0.25">
      <c r="A251" s="76">
        <f t="shared" si="31"/>
        <v>6</v>
      </c>
      <c r="B251" s="194" t="s">
        <v>242</v>
      </c>
      <c r="C251" s="195"/>
      <c r="D251" s="195"/>
      <c r="E251" s="195"/>
      <c r="F251" s="195"/>
      <c r="G251" s="195"/>
      <c r="H251" s="196"/>
    </row>
    <row r="252" spans="1:14" s="1" customFormat="1" x14ac:dyDescent="0.25">
      <c r="A252" s="81">
        <v>7</v>
      </c>
      <c r="B252" s="194" t="s">
        <v>162</v>
      </c>
      <c r="C252" s="195"/>
      <c r="D252" s="195"/>
      <c r="E252" s="195"/>
      <c r="F252" s="195"/>
      <c r="G252" s="195"/>
      <c r="H252" s="196"/>
    </row>
    <row r="253" spans="1:14" s="1" customFormat="1" x14ac:dyDescent="0.25">
      <c r="A253" s="60">
        <v>8</v>
      </c>
      <c r="B253" s="194" t="s">
        <v>253</v>
      </c>
      <c r="C253" s="195"/>
      <c r="D253" s="195"/>
      <c r="E253" s="195"/>
      <c r="F253" s="195"/>
      <c r="G253" s="195"/>
      <c r="H253" s="196"/>
    </row>
    <row r="254" spans="1:14" s="1" customFormat="1" ht="15.75" hidden="1" customHeight="1" x14ac:dyDescent="0.25">
      <c r="A254" s="60">
        <v>8</v>
      </c>
      <c r="B254" s="194" t="s">
        <v>243</v>
      </c>
      <c r="C254" s="195"/>
      <c r="D254" s="195"/>
      <c r="E254" s="195"/>
      <c r="F254" s="195"/>
      <c r="G254" s="195"/>
      <c r="H254" s="196"/>
    </row>
    <row r="255" spans="1:14" s="1" customFormat="1" ht="31.5" customHeight="1" x14ac:dyDescent="0.25">
      <c r="A255" s="84">
        <v>9</v>
      </c>
      <c r="B255" s="194" t="s">
        <v>252</v>
      </c>
      <c r="C255" s="195"/>
      <c r="D255" s="195"/>
      <c r="E255" s="195"/>
      <c r="F255" s="195"/>
      <c r="G255" s="195"/>
      <c r="H255" s="196"/>
      <c r="I255" s="87" t="s">
        <v>262</v>
      </c>
    </row>
    <row r="256" spans="1:14" s="1" customFormat="1" ht="31.5" customHeight="1" x14ac:dyDescent="0.25">
      <c r="A256" s="84">
        <v>10</v>
      </c>
      <c r="B256" s="100" t="s">
        <v>261</v>
      </c>
      <c r="C256" s="101"/>
      <c r="D256" s="101"/>
      <c r="E256" s="101"/>
      <c r="F256" s="101"/>
      <c r="G256" s="101"/>
      <c r="H256" s="102"/>
    </row>
    <row r="257" spans="1:8" s="1" customFormat="1" ht="31.5" customHeight="1" x14ac:dyDescent="0.25">
      <c r="A257" s="84">
        <v>10</v>
      </c>
      <c r="B257" s="100" t="s">
        <v>262</v>
      </c>
      <c r="C257" s="101"/>
      <c r="D257" s="101"/>
      <c r="E257" s="101"/>
      <c r="F257" s="101"/>
      <c r="G257" s="101"/>
      <c r="H257" s="102"/>
    </row>
    <row r="258" spans="1:8" x14ac:dyDescent="0.25">
      <c r="A258" s="200" t="s">
        <v>69</v>
      </c>
      <c r="B258" s="200"/>
      <c r="C258" s="200"/>
      <c r="D258" s="200"/>
      <c r="E258" s="200"/>
      <c r="F258" s="200"/>
      <c r="G258" s="200"/>
      <c r="H258" s="200"/>
    </row>
    <row r="259" spans="1:8" x14ac:dyDescent="0.25">
      <c r="A259" s="137" t="s">
        <v>70</v>
      </c>
      <c r="B259" s="137"/>
      <c r="C259" s="137"/>
      <c r="D259" s="137"/>
      <c r="E259" s="137"/>
      <c r="F259" s="137"/>
      <c r="G259" s="137"/>
      <c r="H259" s="137"/>
    </row>
    <row r="260" spans="1:8" ht="15.75" customHeight="1" x14ac:dyDescent="0.25">
      <c r="A260" s="207" t="s">
        <v>71</v>
      </c>
      <c r="B260" s="207"/>
      <c r="C260" s="207"/>
      <c r="D260" s="207"/>
      <c r="E260" s="207"/>
      <c r="F260" s="207"/>
      <c r="G260" s="207"/>
      <c r="H260" s="207"/>
    </row>
    <row r="261" spans="1:8" x14ac:dyDescent="0.25">
      <c r="A261" s="189" t="s">
        <v>72</v>
      </c>
      <c r="B261" s="189"/>
      <c r="C261" s="189"/>
      <c r="D261" s="189"/>
      <c r="E261" s="189"/>
      <c r="F261" s="189"/>
      <c r="G261" s="189"/>
      <c r="H261" s="189"/>
    </row>
    <row r="262" spans="1:8" x14ac:dyDescent="0.25">
      <c r="A262" s="189" t="s">
        <v>73</v>
      </c>
      <c r="B262" s="189"/>
      <c r="C262" s="189"/>
      <c r="D262" s="189"/>
      <c r="E262" s="189"/>
      <c r="F262" s="189"/>
      <c r="G262" s="189"/>
      <c r="H262" s="189"/>
    </row>
    <row r="263" spans="1:8" x14ac:dyDescent="0.25">
      <c r="A263" s="189" t="s">
        <v>163</v>
      </c>
      <c r="B263" s="189"/>
      <c r="C263" s="189"/>
      <c r="D263" s="189"/>
      <c r="E263" s="189"/>
      <c r="F263" s="189"/>
      <c r="G263" s="189"/>
      <c r="H263" s="189"/>
    </row>
    <row r="264" spans="1:8" ht="35.25" customHeight="1" x14ac:dyDescent="0.25">
      <c r="A264" s="190" t="s">
        <v>164</v>
      </c>
      <c r="B264" s="190"/>
      <c r="C264" s="190"/>
      <c r="D264" s="190"/>
      <c r="E264" s="190"/>
      <c r="F264" s="190"/>
      <c r="G264" s="190"/>
      <c r="H264" s="190"/>
    </row>
    <row r="265" spans="1:8" x14ac:dyDescent="0.25">
      <c r="A265" s="184" t="s">
        <v>109</v>
      </c>
      <c r="B265" s="184"/>
      <c r="C265" s="185" t="s">
        <v>263</v>
      </c>
      <c r="D265" s="185"/>
      <c r="E265" s="184" t="s">
        <v>139</v>
      </c>
      <c r="F265" s="184"/>
      <c r="G265" s="184" t="s">
        <v>268</v>
      </c>
      <c r="H265" s="184"/>
    </row>
    <row r="266" spans="1:8" x14ac:dyDescent="0.25">
      <c r="A266" s="183" t="s">
        <v>111</v>
      </c>
      <c r="B266" s="183"/>
      <c r="C266" s="183"/>
      <c r="D266" s="183"/>
      <c r="E266" s="183"/>
      <c r="F266" s="183"/>
      <c r="G266" s="183"/>
      <c r="H266" s="183"/>
    </row>
    <row r="267" spans="1:8" x14ac:dyDescent="0.25">
      <c r="A267" s="183"/>
      <c r="B267" s="183"/>
      <c r="C267" s="183"/>
      <c r="D267" s="183"/>
      <c r="E267" s="183"/>
      <c r="F267" s="183"/>
      <c r="G267" s="183"/>
      <c r="H267" s="183"/>
    </row>
    <row r="268" spans="1:8" x14ac:dyDescent="0.25">
      <c r="A268" s="183"/>
      <c r="B268" s="183"/>
      <c r="C268" s="183"/>
      <c r="D268" s="183"/>
      <c r="E268" s="183"/>
      <c r="F268" s="183"/>
      <c r="G268" s="183"/>
      <c r="H268" s="183"/>
    </row>
    <row r="269" spans="1:8" hidden="1" x14ac:dyDescent="0.25">
      <c r="A269" s="183"/>
      <c r="B269" s="183"/>
      <c r="C269" s="183"/>
      <c r="D269" s="183"/>
      <c r="E269" s="183"/>
      <c r="F269" s="183"/>
      <c r="G269" s="183"/>
      <c r="H269" s="183"/>
    </row>
    <row r="270" spans="1:8" x14ac:dyDescent="0.25">
      <c r="A270" s="14" t="s">
        <v>74</v>
      </c>
      <c r="B270" s="15"/>
      <c r="C270" s="15"/>
      <c r="D270" s="14" t="str">
        <f>E8</f>
        <v>Ruparel Regalia</v>
      </c>
      <c r="F270" s="15"/>
      <c r="G270" s="15"/>
      <c r="H270" s="15"/>
    </row>
    <row r="271" spans="1:8" x14ac:dyDescent="0.25">
      <c r="A271" s="15"/>
      <c r="B271" s="15"/>
      <c r="C271" s="15"/>
      <c r="D271" s="15"/>
      <c r="E271" s="15"/>
      <c r="F271" s="15"/>
      <c r="G271" s="15"/>
      <c r="H271" s="15"/>
    </row>
    <row r="272" spans="1:8" x14ac:dyDescent="0.25">
      <c r="A272" s="15"/>
      <c r="B272" s="15"/>
      <c r="C272" s="15"/>
      <c r="D272" s="15"/>
      <c r="E272" s="15"/>
      <c r="F272" s="15"/>
      <c r="G272" s="15"/>
      <c r="H272" s="15"/>
    </row>
    <row r="273" ht="15" customHeight="1" x14ac:dyDescent="0.25"/>
    <row r="313" spans="1:1" x14ac:dyDescent="0.25">
      <c r="A313" s="17" t="s">
        <v>75</v>
      </c>
    </row>
  </sheetData>
  <mergeCells count="477">
    <mergeCell ref="B257:H257"/>
    <mergeCell ref="B255:H255"/>
    <mergeCell ref="A207:B207"/>
    <mergeCell ref="A208:B208"/>
    <mergeCell ref="G184:H185"/>
    <mergeCell ref="G187:H188"/>
    <mergeCell ref="G196:H201"/>
    <mergeCell ref="G203:H208"/>
    <mergeCell ref="G210:H215"/>
    <mergeCell ref="A202:H202"/>
    <mergeCell ref="A241:B241"/>
    <mergeCell ref="A242:B242"/>
    <mergeCell ref="A243:B243"/>
    <mergeCell ref="C236:F236"/>
    <mergeCell ref="C241:F241"/>
    <mergeCell ref="A236:B236"/>
    <mergeCell ref="A237:B237"/>
    <mergeCell ref="A238:B238"/>
    <mergeCell ref="A239:H239"/>
    <mergeCell ref="B252:H252"/>
    <mergeCell ref="B251:H251"/>
    <mergeCell ref="B249:H249"/>
    <mergeCell ref="B250:H250"/>
    <mergeCell ref="G235:H238"/>
    <mergeCell ref="G240:H243"/>
    <mergeCell ref="A74:B74"/>
    <mergeCell ref="C74:H74"/>
    <mergeCell ref="A76:B76"/>
    <mergeCell ref="C76:H76"/>
    <mergeCell ref="A77:B77"/>
    <mergeCell ref="E77:F77"/>
    <mergeCell ref="G77:H77"/>
    <mergeCell ref="A78:B78"/>
    <mergeCell ref="E78:F87"/>
    <mergeCell ref="G78:H87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G225:H228"/>
    <mergeCell ref="C126:D126"/>
    <mergeCell ref="A213:B213"/>
    <mergeCell ref="C214:F214"/>
    <mergeCell ref="A103:H103"/>
    <mergeCell ref="A104:B104"/>
    <mergeCell ref="A105:H105"/>
    <mergeCell ref="A94:B94"/>
    <mergeCell ref="A95:B95"/>
    <mergeCell ref="E126:F126"/>
    <mergeCell ref="G126:H126"/>
    <mergeCell ref="A177:H177"/>
    <mergeCell ref="A189:H189"/>
    <mergeCell ref="A182:B182"/>
    <mergeCell ref="A183:H183"/>
    <mergeCell ref="A133:H133"/>
    <mergeCell ref="A134:H134"/>
    <mergeCell ref="A128:B128"/>
    <mergeCell ref="C128:D128"/>
    <mergeCell ref="E128:F128"/>
    <mergeCell ref="G128:H128"/>
    <mergeCell ref="F114:H114"/>
    <mergeCell ref="D131:D132"/>
    <mergeCell ref="A108:E108"/>
    <mergeCell ref="A110:E110"/>
    <mergeCell ref="F110:H110"/>
    <mergeCell ref="A111:E111"/>
    <mergeCell ref="A113:E113"/>
    <mergeCell ref="L229:M229"/>
    <mergeCell ref="L209:M209"/>
    <mergeCell ref="A209:H209"/>
    <mergeCell ref="A214:B214"/>
    <mergeCell ref="A215:B215"/>
    <mergeCell ref="A216:H216"/>
    <mergeCell ref="A88:B88"/>
    <mergeCell ref="C88:H88"/>
    <mergeCell ref="A90:B90"/>
    <mergeCell ref="C90:H90"/>
    <mergeCell ref="A91:B91"/>
    <mergeCell ref="E91:F91"/>
    <mergeCell ref="G91:H91"/>
    <mergeCell ref="F111:H111"/>
    <mergeCell ref="A106:E106"/>
    <mergeCell ref="A92:B92"/>
    <mergeCell ref="E92:F101"/>
    <mergeCell ref="A99:B99"/>
    <mergeCell ref="A100:B100"/>
    <mergeCell ref="A101:B101"/>
    <mergeCell ref="G92:H101"/>
    <mergeCell ref="A93:B93"/>
    <mergeCell ref="F109:H109"/>
    <mergeCell ref="F106:H106"/>
    <mergeCell ref="A229:H229"/>
    <mergeCell ref="A231:B231"/>
    <mergeCell ref="A210:B210"/>
    <mergeCell ref="A211:B211"/>
    <mergeCell ref="A212:B212"/>
    <mergeCell ref="A230:B230"/>
    <mergeCell ref="A227:B227"/>
    <mergeCell ref="A228:B228"/>
    <mergeCell ref="C226:F226"/>
    <mergeCell ref="G230:H233"/>
    <mergeCell ref="A233:B233"/>
    <mergeCell ref="C227:F227"/>
    <mergeCell ref="A223:H223"/>
    <mergeCell ref="A222:B222"/>
    <mergeCell ref="A225:B225"/>
    <mergeCell ref="L172:M172"/>
    <mergeCell ref="G173:H173"/>
    <mergeCell ref="L173:M173"/>
    <mergeCell ref="A179:H179"/>
    <mergeCell ref="A190:H190"/>
    <mergeCell ref="L190:M190"/>
    <mergeCell ref="A191:B191"/>
    <mergeCell ref="G191:H191"/>
    <mergeCell ref="A180:H180"/>
    <mergeCell ref="L180:M180"/>
    <mergeCell ref="A181:B181"/>
    <mergeCell ref="L183:M183"/>
    <mergeCell ref="A184:B184"/>
    <mergeCell ref="A185:B185"/>
    <mergeCell ref="A175:A176"/>
    <mergeCell ref="G181:H182"/>
    <mergeCell ref="A174:H174"/>
    <mergeCell ref="L216:M216"/>
    <mergeCell ref="L202:M202"/>
    <mergeCell ref="A226:B226"/>
    <mergeCell ref="L239:M239"/>
    <mergeCell ref="A240:B240"/>
    <mergeCell ref="A200:B200"/>
    <mergeCell ref="A201:B201"/>
    <mergeCell ref="A186:H186"/>
    <mergeCell ref="L186:M186"/>
    <mergeCell ref="A187:B187"/>
    <mergeCell ref="A188:B188"/>
    <mergeCell ref="C188:F188"/>
    <mergeCell ref="A195:H195"/>
    <mergeCell ref="L195:M195"/>
    <mergeCell ref="A196:B196"/>
    <mergeCell ref="A197:B197"/>
    <mergeCell ref="A198:B198"/>
    <mergeCell ref="A199:B199"/>
    <mergeCell ref="A192:B192"/>
    <mergeCell ref="A234:H234"/>
    <mergeCell ref="L234:M234"/>
    <mergeCell ref="A235:B235"/>
    <mergeCell ref="A224:H224"/>
    <mergeCell ref="L224:M224"/>
    <mergeCell ref="L167:M167"/>
    <mergeCell ref="G168:H168"/>
    <mergeCell ref="L168:M168"/>
    <mergeCell ref="G169:H169"/>
    <mergeCell ref="L169:M169"/>
    <mergeCell ref="G170:H170"/>
    <mergeCell ref="L170:M170"/>
    <mergeCell ref="G171:H171"/>
    <mergeCell ref="L171:M171"/>
    <mergeCell ref="L162:M162"/>
    <mergeCell ref="G163:H163"/>
    <mergeCell ref="L163:M163"/>
    <mergeCell ref="G164:H164"/>
    <mergeCell ref="L164:M164"/>
    <mergeCell ref="G165:H165"/>
    <mergeCell ref="L165:M165"/>
    <mergeCell ref="G166:H166"/>
    <mergeCell ref="L166:M166"/>
    <mergeCell ref="L157:M157"/>
    <mergeCell ref="G158:H158"/>
    <mergeCell ref="L158:M158"/>
    <mergeCell ref="G159:H159"/>
    <mergeCell ref="L159:M159"/>
    <mergeCell ref="G160:H160"/>
    <mergeCell ref="L160:M160"/>
    <mergeCell ref="G161:H161"/>
    <mergeCell ref="L161:M161"/>
    <mergeCell ref="L155:M155"/>
    <mergeCell ref="G156:H156"/>
    <mergeCell ref="L156:M156"/>
    <mergeCell ref="G149:H149"/>
    <mergeCell ref="L149:M149"/>
    <mergeCell ref="G150:H150"/>
    <mergeCell ref="L150:M150"/>
    <mergeCell ref="G151:H151"/>
    <mergeCell ref="L151:M151"/>
    <mergeCell ref="G152:H152"/>
    <mergeCell ref="L152:M152"/>
    <mergeCell ref="G153:H153"/>
    <mergeCell ref="L153:M153"/>
    <mergeCell ref="L145:M145"/>
    <mergeCell ref="G146:H146"/>
    <mergeCell ref="L146:M146"/>
    <mergeCell ref="G147:H147"/>
    <mergeCell ref="L147:M147"/>
    <mergeCell ref="G148:H148"/>
    <mergeCell ref="L148:M148"/>
    <mergeCell ref="G154:H154"/>
    <mergeCell ref="L154:M154"/>
    <mergeCell ref="L140:M140"/>
    <mergeCell ref="G141:H141"/>
    <mergeCell ref="L141:M141"/>
    <mergeCell ref="G142:H142"/>
    <mergeCell ref="L142:M142"/>
    <mergeCell ref="G143:H143"/>
    <mergeCell ref="L143:M143"/>
    <mergeCell ref="G144:H144"/>
    <mergeCell ref="L144:M144"/>
    <mergeCell ref="L135:M135"/>
    <mergeCell ref="G136:H136"/>
    <mergeCell ref="L136:M136"/>
    <mergeCell ref="G137:H137"/>
    <mergeCell ref="L137:M137"/>
    <mergeCell ref="G138:H138"/>
    <mergeCell ref="L138:M138"/>
    <mergeCell ref="G139:H139"/>
    <mergeCell ref="L139:M139"/>
    <mergeCell ref="G135:H135"/>
    <mergeCell ref="A45:B45"/>
    <mergeCell ref="C45:E45"/>
    <mergeCell ref="G45:H45"/>
    <mergeCell ref="D51:H51"/>
    <mergeCell ref="A46:B46"/>
    <mergeCell ref="A50:H50"/>
    <mergeCell ref="A51:C51"/>
    <mergeCell ref="A52:C52"/>
    <mergeCell ref="D52:H52"/>
    <mergeCell ref="G49:H49"/>
    <mergeCell ref="G46:H46"/>
    <mergeCell ref="A263:H263"/>
    <mergeCell ref="A260:H260"/>
    <mergeCell ref="A123:B123"/>
    <mergeCell ref="D175:D176"/>
    <mergeCell ref="E175:E176"/>
    <mergeCell ref="G175:H176"/>
    <mergeCell ref="A96:B96"/>
    <mergeCell ref="A97:B97"/>
    <mergeCell ref="A98:B98"/>
    <mergeCell ref="G140:H140"/>
    <mergeCell ref="G145:H145"/>
    <mergeCell ref="G155:H155"/>
    <mergeCell ref="G157:H157"/>
    <mergeCell ref="G162:H162"/>
    <mergeCell ref="C185:F185"/>
    <mergeCell ref="G167:H167"/>
    <mergeCell ref="A178:H178"/>
    <mergeCell ref="G193:H193"/>
    <mergeCell ref="A194:B194"/>
    <mergeCell ref="G194:H194"/>
    <mergeCell ref="C193:F193"/>
    <mergeCell ref="G172:H172"/>
    <mergeCell ref="A244:H244"/>
    <mergeCell ref="B248:H248"/>
    <mergeCell ref="E39:H39"/>
    <mergeCell ref="A39:D39"/>
    <mergeCell ref="A258:H258"/>
    <mergeCell ref="A259:H259"/>
    <mergeCell ref="E123:F123"/>
    <mergeCell ref="E118:F118"/>
    <mergeCell ref="A102:E102"/>
    <mergeCell ref="F102:H102"/>
    <mergeCell ref="A129:H129"/>
    <mergeCell ref="A118:B118"/>
    <mergeCell ref="F112:H112"/>
    <mergeCell ref="C118:D118"/>
    <mergeCell ref="F108:H108"/>
    <mergeCell ref="F113:H113"/>
    <mergeCell ref="A130:H130"/>
    <mergeCell ref="G118:H118"/>
    <mergeCell ref="A114:E114"/>
    <mergeCell ref="C121:D121"/>
    <mergeCell ref="E121:F121"/>
    <mergeCell ref="B131:B132"/>
    <mergeCell ref="A131:A132"/>
    <mergeCell ref="C104:H104"/>
    <mergeCell ref="F107:H107"/>
    <mergeCell ref="A107:E107"/>
    <mergeCell ref="A266:H269"/>
    <mergeCell ref="A265:B265"/>
    <mergeCell ref="E265:F265"/>
    <mergeCell ref="C265:D265"/>
    <mergeCell ref="G265:H265"/>
    <mergeCell ref="A117:H117"/>
    <mergeCell ref="A115:E115"/>
    <mergeCell ref="F115:H115"/>
    <mergeCell ref="A116:E116"/>
    <mergeCell ref="F116:H116"/>
    <mergeCell ref="A127:B127"/>
    <mergeCell ref="A121:B121"/>
    <mergeCell ref="A261:H261"/>
    <mergeCell ref="A122:H122"/>
    <mergeCell ref="A264:H264"/>
    <mergeCell ref="A262:H262"/>
    <mergeCell ref="A245:H245"/>
    <mergeCell ref="C131:C132"/>
    <mergeCell ref="B175:B176"/>
    <mergeCell ref="C175:C176"/>
    <mergeCell ref="B253:H253"/>
    <mergeCell ref="B254:H254"/>
    <mergeCell ref="B246:H246"/>
    <mergeCell ref="B247:H247"/>
    <mergeCell ref="A60:B60"/>
    <mergeCell ref="C60:H60"/>
    <mergeCell ref="A68:B68"/>
    <mergeCell ref="A58:C58"/>
    <mergeCell ref="D58:H58"/>
    <mergeCell ref="C62:H62"/>
    <mergeCell ref="A65:B65"/>
    <mergeCell ref="A67:B67"/>
    <mergeCell ref="E63:F63"/>
    <mergeCell ref="E64:F73"/>
    <mergeCell ref="G64:H73"/>
    <mergeCell ref="A72:B72"/>
    <mergeCell ref="A73:B73"/>
    <mergeCell ref="A70:B70"/>
    <mergeCell ref="A63:B63"/>
    <mergeCell ref="A66:B66"/>
    <mergeCell ref="A59:C59"/>
    <mergeCell ref="D59:H59"/>
    <mergeCell ref="A64:B64"/>
    <mergeCell ref="A71:B71"/>
    <mergeCell ref="A69:B69"/>
    <mergeCell ref="G63:H63"/>
    <mergeCell ref="A62:B62"/>
    <mergeCell ref="A56:C56"/>
    <mergeCell ref="A57:C57"/>
    <mergeCell ref="D56:H56"/>
    <mergeCell ref="A54:C55"/>
    <mergeCell ref="D54:H54"/>
    <mergeCell ref="D55:H55"/>
    <mergeCell ref="C46:E46"/>
    <mergeCell ref="A49:B49"/>
    <mergeCell ref="C49:E49"/>
    <mergeCell ref="A47:B48"/>
    <mergeCell ref="C47:E47"/>
    <mergeCell ref="G47:H47"/>
    <mergeCell ref="D57:H57"/>
    <mergeCell ref="D53:H53"/>
    <mergeCell ref="A53:C53"/>
    <mergeCell ref="C48:H48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C35:H35"/>
    <mergeCell ref="A36:B36"/>
    <mergeCell ref="C36:H36"/>
    <mergeCell ref="G217:H222"/>
    <mergeCell ref="A112:E112"/>
    <mergeCell ref="C123:D123"/>
    <mergeCell ref="G123:H123"/>
    <mergeCell ref="A109:E109"/>
    <mergeCell ref="A125:B125"/>
    <mergeCell ref="C125:D125"/>
    <mergeCell ref="E125:F125"/>
    <mergeCell ref="G125:H125"/>
    <mergeCell ref="A126:B126"/>
    <mergeCell ref="A119:B119"/>
    <mergeCell ref="C119:D119"/>
    <mergeCell ref="E119:F119"/>
    <mergeCell ref="G192:H192"/>
    <mergeCell ref="A193:B193"/>
    <mergeCell ref="A203:B203"/>
    <mergeCell ref="A204:B204"/>
    <mergeCell ref="A205:B205"/>
    <mergeCell ref="A206:B206"/>
    <mergeCell ref="I247:M247"/>
    <mergeCell ref="C127:D127"/>
    <mergeCell ref="E127:F127"/>
    <mergeCell ref="G127:H127"/>
    <mergeCell ref="E131:E132"/>
    <mergeCell ref="G131:H132"/>
    <mergeCell ref="B256:H256"/>
    <mergeCell ref="G119:H119"/>
    <mergeCell ref="A120:B120"/>
    <mergeCell ref="C120:D120"/>
    <mergeCell ref="E120:F120"/>
    <mergeCell ref="G120:H120"/>
    <mergeCell ref="G121:H121"/>
    <mergeCell ref="A124:B124"/>
    <mergeCell ref="C124:D124"/>
    <mergeCell ref="E124:F124"/>
    <mergeCell ref="G124:H124"/>
    <mergeCell ref="A232:B232"/>
    <mergeCell ref="A217:B217"/>
    <mergeCell ref="A218:B218"/>
    <mergeCell ref="A219:B219"/>
    <mergeCell ref="A220:B220"/>
    <mergeCell ref="A221:B221"/>
    <mergeCell ref="C221:F221"/>
  </mergeCells>
  <hyperlinks>
    <hyperlink ref="C36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&amp;P</oddFooter>
  </headerFooter>
  <rowBreaks count="4" manualBreakCount="4">
    <brk id="73" max="16383" man="1"/>
    <brk id="257" max="16383" man="1"/>
    <brk id="269" max="16383" man="1"/>
    <brk id="31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L36"/>
  <sheetViews>
    <sheetView topLeftCell="A4" workbookViewId="0">
      <selection activeCell="F21" sqref="F21"/>
    </sheetView>
  </sheetViews>
  <sheetFormatPr defaultRowHeight="15" x14ac:dyDescent="0.25"/>
  <cols>
    <col min="2" max="2" width="12.28515625" customWidth="1"/>
  </cols>
  <sheetData>
    <row r="2" spans="1:12" x14ac:dyDescent="0.25">
      <c r="B2" s="3" t="s">
        <v>77</v>
      </c>
      <c r="C2" s="223"/>
      <c r="D2" s="223"/>
    </row>
    <row r="3" spans="1:12" x14ac:dyDescent="0.25">
      <c r="D3" s="4"/>
      <c r="E3" s="4"/>
      <c r="F3" s="4"/>
      <c r="G3" s="4"/>
      <c r="H3" s="4"/>
      <c r="I3" s="4"/>
    </row>
    <row r="4" spans="1:12" x14ac:dyDescent="0.25">
      <c r="A4" s="3" t="s">
        <v>78</v>
      </c>
      <c r="B4" s="5" t="s">
        <v>79</v>
      </c>
      <c r="C4" s="224" t="s">
        <v>80</v>
      </c>
      <c r="D4" s="224"/>
      <c r="E4" s="224"/>
      <c r="F4" s="6"/>
      <c r="G4" s="224" t="s">
        <v>81</v>
      </c>
      <c r="H4" s="224"/>
      <c r="I4" s="224"/>
      <c r="J4" s="224" t="s">
        <v>82</v>
      </c>
      <c r="K4" s="224"/>
      <c r="L4" s="224"/>
    </row>
    <row r="5" spans="1:12" x14ac:dyDescent="0.25">
      <c r="A5" s="3">
        <v>202</v>
      </c>
      <c r="B5" s="5"/>
      <c r="C5" s="5" t="s">
        <v>83</v>
      </c>
      <c r="D5" s="5" t="s">
        <v>84</v>
      </c>
      <c r="E5" s="5" t="s">
        <v>61</v>
      </c>
      <c r="F5" s="5"/>
      <c r="G5" s="5" t="s">
        <v>83</v>
      </c>
      <c r="H5" s="5" t="s">
        <v>84</v>
      </c>
      <c r="I5" s="5" t="s">
        <v>61</v>
      </c>
      <c r="J5" s="5" t="s">
        <v>83</v>
      </c>
      <c r="K5" s="5" t="s">
        <v>84</v>
      </c>
      <c r="L5" s="5" t="s">
        <v>61</v>
      </c>
    </row>
    <row r="6" spans="1:12" x14ac:dyDescent="0.25">
      <c r="B6" s="7" t="s">
        <v>85</v>
      </c>
      <c r="C6" s="7"/>
      <c r="D6" s="7"/>
      <c r="E6" s="7">
        <f>C6*D6</f>
        <v>0</v>
      </c>
      <c r="F6" s="7" t="s">
        <v>86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25">
      <c r="B7" s="7"/>
      <c r="C7" s="7"/>
      <c r="D7" s="7"/>
      <c r="E7" s="7">
        <f t="shared" ref="E7:E33" si="0">C7*D7</f>
        <v>0</v>
      </c>
      <c r="F7" s="7" t="s">
        <v>87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2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25">
      <c r="B9" s="7" t="s">
        <v>88</v>
      </c>
      <c r="C9" s="7"/>
      <c r="D9" s="7"/>
      <c r="E9" s="7">
        <f t="shared" si="0"/>
        <v>0</v>
      </c>
      <c r="F9" s="7" t="s">
        <v>86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25">
      <c r="B10" s="7"/>
      <c r="C10" s="7"/>
      <c r="D10" s="7"/>
      <c r="E10" s="7">
        <f t="shared" si="0"/>
        <v>0</v>
      </c>
      <c r="F10" s="7" t="s">
        <v>87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2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2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25">
      <c r="B13" s="7" t="s">
        <v>89</v>
      </c>
      <c r="C13" s="7"/>
      <c r="D13" s="7"/>
      <c r="E13" s="7">
        <f t="shared" si="0"/>
        <v>0</v>
      </c>
      <c r="F13" s="7" t="s">
        <v>86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25">
      <c r="B14" s="7"/>
      <c r="C14" s="7"/>
      <c r="D14" s="7"/>
      <c r="E14" s="7">
        <f t="shared" si="0"/>
        <v>0</v>
      </c>
      <c r="F14" s="7" t="s">
        <v>87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2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2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25">
      <c r="B17" s="7" t="s">
        <v>90</v>
      </c>
      <c r="C17" s="7"/>
      <c r="D17" s="7"/>
      <c r="E17" s="7">
        <f t="shared" si="0"/>
        <v>0</v>
      </c>
      <c r="F17" s="7" t="s">
        <v>86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25">
      <c r="B18" s="7"/>
      <c r="C18" s="7"/>
      <c r="D18" s="7"/>
      <c r="E18" s="7">
        <f t="shared" si="0"/>
        <v>0</v>
      </c>
      <c r="F18" s="7" t="s">
        <v>87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2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25">
      <c r="B20" s="7" t="s">
        <v>90</v>
      </c>
      <c r="C20" s="7"/>
      <c r="D20" s="7"/>
      <c r="E20" s="7">
        <f t="shared" si="0"/>
        <v>0</v>
      </c>
      <c r="F20" s="7" t="s">
        <v>86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25">
      <c r="B21" s="7"/>
      <c r="C21" s="7"/>
      <c r="D21" s="7"/>
      <c r="E21" s="7">
        <f t="shared" si="0"/>
        <v>0</v>
      </c>
      <c r="F21" s="7" t="s">
        <v>87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2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25">
      <c r="B23" s="7" t="s">
        <v>91</v>
      </c>
      <c r="C23" s="7"/>
      <c r="D23" s="7"/>
      <c r="E23" s="7">
        <f t="shared" si="0"/>
        <v>0</v>
      </c>
      <c r="F23" s="7" t="s">
        <v>92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25">
      <c r="B24" s="7" t="s">
        <v>93</v>
      </c>
      <c r="C24" s="7"/>
      <c r="D24" s="7"/>
      <c r="E24" s="7">
        <f t="shared" si="0"/>
        <v>0</v>
      </c>
      <c r="F24" s="7" t="s">
        <v>92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25">
      <c r="B25" s="7" t="s">
        <v>94</v>
      </c>
      <c r="C25" s="7"/>
      <c r="D25" s="7"/>
      <c r="E25" s="7">
        <f t="shared" si="0"/>
        <v>0</v>
      </c>
      <c r="F25" s="7" t="s">
        <v>92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2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25">
      <c r="B27" s="7" t="s">
        <v>95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25">
      <c r="B28" s="7" t="s">
        <v>96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25">
      <c r="B29" s="7" t="s">
        <v>97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25">
      <c r="B30" s="7" t="s">
        <v>98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2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2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2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25">
      <c r="B34" s="7" t="s">
        <v>62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2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zoomScale="115" zoomScaleNormal="115" workbookViewId="0">
      <selection activeCell="D13" sqref="D13"/>
    </sheetView>
  </sheetViews>
  <sheetFormatPr defaultColWidth="8.7109375" defaultRowHeight="15" x14ac:dyDescent="0.25"/>
  <cols>
    <col min="1" max="1" width="8.7109375" style="23"/>
    <col min="2" max="2" width="22.140625" style="23" customWidth="1"/>
    <col min="3" max="3" width="37" style="23" customWidth="1"/>
    <col min="4" max="5" width="11.42578125" style="23" customWidth="1"/>
    <col min="6" max="6" width="14" style="23" customWidth="1"/>
    <col min="7" max="7" width="20" style="23" customWidth="1"/>
    <col min="8" max="8" width="16.42578125" style="23" customWidth="1"/>
    <col min="9" max="16384" width="8.7109375" style="23"/>
  </cols>
  <sheetData>
    <row r="1" spans="1:9" ht="15" customHeight="1" x14ac:dyDescent="0.25">
      <c r="A1" s="22"/>
      <c r="B1" s="22"/>
      <c r="C1" s="22"/>
      <c r="D1" s="22"/>
      <c r="E1" s="22"/>
      <c r="F1" s="22"/>
      <c r="G1" s="22"/>
      <c r="H1" s="22"/>
    </row>
    <row r="2" spans="1:9" ht="15" customHeight="1" x14ac:dyDescent="0.25">
      <c r="A2" s="24"/>
      <c r="B2" s="24"/>
      <c r="C2" s="24"/>
      <c r="D2" s="24"/>
      <c r="E2" s="24"/>
      <c r="F2" s="24"/>
      <c r="G2" s="24"/>
      <c r="H2" s="24"/>
    </row>
    <row r="3" spans="1:9" ht="15.75" customHeight="1" x14ac:dyDescent="0.25">
      <c r="A3" s="24"/>
      <c r="B3" s="225" t="s">
        <v>140</v>
      </c>
      <c r="C3" s="225"/>
      <c r="D3" s="225"/>
      <c r="E3" s="225"/>
      <c r="F3" s="225"/>
      <c r="G3" s="225"/>
      <c r="H3" s="225"/>
    </row>
    <row r="4" spans="1:9" x14ac:dyDescent="0.25">
      <c r="A4" s="24"/>
      <c r="B4" s="25" t="s">
        <v>141</v>
      </c>
      <c r="C4" s="25" t="s">
        <v>142</v>
      </c>
      <c r="D4" s="25" t="s">
        <v>78</v>
      </c>
      <c r="E4" s="25" t="s">
        <v>143</v>
      </c>
      <c r="F4" s="25" t="s">
        <v>150</v>
      </c>
      <c r="G4" s="25" t="s">
        <v>151</v>
      </c>
      <c r="H4" s="25" t="s">
        <v>144</v>
      </c>
    </row>
    <row r="5" spans="1:9" ht="15" customHeight="1" x14ac:dyDescent="0.25">
      <c r="A5" s="24"/>
      <c r="B5" s="27" t="s">
        <v>145</v>
      </c>
      <c r="C5" s="28"/>
      <c r="D5" s="27" t="s">
        <v>146</v>
      </c>
      <c r="E5" s="27">
        <v>1106</v>
      </c>
      <c r="F5" s="29">
        <f>E5*1.6</f>
        <v>1769.6000000000001</v>
      </c>
      <c r="G5" s="29">
        <f>H5/F5</f>
        <v>31532.549728752259</v>
      </c>
      <c r="H5" s="30">
        <v>55800000</v>
      </c>
    </row>
    <row r="6" spans="1:9" x14ac:dyDescent="0.25">
      <c r="A6" s="24"/>
      <c r="B6" s="27" t="s">
        <v>145</v>
      </c>
      <c r="C6" s="31"/>
      <c r="D6" s="27"/>
      <c r="E6" s="27"/>
      <c r="F6" s="29">
        <f t="shared" ref="F6:F11" si="0">E6*1.6</f>
        <v>0</v>
      </c>
      <c r="G6" s="29" t="e">
        <f t="shared" ref="G6:G11" si="1">H6/F6</f>
        <v>#DIV/0!</v>
      </c>
      <c r="H6" s="30"/>
    </row>
    <row r="7" spans="1:9" ht="15" customHeight="1" x14ac:dyDescent="0.25">
      <c r="A7" s="24"/>
      <c r="B7" s="27" t="s">
        <v>145</v>
      </c>
      <c r="C7" s="28"/>
      <c r="D7" s="27"/>
      <c r="E7" s="27"/>
      <c r="F7" s="29">
        <f t="shared" si="0"/>
        <v>0</v>
      </c>
      <c r="G7" s="29" t="e">
        <f t="shared" si="1"/>
        <v>#DIV/0!</v>
      </c>
      <c r="H7" s="30"/>
    </row>
    <row r="8" spans="1:9" x14ac:dyDescent="0.25">
      <c r="A8" s="24"/>
      <c r="B8" s="27" t="s">
        <v>145</v>
      </c>
      <c r="C8" s="31"/>
      <c r="D8" s="27"/>
      <c r="E8" s="27"/>
      <c r="F8" s="29">
        <f t="shared" si="0"/>
        <v>0</v>
      </c>
      <c r="G8" s="29" t="e">
        <f t="shared" si="1"/>
        <v>#DIV/0!</v>
      </c>
      <c r="H8" s="30"/>
    </row>
    <row r="9" spans="1:9" ht="15" customHeight="1" x14ac:dyDescent="0.25">
      <c r="A9" s="24"/>
      <c r="B9" s="27" t="s">
        <v>145</v>
      </c>
      <c r="C9" s="31"/>
      <c r="D9" s="27"/>
      <c r="E9" s="27"/>
      <c r="F9" s="29">
        <f t="shared" si="0"/>
        <v>0</v>
      </c>
      <c r="G9" s="29" t="e">
        <f t="shared" si="1"/>
        <v>#DIV/0!</v>
      </c>
      <c r="H9" s="30"/>
    </row>
    <row r="10" spans="1:9" ht="15" customHeight="1" x14ac:dyDescent="0.25">
      <c r="A10" s="24"/>
      <c r="B10" s="27" t="s">
        <v>147</v>
      </c>
      <c r="C10" s="28"/>
      <c r="D10" s="27"/>
      <c r="E10" s="27"/>
      <c r="F10" s="29">
        <f t="shared" si="0"/>
        <v>0</v>
      </c>
      <c r="G10" s="29" t="e">
        <f t="shared" si="1"/>
        <v>#DIV/0!</v>
      </c>
      <c r="H10" s="30"/>
    </row>
    <row r="11" spans="1:9" ht="15" customHeight="1" x14ac:dyDescent="0.25">
      <c r="A11" s="24"/>
      <c r="B11" s="27" t="s">
        <v>147</v>
      </c>
      <c r="C11" s="28"/>
      <c r="D11" s="27"/>
      <c r="E11" s="27"/>
      <c r="F11" s="29">
        <f t="shared" si="0"/>
        <v>0</v>
      </c>
      <c r="G11" s="29" t="e">
        <f t="shared" si="1"/>
        <v>#DIV/0!</v>
      </c>
      <c r="H11" s="30"/>
    </row>
    <row r="12" spans="1:9" ht="15" customHeight="1" x14ac:dyDescent="0.25">
      <c r="A12" s="24"/>
      <c r="B12" s="32" t="s">
        <v>148</v>
      </c>
      <c r="C12" s="27"/>
      <c r="D12" s="27"/>
      <c r="E12" s="27"/>
      <c r="F12" s="27"/>
      <c r="G12" s="33" t="e">
        <f>AVERAGE(G5:G11)</f>
        <v>#DIV/0!</v>
      </c>
      <c r="H12" s="27"/>
    </row>
    <row r="13" spans="1:9" ht="15" customHeight="1" x14ac:dyDescent="0.25">
      <c r="A13" s="22"/>
      <c r="B13" s="32" t="s">
        <v>149</v>
      </c>
      <c r="C13" s="34"/>
      <c r="D13" s="34"/>
      <c r="E13" s="34"/>
      <c r="F13" s="35"/>
      <c r="G13" s="32"/>
      <c r="H13" s="32"/>
      <c r="I13" s="26"/>
    </row>
    <row r="14" spans="1:9" ht="15" customHeight="1" x14ac:dyDescent="0.25">
      <c r="B14" s="22"/>
      <c r="C14" s="22"/>
      <c r="D14" s="22"/>
      <c r="E14" s="22"/>
    </row>
    <row r="15" spans="1:9" ht="15" customHeight="1" x14ac:dyDescent="0.25">
      <c r="B15" s="22"/>
      <c r="C15" s="22"/>
      <c r="D15" s="22"/>
      <c r="E15" s="22"/>
    </row>
    <row r="16" spans="1:9" ht="15" customHeight="1" x14ac:dyDescent="0.25">
      <c r="B16" s="22"/>
      <c r="C16" s="22"/>
      <c r="D16" s="22"/>
      <c r="E16" s="22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2025-07-15T12:51:49Z</cp:lastPrinted>
  <dcterms:created xsi:type="dcterms:W3CDTF">2019-07-16T09:29:46Z</dcterms:created>
  <dcterms:modified xsi:type="dcterms:W3CDTF">2025-07-15T13:00:24Z</dcterms:modified>
</cp:coreProperties>
</file>