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B87B1B70-0AEA-46C2-9945-CA7DF8D12091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72" i="1" s="1"/>
  <c r="C71" i="1" l="1"/>
  <c r="J74" i="1"/>
  <c r="J73" i="1"/>
  <c r="J72" i="1"/>
  <c r="J71" i="1"/>
  <c r="J102" i="1"/>
  <c r="J101" i="1"/>
  <c r="J100" i="1"/>
  <c r="J99" i="1"/>
  <c r="C98" i="1"/>
  <c r="H64" i="1"/>
  <c r="D69" i="1" l="1"/>
  <c r="G67" i="1"/>
  <c r="D75" i="1"/>
  <c r="D73" i="1"/>
  <c r="D70" i="1"/>
  <c r="J68" i="1"/>
  <c r="E67" i="1"/>
  <c r="D71" i="1"/>
  <c r="D68" i="1"/>
  <c r="D67" i="1"/>
  <c r="D76" i="1"/>
  <c r="D74" i="1"/>
  <c r="D72" i="1"/>
  <c r="J69" i="1"/>
  <c r="J70" i="1" s="1"/>
  <c r="J75" i="1" s="1"/>
  <c r="J76" i="1" s="1"/>
  <c r="J67" i="1"/>
  <c r="J66" i="1"/>
  <c r="C84" i="1"/>
  <c r="C86" i="1" l="1"/>
  <c r="C85" i="1"/>
  <c r="I63" i="1"/>
  <c r="C65" i="1" s="1"/>
  <c r="D140" i="1"/>
  <c r="F140" i="1" s="1"/>
  <c r="D139" i="1"/>
  <c r="D138" i="1"/>
  <c r="D137" i="1"/>
  <c r="D136" i="1"/>
  <c r="D135" i="1"/>
  <c r="D134" i="1"/>
  <c r="D133" i="1"/>
  <c r="D132" i="1"/>
  <c r="F139" i="1"/>
  <c r="D153" i="1"/>
  <c r="D152" i="1"/>
  <c r="D151" i="1"/>
  <c r="D150" i="1"/>
  <c r="D148" i="1"/>
  <c r="D147" i="1"/>
  <c r="D146" i="1"/>
  <c r="D145" i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G170" i="1"/>
  <c r="D168" i="1"/>
  <c r="D167" i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F168" i="1"/>
  <c r="F167" i="1"/>
  <c r="G161" i="1"/>
  <c r="D158" i="1"/>
  <c r="D157" i="1"/>
  <c r="D156" i="1"/>
  <c r="O170" i="1"/>
  <c r="O161" i="1"/>
  <c r="P161" i="1"/>
  <c r="P170" i="1"/>
  <c r="C125" i="1" l="1"/>
  <c r="C122" i="1"/>
  <c r="E122" i="1"/>
  <c r="E125" i="1"/>
  <c r="N170" i="1"/>
  <c r="O171" i="1"/>
  <c r="P171" i="1"/>
  <c r="P172" i="1" s="1"/>
  <c r="P173" i="1" s="1"/>
  <c r="P174" i="1" s="1"/>
  <c r="P175" i="1" s="1"/>
  <c r="P176" i="1" s="1"/>
  <c r="P177" i="1" s="1"/>
  <c r="P162" i="1"/>
  <c r="P163" i="1" s="1"/>
  <c r="P164" i="1" s="1"/>
  <c r="P165" i="1" s="1"/>
  <c r="P166" i="1" s="1"/>
  <c r="P167" i="1" s="1"/>
  <c r="P168" i="1" s="1"/>
  <c r="O162" i="1"/>
  <c r="N161" i="1"/>
  <c r="F156" i="1"/>
  <c r="F157" i="1"/>
  <c r="F158" i="1"/>
  <c r="F151" i="1"/>
  <c r="F152" i="1"/>
  <c r="F153" i="1"/>
  <c r="F150" i="1"/>
  <c r="F146" i="1"/>
  <c r="F147" i="1"/>
  <c r="F148" i="1"/>
  <c r="F145" i="1"/>
  <c r="G125" i="1" l="1"/>
  <c r="N171" i="1"/>
  <c r="O172" i="1"/>
  <c r="O163" i="1"/>
  <c r="N162" i="1"/>
  <c r="B181" i="1"/>
  <c r="B180" i="1"/>
  <c r="N172" i="1" l="1"/>
  <c r="O173" i="1"/>
  <c r="O164" i="1"/>
  <c r="N163" i="1"/>
  <c r="F133" i="1"/>
  <c r="F134" i="1"/>
  <c r="F135" i="1"/>
  <c r="F136" i="1"/>
  <c r="F137" i="1"/>
  <c r="F138" i="1"/>
  <c r="F132" i="1"/>
  <c r="P150" i="1"/>
  <c r="O150" i="1"/>
  <c r="G122" i="1" l="1"/>
  <c r="N173" i="1"/>
  <c r="O174" i="1"/>
  <c r="O165" i="1"/>
  <c r="N164" i="1"/>
  <c r="E28" i="1"/>
  <c r="N174" i="1" l="1"/>
  <c r="O175" i="1"/>
  <c r="O166" i="1"/>
  <c r="N165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D200" i="1"/>
  <c r="A180" i="1"/>
  <c r="G155" i="1"/>
  <c r="G150" i="1"/>
  <c r="G145" i="1"/>
  <c r="A146" i="1"/>
  <c r="A147" i="1" s="1"/>
  <c r="A148" i="1" s="1"/>
  <c r="A133" i="1"/>
  <c r="A134" i="1" s="1"/>
  <c r="A135" i="1" s="1"/>
  <c r="A136" i="1" s="1"/>
  <c r="A137" i="1" s="1"/>
  <c r="A138" i="1" s="1"/>
  <c r="A139" i="1" s="1"/>
  <c r="A140" i="1" s="1"/>
  <c r="G132" i="1"/>
  <c r="F119" i="1"/>
  <c r="J88" i="1"/>
  <c r="J87" i="1"/>
  <c r="J86" i="1"/>
  <c r="J85" i="1"/>
  <c r="D57" i="1"/>
  <c r="D52" i="1"/>
  <c r="G47" i="1"/>
  <c r="G48" i="1" s="1"/>
  <c r="C47" i="1"/>
  <c r="E41" i="1"/>
  <c r="E42" i="1" s="1"/>
  <c r="E25" i="1"/>
  <c r="E23" i="1"/>
  <c r="C14" i="1"/>
  <c r="E7" i="1"/>
  <c r="E3" i="1"/>
  <c r="P155" i="1"/>
  <c r="O155" i="1"/>
  <c r="H78" i="1"/>
  <c r="G12" i="5" l="1"/>
  <c r="N175" i="1"/>
  <c r="O176" i="1"/>
  <c r="N166" i="1"/>
  <c r="O167" i="1"/>
  <c r="A181" i="1"/>
  <c r="A182" i="1" s="1"/>
  <c r="A183" i="1" s="1"/>
  <c r="A184" i="1" s="1"/>
  <c r="A185" i="1" s="1"/>
  <c r="J81" i="1"/>
  <c r="D90" i="1"/>
  <c r="D88" i="1"/>
  <c r="D86" i="1"/>
  <c r="D84" i="1"/>
  <c r="J82" i="1"/>
  <c r="J80" i="1"/>
  <c r="J83" i="1"/>
  <c r="J84" i="1" s="1"/>
  <c r="J89" i="1" s="1"/>
  <c r="J90" i="1" s="1"/>
  <c r="D89" i="1"/>
  <c r="D85" i="1"/>
  <c r="D87" i="1"/>
  <c r="D83" i="1"/>
  <c r="N150" i="1"/>
  <c r="O151" i="1"/>
  <c r="P151" i="1"/>
  <c r="P152" i="1" s="1"/>
  <c r="P153" i="1" s="1"/>
  <c r="P156" i="1"/>
  <c r="P157" i="1" s="1"/>
  <c r="P158" i="1" s="1"/>
  <c r="N155" i="1"/>
  <c r="O156" i="1"/>
  <c r="H92" i="1"/>
  <c r="D97" i="1" l="1"/>
  <c r="G95" i="1"/>
  <c r="D103" i="1"/>
  <c r="D101" i="1"/>
  <c r="D98" i="1"/>
  <c r="J96" i="1"/>
  <c r="E95" i="1"/>
  <c r="D99" i="1"/>
  <c r="D96" i="1"/>
  <c r="D95" i="1"/>
  <c r="D104" i="1"/>
  <c r="D102" i="1"/>
  <c r="D100" i="1"/>
  <c r="J97" i="1"/>
  <c r="J98" i="1" s="1"/>
  <c r="J103" i="1" s="1"/>
  <c r="J104" i="1" s="1"/>
  <c r="J105" i="1" s="1"/>
  <c r="J95" i="1"/>
  <c r="J94" i="1"/>
  <c r="D81" i="1"/>
  <c r="N176" i="1"/>
  <c r="O177" i="1"/>
  <c r="N177" i="1" s="1"/>
  <c r="O168" i="1"/>
  <c r="N168" i="1" s="1"/>
  <c r="N167" i="1"/>
  <c r="E81" i="1"/>
  <c r="D82" i="1"/>
  <c r="N156" i="1"/>
  <c r="O157" i="1"/>
  <c r="N151" i="1"/>
  <c r="O152" i="1"/>
  <c r="G81" i="1"/>
  <c r="D61" i="1" s="1"/>
  <c r="E105" i="1" l="1"/>
  <c r="H105" i="1"/>
  <c r="I91" i="1"/>
  <c r="C93" i="1" s="1"/>
  <c r="I77" i="1"/>
  <c r="C79" i="1" s="1"/>
  <c r="F62" i="1"/>
  <c r="D62" i="1"/>
  <c r="N152" i="1"/>
  <c r="O153" i="1"/>
  <c r="N157" i="1"/>
  <c r="O158" i="1"/>
  <c r="N158" i="1" l="1"/>
  <c r="N153" i="1"/>
</calcChain>
</file>

<file path=xl/sharedStrings.xml><?xml version="1.0" encoding="utf-8"?>
<sst xmlns="http://schemas.openxmlformats.org/spreadsheetml/2006/main" count="385" uniqueCount="228">
  <si>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</si>
  <si>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</si>
  <si>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</si>
  <si>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</si>
  <si>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</si>
  <si>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</si>
  <si>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</si>
  <si>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</si>
  <si>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</si>
  <si>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</si>
  <si>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</si>
  <si>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</si>
  <si>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</si>
  <si>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</si>
  <si>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</si>
  <si>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</si>
  <si>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</si>
  <si>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</si>
  <si>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</si>
  <si>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</si>
  <si>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</si>
  <si>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</si>
  <si>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</si>
  <si>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</si>
  <si>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</si>
  <si>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</si>
  <si>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</si>
  <si>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</si>
  <si>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</si>
  <si>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</si>
  <si>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</si>
  <si>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</si>
  <si>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</si>
  <si>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</si>
  <si>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</si>
  <si>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</si>
  <si>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</si>
  <si>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</si>
  <si>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</si>
  <si>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</si>
  <si>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</si>
  <si>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</si>
  <si>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</si>
  <si>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</si>
  <si>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</si>
  <si>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</si>
  <si>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</si>
  <si>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</si>
  <si>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</si>
  <si>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</si>
  <si>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</si>
  <si>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</si>
  <si>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</si>
  <si>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</si>
  <si>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</si>
  <si>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</si>
  <si>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</si>
  <si>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</si>
  <si>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</si>
  <si>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</si>
  <si>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</si>
  <si>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</si>
  <si>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</si>
  <si>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</si>
  <si>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</si>
  <si>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</si>
  <si>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</si>
  <si>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</si>
  <si>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</si>
  <si>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</si>
  <si>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</si>
  <si>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</si>
  <si>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</si>
  <si>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</si>
  <si>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</si>
  <si>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</si>
  <si>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</si>
  <si>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</si>
  <si>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</si>
  <si>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</si>
  <si>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</si>
  <si>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</si>
  <si>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</si>
  <si>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</si>
  <si>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</si>
  <si>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</si>
  <si>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</si>
  <si>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</si>
  <si>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</si>
  <si>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</si>
  <si>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</si>
  <si>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</si>
  <si>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</si>
  <si>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</si>
  <si>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</si>
  <si>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</si>
  <si>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</si>
  <si>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</si>
  <si>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</si>
  <si>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</si>
  <si>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</si>
  <si>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</si>
  <si>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</si>
  <si>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</si>
  <si>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</si>
  <si>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</si>
  <si>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</si>
  <si>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</si>
  <si>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</si>
  <si>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</si>
  <si>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</si>
  <si>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</si>
  <si>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</si>
  <si>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</si>
  <si>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</si>
  <si>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</si>
  <si>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</si>
  <si>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</si>
  <si>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</si>
  <si>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</si>
  <si>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</si>
  <si>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</si>
  <si>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</si>
  <si>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</si>
  <si>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</si>
  <si>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</si>
  <si>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</si>
  <si>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</si>
  <si>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</si>
  <si>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</si>
  <si>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</si>
  <si>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</si>
  <si>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</si>
  <si>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</si>
  <si>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</si>
  <si>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</si>
  <si>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</si>
  <si>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</si>
  <si>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</si>
  <si>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</si>
  <si>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</si>
  <si>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</si>
  <si>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</si>
  <si>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</si>
  <si>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</si>
  <si>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</si>
  <si>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</si>
  <si>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</si>
  <si>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</si>
  <si>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</si>
  <si>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</si>
  <si>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</si>
  <si>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</si>
  <si>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</si>
  <si>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</si>
  <si>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</si>
  <si>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</si>
  <si>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</si>
  <si>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</si>
  <si>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</si>
  <si>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</si>
  <si>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</si>
  <si>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</si>
  <si>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</si>
  <si>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</si>
  <si>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</si>
  <si>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</si>
  <si>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Axis Goregaon</t>
  </si>
  <si>
    <t>Ruparel Westsky</t>
  </si>
  <si>
    <t>M/s. Shreeji Construction</t>
  </si>
  <si>
    <t>Sale Building No. 05</t>
  </si>
  <si>
    <t>Mr. Vimesh - 9819153764</t>
  </si>
  <si>
    <t>Kandivali</t>
  </si>
  <si>
    <t>RS/MCGM/STGOVT/0005/20120229/AP/S5</t>
  </si>
  <si>
    <t>SRA/ENG/RS/MCGM/STGOVT/0005/20120229/AP/S5</t>
  </si>
  <si>
    <t>1st Floor</t>
  </si>
  <si>
    <t>2BHK</t>
  </si>
  <si>
    <t>7th &amp; 14th Floor (Part Refuge Area)</t>
  </si>
  <si>
    <t>Refuge Area</t>
  </si>
  <si>
    <t>19th Floor for Fitness Center</t>
  </si>
  <si>
    <t>20th, 22nd to 27th, 29th &amp; 30th Floor</t>
  </si>
  <si>
    <t>21st &amp; 28th Floor (Part Refuge Area)</t>
  </si>
  <si>
    <t>Borivali</t>
  </si>
  <si>
    <t>Mumbai</t>
  </si>
  <si>
    <t>B + G + 1st to 59th Floor</t>
  </si>
  <si>
    <t>B + G + 1st to 30th Floor</t>
  </si>
  <si>
    <t>CTS No</t>
  </si>
  <si>
    <t>2.3 KM from Kandivali Railway Station</t>
  </si>
  <si>
    <t>Kandivali West</t>
  </si>
  <si>
    <t>New Link Road</t>
  </si>
  <si>
    <t>Symphony Tower</t>
  </si>
  <si>
    <t>As per RERA - 31/12/2025</t>
  </si>
  <si>
    <t>Open Plot</t>
  </si>
  <si>
    <t>Slum</t>
  </si>
  <si>
    <t>717(pt), 718(pt), 732, 733, 734, 744(pt), 747(pt) &amp; Others</t>
  </si>
  <si>
    <t>On Site, we meet Mr.Vimlesh Pandey (Site Person) - 9819153764.</t>
  </si>
  <si>
    <t>Shop</t>
  </si>
  <si>
    <t>Flats</t>
  </si>
  <si>
    <t>Flats - 154, Shops - 9</t>
  </si>
  <si>
    <t>2bhk</t>
  </si>
  <si>
    <t>7,00,000/-</t>
  </si>
  <si>
    <t>Valid Up to: This CC is re-endorsed as per approved amended plans dated 18/08/2021</t>
  </si>
  <si>
    <t>Basement Floor for Parking</t>
  </si>
  <si>
    <t>Ground Floor for Parking</t>
  </si>
  <si>
    <t>2nd to 6th, 8th to 13th &amp; 15th to 18th Floor</t>
  </si>
  <si>
    <t>3 Parking Towers (upto 18th Floor) are provided.</t>
  </si>
  <si>
    <t>Approved Plans, CC</t>
  </si>
  <si>
    <t xml:space="preserve">1. Vitrified tiles flooring 2. Granite Kitchen Platform 3. Decorative
Enternace etc.
</t>
  </si>
  <si>
    <t>Location</t>
  </si>
  <si>
    <t>https://goo.gl/maps/218dJyVxetQdeQ3K7</t>
  </si>
  <si>
    <t>19.205738, 72.834003</t>
  </si>
  <si>
    <t>Latitude, Longitude</t>
  </si>
  <si>
    <t>Office No. 1031, Wing J, Akshar Business Park, Plot No. 03 Sector 25, Near APMC Market, Vashi, Navi Mumbai, Maharashtra 400703 TEL: 022-46090378/79/80
Email : vsjcapf@gmail.com. Web site : www.vsjadon.com</t>
  </si>
  <si>
    <t>Site Person - Contact Details ( Name &amp; Contact No.)</t>
  </si>
  <si>
    <t xml:space="preserve">Construction work is in process at the time of visit. (Slow Speed)
</t>
  </si>
  <si>
    <t>Mr. Yash 8928335745</t>
  </si>
  <si>
    <t>Rahul Salve</t>
  </si>
  <si>
    <t>P51800007630</t>
  </si>
  <si>
    <t>As per our observation, the construction work of ruparel projects (Ruparel Jewel, Ruparel Regalia, Ruparel Millennia, etc.) seems to be on a slow speed since year 2023.</t>
  </si>
  <si>
    <t>as per site visit date 07/10/2024 it is absorved that the construction is carried out in parts</t>
  </si>
  <si>
    <t>Construction details:+7777:105</t>
  </si>
  <si>
    <t>Construction work is in process at the time of visit. (Slow Speed)</t>
  </si>
  <si>
    <t>Part I &amp; Part II construction is hidden.</t>
  </si>
  <si>
    <t>Mr. Ashok 9819368895</t>
  </si>
  <si>
    <t>Gaurav Panchal</t>
  </si>
  <si>
    <t>Part I (Flat 3, 4, 5 &amp; 6) = B + G + 1st to 59th Floor</t>
  </si>
  <si>
    <t>Average of 
Part I &amp; Part II</t>
  </si>
  <si>
    <t>Part II (Flat 1, 2, 7 &amp; 8) = B + G + 1st to 59th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</si>
</sst>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6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/>
      <protection locked="0"/>
    </xf>
    <xf numFmtId="0" fontId="9" fillId="0" borderId="0" xfId="1" applyFont="1" applyBorder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 applyFont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0" fontId="8" fillId="0" borderId="0" xfId="1" applyNumberFormat="1" applyFont="1"/>
    <xf numFmtId="0" fontId="8" fillId="0" borderId="0" xfId="1" applyFont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Protection="1">
      <protection hidden="1"/>
    </xf>
    <xf numFmtId="0" fontId="8" fillId="0" borderId="0" xfId="1" applyFont="1" applyFill="1" applyBorder="1" applyProtection="1">
      <protection hidden="1"/>
    </xf>
    <xf numFmtId="0" fontId="8" fillId="0" borderId="0" xfId="1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8" fillId="0" borderId="4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8" fillId="0" borderId="5" xfId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3" xfId="0" applyNumberFormat="1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8" fillId="0" borderId="7" xfId="1" applyFont="1" applyBorder="1" applyAlignment="1" applyProtection="1">
      <alignment horizontal="center" wrapText="1"/>
      <protection locked="0"/>
    </xf>
    <xf numFmtId="0" fontId="17" fillId="0" borderId="14" xfId="0" applyFont="1" applyFill="1" applyBorder="1" applyProtection="1">
      <protection hidden="1"/>
    </xf>
    <xf numFmtId="1" fontId="24" fillId="0" borderId="15" xfId="0" applyNumberFormat="1" applyFont="1" applyBorder="1"/>
    <xf numFmtId="0" fontId="1" fillId="0" borderId="1" xfId="5" applyFont="1" applyBorder="1" applyAlignment="1">
      <alignment horizontal="center" vertical="center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6" fillId="3" borderId="0" xfId="1" applyFont="1" applyFill="1"/>
    <xf numFmtId="9" fontId="11" fillId="4" borderId="33" xfId="1" applyNumberFormat="1" applyFont="1" applyFill="1" applyBorder="1" applyAlignment="1" applyProtection="1">
      <alignment horizontal="center" vertical="center" wrapText="1"/>
      <protection hidden="1"/>
    </xf>
    <xf numFmtId="9" fontId="11" fillId="4" borderId="3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top"/>
      <protection locked="0"/>
    </xf>
    <xf numFmtId="1" fontId="11" fillId="0" borderId="9" xfId="0" applyNumberFormat="1" applyFont="1" applyFill="1" applyBorder="1" applyAlignment="1" applyProtection="1">
      <alignment vertical="top" wrapText="1"/>
      <protection locked="0"/>
    </xf>
    <xf numFmtId="1" fontId="11" fillId="0" borderId="24" xfId="0" applyNumberFormat="1" applyFont="1" applyFill="1" applyBorder="1" applyAlignment="1" applyProtection="1">
      <alignment vertical="top" wrapText="1"/>
      <protection locked="0"/>
    </xf>
    <xf numFmtId="1" fontId="11" fillId="0" borderId="10" xfId="0" applyNumberFormat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Fill="1" applyBorder="1" applyAlignment="1" applyProtection="1">
      <alignment vertical="top" wrapText="1"/>
      <protection locked="0"/>
    </xf>
    <xf numFmtId="1" fontId="14" fillId="0" borderId="24" xfId="0" applyNumberFormat="1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 applyProtection="1">
      <alignment vertical="top" wrapText="1"/>
      <protection locked="0"/>
    </xf>
    <xf numFmtId="1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0" applyNumberFormat="1" applyFont="1" applyFill="1" applyBorder="1" applyAlignment="1" applyProtection="1">
      <alignment vertical="top" wrapText="1"/>
      <protection locked="0"/>
    </xf>
    <xf numFmtId="1" fontId="9" fillId="0" borderId="24" xfId="0" applyNumberFormat="1" applyFont="1" applyFill="1" applyBorder="1" applyAlignment="1" applyProtection="1">
      <alignment vertical="top" wrapText="1"/>
      <protection locked="0"/>
    </xf>
    <xf numFmtId="1" fontId="9" fillId="0" borderId="10" xfId="0" applyNumberFormat="1" applyFont="1" applyFill="1" applyBorder="1" applyAlignment="1" applyProtection="1">
      <alignment vertical="top" wrapText="1"/>
      <protection locked="0"/>
    </xf>
    <xf numFmtId="1" fontId="7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1" fontId="9" fillId="0" borderId="3" xfId="1" applyNumberFormat="1" applyFont="1" applyFill="1" applyBorder="1" applyAlignment="1" applyProtection="1">
      <alignment horizontal="center" vertical="top" wrapText="1"/>
      <protection locked="0"/>
    </xf>
    <xf numFmtId="1" fontId="9" fillId="0" borderId="19" xfId="1" applyNumberFormat="1" applyFont="1" applyFill="1" applyBorder="1" applyAlignment="1" applyProtection="1">
      <alignment horizontal="center" vertical="top" wrapText="1"/>
      <protection locked="0"/>
    </xf>
    <xf numFmtId="1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top" wrapText="1"/>
      <protection locked="0"/>
    </xf>
    <xf numFmtId="1" fontId="9" fillId="0" borderId="20" xfId="1" applyNumberFormat="1" applyFont="1" applyFill="1" applyBorder="1" applyAlignment="1" applyProtection="1">
      <alignment horizontal="center" vertical="top" wrapText="1"/>
      <protection locked="0"/>
    </xf>
    <xf numFmtId="1" fontId="9" fillId="0" borderId="22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Fill="1" applyBorder="1" applyAlignment="1" applyProtection="1">
      <alignment horizontal="center" vertical="top" wrapText="1"/>
      <protection locked="0"/>
    </xf>
    <xf numFmtId="1" fontId="5" fillId="0" borderId="19" xfId="1" applyNumberFormat="1" applyFont="1" applyFill="1" applyBorder="1" applyAlignment="1" applyProtection="1">
      <alignment horizontal="center" vertical="top" wrapText="1"/>
      <protection locked="0"/>
    </xf>
    <xf numFmtId="1" fontId="9" fillId="0" borderId="21" xfId="1" applyNumberFormat="1" applyFont="1" applyFill="1" applyBorder="1" applyAlignment="1" applyProtection="1">
      <alignment horizontal="center" vertical="top" wrapText="1"/>
      <protection locked="0"/>
    </xf>
    <xf numFmtId="1" fontId="9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4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alignment horizontal="left" vertical="top"/>
      <protection locked="0"/>
    </xf>
    <xf numFmtId="0" fontId="25" fillId="0" borderId="9" xfId="9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Fill="1" applyBorder="1" applyAlignment="1" applyProtection="1">
      <alignment horizontal="left" vertical="top" wrapText="1"/>
      <protection locked="0"/>
    </xf>
    <xf numFmtId="165" fontId="7" fillId="0" borderId="1" xfId="1" applyNumberFormat="1" applyFont="1" applyFill="1" applyBorder="1" applyAlignment="1" applyProtection="1">
      <alignment horizontal="left" vertical="top"/>
      <protection locked="0"/>
    </xf>
    <xf numFmtId="2" fontId="7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27" xfId="1" applyFont="1" applyFill="1" applyBorder="1" applyAlignment="1" applyProtection="1">
      <alignment horizontal="left" vertical="top" wrapText="1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 wrapText="1"/>
      <protection locked="0"/>
    </xf>
    <xf numFmtId="0" fontId="8" fillId="0" borderId="5" xfId="1" applyFont="1" applyFill="1" applyBorder="1" applyAlignment="1" applyProtection="1">
      <alignment horizontal="center" vertical="top" wrapText="1"/>
      <protection locked="0"/>
    </xf>
    <xf numFmtId="0" fontId="11" fillId="0" borderId="4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left" vertical="top"/>
      <protection locked="0"/>
    </xf>
    <xf numFmtId="0" fontId="9" fillId="0" borderId="25" xfId="1" applyFont="1" applyFill="1" applyBorder="1" applyAlignment="1" applyProtection="1">
      <alignment horizontal="left" vertical="top" wrapText="1"/>
      <protection locked="0"/>
    </xf>
    <xf numFmtId="0" fontId="9" fillId="0" borderId="18" xfId="1" applyFont="1" applyFill="1" applyBorder="1" applyAlignment="1" applyProtection="1">
      <alignment horizontal="left" vertical="top" wrapText="1"/>
      <protection locked="0"/>
    </xf>
    <xf numFmtId="0" fontId="9" fillId="0" borderId="16" xfId="1" applyFont="1" applyFill="1" applyBorder="1" applyAlignment="1" applyProtection="1">
      <alignment horizontal="left" vertical="top" wrapText="1"/>
      <protection locked="0"/>
    </xf>
    <xf numFmtId="0" fontId="9" fillId="0" borderId="17" xfId="1" applyFont="1" applyFill="1" applyBorder="1" applyAlignment="1" applyProtection="1">
      <alignment horizontal="left" vertical="top" wrapText="1"/>
      <protection locked="0"/>
    </xf>
    <xf numFmtId="0" fontId="9" fillId="0" borderId="26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11" fillId="0" borderId="5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Fill="1" applyBorder="1" applyAlignment="1" applyProtection="1">
      <alignment vertical="top"/>
      <protection locked="0"/>
    </xf>
    <xf numFmtId="167" fontId="11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0" borderId="19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27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1" fillId="4" borderId="32" xfId="1" applyFont="1" applyFill="1" applyBorder="1" applyAlignment="1" applyProtection="1">
      <alignment horizontal="center" vertical="top" wrapText="1"/>
      <protection locked="0"/>
    </xf>
    <xf numFmtId="0" fontId="11" fillId="4" borderId="33" xfId="1" applyFont="1" applyFill="1" applyBorder="1" applyAlignment="1" applyProtection="1">
      <alignment horizontal="center" vertical="top" wrapText="1"/>
      <protection locked="0"/>
    </xf>
    <xf numFmtId="9" fontId="11" fillId="4" borderId="30" xfId="1" applyNumberFormat="1" applyFont="1" applyFill="1" applyBorder="1" applyAlignment="1" applyProtection="1">
      <alignment horizontal="center" vertical="center" wrapText="1"/>
      <protection hidden="1"/>
    </xf>
    <xf numFmtId="9" fontId="11" fillId="4" borderId="3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30" xfId="1" applyFont="1" applyFill="1" applyBorder="1" applyAlignment="1" applyProtection="1">
      <alignment horizontal="center" vertical="center" wrapText="1"/>
      <protection locked="0"/>
    </xf>
    <xf numFmtId="0" fontId="11" fillId="4" borderId="31" xfId="1" applyFont="1" applyFill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398512</xdr:colOff>
      <xdr:row>259</xdr:row>
      <xdr:rowOff>39621</xdr:rowOff>
    </xdr:from>
    <xdr:to>
      <xdr:col>7</xdr:col>
      <xdr:colOff>539786</xdr:colOff>
      <xdr:row>273</xdr:row>
      <xdr:rowOff>62122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8512" y="45746662"/>
          <a:ext cx="6245050" cy="27439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398512</xdr:colOff>
      <xdr:row>244</xdr:row>
      <xdr:rowOff>12973</xdr:rowOff>
    </xdr:from>
    <xdr:to>
      <xdr:col>7</xdr:col>
      <xdr:colOff>539786</xdr:colOff>
      <xdr:row>258</xdr:row>
      <xdr:rowOff>35472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8512" y="42804197"/>
          <a:ext cx="6245050" cy="27439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423766</xdr:colOff>
      <xdr:row>201</xdr:row>
      <xdr:rowOff>3887</xdr:rowOff>
    </xdr:from>
    <xdr:to>
      <xdr:col>25</xdr:col>
      <xdr:colOff>462303</xdr:colOff>
      <xdr:row>225</xdr:row>
      <xdr:rowOff>189445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67623" y="36634316"/>
          <a:ext cx="3100144" cy="5070522"/>
        </a:xfrm>
        <a:prstGeom prst="rect">
          <a:avLst/>
        </a:prstGeom>
      </xdr:spPr>
    </xdr:pic>
    <xdr:clientData/>
  </xdr:twoCellAnchor>
  <xdr:twoCellAnchor>
    <xdr:from>
      <xdr:col>8</xdr:col>
      <xdr:colOff>493618</xdr:colOff>
      <xdr:row>200</xdr:row>
      <xdr:rowOff>20169</xdr:rowOff>
    </xdr:from>
    <xdr:to>
      <xdr:col>20</xdr:col>
      <xdr:colOff>392308</xdr:colOff>
      <xdr:row>240</xdr:row>
      <xdr:rowOff>127583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389718" y="39567969"/>
          <a:ext cx="6461415" cy="8098889"/>
          <a:chOff x="179293" y="36314901"/>
          <a:chExt cx="6469259" cy="8166125"/>
        </a:xfrm>
      </xdr:grpSpPr>
      <xdr:pic>
        <xdr:nvPicPr>
          <xdr:cNvPr id="15" name="Picture 14" descr="https://vsjcllp.vsjadon.com/upload/insp-214357-843.jpg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9293" y="36318264"/>
            <a:ext cx="3152871" cy="41271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14357-84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29864" y="40565295"/>
            <a:ext cx="1496026" cy="19508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14357-844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86721" y="36314901"/>
            <a:ext cx="3161831" cy="41271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14357-925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3167" y="42673837"/>
            <a:ext cx="2454223" cy="18071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14357-1525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9372" y="42673837"/>
            <a:ext cx="2443636" cy="18071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14357-849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15836" y="40565294"/>
            <a:ext cx="2647449" cy="19508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657225</xdr:colOff>
      <xdr:row>199</xdr:row>
      <xdr:rowOff>180975</xdr:rowOff>
    </xdr:from>
    <xdr:to>
      <xdr:col>18</xdr:col>
      <xdr:colOff>557719</xdr:colOff>
      <xdr:row>235</xdr:row>
      <xdr:rowOff>169500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E678883-AEE7-4441-BE13-FF7C4F434517}"/>
            </a:ext>
          </a:extLst>
        </xdr:cNvPr>
        <xdr:cNvGrpSpPr/>
      </xdr:nvGrpSpPr>
      <xdr:grpSpPr>
        <a:xfrm>
          <a:off x="7553325" y="39528750"/>
          <a:ext cx="5244019" cy="7179900"/>
          <a:chOff x="874171" y="285750"/>
          <a:chExt cx="5244019" cy="7179900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43AEDD58-6186-4EE7-9140-DE868A2BCBDA}"/>
              </a:ext>
            </a:extLst>
          </xdr:cNvPr>
          <xdr:cNvGrpSpPr/>
        </xdr:nvGrpSpPr>
        <xdr:grpSpPr>
          <a:xfrm>
            <a:off x="874171" y="285750"/>
            <a:ext cx="5244019" cy="7179900"/>
            <a:chOff x="874171" y="285750"/>
            <a:chExt cx="5244019" cy="71799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6AF8372D-3BE3-41AB-A8C3-C1579A3202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92222" y="285750"/>
              <a:ext cx="2436778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80704AFB-B010-46DA-8F3D-F5A9CAA9DA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6162" y="285750"/>
              <a:ext cx="2436778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B2273374-92BB-43B4-9454-F60768B765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83921" y="3695700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71E791ED-98AA-4357-A973-978C38BF32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4171" y="3695700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BE17D0BD-71D0-45E7-8028-089A595C66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93671" y="3695700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C9921F1F-5641-4E35-AE58-1BCD6B82F6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22809" y="6025650"/>
              <a:ext cx="1917333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EB2A5488-6E12-4BB9-9389-B7DC09C752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6162" y="6025650"/>
              <a:ext cx="1910258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5" name="TextBox 169">
            <a:extLst>
              <a:ext uri="{FF2B5EF4-FFF2-40B4-BE49-F238E27FC236}">
                <a16:creationId xmlns:a16="http://schemas.microsoft.com/office/drawing/2014/main" id="{F817D7F3-87BC-44D9-A496-095F32AECCCC}"/>
              </a:ext>
            </a:extLst>
          </xdr:cNvPr>
          <xdr:cNvSpPr txBox="1"/>
        </xdr:nvSpPr>
        <xdr:spPr>
          <a:xfrm>
            <a:off x="1270000" y="355600"/>
            <a:ext cx="69313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</a:t>
            </a:r>
            <a:endParaRPr lang="en-IN" b="1"/>
          </a:p>
        </xdr:txBody>
      </xdr:sp>
      <xdr:sp macro="" textlink="">
        <xdr:nvSpPr>
          <xdr:cNvPr id="26" name="TextBox 170">
            <a:extLst>
              <a:ext uri="{FF2B5EF4-FFF2-40B4-BE49-F238E27FC236}">
                <a16:creationId xmlns:a16="http://schemas.microsoft.com/office/drawing/2014/main" id="{58ED6978-F1E6-4270-AB51-24D3068C3A70}"/>
              </a:ext>
            </a:extLst>
          </xdr:cNvPr>
          <xdr:cNvSpPr txBox="1"/>
        </xdr:nvSpPr>
        <xdr:spPr>
          <a:xfrm>
            <a:off x="2400018" y="431800"/>
            <a:ext cx="75405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Part II</a:t>
            </a:r>
            <a:endParaRPr lang="en-IN" b="1"/>
          </a:p>
        </xdr:txBody>
      </xdr:sp>
    </xdr:grpSp>
    <xdr:clientData/>
  </xdr:twoCellAnchor>
  <xdr:twoCellAnchor>
    <xdr:from>
      <xdr:col>0</xdr:col>
      <xdr:colOff>733425</xdr:colOff>
      <xdr:row>201</xdr:row>
      <xdr:rowOff>19050</xdr:rowOff>
    </xdr:from>
    <xdr:to>
      <xdr:col>7</xdr:col>
      <xdr:colOff>320035</xdr:colOff>
      <xdr:row>229</xdr:row>
      <xdr:rowOff>68724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F7A1BD2E-F141-49D0-8866-A6354EEA34A2}"/>
            </a:ext>
          </a:extLst>
        </xdr:cNvPr>
        <xdr:cNvGrpSpPr/>
      </xdr:nvGrpSpPr>
      <xdr:grpSpPr>
        <a:xfrm>
          <a:off x="733425" y="39766875"/>
          <a:ext cx="5282560" cy="5640849"/>
          <a:chOff x="663554" y="463621"/>
          <a:chExt cx="5282560" cy="5640849"/>
        </a:xfrm>
      </xdr:grpSpPr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83AD9B1B-CBFE-49E0-8628-726D32E95A81}"/>
              </a:ext>
            </a:extLst>
          </xdr:cNvPr>
          <xdr:cNvGrpSpPr/>
        </xdr:nvGrpSpPr>
        <xdr:grpSpPr>
          <a:xfrm>
            <a:off x="663554" y="519952"/>
            <a:ext cx="5282560" cy="5584518"/>
            <a:chOff x="663554" y="519952"/>
            <a:chExt cx="5282560" cy="5584518"/>
          </a:xfrm>
        </xdr:grpSpPr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C766C118-AB93-4CD1-9FFA-C53CD27CB6E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4538" y="519952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F30DB930-5FF3-4F2A-9227-3416F8DF5D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9000" y="519952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A0F14DF4-39FD-4DA1-A29A-EF92802EC7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63554" y="394447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4" name="Picture 43">
              <a:extLst>
                <a:ext uri="{FF2B5EF4-FFF2-40B4-BE49-F238E27FC236}">
                  <a16:creationId xmlns:a16="http://schemas.microsoft.com/office/drawing/2014/main" id="{4FA6B370-C64C-4781-9CC5-A948E9379F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8860" y="394447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16BB963B-0A0F-4EED-B5BE-85A010926B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7802" y="394447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6" name="TextBox 270">
            <a:extLst>
              <a:ext uri="{FF2B5EF4-FFF2-40B4-BE49-F238E27FC236}">
                <a16:creationId xmlns:a16="http://schemas.microsoft.com/office/drawing/2014/main" id="{AF7C7C48-3CAB-4E6B-8570-37349855D250}"/>
              </a:ext>
            </a:extLst>
          </xdr:cNvPr>
          <xdr:cNvSpPr txBox="1"/>
        </xdr:nvSpPr>
        <xdr:spPr>
          <a:xfrm>
            <a:off x="2566260" y="463621"/>
            <a:ext cx="749244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</a:t>
            </a:r>
            <a:r>
              <a:rPr lang="en-US" b="1" baseline="0">
                <a:solidFill>
                  <a:srgbClr val="FF0000"/>
                </a:solidFill>
              </a:rPr>
              <a:t> </a:t>
            </a:r>
            <a:r>
              <a:rPr lang="en-US" b="1">
                <a:solidFill>
                  <a:srgbClr val="FF0000"/>
                </a:solidFill>
              </a:rPr>
              <a:t>I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272">
            <a:extLst>
              <a:ext uri="{FF2B5EF4-FFF2-40B4-BE49-F238E27FC236}">
                <a16:creationId xmlns:a16="http://schemas.microsoft.com/office/drawing/2014/main" id="{261DF9CD-17A3-491C-80BD-294335D803DD}"/>
              </a:ext>
            </a:extLst>
          </xdr:cNvPr>
          <xdr:cNvSpPr txBox="1"/>
        </xdr:nvSpPr>
        <xdr:spPr>
          <a:xfrm>
            <a:off x="3554929" y="519952"/>
            <a:ext cx="749244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I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8" name="TextBox 273">
            <a:extLst>
              <a:ext uri="{FF2B5EF4-FFF2-40B4-BE49-F238E27FC236}">
                <a16:creationId xmlns:a16="http://schemas.microsoft.com/office/drawing/2014/main" id="{B30B0110-6721-473D-BA20-7609C457CED9}"/>
              </a:ext>
            </a:extLst>
          </xdr:cNvPr>
          <xdr:cNvSpPr txBox="1"/>
        </xdr:nvSpPr>
        <xdr:spPr>
          <a:xfrm>
            <a:off x="1013963" y="889284"/>
            <a:ext cx="749244" cy="3741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II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2C4A397D-BD2C-4843-860E-B4915D59EBD6}"/>
              </a:ext>
            </a:extLst>
          </xdr:cNvPr>
          <xdr:cNvCxnSpPr/>
        </xdr:nvCxnSpPr>
        <xdr:spPr>
          <a:xfrm>
            <a:off x="1472710" y="1165860"/>
            <a:ext cx="142730" cy="59436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Arrow Connector 39">
            <a:extLst>
              <a:ext uri="{FF2B5EF4-FFF2-40B4-BE49-F238E27FC236}">
                <a16:creationId xmlns:a16="http://schemas.microsoft.com/office/drawing/2014/main" id="{EF59280B-2287-45DD-9E86-BAFB37C58370}"/>
              </a:ext>
            </a:extLst>
          </xdr:cNvPr>
          <xdr:cNvCxnSpPr>
            <a:cxnSpLocks/>
          </xdr:cNvCxnSpPr>
        </xdr:nvCxnSpPr>
        <xdr:spPr>
          <a:xfrm flipH="1">
            <a:off x="2566260" y="777240"/>
            <a:ext cx="123600" cy="240231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726860</xdr:colOff>
      <xdr:row>14</xdr:row>
      <xdr:rowOff>0</xdr:rowOff>
    </xdr:from>
    <xdr:to>
      <xdr:col>16</xdr:col>
      <xdr:colOff>491537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8125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218dJyVxetQdeQ3K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43"/>
  <sheetViews>
    <sheetView tabSelected="1" view="pageBreakPreview" topLeftCell="A5" zoomScaleNormal="100" zoomScaleSheetLayoutView="100" zoomScalePageLayoutView="98" workbookViewId="0">
      <selection activeCell="I8" sqref="I8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8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7109375" style="3" hidden="1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158" t="s">
        <v>212</v>
      </c>
      <c r="B1" s="158"/>
      <c r="C1" s="158"/>
      <c r="D1" s="158"/>
      <c r="E1" s="158"/>
      <c r="F1" s="158"/>
      <c r="G1" s="158"/>
      <c r="H1" s="158"/>
    </row>
    <row r="2" spans="1:12" ht="16.5" customHeight="1" x14ac:dyDescent="0.25">
      <c r="A2" s="159" t="s">
        <v>0</v>
      </c>
      <c r="B2" s="159"/>
      <c r="C2" s="159"/>
      <c r="D2" s="159"/>
      <c r="E2" s="159"/>
      <c r="F2" s="159"/>
      <c r="G2" s="159"/>
      <c r="H2" s="159"/>
    </row>
    <row r="3" spans="1:12" x14ac:dyDescent="0.25">
      <c r="A3" s="88" t="s">
        <v>1</v>
      </c>
      <c r="B3" s="88"/>
      <c r="C3" s="88"/>
      <c r="D3" s="88"/>
      <c r="E3" s="156" t="str">
        <f ca="1">TEXT(TODAY(),"DD/MM/YYYY")</f>
        <v>15/07/2025</v>
      </c>
      <c r="F3" s="156"/>
      <c r="G3" s="156"/>
      <c r="H3" s="156"/>
    </row>
    <row r="4" spans="1:12" ht="15" customHeight="1" x14ac:dyDescent="0.25">
      <c r="A4" s="88" t="s">
        <v>2</v>
      </c>
      <c r="B4" s="88"/>
      <c r="C4" s="88"/>
      <c r="D4" s="88"/>
      <c r="E4" s="161" t="s">
        <v>167</v>
      </c>
      <c r="F4" s="161"/>
      <c r="G4" s="161"/>
      <c r="H4" s="161"/>
    </row>
    <row r="5" spans="1:12" x14ac:dyDescent="0.25">
      <c r="A5" s="88" t="s">
        <v>3</v>
      </c>
      <c r="B5" s="88"/>
      <c r="C5" s="88"/>
      <c r="D5" s="88"/>
      <c r="E5" s="156">
        <v>45848</v>
      </c>
      <c r="F5" s="156"/>
      <c r="G5" s="156"/>
      <c r="H5" s="156"/>
    </row>
    <row r="6" spans="1:12" ht="16.5" customHeight="1" x14ac:dyDescent="0.25">
      <c r="A6" s="88" t="s">
        <v>4</v>
      </c>
      <c r="B6" s="88"/>
      <c r="C6" s="88"/>
      <c r="D6" s="88"/>
      <c r="E6" s="151" t="s">
        <v>169</v>
      </c>
      <c r="F6" s="151"/>
      <c r="G6" s="151"/>
      <c r="H6" s="151"/>
    </row>
    <row r="7" spans="1:12" ht="15" customHeight="1" x14ac:dyDescent="0.25">
      <c r="A7" s="88" t="s">
        <v>5</v>
      </c>
      <c r="B7" s="88"/>
      <c r="C7" s="88"/>
      <c r="D7" s="88"/>
      <c r="E7" s="151" t="str">
        <f>E6</f>
        <v>M/s. Shreeji Construction</v>
      </c>
      <c r="F7" s="151"/>
      <c r="G7" s="151"/>
      <c r="H7" s="151"/>
    </row>
    <row r="8" spans="1:12" x14ac:dyDescent="0.25">
      <c r="A8" s="88" t="s">
        <v>6</v>
      </c>
      <c r="B8" s="88"/>
      <c r="C8" s="88"/>
      <c r="D8" s="88"/>
      <c r="E8" s="160" t="s">
        <v>168</v>
      </c>
      <c r="F8" s="160"/>
      <c r="G8" s="160"/>
      <c r="H8" s="160"/>
    </row>
    <row r="9" spans="1:12" x14ac:dyDescent="0.25">
      <c r="A9" s="88" t="s">
        <v>136</v>
      </c>
      <c r="B9" s="88"/>
      <c r="C9" s="88"/>
      <c r="D9" s="88"/>
      <c r="E9" s="88" t="s">
        <v>171</v>
      </c>
      <c r="F9" s="88"/>
      <c r="G9" s="88"/>
      <c r="H9" s="88"/>
    </row>
    <row r="10" spans="1:12" x14ac:dyDescent="0.25">
      <c r="A10" s="88" t="s">
        <v>213</v>
      </c>
      <c r="B10" s="88"/>
      <c r="C10" s="88"/>
      <c r="D10" s="88"/>
      <c r="E10" s="88" t="s">
        <v>223</v>
      </c>
      <c r="F10" s="88"/>
      <c r="G10" s="88"/>
      <c r="H10" s="88"/>
      <c r="I10" s="88" t="s">
        <v>215</v>
      </c>
      <c r="J10" s="88"/>
      <c r="K10" s="88"/>
      <c r="L10" s="88"/>
    </row>
    <row r="11" spans="1:12" x14ac:dyDescent="0.25">
      <c r="A11" s="155" t="s">
        <v>7</v>
      </c>
      <c r="B11" s="155"/>
      <c r="C11" s="155"/>
      <c r="D11" s="155"/>
      <c r="E11" s="155" t="s">
        <v>170</v>
      </c>
      <c r="F11" s="155"/>
      <c r="G11" s="155"/>
      <c r="H11" s="155"/>
    </row>
    <row r="12" spans="1:12" x14ac:dyDescent="0.25">
      <c r="A12" s="88" t="s">
        <v>8</v>
      </c>
      <c r="B12" s="88"/>
      <c r="C12" s="88"/>
      <c r="D12" s="88"/>
      <c r="E12" s="157" t="s">
        <v>206</v>
      </c>
      <c r="F12" s="157"/>
      <c r="G12" s="157"/>
      <c r="H12" s="157"/>
    </row>
    <row r="13" spans="1:12" x14ac:dyDescent="0.25">
      <c r="A13" s="88" t="s">
        <v>9</v>
      </c>
      <c r="B13" s="88"/>
      <c r="C13" s="88"/>
      <c r="D13" s="88"/>
      <c r="E13" s="149" t="s">
        <v>217</v>
      </c>
      <c r="F13" s="150"/>
      <c r="G13" s="150"/>
      <c r="H13" s="150"/>
    </row>
    <row r="14" spans="1:12" ht="31.5" customHeight="1" x14ac:dyDescent="0.25">
      <c r="A14" s="151" t="s">
        <v>10</v>
      </c>
      <c r="B14" s="151"/>
      <c r="C14" s="151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Ruparel Westsky, CTS No.717(pt), 718(pt), 732, 733, 734, 744(pt), 747(pt) &amp; Others, near Symphony Tower, New Link Road, Kandivali, Kandivali West, Borivali, Mumbai.</v>
      </c>
      <c r="D14" s="151"/>
      <c r="E14" s="151"/>
      <c r="F14" s="151"/>
      <c r="G14" s="151"/>
      <c r="H14" s="151"/>
    </row>
    <row r="15" spans="1:12" x14ac:dyDescent="0.25">
      <c r="A15" s="154" t="s">
        <v>186</v>
      </c>
      <c r="B15" s="154"/>
      <c r="C15" s="145" t="s">
        <v>194</v>
      </c>
      <c r="D15" s="145"/>
      <c r="E15" s="145"/>
      <c r="F15" s="145"/>
      <c r="G15" s="145"/>
      <c r="H15" s="145"/>
    </row>
    <row r="16" spans="1:12" ht="15.75" customHeight="1" x14ac:dyDescent="0.25">
      <c r="A16" s="146" t="s">
        <v>11</v>
      </c>
      <c r="B16" s="146"/>
      <c r="C16" s="148" t="s">
        <v>189</v>
      </c>
      <c r="D16" s="148"/>
      <c r="E16" s="146" t="s">
        <v>78</v>
      </c>
      <c r="F16" s="146"/>
      <c r="G16" s="145" t="s">
        <v>172</v>
      </c>
      <c r="H16" s="145"/>
    </row>
    <row r="17" spans="1:8" x14ac:dyDescent="0.25">
      <c r="A17" s="110" t="s">
        <v>13</v>
      </c>
      <c r="B17" s="110"/>
      <c r="C17" s="145" t="s">
        <v>188</v>
      </c>
      <c r="D17" s="145"/>
      <c r="E17" s="146" t="s">
        <v>12</v>
      </c>
      <c r="F17" s="146"/>
      <c r="G17" s="152" t="s">
        <v>183</v>
      </c>
      <c r="H17" s="152"/>
    </row>
    <row r="18" spans="1:8" x14ac:dyDescent="0.25">
      <c r="A18" s="110" t="s">
        <v>79</v>
      </c>
      <c r="B18" s="110"/>
      <c r="C18" s="145" t="s">
        <v>182</v>
      </c>
      <c r="D18" s="145"/>
      <c r="E18" s="146" t="s">
        <v>14</v>
      </c>
      <c r="F18" s="146"/>
      <c r="G18" s="145">
        <v>400067</v>
      </c>
      <c r="H18" s="145"/>
    </row>
    <row r="19" spans="1:8" ht="32.25" customHeight="1" x14ac:dyDescent="0.25">
      <c r="A19" s="110" t="s">
        <v>138</v>
      </c>
      <c r="B19" s="110"/>
      <c r="C19" s="153" t="s">
        <v>190</v>
      </c>
      <c r="D19" s="153"/>
      <c r="E19" s="146" t="s">
        <v>15</v>
      </c>
      <c r="F19" s="146"/>
      <c r="G19" s="154" t="s">
        <v>187</v>
      </c>
      <c r="H19" s="154"/>
    </row>
    <row r="20" spans="1:8" ht="15" customHeight="1" x14ac:dyDescent="0.25">
      <c r="A20" s="146" t="s">
        <v>83</v>
      </c>
      <c r="B20" s="146"/>
      <c r="C20" s="146"/>
      <c r="D20" s="146"/>
      <c r="E20" s="148" t="s">
        <v>16</v>
      </c>
      <c r="F20" s="148"/>
      <c r="G20" s="148"/>
      <c r="H20" s="148"/>
    </row>
    <row r="21" spans="1:8" ht="18.75" customHeight="1" x14ac:dyDescent="0.25">
      <c r="A21" s="146"/>
      <c r="B21" s="146"/>
      <c r="C21" s="146"/>
      <c r="D21" s="146"/>
      <c r="E21" s="148"/>
      <c r="F21" s="148"/>
      <c r="G21" s="148"/>
      <c r="H21" s="148"/>
    </row>
    <row r="22" spans="1:8" ht="15" customHeight="1" x14ac:dyDescent="0.25">
      <c r="A22" s="146" t="s">
        <v>17</v>
      </c>
      <c r="B22" s="146"/>
      <c r="C22" s="146"/>
      <c r="D22" s="146"/>
      <c r="E22" s="145" t="s">
        <v>18</v>
      </c>
      <c r="F22" s="145"/>
      <c r="G22" s="145"/>
      <c r="H22" s="145"/>
    </row>
    <row r="23" spans="1:8" ht="15" customHeight="1" x14ac:dyDescent="0.25">
      <c r="A23" s="110" t="s">
        <v>19</v>
      </c>
      <c r="B23" s="110"/>
      <c r="C23" s="110"/>
      <c r="D23" s="110"/>
      <c r="E23" s="145" t="str">
        <f>IF(AND(G17="Mumbai"),"Upper Class","Middle Class")</f>
        <v>Upper Class</v>
      </c>
      <c r="F23" s="145"/>
      <c r="G23" s="145"/>
      <c r="H23" s="145"/>
    </row>
    <row r="24" spans="1:8" x14ac:dyDescent="0.25">
      <c r="A24" s="110" t="s">
        <v>20</v>
      </c>
      <c r="B24" s="110"/>
      <c r="C24" s="110"/>
      <c r="D24" s="110"/>
      <c r="E24" s="145" t="s">
        <v>21</v>
      </c>
      <c r="F24" s="145"/>
      <c r="G24" s="145"/>
      <c r="H24" s="145"/>
    </row>
    <row r="25" spans="1:8" ht="15.75" customHeight="1" x14ac:dyDescent="0.25">
      <c r="A25" s="110" t="s">
        <v>22</v>
      </c>
      <c r="B25" s="110"/>
      <c r="C25" s="110"/>
      <c r="D25" s="110"/>
      <c r="E25" s="145" t="str">
        <f>IF(AND(G17="Mumbai"),"Developed","Developing")</f>
        <v>Developed</v>
      </c>
      <c r="F25" s="145"/>
      <c r="G25" s="145"/>
      <c r="H25" s="145"/>
    </row>
    <row r="26" spans="1:8" x14ac:dyDescent="0.25">
      <c r="A26" s="110" t="s">
        <v>23</v>
      </c>
      <c r="B26" s="110"/>
      <c r="C26" s="110"/>
      <c r="D26" s="110"/>
      <c r="E26" s="145" t="s">
        <v>24</v>
      </c>
      <c r="F26" s="145"/>
      <c r="G26" s="145"/>
      <c r="H26" s="145"/>
    </row>
    <row r="27" spans="1:8" x14ac:dyDescent="0.25">
      <c r="A27" s="110" t="s">
        <v>90</v>
      </c>
      <c r="B27" s="110"/>
      <c r="C27" s="110"/>
      <c r="D27" s="110"/>
      <c r="E27" s="145" t="s">
        <v>91</v>
      </c>
      <c r="F27" s="145"/>
      <c r="G27" s="145"/>
      <c r="H27" s="145"/>
    </row>
    <row r="28" spans="1:8" ht="15" customHeight="1" x14ac:dyDescent="0.25">
      <c r="A28" s="146" t="s">
        <v>33</v>
      </c>
      <c r="B28" s="146"/>
      <c r="C28" s="146"/>
      <c r="D28" s="146"/>
      <c r="E28" s="147" t="str">
        <f>IF(ISNUMBER(SEARCH("Shops",D53)),"Residential + Commercial",IF(SEARCH("Offices",D53),"Residential + Commercial",IF(SEARCH("Flats",D53),"Residential","")))</f>
        <v>Residential + Commercial</v>
      </c>
      <c r="F28" s="147"/>
      <c r="G28" s="147"/>
      <c r="H28" s="147"/>
    </row>
    <row r="29" spans="1:8" x14ac:dyDescent="0.25">
      <c r="A29" s="146" t="s">
        <v>102</v>
      </c>
      <c r="B29" s="146"/>
      <c r="C29" s="146"/>
      <c r="D29" s="146"/>
      <c r="E29" s="146" t="s">
        <v>34</v>
      </c>
      <c r="F29" s="146"/>
      <c r="G29" s="146"/>
      <c r="H29" s="146"/>
    </row>
    <row r="30" spans="1:8" s="6" customFormat="1" x14ac:dyDescent="0.25">
      <c r="A30" s="139" t="s">
        <v>103</v>
      </c>
      <c r="B30" s="139"/>
      <c r="C30" s="137" t="s">
        <v>29</v>
      </c>
      <c r="D30" s="137"/>
      <c r="E30" s="137"/>
      <c r="F30" s="137" t="s">
        <v>31</v>
      </c>
      <c r="G30" s="137"/>
      <c r="H30" s="137"/>
    </row>
    <row r="31" spans="1:8" s="6" customFormat="1" x14ac:dyDescent="0.25">
      <c r="A31" s="138" t="s">
        <v>25</v>
      </c>
      <c r="B31" s="138" t="s">
        <v>30</v>
      </c>
      <c r="C31" s="136" t="s">
        <v>30</v>
      </c>
      <c r="D31" s="136"/>
      <c r="E31" s="136"/>
      <c r="F31" s="136" t="s">
        <v>189</v>
      </c>
      <c r="G31" s="136"/>
      <c r="H31" s="136"/>
    </row>
    <row r="32" spans="1:8" x14ac:dyDescent="0.25">
      <c r="A32" s="138" t="s">
        <v>26</v>
      </c>
      <c r="B32" s="138" t="s">
        <v>30</v>
      </c>
      <c r="C32" s="136" t="s">
        <v>30</v>
      </c>
      <c r="D32" s="136"/>
      <c r="E32" s="136"/>
      <c r="F32" s="136" t="s">
        <v>193</v>
      </c>
      <c r="G32" s="136"/>
      <c r="H32" s="136"/>
    </row>
    <row r="33" spans="1:8" s="6" customFormat="1" x14ac:dyDescent="0.25">
      <c r="A33" s="138" t="s">
        <v>28</v>
      </c>
      <c r="B33" s="138" t="s">
        <v>30</v>
      </c>
      <c r="C33" s="136" t="s">
        <v>30</v>
      </c>
      <c r="D33" s="136"/>
      <c r="E33" s="136"/>
      <c r="F33" s="136" t="s">
        <v>192</v>
      </c>
      <c r="G33" s="136"/>
      <c r="H33" s="136"/>
    </row>
    <row r="34" spans="1:8" x14ac:dyDescent="0.25">
      <c r="A34" s="138" t="s">
        <v>27</v>
      </c>
      <c r="B34" s="138" t="s">
        <v>30</v>
      </c>
      <c r="C34" s="136" t="s">
        <v>30</v>
      </c>
      <c r="D34" s="136"/>
      <c r="E34" s="136"/>
      <c r="F34" s="136" t="s">
        <v>190</v>
      </c>
      <c r="G34" s="136"/>
      <c r="H34" s="136"/>
    </row>
    <row r="35" spans="1:8" x14ac:dyDescent="0.25">
      <c r="A35" s="110" t="s">
        <v>32</v>
      </c>
      <c r="B35" s="110"/>
      <c r="C35" s="110"/>
      <c r="D35" s="110"/>
      <c r="E35" s="110"/>
      <c r="F35" s="110"/>
      <c r="G35" s="110"/>
      <c r="H35" s="110"/>
    </row>
    <row r="36" spans="1:8" ht="15.75" customHeight="1" x14ac:dyDescent="0.25">
      <c r="A36" s="132" t="s">
        <v>211</v>
      </c>
      <c r="B36" s="132"/>
      <c r="C36" s="144" t="s">
        <v>210</v>
      </c>
      <c r="D36" s="142"/>
      <c r="E36" s="142"/>
      <c r="F36" s="142"/>
      <c r="G36" s="142"/>
      <c r="H36" s="143"/>
    </row>
    <row r="37" spans="1:8" ht="15.75" customHeight="1" x14ac:dyDescent="0.25">
      <c r="A37" s="132" t="s">
        <v>208</v>
      </c>
      <c r="B37" s="132"/>
      <c r="C37" s="141" t="s">
        <v>209</v>
      </c>
      <c r="D37" s="142"/>
      <c r="E37" s="142"/>
      <c r="F37" s="142"/>
      <c r="G37" s="142"/>
      <c r="H37" s="143"/>
    </row>
    <row r="38" spans="1:8" x14ac:dyDescent="0.25">
      <c r="A38" s="140" t="s">
        <v>35</v>
      </c>
      <c r="B38" s="140"/>
      <c r="C38" s="140"/>
      <c r="D38" s="140"/>
      <c r="E38" s="140"/>
      <c r="F38" s="140"/>
      <c r="G38" s="140"/>
      <c r="H38" s="140"/>
    </row>
    <row r="39" spans="1:8" x14ac:dyDescent="0.25">
      <c r="A39" s="110" t="s">
        <v>36</v>
      </c>
      <c r="B39" s="110"/>
      <c r="C39" s="110"/>
      <c r="D39" s="110"/>
      <c r="E39" s="135">
        <v>12588.19</v>
      </c>
      <c r="F39" s="135"/>
      <c r="G39" s="135"/>
      <c r="H39" s="135"/>
    </row>
    <row r="40" spans="1:8" x14ac:dyDescent="0.25">
      <c r="A40" s="110" t="s">
        <v>37</v>
      </c>
      <c r="B40" s="110"/>
      <c r="C40" s="110"/>
      <c r="D40" s="110"/>
      <c r="E40" s="169">
        <v>4</v>
      </c>
      <c r="F40" s="169"/>
      <c r="G40" s="169"/>
      <c r="H40" s="169"/>
    </row>
    <row r="41" spans="1:8" x14ac:dyDescent="0.25">
      <c r="A41" s="110" t="s">
        <v>38</v>
      </c>
      <c r="B41" s="110"/>
      <c r="C41" s="110"/>
      <c r="D41" s="110"/>
      <c r="E41" s="169">
        <f>E43/E39-E40</f>
        <v>-3.7825930495170912E-2</v>
      </c>
      <c r="F41" s="169"/>
      <c r="G41" s="169"/>
      <c r="H41" s="169"/>
    </row>
    <row r="42" spans="1:8" x14ac:dyDescent="0.25">
      <c r="A42" s="110" t="s">
        <v>39</v>
      </c>
      <c r="B42" s="110"/>
      <c r="C42" s="110"/>
      <c r="D42" s="110"/>
      <c r="E42" s="169">
        <f>E40+E41</f>
        <v>3.9621740695048291</v>
      </c>
      <c r="F42" s="169"/>
      <c r="G42" s="169"/>
      <c r="H42" s="169"/>
    </row>
    <row r="43" spans="1:8" x14ac:dyDescent="0.25">
      <c r="A43" s="110" t="s">
        <v>101</v>
      </c>
      <c r="B43" s="110"/>
      <c r="C43" s="110"/>
      <c r="D43" s="110"/>
      <c r="E43" s="170">
        <v>49876.6</v>
      </c>
      <c r="F43" s="170"/>
      <c r="G43" s="170"/>
      <c r="H43" s="170"/>
    </row>
    <row r="44" spans="1:8" x14ac:dyDescent="0.25">
      <c r="A44" s="148" t="s">
        <v>40</v>
      </c>
      <c r="B44" s="148"/>
      <c r="C44" s="148"/>
      <c r="D44" s="148"/>
      <c r="E44" s="171" t="s">
        <v>137</v>
      </c>
      <c r="F44" s="171"/>
      <c r="G44" s="171"/>
      <c r="H44" s="171"/>
    </row>
    <row r="45" spans="1:8" x14ac:dyDescent="0.25">
      <c r="A45" s="140" t="s">
        <v>41</v>
      </c>
      <c r="B45" s="140"/>
      <c r="C45" s="140"/>
      <c r="D45" s="140"/>
      <c r="E45" s="140"/>
      <c r="F45" s="140"/>
      <c r="G45" s="140"/>
      <c r="H45" s="140"/>
    </row>
    <row r="46" spans="1:8" ht="31.5" customHeight="1" x14ac:dyDescent="0.25">
      <c r="A46" s="146" t="s">
        <v>42</v>
      </c>
      <c r="B46" s="146"/>
      <c r="C46" s="193" t="s">
        <v>174</v>
      </c>
      <c r="D46" s="193"/>
      <c r="E46" s="193"/>
      <c r="F46" s="65" t="s">
        <v>43</v>
      </c>
      <c r="G46" s="176">
        <v>44426</v>
      </c>
      <c r="H46" s="176"/>
    </row>
    <row r="47" spans="1:8" ht="31.5" customHeight="1" x14ac:dyDescent="0.25">
      <c r="A47" s="110" t="s">
        <v>44</v>
      </c>
      <c r="B47" s="110"/>
      <c r="C47" s="193" t="str">
        <f>C46</f>
        <v>SRA/ENG/RS/MCGM/STGOVT/0005/20120229/AP/S5</v>
      </c>
      <c r="D47" s="193"/>
      <c r="E47" s="193"/>
      <c r="F47" s="65" t="s">
        <v>43</v>
      </c>
      <c r="G47" s="176">
        <f>G46</f>
        <v>44426</v>
      </c>
      <c r="H47" s="176"/>
    </row>
    <row r="48" spans="1:8" s="5" customFormat="1" ht="30" customHeight="1" x14ac:dyDescent="0.25">
      <c r="A48" s="145" t="s">
        <v>45</v>
      </c>
      <c r="B48" s="145"/>
      <c r="C48" s="193" t="s">
        <v>173</v>
      </c>
      <c r="D48" s="109"/>
      <c r="E48" s="109"/>
      <c r="F48" s="8" t="s">
        <v>43</v>
      </c>
      <c r="G48" s="176">
        <f>G47</f>
        <v>44426</v>
      </c>
      <c r="H48" s="176"/>
    </row>
    <row r="49" spans="1:14" s="5" customFormat="1" x14ac:dyDescent="0.25">
      <c r="A49" s="145"/>
      <c r="B49" s="145"/>
      <c r="C49" s="201" t="s">
        <v>201</v>
      </c>
      <c r="D49" s="202"/>
      <c r="E49" s="202"/>
      <c r="F49" s="202"/>
      <c r="G49" s="202"/>
      <c r="H49" s="203"/>
    </row>
    <row r="50" spans="1:14" x14ac:dyDescent="0.25">
      <c r="A50" s="187" t="s">
        <v>46</v>
      </c>
      <c r="B50" s="187"/>
      <c r="C50" s="197" t="s">
        <v>118</v>
      </c>
      <c r="D50" s="198"/>
      <c r="E50" s="198" t="s">
        <v>47</v>
      </c>
      <c r="F50" s="67" t="s">
        <v>43</v>
      </c>
      <c r="G50" s="200" t="s">
        <v>30</v>
      </c>
      <c r="H50" s="200"/>
    </row>
    <row r="51" spans="1:14" x14ac:dyDescent="0.25">
      <c r="A51" s="199" t="s">
        <v>49</v>
      </c>
      <c r="B51" s="199"/>
      <c r="C51" s="199"/>
      <c r="D51" s="199"/>
      <c r="E51" s="199"/>
      <c r="F51" s="199"/>
      <c r="G51" s="199"/>
      <c r="H51" s="199"/>
    </row>
    <row r="52" spans="1:14" x14ac:dyDescent="0.25">
      <c r="A52" s="146" t="s">
        <v>100</v>
      </c>
      <c r="B52" s="146"/>
      <c r="C52" s="146"/>
      <c r="D52" s="110">
        <f>E43</f>
        <v>49876.6</v>
      </c>
      <c r="E52" s="110"/>
      <c r="F52" s="110"/>
      <c r="G52" s="110"/>
      <c r="H52" s="110"/>
    </row>
    <row r="53" spans="1:14" x14ac:dyDescent="0.25">
      <c r="A53" s="145" t="s">
        <v>50</v>
      </c>
      <c r="B53" s="148"/>
      <c r="C53" s="148"/>
      <c r="D53" s="148" t="s">
        <v>198</v>
      </c>
      <c r="E53" s="148"/>
      <c r="F53" s="148"/>
      <c r="G53" s="148"/>
      <c r="H53" s="148"/>
      <c r="I53" s="42"/>
    </row>
    <row r="54" spans="1:14" ht="15.75" customHeight="1" x14ac:dyDescent="0.25">
      <c r="A54" s="173" t="s">
        <v>51</v>
      </c>
      <c r="B54" s="174"/>
      <c r="C54" s="175"/>
      <c r="D54" s="172" t="s">
        <v>185</v>
      </c>
      <c r="E54" s="172"/>
      <c r="F54" s="172"/>
      <c r="G54" s="172"/>
      <c r="H54" s="172"/>
      <c r="I54" s="43"/>
    </row>
    <row r="55" spans="1:14" ht="15.75" customHeight="1" x14ac:dyDescent="0.25">
      <c r="A55" s="173" t="s">
        <v>98</v>
      </c>
      <c r="B55" s="174"/>
      <c r="C55" s="174"/>
      <c r="D55" s="206" t="s">
        <v>184</v>
      </c>
      <c r="E55" s="207"/>
      <c r="F55" s="207"/>
      <c r="G55" s="207"/>
      <c r="H55" s="208"/>
      <c r="I55" s="43"/>
    </row>
    <row r="56" spans="1:14" ht="15.75" customHeight="1" x14ac:dyDescent="0.25">
      <c r="A56" s="110" t="s">
        <v>48</v>
      </c>
      <c r="B56" s="110"/>
      <c r="C56" s="110"/>
      <c r="D56" s="146" t="s">
        <v>191</v>
      </c>
      <c r="E56" s="146"/>
      <c r="F56" s="146"/>
      <c r="G56" s="146"/>
      <c r="H56" s="146"/>
      <c r="J56" s="41"/>
      <c r="K56" s="42"/>
      <c r="N56" s="42"/>
    </row>
    <row r="57" spans="1:14" ht="15.75" customHeight="1" x14ac:dyDescent="0.25">
      <c r="A57" s="110" t="s">
        <v>96</v>
      </c>
      <c r="B57" s="110"/>
      <c r="C57" s="110"/>
      <c r="D57" s="168" t="str">
        <f>(IF(G50="NA","60 Years After Completion",IF(G50&lt;&gt;"NA",""&amp;60-ROUNDDOWN((E3-G50)/360,0)&amp;" Years"," ")))</f>
        <v>60 Years After Completion</v>
      </c>
      <c r="E57" s="168"/>
      <c r="F57" s="168"/>
      <c r="G57" s="168"/>
      <c r="H57" s="168"/>
      <c r="N57" s="42"/>
    </row>
    <row r="58" spans="1:14" ht="15.75" customHeight="1" x14ac:dyDescent="0.25">
      <c r="A58" s="110" t="s">
        <v>97</v>
      </c>
      <c r="B58" s="110"/>
      <c r="C58" s="110"/>
      <c r="D58" s="146" t="s">
        <v>24</v>
      </c>
      <c r="E58" s="146"/>
      <c r="F58" s="146"/>
      <c r="G58" s="146"/>
      <c r="H58" s="146"/>
      <c r="J58" s="13"/>
      <c r="K58" s="13"/>
    </row>
    <row r="59" spans="1:14" ht="31.5" customHeight="1" x14ac:dyDescent="0.25">
      <c r="A59" s="110" t="s">
        <v>80</v>
      </c>
      <c r="B59" s="110"/>
      <c r="C59" s="110"/>
      <c r="D59" s="145" t="s">
        <v>207</v>
      </c>
      <c r="E59" s="146"/>
      <c r="F59" s="146"/>
      <c r="G59" s="146"/>
      <c r="H59" s="146"/>
    </row>
    <row r="60" spans="1:14" x14ac:dyDescent="0.25">
      <c r="A60" s="146" t="s">
        <v>165</v>
      </c>
      <c r="B60" s="146"/>
      <c r="C60" s="146"/>
      <c r="D60" s="146" t="s">
        <v>30</v>
      </c>
      <c r="E60" s="146"/>
      <c r="F60" s="146"/>
      <c r="G60" s="146"/>
      <c r="H60" s="146"/>
      <c r="I60" s="56"/>
      <c r="J60" s="56"/>
      <c r="K60" s="56"/>
      <c r="L60" s="56"/>
      <c r="M60" s="56"/>
      <c r="N60" s="56"/>
    </row>
    <row r="61" spans="1:14" ht="15.75" customHeight="1" x14ac:dyDescent="0.25">
      <c r="A61" s="177" t="s">
        <v>95</v>
      </c>
      <c r="B61" s="177"/>
      <c r="C61" s="177"/>
      <c r="D61" s="178" t="str">
        <f ca="1">(IF(G81&gt;95%,"Nothing",IF(G81&gt;0%,"Cement, Aggregate, Steel, etc",IF(G81=0%,"Work not yet Started"))))</f>
        <v>Cement, Aggregate, Steel, etc</v>
      </c>
      <c r="E61" s="178"/>
      <c r="F61" s="178"/>
      <c r="G61" s="178"/>
      <c r="H61" s="178"/>
      <c r="J61" s="13"/>
    </row>
    <row r="62" spans="1:14" ht="33.75" customHeight="1" thickBot="1" x14ac:dyDescent="0.3">
      <c r="A62" s="189" t="s">
        <v>131</v>
      </c>
      <c r="B62" s="189"/>
      <c r="C62" s="189"/>
      <c r="D62" s="178" t="str">
        <f ca="1">(IF(D61="Nothing","Yes",IF(D61="Cement, Aggregate, Steel, etc","Under Construction",IF(D61="Work not yet Started","Work not yet Started"))))</f>
        <v>Under Construction</v>
      </c>
      <c r="E62" s="178"/>
      <c r="F62" s="178" t="str">
        <f ca="1">(IF(D61="Nothing","Yes",IF(D61="Cement, Aggregate, Steel, etc","Under Construction",IF(D61="Work not yet Started","Work not yet Started"))))</f>
        <v>Under Construction</v>
      </c>
      <c r="G62" s="178"/>
      <c r="H62" s="178"/>
    </row>
    <row r="63" spans="1:14" ht="15.75" hidden="1" customHeight="1" x14ac:dyDescent="0.25">
      <c r="A63" s="182" t="s">
        <v>157</v>
      </c>
      <c r="B63" s="183"/>
      <c r="C63" s="184" t="s">
        <v>184</v>
      </c>
      <c r="D63" s="185"/>
      <c r="E63" s="185"/>
      <c r="F63" s="185"/>
      <c r="G63" s="185"/>
      <c r="H63" s="186"/>
      <c r="I63" s="48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Excavation work Completed. Plinth work completed, RCC upto 21 Slab, Brickwork upto 20 Floor, Internal Plaster upto 17 Floor, External Plaster upto 15 Floor Completed</v>
      </c>
      <c r="J63" s="15"/>
    </row>
    <row r="64" spans="1:14" hidden="1" x14ac:dyDescent="0.25">
      <c r="A64" s="68" t="s">
        <v>159</v>
      </c>
      <c r="B64" s="69">
        <v>1</v>
      </c>
      <c r="C64" s="69" t="s">
        <v>77</v>
      </c>
      <c r="D64" s="69">
        <v>1</v>
      </c>
      <c r="E64" s="69" t="s">
        <v>76</v>
      </c>
      <c r="F64" s="69">
        <v>0</v>
      </c>
      <c r="G64" s="69" t="s">
        <v>89</v>
      </c>
      <c r="H64" s="70">
        <f ca="1">--TRIM(RIGHT(SUBSTITUTE(LEFT(C63,_xlfn.AGGREGATE(16,6,FIND({0,1,2,3,4,5,6,7,8,9},C63,ROW(INDIRECT("1:"&amp;LEN(C63)))),1))," ",REPT(" ",LEN(C63))),LEN(C63)))</f>
        <v>59</v>
      </c>
      <c r="I64" s="49"/>
      <c r="J64" s="16"/>
    </row>
    <row r="65" spans="1:12" ht="50.25" hidden="1" customHeight="1" x14ac:dyDescent="0.25">
      <c r="A65" s="180" t="s">
        <v>99</v>
      </c>
      <c r="B65" s="181"/>
      <c r="C65" s="187" t="str">
        <f ca="1">I63</f>
        <v>Excavation work Completed. Plinth work completed, RCC upto 21 Slab, Brickwork upto 20 Floor, Internal Plaster upto 17 Floor, External Plaster upto 15 Floor Completed</v>
      </c>
      <c r="D65" s="187"/>
      <c r="E65" s="187"/>
      <c r="F65" s="187"/>
      <c r="G65" s="187"/>
      <c r="H65" s="188"/>
      <c r="I65" s="49" t="s">
        <v>117</v>
      </c>
      <c r="J65" s="16"/>
    </row>
    <row r="66" spans="1:12" ht="15.75" hidden="1" customHeight="1" x14ac:dyDescent="0.25">
      <c r="A66" s="123" t="s">
        <v>52</v>
      </c>
      <c r="B66" s="124"/>
      <c r="C66" s="64" t="s">
        <v>156</v>
      </c>
      <c r="D66" s="81" t="s">
        <v>92</v>
      </c>
      <c r="E66" s="124" t="s">
        <v>94</v>
      </c>
      <c r="F66" s="124"/>
      <c r="G66" s="124" t="s">
        <v>93</v>
      </c>
      <c r="H66" s="179"/>
      <c r="I66" s="71" t="s">
        <v>158</v>
      </c>
      <c r="J66" s="17">
        <f ca="1">H64*25%</f>
        <v>14.75</v>
      </c>
    </row>
    <row r="67" spans="1:12" hidden="1" x14ac:dyDescent="0.25">
      <c r="A67" s="123" t="s">
        <v>145</v>
      </c>
      <c r="B67" s="124"/>
      <c r="C67" s="72">
        <v>59</v>
      </c>
      <c r="D67" s="83">
        <f ca="1">((100/H64)*C67)/100</f>
        <v>1</v>
      </c>
      <c r="E67" s="162">
        <f ca="1">(((C68/H64*10)+(40/(D64+F64+H64)*C69)+(7.5/(H64)*C70)+(7.5/(H64)*C71)+(10/H64*C72)+(10/H64*C73)+(5/H64*C74)+(5/H64*C75)+(5/H64*C76))/100)</f>
        <v>0.31245762711864405</v>
      </c>
      <c r="F67" s="162"/>
      <c r="G67" s="162">
        <f ca="1">((((C67/H64)*20)+((C68/H64)*25)+(30/(H64+F64+D64)*C69)+(5/H64*C70)+(5/H64*C71)+(5/H64*C72)+(5/H64*C73)+(0/H64*C74)+(0/H64*C75)+(5/H64*C76))/100)</f>
        <v>0.59906779661016951</v>
      </c>
      <c r="H67" s="164"/>
      <c r="I67" s="71" t="s">
        <v>112</v>
      </c>
      <c r="J67" s="73">
        <f ca="1">H64*50%</f>
        <v>29.5</v>
      </c>
    </row>
    <row r="68" spans="1:12" hidden="1" x14ac:dyDescent="0.25">
      <c r="A68" s="123" t="s">
        <v>53</v>
      </c>
      <c r="B68" s="124"/>
      <c r="C68" s="74">
        <v>59</v>
      </c>
      <c r="D68" s="83">
        <f ca="1">((100/H64)*C68)/100</f>
        <v>1</v>
      </c>
      <c r="E68" s="162"/>
      <c r="F68" s="162"/>
      <c r="G68" s="162"/>
      <c r="H68" s="164"/>
      <c r="I68" s="71" t="s">
        <v>113</v>
      </c>
      <c r="J68" s="73">
        <f ca="1">H64</f>
        <v>59</v>
      </c>
    </row>
    <row r="69" spans="1:12" ht="15.75" hidden="1" customHeight="1" x14ac:dyDescent="0.25">
      <c r="A69" s="123" t="s">
        <v>146</v>
      </c>
      <c r="B69" s="124"/>
      <c r="C69" s="74">
        <v>21</v>
      </c>
      <c r="D69" s="83">
        <f ca="1">((100/(D64+F64+H64))*C69)/100</f>
        <v>0.35</v>
      </c>
      <c r="E69" s="162"/>
      <c r="F69" s="162"/>
      <c r="G69" s="162"/>
      <c r="H69" s="164"/>
      <c r="I69" s="71" t="s">
        <v>114</v>
      </c>
      <c r="J69" s="75">
        <f ca="1">(IF(B64&gt;1,(H64/(B64+2)),H64/4))</f>
        <v>14.75</v>
      </c>
    </row>
    <row r="70" spans="1:12" ht="15.75" hidden="1" customHeight="1" x14ac:dyDescent="0.25">
      <c r="A70" s="123" t="s">
        <v>153</v>
      </c>
      <c r="B70" s="124" t="s">
        <v>147</v>
      </c>
      <c r="C70" s="74">
        <f>C69-1</f>
        <v>20</v>
      </c>
      <c r="D70" s="83">
        <f ca="1">((100/H64)*C70)/100</f>
        <v>0.33898305084745756</v>
      </c>
      <c r="E70" s="162"/>
      <c r="F70" s="162"/>
      <c r="G70" s="162"/>
      <c r="H70" s="164"/>
      <c r="I70" s="71" t="s">
        <v>115</v>
      </c>
      <c r="J70" s="75">
        <f ca="1">(IF(B64&gt;1,(H64/(B64+2)+J69),H64/4+J69))</f>
        <v>29.5</v>
      </c>
    </row>
    <row r="71" spans="1:12" ht="15.75" hidden="1" customHeight="1" x14ac:dyDescent="0.25">
      <c r="A71" s="123" t="s">
        <v>154</v>
      </c>
      <c r="B71" s="124" t="s">
        <v>147</v>
      </c>
      <c r="C71" s="74">
        <f>C70*0.85</f>
        <v>17</v>
      </c>
      <c r="D71" s="83">
        <f ca="1">((100/H64)*C71)/100</f>
        <v>0.28813559322033894</v>
      </c>
      <c r="E71" s="162"/>
      <c r="F71" s="162"/>
      <c r="G71" s="162"/>
      <c r="H71" s="164"/>
      <c r="I71" s="71" t="s">
        <v>163</v>
      </c>
      <c r="J71" s="75">
        <f>(IF(B64&gt;1,(H64/(B64+2)+J70),0))</f>
        <v>0</v>
      </c>
    </row>
    <row r="72" spans="1:12" ht="15" hidden="1" customHeight="1" x14ac:dyDescent="0.25">
      <c r="A72" s="123" t="s">
        <v>152</v>
      </c>
      <c r="B72" s="124" t="s">
        <v>149</v>
      </c>
      <c r="C72" s="74">
        <f>C70*0.75</f>
        <v>15</v>
      </c>
      <c r="D72" s="83">
        <f ca="1">((100/(H64))*C72)/100</f>
        <v>0.25423728813559321</v>
      </c>
      <c r="E72" s="162"/>
      <c r="F72" s="162"/>
      <c r="G72" s="162"/>
      <c r="H72" s="164"/>
      <c r="I72" s="71" t="s">
        <v>160</v>
      </c>
      <c r="J72" s="75">
        <f>(IF(B64&gt;2,(H64/(B64+2)+J71),0))</f>
        <v>0</v>
      </c>
    </row>
    <row r="73" spans="1:12" ht="15.75" hidden="1" customHeight="1" x14ac:dyDescent="0.25">
      <c r="A73" s="123" t="s">
        <v>148</v>
      </c>
      <c r="B73" s="124" t="s">
        <v>148</v>
      </c>
      <c r="C73" s="72">
        <v>0</v>
      </c>
      <c r="D73" s="83">
        <f ca="1">((100/H64)*C73)/100</f>
        <v>0</v>
      </c>
      <c r="E73" s="162"/>
      <c r="F73" s="162"/>
      <c r="G73" s="162"/>
      <c r="H73" s="164"/>
      <c r="I73" s="71" t="s">
        <v>161</v>
      </c>
      <c r="J73" s="76">
        <f>(IF(B64&gt;3,(H64/(B64+2)+J72),0))</f>
        <v>0</v>
      </c>
    </row>
    <row r="74" spans="1:12" ht="15.75" hidden="1" customHeight="1" x14ac:dyDescent="0.25">
      <c r="A74" s="123" t="s">
        <v>155</v>
      </c>
      <c r="B74" s="124"/>
      <c r="C74" s="72">
        <v>0</v>
      </c>
      <c r="D74" s="83">
        <f ca="1">((100/H64)*C74)/100</f>
        <v>0</v>
      </c>
      <c r="E74" s="162"/>
      <c r="F74" s="162"/>
      <c r="G74" s="162"/>
      <c r="H74" s="164"/>
      <c r="I74" s="71" t="s">
        <v>162</v>
      </c>
      <c r="J74" s="75">
        <f>(IF(B64&gt;4,(H64/(B64+2)+J73),0))</f>
        <v>0</v>
      </c>
      <c r="L74" s="85" t="s">
        <v>219</v>
      </c>
    </row>
    <row r="75" spans="1:12" ht="15.75" hidden="1" customHeight="1" x14ac:dyDescent="0.25">
      <c r="A75" s="123" t="s">
        <v>150</v>
      </c>
      <c r="B75" s="124" t="s">
        <v>150</v>
      </c>
      <c r="C75" s="72">
        <v>0</v>
      </c>
      <c r="D75" s="83">
        <f ca="1">((100/(H64))*C75)/100</f>
        <v>0</v>
      </c>
      <c r="E75" s="162"/>
      <c r="F75" s="162"/>
      <c r="G75" s="162"/>
      <c r="H75" s="164"/>
      <c r="I75" s="71" t="s">
        <v>164</v>
      </c>
      <c r="J75" s="75">
        <f ca="1">(IF(B64=1,(H64/(B64+3)+J70),IF(B64=0,(H64/4+J70),IF(B64&gt;1,0))))</f>
        <v>44.25</v>
      </c>
      <c r="L75" s="3" t="s">
        <v>222</v>
      </c>
    </row>
    <row r="76" spans="1:12" ht="16.5" hidden="1" thickBot="1" x14ac:dyDescent="0.3">
      <c r="A76" s="166" t="s">
        <v>151</v>
      </c>
      <c r="B76" s="167"/>
      <c r="C76" s="77">
        <v>0</v>
      </c>
      <c r="D76" s="84">
        <f ca="1">((100/(H64))*C76)/100</f>
        <v>0</v>
      </c>
      <c r="E76" s="163"/>
      <c r="F76" s="163"/>
      <c r="G76" s="163"/>
      <c r="H76" s="165"/>
      <c r="I76" s="78" t="s">
        <v>116</v>
      </c>
      <c r="J76" s="79">
        <f ca="1">(IF(B64&gt;1.5,(H64/(B64+2)+J70+MAX(0,J71-J70)+MAX(0,J72-J71)+MAX(0,J73-J72)+MAX(0,J74-J73)+MAX(0,J75-J74)),IF(B64=1,(H64/(B64+3)+J75),IF(B64=0,H64/4+J75))))</f>
        <v>59</v>
      </c>
    </row>
    <row r="77" spans="1:12" ht="15.75" customHeight="1" x14ac:dyDescent="0.25">
      <c r="A77" s="182" t="s">
        <v>220</v>
      </c>
      <c r="B77" s="183"/>
      <c r="C77" s="184" t="s">
        <v>225</v>
      </c>
      <c r="D77" s="185"/>
      <c r="E77" s="185"/>
      <c r="F77" s="185"/>
      <c r="G77" s="185"/>
      <c r="H77" s="186"/>
      <c r="I77" s="48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Slab",IF(C83&gt;0,", RCC upto "&amp;C83&amp;" Slab",""))&amp;(IF(C84=H78,", Brickwork",IF(C84&gt;0,", Brickwork upto "&amp;C84&amp;" Floor",""))&amp;(IF(C85=H78,", Internal Plaster",IF(C85&gt;0,", Internal Plaster upto "&amp;C85&amp;" Floor",""))&amp;(IF(C86=H78,", External Plaster",IF(C86&gt;0,", External Plaster upto "&amp;C86&amp;" Floor",""))&amp;(IF(C87=H78,", Flooring",IF(C87&gt;0,", Flooring upto "&amp;C87&amp;" Floor",""))&amp;(IF(C88=H78,", Painting",IF(C88&gt;0,", Painting upto "&amp;C88&amp;" Floor",""))&amp;(IF(C89&gt;0,", Finishing upto "&amp;C89&amp;" Floor","")&amp;(IF(C83&gt;0.5," Completed",""))))))))))))))</f>
        <v>Excavation work Completed. Plinth work completed, RCC upto 31 Slab, Brickwork upto 30 Floor, Internal Plaster upto 22.5 Floor, External Plaster upto 19.5 Floor Completed</v>
      </c>
      <c r="J77" s="15"/>
    </row>
    <row r="78" spans="1:12" x14ac:dyDescent="0.25">
      <c r="A78" s="68" t="s">
        <v>159</v>
      </c>
      <c r="B78" s="69">
        <v>0</v>
      </c>
      <c r="C78" s="69" t="s">
        <v>77</v>
      </c>
      <c r="D78" s="69">
        <v>1</v>
      </c>
      <c r="E78" s="69" t="s">
        <v>76</v>
      </c>
      <c r="F78" s="69">
        <v>0</v>
      </c>
      <c r="G78" s="69" t="s">
        <v>89</v>
      </c>
      <c r="H78" s="70">
        <f ca="1">--TRIM(RIGHT(SUBSTITUTE(LEFT(C77,_xlfn.AGGREGATE(16,6,FIND({0,1,2,3,4,5,6,7,8,9},C77,ROW(INDIRECT("1:"&amp;LEN(C77)))),1))," ",REPT(" ",LEN(C77))),LEN(C77)))</f>
        <v>59</v>
      </c>
      <c r="I78" s="49"/>
      <c r="J78" s="16"/>
    </row>
    <row r="79" spans="1:12" ht="50.25" customHeight="1" x14ac:dyDescent="0.25">
      <c r="A79" s="180" t="s">
        <v>99</v>
      </c>
      <c r="B79" s="181"/>
      <c r="C79" s="187" t="str">
        <f ca="1">I77</f>
        <v>Excavation work Completed. Plinth work completed, RCC upto 31 Slab, Brickwork upto 30 Floor, Internal Plaster upto 22.5 Floor, External Plaster upto 19.5 Floor Completed</v>
      </c>
      <c r="D79" s="187"/>
      <c r="E79" s="187"/>
      <c r="F79" s="187"/>
      <c r="G79" s="187"/>
      <c r="H79" s="188"/>
      <c r="I79" s="49" t="s">
        <v>117</v>
      </c>
      <c r="J79" s="16"/>
    </row>
    <row r="80" spans="1:12" ht="15.75" customHeight="1" x14ac:dyDescent="0.25">
      <c r="A80" s="123" t="s">
        <v>52</v>
      </c>
      <c r="B80" s="124"/>
      <c r="C80" s="64" t="s">
        <v>156</v>
      </c>
      <c r="D80" s="58" t="s">
        <v>92</v>
      </c>
      <c r="E80" s="124" t="s">
        <v>94</v>
      </c>
      <c r="F80" s="124"/>
      <c r="G80" s="124" t="s">
        <v>93</v>
      </c>
      <c r="H80" s="179"/>
      <c r="I80" s="71" t="s">
        <v>158</v>
      </c>
      <c r="J80" s="17">
        <f ca="1">H78*25%</f>
        <v>14.75</v>
      </c>
    </row>
    <row r="81" spans="1:10" x14ac:dyDescent="0.25">
      <c r="A81" s="123" t="s">
        <v>145</v>
      </c>
      <c r="B81" s="124"/>
      <c r="C81" s="72">
        <v>59</v>
      </c>
      <c r="D81" s="59">
        <f ca="1">((100/H78)*C81)/100</f>
        <v>1</v>
      </c>
      <c r="E81" s="162">
        <f ca="1">(((C82/H78*10)+(40/(D78+F78+H78)*C83)+(7.5/(H78)*C84)+(7.5/(H78)*C85)+(10/H78*C86)+(10/H78*C87)+(5/H78*C88)+(5/H78*C89)+(5/H78*C90))/100)</f>
        <v>0.406454802259887</v>
      </c>
      <c r="F81" s="162"/>
      <c r="G81" s="162">
        <f ca="1">((((C81/H78)*20)+((C82/H78)*25)+(30/(H78+F78+D78)*C83)+(5/H78*C84)+(5/H78*C85)+(5/H78*C86)+(5/H78*C87)+(0/H78*C88)+(0/H78*C89)+(5/H78*C90))/100)</f>
        <v>0.66601694915254239</v>
      </c>
      <c r="H81" s="164"/>
      <c r="I81" s="71" t="s">
        <v>112</v>
      </c>
      <c r="J81" s="73">
        <f ca="1">H78*50%</f>
        <v>29.5</v>
      </c>
    </row>
    <row r="82" spans="1:10" x14ac:dyDescent="0.25">
      <c r="A82" s="123" t="s">
        <v>53</v>
      </c>
      <c r="B82" s="124"/>
      <c r="C82" s="74">
        <v>59</v>
      </c>
      <c r="D82" s="59">
        <f ca="1">((100/H78)*C82)/100</f>
        <v>1</v>
      </c>
      <c r="E82" s="162"/>
      <c r="F82" s="162"/>
      <c r="G82" s="162"/>
      <c r="H82" s="164"/>
      <c r="I82" s="71" t="s">
        <v>113</v>
      </c>
      <c r="J82" s="73">
        <f ca="1">H78</f>
        <v>59</v>
      </c>
    </row>
    <row r="83" spans="1:10" ht="15.75" customHeight="1" x14ac:dyDescent="0.25">
      <c r="A83" s="123" t="s">
        <v>146</v>
      </c>
      <c r="B83" s="124"/>
      <c r="C83" s="74">
        <v>31</v>
      </c>
      <c r="D83" s="59">
        <f ca="1">((100/(D78+F78+H78))*C83)/100</f>
        <v>0.51666666666666672</v>
      </c>
      <c r="E83" s="162"/>
      <c r="F83" s="162"/>
      <c r="G83" s="162"/>
      <c r="H83" s="164"/>
      <c r="I83" s="71" t="s">
        <v>114</v>
      </c>
      <c r="J83" s="75">
        <f ca="1">(IF(B78&gt;1,(H78/(B78+2)),H78/4))</f>
        <v>14.75</v>
      </c>
    </row>
    <row r="84" spans="1:10" ht="15.75" customHeight="1" x14ac:dyDescent="0.25">
      <c r="A84" s="123" t="s">
        <v>153</v>
      </c>
      <c r="B84" s="124" t="s">
        <v>147</v>
      </c>
      <c r="C84" s="74">
        <f>C83-1</f>
        <v>30</v>
      </c>
      <c r="D84" s="59">
        <f ca="1">((100/H78)*C84)/100</f>
        <v>0.50847457627118642</v>
      </c>
      <c r="E84" s="162"/>
      <c r="F84" s="162"/>
      <c r="G84" s="162"/>
      <c r="H84" s="164"/>
      <c r="I84" s="71" t="s">
        <v>115</v>
      </c>
      <c r="J84" s="75">
        <f ca="1">(IF(B78&gt;1,(H78/(B78+2)+J83),H78/4+J83))</f>
        <v>29.5</v>
      </c>
    </row>
    <row r="85" spans="1:10" ht="15.75" customHeight="1" x14ac:dyDescent="0.25">
      <c r="A85" s="123" t="s">
        <v>154</v>
      </c>
      <c r="B85" s="124" t="s">
        <v>147</v>
      </c>
      <c r="C85" s="74">
        <f>C84*0.75</f>
        <v>22.5</v>
      </c>
      <c r="D85" s="59">
        <f ca="1">((100/H78)*C85)/100</f>
        <v>0.38135593220338981</v>
      </c>
      <c r="E85" s="162"/>
      <c r="F85" s="162"/>
      <c r="G85" s="162"/>
      <c r="H85" s="164"/>
      <c r="I85" s="71" t="s">
        <v>163</v>
      </c>
      <c r="J85" s="75">
        <f>(IF(B78&gt;1,(H78/(B78+2)+J84),0))</f>
        <v>0</v>
      </c>
    </row>
    <row r="86" spans="1:10" ht="15" customHeight="1" x14ac:dyDescent="0.25">
      <c r="A86" s="123" t="s">
        <v>152</v>
      </c>
      <c r="B86" s="124" t="s">
        <v>149</v>
      </c>
      <c r="C86" s="74">
        <f>C84*0.65</f>
        <v>19.5</v>
      </c>
      <c r="D86" s="59">
        <f ca="1">((100/(H78))*C86)/100</f>
        <v>0.33050847457627114</v>
      </c>
      <c r="E86" s="162"/>
      <c r="F86" s="162"/>
      <c r="G86" s="162"/>
      <c r="H86" s="164"/>
      <c r="I86" s="71" t="s">
        <v>160</v>
      </c>
      <c r="J86" s="75">
        <f>(IF(B78&gt;2,(H78/(B78+2)+J85),0))</f>
        <v>0</v>
      </c>
    </row>
    <row r="87" spans="1:10" ht="15.75" customHeight="1" x14ac:dyDescent="0.25">
      <c r="A87" s="123" t="s">
        <v>148</v>
      </c>
      <c r="B87" s="124" t="s">
        <v>148</v>
      </c>
      <c r="C87" s="72">
        <v>0</v>
      </c>
      <c r="D87" s="59">
        <f ca="1">((100/H78)*C87)/100</f>
        <v>0</v>
      </c>
      <c r="E87" s="162"/>
      <c r="F87" s="162"/>
      <c r="G87" s="162"/>
      <c r="H87" s="164"/>
      <c r="I87" s="71" t="s">
        <v>161</v>
      </c>
      <c r="J87" s="76">
        <f>(IF(B78&gt;3,(H78/(B78+2)+J86),0))</f>
        <v>0</v>
      </c>
    </row>
    <row r="88" spans="1:10" ht="15.75" customHeight="1" x14ac:dyDescent="0.25">
      <c r="A88" s="123" t="s">
        <v>155</v>
      </c>
      <c r="B88" s="124"/>
      <c r="C88" s="72">
        <v>0</v>
      </c>
      <c r="D88" s="59">
        <f ca="1">((100/H78)*C88)/100</f>
        <v>0</v>
      </c>
      <c r="E88" s="162"/>
      <c r="F88" s="162"/>
      <c r="G88" s="162"/>
      <c r="H88" s="164"/>
      <c r="I88" s="71" t="s">
        <v>162</v>
      </c>
      <c r="J88" s="75">
        <f>(IF(B78&gt;4,(H78/(B78+2)+J87),0))</f>
        <v>0</v>
      </c>
    </row>
    <row r="89" spans="1:10" ht="15.75" customHeight="1" x14ac:dyDescent="0.25">
      <c r="A89" s="123" t="s">
        <v>150</v>
      </c>
      <c r="B89" s="124" t="s">
        <v>150</v>
      </c>
      <c r="C89" s="72">
        <v>0</v>
      </c>
      <c r="D89" s="59">
        <f ca="1">((100/(H78))*C89)/100</f>
        <v>0</v>
      </c>
      <c r="E89" s="162"/>
      <c r="F89" s="162"/>
      <c r="G89" s="162"/>
      <c r="H89" s="164"/>
      <c r="I89" s="71" t="s">
        <v>164</v>
      </c>
      <c r="J89" s="75">
        <f ca="1">(IF(B78=1,(H78/(B78+3)+J84),IF(B78=0,(H78/4+J84),IF(B78&gt;1,0))))</f>
        <v>44.25</v>
      </c>
    </row>
    <row r="90" spans="1:10" ht="16.5" thickBot="1" x14ac:dyDescent="0.3">
      <c r="A90" s="166" t="s">
        <v>151</v>
      </c>
      <c r="B90" s="167"/>
      <c r="C90" s="77">
        <v>0</v>
      </c>
      <c r="D90" s="60">
        <f ca="1">((100/(H78))*C90)/100</f>
        <v>0</v>
      </c>
      <c r="E90" s="163"/>
      <c r="F90" s="163"/>
      <c r="G90" s="163"/>
      <c r="H90" s="165"/>
      <c r="I90" s="78" t="s">
        <v>116</v>
      </c>
      <c r="J90" s="79">
        <f ca="1">(IF(B78&gt;1.5,(H78/(B78+2)+J84+MAX(0,J85-J84)+MAX(0,J86-J85)+MAX(0,J87-J86)+MAX(0,J88-J87)+MAX(0,J89-J88)),IF(B78=1,(H78/(B78+3)+J89),IF(B78=0,H78/4+J89))))</f>
        <v>59</v>
      </c>
    </row>
    <row r="91" spans="1:10" ht="15.75" customHeight="1" x14ac:dyDescent="0.25">
      <c r="A91" s="182" t="s">
        <v>157</v>
      </c>
      <c r="B91" s="183"/>
      <c r="C91" s="184" t="s">
        <v>227</v>
      </c>
      <c r="D91" s="185"/>
      <c r="E91" s="185"/>
      <c r="F91" s="185"/>
      <c r="G91" s="185"/>
      <c r="H91" s="186"/>
      <c r="I91" s="48" t="str">
        <f ca="1">(IF(E95&gt;99%,"All work completed. Please provide OC.",IF(E95&gt;89.8%,"Plinth, RCC, Brick, Plaster, Flooring, Painting work Completed. Finishing work is in process.",IF(E95&lt;94%,(IF(C95=0,"Work not yet Started.",IF(D95=25%,"Piling work in process",IF(D95=50%,"Excavation work in process",IF(D95=100%,"Excavation work Completed. ","0")))&amp;(IF(C96=0%,"",IF(C96=J97,"Footing work is process",IF(C96=J98,"Footing work Completed",IF(C96=J99,"1st Basement Completed",IF(C96=J100,"1st &amp; 2nd Basement Completed",IF(C96=J101,"1st to 3rd Basement Completed",IF(C96=J102,"1st to 4th Basement Completed",IF(C96=J103,"Plinth work is process",IF(C96=J104,"Plinth work completed","0")))))))))))&amp;(IF(C97=(D92+F92+H92),", RCC Slab",IF(C97&gt;0,", RCC upto "&amp;C97&amp;" Slab",""))&amp;(IF(C98=H92,", Brickwork",IF(C98&gt;0,", Brickwork upto "&amp;C98&amp;" Floor",""))&amp;(IF(C99=H92,", Internal Plaster",IF(C99&gt;0,", Internal Plaster upto "&amp;C99&amp;" Floor",""))&amp;(IF(C100=H92,", External Plaster",IF(C100&gt;0,", External Plaster upto "&amp;C100&amp;" Floor",""))&amp;(IF(C101=H92,", Flooring",IF(C101&gt;0,", Flooring upto "&amp;C101&amp;" Floor",""))&amp;(IF(C102=H92,", Painting",IF(C102&gt;0,", Painting upto "&amp;C102&amp;" Floor",""))&amp;(IF(C103&gt;0,", Finishing upto "&amp;C103&amp;" Floor","")&amp;(IF(C97&gt;0.5," Completed",""))))))))))))))</f>
        <v>Excavation work Completed. Plinth work completed, RCC upto 25 Slab, Brickwork upto 24 Floor, Internal Plaster upto 17 Floor, External Plaster upto 15 Floor Completed</v>
      </c>
      <c r="J91" s="15"/>
    </row>
    <row r="92" spans="1:10" x14ac:dyDescent="0.25">
      <c r="A92" s="68" t="s">
        <v>159</v>
      </c>
      <c r="B92" s="69">
        <v>0</v>
      </c>
      <c r="C92" s="69" t="s">
        <v>77</v>
      </c>
      <c r="D92" s="69">
        <v>1</v>
      </c>
      <c r="E92" s="69" t="s">
        <v>76</v>
      </c>
      <c r="F92" s="69">
        <v>0</v>
      </c>
      <c r="G92" s="69" t="s">
        <v>89</v>
      </c>
      <c r="H92" s="70">
        <f ca="1">--TRIM(RIGHT(SUBSTITUTE(LEFT(C91,_xlfn.AGGREGATE(16,6,FIND({0,1,2,3,4,5,6,7,8,9},C91,ROW(INDIRECT("1:"&amp;LEN(C91)))),1))," ",REPT(" ",LEN(C91))),LEN(C91)))</f>
        <v>59</v>
      </c>
      <c r="I92" s="49"/>
      <c r="J92" s="16"/>
    </row>
    <row r="93" spans="1:10" ht="50.25" customHeight="1" x14ac:dyDescent="0.25">
      <c r="A93" s="180" t="s">
        <v>99</v>
      </c>
      <c r="B93" s="181"/>
      <c r="C93" s="187" t="str">
        <f ca="1">I91</f>
        <v>Excavation work Completed. Plinth work completed, RCC upto 25 Slab, Brickwork upto 24 Floor, Internal Plaster upto 17 Floor, External Plaster upto 15 Floor Completed</v>
      </c>
      <c r="D93" s="187"/>
      <c r="E93" s="187"/>
      <c r="F93" s="187"/>
      <c r="G93" s="187"/>
      <c r="H93" s="188"/>
      <c r="I93" s="49" t="s">
        <v>117</v>
      </c>
      <c r="J93" s="16"/>
    </row>
    <row r="94" spans="1:10" ht="15.75" customHeight="1" x14ac:dyDescent="0.25">
      <c r="A94" s="123" t="s">
        <v>52</v>
      </c>
      <c r="B94" s="124"/>
      <c r="C94" s="64" t="s">
        <v>156</v>
      </c>
      <c r="D94" s="81" t="s">
        <v>92</v>
      </c>
      <c r="E94" s="124" t="s">
        <v>94</v>
      </c>
      <c r="F94" s="124"/>
      <c r="G94" s="124" t="s">
        <v>93</v>
      </c>
      <c r="H94" s="179"/>
      <c r="I94" s="71" t="s">
        <v>158</v>
      </c>
      <c r="J94" s="17">
        <f ca="1">H92*25%</f>
        <v>14.75</v>
      </c>
    </row>
    <row r="95" spans="1:10" x14ac:dyDescent="0.25">
      <c r="A95" s="123" t="s">
        <v>145</v>
      </c>
      <c r="B95" s="124"/>
      <c r="C95" s="72">
        <v>59</v>
      </c>
      <c r="D95" s="83">
        <f ca="1">((100/H92)*C95)/100</f>
        <v>1</v>
      </c>
      <c r="E95" s="162">
        <f ca="1">(((C96/H92*10)+(40/(D92+F92+H92)*C97)+(7.5/(H92)*C98)+(7.5/(H92)*C99)+(10/H92*C100)+(10/H92*C101)+(5/H92*C102)+(5/H92*C103)+(5/H92*C104))/100)</f>
        <v>0.34420903954802257</v>
      </c>
      <c r="F95" s="162"/>
      <c r="G95" s="162">
        <f ca="1">((((C95/H92)*20)+((C96/H92)*25)+(30/(H92+F92+D92)*C97)+(5/H92*C98)+(5/H92*C99)+(5/H92*C100)+(5/H92*C101)+(0/H92*C102)+(0/H92*C103)+(5/H92*C104))/100)</f>
        <v>0.62245762711864405</v>
      </c>
      <c r="H95" s="164"/>
      <c r="I95" s="71" t="s">
        <v>112</v>
      </c>
      <c r="J95" s="73">
        <f ca="1">H92*50%</f>
        <v>29.5</v>
      </c>
    </row>
    <row r="96" spans="1:10" x14ac:dyDescent="0.25">
      <c r="A96" s="123" t="s">
        <v>53</v>
      </c>
      <c r="B96" s="124"/>
      <c r="C96" s="74">
        <v>59</v>
      </c>
      <c r="D96" s="83">
        <f ca="1">((100/H92)*C96)/100</f>
        <v>1</v>
      </c>
      <c r="E96" s="162"/>
      <c r="F96" s="162"/>
      <c r="G96" s="162"/>
      <c r="H96" s="164"/>
      <c r="I96" s="71" t="s">
        <v>113</v>
      </c>
      <c r="J96" s="73">
        <f ca="1">H92</f>
        <v>59</v>
      </c>
    </row>
    <row r="97" spans="1:10" ht="15.75" customHeight="1" x14ac:dyDescent="0.25">
      <c r="A97" s="123" t="s">
        <v>146</v>
      </c>
      <c r="B97" s="124"/>
      <c r="C97" s="74">
        <v>25</v>
      </c>
      <c r="D97" s="83">
        <f ca="1">((100/(D92+F92+H92))*C97)/100</f>
        <v>0.41666666666666674</v>
      </c>
      <c r="E97" s="162"/>
      <c r="F97" s="162"/>
      <c r="G97" s="162"/>
      <c r="H97" s="164"/>
      <c r="I97" s="71" t="s">
        <v>114</v>
      </c>
      <c r="J97" s="75">
        <f ca="1">(IF(B92&gt;1,(H92/(B92+2)),H92/4))</f>
        <v>14.75</v>
      </c>
    </row>
    <row r="98" spans="1:10" ht="15.75" customHeight="1" x14ac:dyDescent="0.25">
      <c r="A98" s="123" t="s">
        <v>153</v>
      </c>
      <c r="B98" s="124" t="s">
        <v>147</v>
      </c>
      <c r="C98" s="74">
        <f>C97-1</f>
        <v>24</v>
      </c>
      <c r="D98" s="83">
        <f ca="1">((100/H92)*C98)/100</f>
        <v>0.40677966101694912</v>
      </c>
      <c r="E98" s="162"/>
      <c r="F98" s="162"/>
      <c r="G98" s="162"/>
      <c r="H98" s="164"/>
      <c r="I98" s="71" t="s">
        <v>115</v>
      </c>
      <c r="J98" s="75">
        <f ca="1">(IF(B92&gt;1,(H92/(B92+2)+J97),H92/4+J97))</f>
        <v>29.5</v>
      </c>
    </row>
    <row r="99" spans="1:10" ht="15.75" customHeight="1" x14ac:dyDescent="0.25">
      <c r="A99" s="123" t="s">
        <v>154</v>
      </c>
      <c r="B99" s="124" t="s">
        <v>147</v>
      </c>
      <c r="C99" s="74">
        <v>17</v>
      </c>
      <c r="D99" s="83">
        <f ca="1">((100/H92)*C99)/100</f>
        <v>0.28813559322033894</v>
      </c>
      <c r="E99" s="162"/>
      <c r="F99" s="162"/>
      <c r="G99" s="162"/>
      <c r="H99" s="164"/>
      <c r="I99" s="71" t="s">
        <v>163</v>
      </c>
      <c r="J99" s="75">
        <f>(IF(B92&gt;1,(H92/(B92+2)+J98),0))</f>
        <v>0</v>
      </c>
    </row>
    <row r="100" spans="1:10" ht="15" customHeight="1" x14ac:dyDescent="0.25">
      <c r="A100" s="123" t="s">
        <v>152</v>
      </c>
      <c r="B100" s="124" t="s">
        <v>149</v>
      </c>
      <c r="C100" s="74">
        <v>15</v>
      </c>
      <c r="D100" s="83">
        <f ca="1">((100/(H92))*C100)/100</f>
        <v>0.25423728813559321</v>
      </c>
      <c r="E100" s="162"/>
      <c r="F100" s="162"/>
      <c r="G100" s="162"/>
      <c r="H100" s="164"/>
      <c r="I100" s="71" t="s">
        <v>160</v>
      </c>
      <c r="J100" s="75">
        <f>(IF(B92&gt;2,(H92/(B92+2)+J99),0))</f>
        <v>0</v>
      </c>
    </row>
    <row r="101" spans="1:10" ht="15.75" customHeight="1" x14ac:dyDescent="0.25">
      <c r="A101" s="123" t="s">
        <v>148</v>
      </c>
      <c r="B101" s="124" t="s">
        <v>148</v>
      </c>
      <c r="C101" s="72">
        <v>0</v>
      </c>
      <c r="D101" s="83">
        <f ca="1">((100/H92)*C101)/100</f>
        <v>0</v>
      </c>
      <c r="E101" s="162"/>
      <c r="F101" s="162"/>
      <c r="G101" s="162"/>
      <c r="H101" s="164"/>
      <c r="I101" s="71" t="s">
        <v>161</v>
      </c>
      <c r="J101" s="76">
        <f>(IF(B92&gt;3,(H92/(B92+2)+J100),0))</f>
        <v>0</v>
      </c>
    </row>
    <row r="102" spans="1:10" ht="15.75" customHeight="1" x14ac:dyDescent="0.25">
      <c r="A102" s="123" t="s">
        <v>155</v>
      </c>
      <c r="B102" s="124"/>
      <c r="C102" s="72">
        <v>0</v>
      </c>
      <c r="D102" s="83">
        <f ca="1">((100/H92)*C102)/100</f>
        <v>0</v>
      </c>
      <c r="E102" s="162"/>
      <c r="F102" s="162"/>
      <c r="G102" s="162"/>
      <c r="H102" s="164"/>
      <c r="I102" s="71" t="s">
        <v>162</v>
      </c>
      <c r="J102" s="75">
        <f>(IF(B92&gt;4,(H92/(B92+2)+J101),0))</f>
        <v>0</v>
      </c>
    </row>
    <row r="103" spans="1:10" ht="15.75" customHeight="1" x14ac:dyDescent="0.25">
      <c r="A103" s="123" t="s">
        <v>150</v>
      </c>
      <c r="B103" s="124" t="s">
        <v>150</v>
      </c>
      <c r="C103" s="72">
        <v>0</v>
      </c>
      <c r="D103" s="83">
        <f ca="1">((100/(H92))*C103)/100</f>
        <v>0</v>
      </c>
      <c r="E103" s="162"/>
      <c r="F103" s="162"/>
      <c r="G103" s="162"/>
      <c r="H103" s="164"/>
      <c r="I103" s="71" t="s">
        <v>164</v>
      </c>
      <c r="J103" s="75">
        <f ca="1">(IF(B92=1,(H92/(B92+3)+J98),IF(B92=0,(H92/4+J98),IF(B92&gt;1,0))))</f>
        <v>44.25</v>
      </c>
    </row>
    <row r="104" spans="1:10" ht="16.5" thickBot="1" x14ac:dyDescent="0.3">
      <c r="A104" s="166" t="s">
        <v>151</v>
      </c>
      <c r="B104" s="167"/>
      <c r="C104" s="77">
        <v>0</v>
      </c>
      <c r="D104" s="84">
        <f ca="1">((100/(H92))*C104)/100</f>
        <v>0</v>
      </c>
      <c r="E104" s="163"/>
      <c r="F104" s="163"/>
      <c r="G104" s="163"/>
      <c r="H104" s="165"/>
      <c r="I104" s="78" t="s">
        <v>116</v>
      </c>
      <c r="J104" s="79">
        <f ca="1">(IF(B92&gt;1.5,(H92/(B92+2)+J98+MAX(0,J99-J98)+MAX(0,J100-J99)+MAX(0,J101-J100)+MAX(0,J102-J101)+MAX(0,J103-J102)),IF(B92=1,(H92/(B92+3)+J103),IF(B92=0,H92/4+J103))))</f>
        <v>59</v>
      </c>
    </row>
    <row r="105" spans="1:10" ht="33" customHeight="1" thickBot="1" x14ac:dyDescent="0.3">
      <c r="A105" s="209" t="s">
        <v>226</v>
      </c>
      <c r="B105" s="210"/>
      <c r="C105" s="213" t="s">
        <v>94</v>
      </c>
      <c r="D105" s="214"/>
      <c r="E105" s="86">
        <f ca="1">AVERAGE(E81,E95)</f>
        <v>0.37533192090395479</v>
      </c>
      <c r="F105" s="211" t="s">
        <v>93</v>
      </c>
      <c r="G105" s="212"/>
      <c r="H105" s="87">
        <f ca="1">AVERAGE(G95,G81)</f>
        <v>0.64423728813559322</v>
      </c>
      <c r="I105" s="78" t="s">
        <v>116</v>
      </c>
      <c r="J105" s="79">
        <f ca="1">(IF(B93&gt;1.5,(H93/(B93+2)+J99+MAX(0,J100-J99)+MAX(0,J101-J100)+MAX(0,J102-J101)+MAX(0,J103-J102)+MAX(0,J104-J103)),IF(B93=1,(H93/(B93+3)+J104),IF(B93=0,H93/4+J104))))</f>
        <v>59</v>
      </c>
    </row>
    <row r="106" spans="1:10" x14ac:dyDescent="0.25">
      <c r="A106" s="205" t="s">
        <v>54</v>
      </c>
      <c r="B106" s="205"/>
      <c r="C106" s="205"/>
      <c r="D106" s="205"/>
      <c r="E106" s="205"/>
      <c r="F106" s="205"/>
      <c r="G106" s="205"/>
      <c r="H106" s="205"/>
    </row>
    <row r="107" spans="1:10" x14ac:dyDescent="0.25">
      <c r="A107" s="110" t="s">
        <v>81</v>
      </c>
      <c r="B107" s="110"/>
      <c r="C107" s="110"/>
      <c r="D107" s="110"/>
      <c r="E107" s="110"/>
      <c r="F107" s="109">
        <v>13500</v>
      </c>
      <c r="G107" s="109"/>
      <c r="H107" s="109"/>
    </row>
    <row r="108" spans="1:10" x14ac:dyDescent="0.25">
      <c r="A108" s="110" t="s">
        <v>87</v>
      </c>
      <c r="B108" s="110"/>
      <c r="C108" s="110"/>
      <c r="D108" s="110"/>
      <c r="E108" s="110"/>
      <c r="F108" s="109">
        <v>22000</v>
      </c>
      <c r="G108" s="109"/>
      <c r="H108" s="109"/>
    </row>
    <row r="109" spans="1:10" hidden="1" x14ac:dyDescent="0.25">
      <c r="A109" s="110" t="s">
        <v>88</v>
      </c>
      <c r="B109" s="110"/>
      <c r="C109" s="110"/>
      <c r="D109" s="110"/>
      <c r="E109" s="110"/>
      <c r="F109" s="109"/>
      <c r="G109" s="109"/>
      <c r="H109" s="109"/>
    </row>
    <row r="110" spans="1:10" s="7" customFormat="1" hidden="1" x14ac:dyDescent="0.25">
      <c r="A110" s="110" t="s">
        <v>104</v>
      </c>
      <c r="B110" s="110"/>
      <c r="C110" s="110"/>
      <c r="D110" s="110"/>
      <c r="E110" s="110"/>
      <c r="F110" s="109" t="s">
        <v>30</v>
      </c>
      <c r="G110" s="109"/>
      <c r="H110" s="109"/>
    </row>
    <row r="111" spans="1:10" s="7" customFormat="1" hidden="1" x14ac:dyDescent="0.25">
      <c r="A111" s="110" t="s">
        <v>105</v>
      </c>
      <c r="B111" s="110"/>
      <c r="C111" s="110"/>
      <c r="D111" s="110"/>
      <c r="E111" s="110"/>
      <c r="F111" s="109" t="s">
        <v>30</v>
      </c>
      <c r="G111" s="109"/>
      <c r="H111" s="109"/>
    </row>
    <row r="112" spans="1:10" s="7" customFormat="1" hidden="1" x14ac:dyDescent="0.25">
      <c r="A112" s="110" t="s">
        <v>106</v>
      </c>
      <c r="B112" s="110"/>
      <c r="C112" s="110"/>
      <c r="D112" s="110"/>
      <c r="E112" s="110"/>
      <c r="F112" s="109" t="s">
        <v>30</v>
      </c>
      <c r="G112" s="109"/>
      <c r="H112" s="109"/>
    </row>
    <row r="113" spans="1:8" s="7" customFormat="1" hidden="1" x14ac:dyDescent="0.25">
      <c r="A113" s="110" t="s">
        <v>107</v>
      </c>
      <c r="B113" s="110"/>
      <c r="C113" s="110"/>
      <c r="D113" s="110"/>
      <c r="E113" s="110"/>
      <c r="F113" s="109" t="s">
        <v>30</v>
      </c>
      <c r="G113" s="109"/>
      <c r="H113" s="109"/>
    </row>
    <row r="114" spans="1:8" s="7" customFormat="1" hidden="1" x14ac:dyDescent="0.25">
      <c r="A114" s="110" t="s">
        <v>108</v>
      </c>
      <c r="B114" s="110"/>
      <c r="C114" s="110"/>
      <c r="D114" s="110"/>
      <c r="E114" s="110"/>
      <c r="F114" s="109" t="s">
        <v>30</v>
      </c>
      <c r="G114" s="109"/>
      <c r="H114" s="109"/>
    </row>
    <row r="115" spans="1:8" s="7" customFormat="1" hidden="1" x14ac:dyDescent="0.25">
      <c r="A115" s="110" t="s">
        <v>109</v>
      </c>
      <c r="B115" s="110"/>
      <c r="C115" s="110"/>
      <c r="D115" s="110"/>
      <c r="E115" s="110"/>
      <c r="F115" s="109" t="s">
        <v>30</v>
      </c>
      <c r="G115" s="109"/>
      <c r="H115" s="109"/>
    </row>
    <row r="116" spans="1:8" s="7" customFormat="1" hidden="1" x14ac:dyDescent="0.25">
      <c r="A116" s="110" t="s">
        <v>110</v>
      </c>
      <c r="B116" s="110"/>
      <c r="C116" s="110"/>
      <c r="D116" s="110"/>
      <c r="E116" s="110"/>
      <c r="F116" s="109" t="s">
        <v>30</v>
      </c>
      <c r="G116" s="109"/>
      <c r="H116" s="109"/>
    </row>
    <row r="117" spans="1:8" s="7" customFormat="1" hidden="1" x14ac:dyDescent="0.25">
      <c r="A117" s="110" t="s">
        <v>111</v>
      </c>
      <c r="B117" s="110"/>
      <c r="C117" s="110"/>
      <c r="D117" s="110"/>
      <c r="E117" s="110"/>
      <c r="F117" s="109" t="s">
        <v>30</v>
      </c>
      <c r="G117" s="109"/>
      <c r="H117" s="109"/>
    </row>
    <row r="118" spans="1:8" x14ac:dyDescent="0.25">
      <c r="A118" s="110" t="s">
        <v>55</v>
      </c>
      <c r="B118" s="110"/>
      <c r="C118" s="110"/>
      <c r="D118" s="110"/>
      <c r="E118" s="110"/>
      <c r="F118" s="193" t="s">
        <v>200</v>
      </c>
      <c r="G118" s="193"/>
      <c r="H118" s="193"/>
    </row>
    <row r="119" spans="1:8" s="4" customFormat="1" x14ac:dyDescent="0.25">
      <c r="A119" s="140" t="s">
        <v>56</v>
      </c>
      <c r="B119" s="140"/>
      <c r="C119" s="140"/>
      <c r="D119" s="140"/>
      <c r="E119" s="140"/>
      <c r="F119" s="109">
        <f>F107*0.8</f>
        <v>10800</v>
      </c>
      <c r="G119" s="109"/>
      <c r="H119" s="109"/>
    </row>
    <row r="120" spans="1:8" s="1" customFormat="1" ht="15.75" customHeight="1" x14ac:dyDescent="0.25">
      <c r="A120" s="192" t="s">
        <v>82</v>
      </c>
      <c r="B120" s="192"/>
      <c r="C120" s="192"/>
      <c r="D120" s="192"/>
      <c r="E120" s="192"/>
      <c r="F120" s="192"/>
      <c r="G120" s="192"/>
      <c r="H120" s="192"/>
    </row>
    <row r="121" spans="1:8" s="1" customFormat="1" ht="15.75" customHeight="1" x14ac:dyDescent="0.25">
      <c r="A121" s="119" t="s">
        <v>57</v>
      </c>
      <c r="B121" s="119"/>
      <c r="C121" s="118" t="s">
        <v>85</v>
      </c>
      <c r="D121" s="118"/>
      <c r="E121" s="131" t="s">
        <v>58</v>
      </c>
      <c r="F121" s="131"/>
      <c r="G121" s="119" t="s">
        <v>59</v>
      </c>
      <c r="H121" s="119"/>
    </row>
    <row r="122" spans="1:8" s="1" customFormat="1" x14ac:dyDescent="0.25">
      <c r="A122" s="194" t="s">
        <v>196</v>
      </c>
      <c r="B122" s="194"/>
      <c r="C122" s="133">
        <f>COUNT(D132:D140)</f>
        <v>9</v>
      </c>
      <c r="D122" s="125"/>
      <c r="E122" s="126">
        <f>SUM(D132:D140)</f>
        <v>3837.3659999999995</v>
      </c>
      <c r="F122" s="134"/>
      <c r="G122" s="126">
        <f>SUM(F132:F140)</f>
        <v>6139.7855999999992</v>
      </c>
      <c r="H122" s="134"/>
    </row>
    <row r="123" spans="1:8" s="1" customFormat="1" x14ac:dyDescent="0.25">
      <c r="A123" s="192" t="s">
        <v>75</v>
      </c>
      <c r="B123" s="192"/>
      <c r="C123" s="192"/>
      <c r="D123" s="192"/>
      <c r="E123" s="192"/>
      <c r="F123" s="192"/>
      <c r="G123" s="192"/>
      <c r="H123" s="192"/>
    </row>
    <row r="124" spans="1:8" s="1" customFormat="1" ht="15.75" customHeight="1" x14ac:dyDescent="0.25">
      <c r="A124" s="119" t="s">
        <v>57</v>
      </c>
      <c r="B124" s="119"/>
      <c r="C124" s="118" t="s">
        <v>85</v>
      </c>
      <c r="D124" s="118"/>
      <c r="E124" s="131" t="s">
        <v>58</v>
      </c>
      <c r="F124" s="131"/>
      <c r="G124" s="119" t="s">
        <v>59</v>
      </c>
      <c r="H124" s="119"/>
    </row>
    <row r="125" spans="1:8" s="1" customFormat="1" x14ac:dyDescent="0.25">
      <c r="A125" s="194" t="s">
        <v>197</v>
      </c>
      <c r="B125" s="194"/>
      <c r="C125" s="125">
        <f>COUNT(D145:D148)+COUNT(D150:D153)*15+COUNT(D156:D158)*2+COUNT(D161:D168)*9+COUNT(D172:D177)*2</f>
        <v>154</v>
      </c>
      <c r="D125" s="125"/>
      <c r="E125" s="126">
        <f>SUM(D145:D148)+SUM(D150:D153)*15+SUM(D156:D158)*2+SUM(D161:D168)*9+SUM(D172:D177)*2</f>
        <v>102212.14535999999</v>
      </c>
      <c r="F125" s="126"/>
      <c r="G125" s="126">
        <f>SUM(F145:F148)+SUM(F150:F153)*15+SUM(F156:F158)*2+SUM(F161:F168)*9+SUM(F172:F177)*2</f>
        <v>163539.43257599999</v>
      </c>
      <c r="H125" s="126"/>
    </row>
    <row r="126" spans="1:8" s="4" customFormat="1" x14ac:dyDescent="0.25">
      <c r="A126" s="132" t="s">
        <v>60</v>
      </c>
      <c r="B126" s="132"/>
      <c r="C126" s="132"/>
      <c r="D126" s="132"/>
      <c r="E126" s="132"/>
      <c r="F126" s="132"/>
      <c r="G126" s="132"/>
      <c r="H126" s="132"/>
    </row>
    <row r="127" spans="1:8" x14ac:dyDescent="0.25">
      <c r="A127" s="132" t="s">
        <v>61</v>
      </c>
      <c r="B127" s="132"/>
      <c r="C127" s="132"/>
      <c r="D127" s="132"/>
      <c r="E127" s="132"/>
      <c r="F127" s="132"/>
      <c r="G127" s="132"/>
      <c r="H127" s="132"/>
    </row>
    <row r="128" spans="1:8" ht="47.25" customHeight="1" x14ac:dyDescent="0.25">
      <c r="A128" s="111" t="s">
        <v>133</v>
      </c>
      <c r="B128" s="111" t="s">
        <v>132</v>
      </c>
      <c r="C128" s="111" t="s">
        <v>62</v>
      </c>
      <c r="D128" s="111" t="s">
        <v>63</v>
      </c>
      <c r="E128" s="127" t="s">
        <v>64</v>
      </c>
      <c r="F128" s="32" t="s">
        <v>166</v>
      </c>
      <c r="G128" s="120" t="s">
        <v>65</v>
      </c>
      <c r="H128" s="129"/>
    </row>
    <row r="129" spans="1:14" s="2" customFormat="1" x14ac:dyDescent="0.25">
      <c r="A129" s="112"/>
      <c r="B129" s="112"/>
      <c r="C129" s="112"/>
      <c r="D129" s="112"/>
      <c r="E129" s="128"/>
      <c r="F129" s="33">
        <v>0.6</v>
      </c>
      <c r="G129" s="121"/>
      <c r="H129" s="130"/>
    </row>
    <row r="130" spans="1:14" s="62" customFormat="1" x14ac:dyDescent="0.25">
      <c r="A130" s="113" t="s">
        <v>202</v>
      </c>
      <c r="B130" s="113"/>
      <c r="C130" s="113"/>
      <c r="D130" s="113"/>
      <c r="E130" s="113"/>
      <c r="F130" s="113"/>
      <c r="G130" s="113"/>
      <c r="H130" s="113"/>
      <c r="I130" s="35"/>
      <c r="L130" s="97"/>
      <c r="M130" s="97"/>
    </row>
    <row r="131" spans="1:14" s="2" customFormat="1" x14ac:dyDescent="0.25">
      <c r="A131" s="114" t="s">
        <v>203</v>
      </c>
      <c r="B131" s="115"/>
      <c r="C131" s="115"/>
      <c r="D131" s="115"/>
      <c r="E131" s="115"/>
      <c r="F131" s="115"/>
      <c r="G131" s="115"/>
      <c r="H131" s="116"/>
      <c r="J131" s="35"/>
    </row>
    <row r="132" spans="1:14" s="2" customFormat="1" ht="15.75" customHeight="1" x14ac:dyDescent="0.25">
      <c r="A132" s="95">
        <v>1</v>
      </c>
      <c r="B132" s="96"/>
      <c r="C132" s="34" t="s">
        <v>196</v>
      </c>
      <c r="D132" s="34">
        <f>85.57*10.764</f>
        <v>921.07547999999986</v>
      </c>
      <c r="E132" s="34">
        <v>0</v>
      </c>
      <c r="F132" s="34">
        <f>D132*(($F$129)+1)+(IF(E132&lt;101,E132,IF(E132&lt;201,E132/2,IF(E132&lt;=301,E132/3,E132/4))))</f>
        <v>1473.7207679999999</v>
      </c>
      <c r="G132" s="98" t="str">
        <f>A131</f>
        <v>Ground Floor for Parking</v>
      </c>
      <c r="H132" s="99"/>
      <c r="I132" s="35"/>
      <c r="L132" s="97"/>
      <c r="M132" s="97"/>
      <c r="N132" s="35"/>
    </row>
    <row r="133" spans="1:14" s="2" customFormat="1" ht="15.75" customHeight="1" x14ac:dyDescent="0.25">
      <c r="A133" s="95">
        <f t="shared" ref="A133:A140" si="0">A132+1</f>
        <v>2</v>
      </c>
      <c r="B133" s="96"/>
      <c r="C133" s="61" t="s">
        <v>196</v>
      </c>
      <c r="D133" s="34">
        <f>30.55*10.764</f>
        <v>328.84019999999998</v>
      </c>
      <c r="E133" s="47">
        <v>0</v>
      </c>
      <c r="F133" s="55">
        <f t="shared" ref="F133:F138" si="1">D133*(($F$129)+1)+(IF(E133&lt;101,E133,IF(E133&lt;201,E133/2,IF(E133&lt;=301,E133/3,E133/4))))</f>
        <v>526.14431999999999</v>
      </c>
      <c r="G133" s="100"/>
      <c r="H133" s="101"/>
      <c r="I133" s="35"/>
      <c r="L133" s="97"/>
      <c r="M133" s="97"/>
      <c r="N133" s="35"/>
    </row>
    <row r="134" spans="1:14" s="2" customFormat="1" ht="15.75" customHeight="1" x14ac:dyDescent="0.25">
      <c r="A134" s="95">
        <f t="shared" si="0"/>
        <v>3</v>
      </c>
      <c r="B134" s="96"/>
      <c r="C134" s="61" t="s">
        <v>196</v>
      </c>
      <c r="D134" s="34">
        <f>36.74*10.764</f>
        <v>395.46935999999999</v>
      </c>
      <c r="E134" s="47">
        <v>0</v>
      </c>
      <c r="F134" s="55">
        <f t="shared" si="1"/>
        <v>632.75097600000004</v>
      </c>
      <c r="G134" s="100"/>
      <c r="H134" s="101"/>
      <c r="I134" s="35"/>
      <c r="L134" s="97"/>
      <c r="M134" s="97"/>
      <c r="N134" s="35"/>
    </row>
    <row r="135" spans="1:14" s="2" customFormat="1" ht="15.75" customHeight="1" x14ac:dyDescent="0.25">
      <c r="A135" s="95">
        <f t="shared" si="0"/>
        <v>4</v>
      </c>
      <c r="B135" s="96"/>
      <c r="C135" s="61" t="s">
        <v>196</v>
      </c>
      <c r="D135" s="34">
        <f>41.73*10.764</f>
        <v>449.18171999999993</v>
      </c>
      <c r="E135" s="47">
        <v>0</v>
      </c>
      <c r="F135" s="55">
        <f t="shared" si="1"/>
        <v>718.69075199999997</v>
      </c>
      <c r="G135" s="100"/>
      <c r="H135" s="101"/>
      <c r="I135" s="35"/>
      <c r="L135" s="97"/>
      <c r="M135" s="97"/>
      <c r="N135" s="35"/>
    </row>
    <row r="136" spans="1:14" s="2" customFormat="1" ht="15.75" customHeight="1" x14ac:dyDescent="0.25">
      <c r="A136" s="95">
        <f t="shared" si="0"/>
        <v>5</v>
      </c>
      <c r="B136" s="96"/>
      <c r="C136" s="61" t="s">
        <v>196</v>
      </c>
      <c r="D136" s="34">
        <f>(5.2*3+4.3*1.3+4.65*6.35+1.65*0.3)*10.764</f>
        <v>551.25135</v>
      </c>
      <c r="E136" s="47">
        <v>0</v>
      </c>
      <c r="F136" s="55">
        <f t="shared" si="1"/>
        <v>882.00216</v>
      </c>
      <c r="G136" s="100"/>
      <c r="H136" s="101"/>
      <c r="I136" s="35"/>
      <c r="L136" s="97"/>
      <c r="M136" s="97"/>
      <c r="N136" s="35"/>
    </row>
    <row r="137" spans="1:14" s="2" customFormat="1" ht="15.75" customHeight="1" x14ac:dyDescent="0.25">
      <c r="A137" s="95">
        <f t="shared" si="0"/>
        <v>6</v>
      </c>
      <c r="B137" s="96"/>
      <c r="C137" s="61" t="s">
        <v>196</v>
      </c>
      <c r="D137" s="34">
        <f>(2.55*1.3+2.9*2.8+3.1*3.55)*10.764</f>
        <v>241.54415999999995</v>
      </c>
      <c r="E137" s="47">
        <v>0</v>
      </c>
      <c r="F137" s="55">
        <f t="shared" si="1"/>
        <v>386.47065599999996</v>
      </c>
      <c r="G137" s="100"/>
      <c r="H137" s="101"/>
      <c r="I137" s="35"/>
      <c r="L137" s="97"/>
      <c r="M137" s="97"/>
      <c r="N137" s="35"/>
    </row>
    <row r="138" spans="1:14" s="2" customFormat="1" ht="15.75" customHeight="1" x14ac:dyDescent="0.25">
      <c r="A138" s="95">
        <f t="shared" si="0"/>
        <v>7</v>
      </c>
      <c r="B138" s="96"/>
      <c r="C138" s="61" t="s">
        <v>196</v>
      </c>
      <c r="D138" s="34">
        <f>(5.1*1+3.05*3.3+1.65*3.3+5.1*3.35+1.95*0.3)*10.764</f>
        <v>412.04591999999997</v>
      </c>
      <c r="E138" s="47">
        <v>0</v>
      </c>
      <c r="F138" s="55">
        <f t="shared" si="1"/>
        <v>659.27347199999997</v>
      </c>
      <c r="G138" s="100"/>
      <c r="H138" s="101"/>
      <c r="I138" s="35"/>
      <c r="L138" s="97"/>
      <c r="M138" s="97"/>
      <c r="N138" s="35"/>
    </row>
    <row r="139" spans="1:14" s="62" customFormat="1" ht="15.75" customHeight="1" x14ac:dyDescent="0.25">
      <c r="A139" s="95">
        <f t="shared" si="0"/>
        <v>8</v>
      </c>
      <c r="B139" s="96"/>
      <c r="C139" s="61" t="s">
        <v>196</v>
      </c>
      <c r="D139" s="61">
        <f>(2.9*0.65+2.3*1.4+4.35*5.6)*10.764</f>
        <v>317.16125999999991</v>
      </c>
      <c r="E139" s="61">
        <v>0</v>
      </c>
      <c r="F139" s="61">
        <f t="shared" ref="F139:F140" si="2">D139*(($F$129)+1)+(IF(E139&lt;101,E139,IF(E139&lt;201,E139/2,IF(E139&lt;=301,E139/3,E139/4))))</f>
        <v>507.45801599999987</v>
      </c>
      <c r="G139" s="100"/>
      <c r="H139" s="101"/>
      <c r="I139" s="35"/>
      <c r="L139" s="97"/>
      <c r="M139" s="97"/>
      <c r="N139" s="35"/>
    </row>
    <row r="140" spans="1:14" s="62" customFormat="1" ht="15.75" customHeight="1" x14ac:dyDescent="0.25">
      <c r="A140" s="95">
        <f t="shared" si="0"/>
        <v>9</v>
      </c>
      <c r="B140" s="96"/>
      <c r="C140" s="61" t="s">
        <v>196</v>
      </c>
      <c r="D140" s="61">
        <f>(3.05*2.95+3.35*2.45+2.45*1.35)*10.764</f>
        <v>220.79655000000002</v>
      </c>
      <c r="E140" s="61">
        <v>0</v>
      </c>
      <c r="F140" s="61">
        <f t="shared" si="2"/>
        <v>353.27448000000004</v>
      </c>
      <c r="G140" s="102"/>
      <c r="H140" s="103"/>
      <c r="I140" s="35"/>
      <c r="L140" s="97"/>
      <c r="M140" s="97"/>
      <c r="N140" s="35"/>
    </row>
    <row r="141" spans="1:14" s="37" customFormat="1" x14ac:dyDescent="0.25">
      <c r="A141" s="95"/>
      <c r="B141" s="117"/>
      <c r="C141" s="117"/>
      <c r="D141" s="117"/>
      <c r="E141" s="117"/>
      <c r="F141" s="117"/>
      <c r="G141" s="117"/>
      <c r="H141" s="96"/>
      <c r="I141" s="35"/>
      <c r="N141" s="35"/>
    </row>
    <row r="142" spans="1:14" ht="47.25" customHeight="1" x14ac:dyDescent="0.25">
      <c r="A142" s="120" t="s">
        <v>134</v>
      </c>
      <c r="B142" s="120" t="s">
        <v>135</v>
      </c>
      <c r="C142" s="111" t="s">
        <v>62</v>
      </c>
      <c r="D142" s="111" t="s">
        <v>63</v>
      </c>
      <c r="E142" s="127" t="s">
        <v>64</v>
      </c>
      <c r="F142" s="38" t="s">
        <v>166</v>
      </c>
      <c r="G142" s="120" t="s">
        <v>65</v>
      </c>
      <c r="H142" s="129"/>
      <c r="I142" s="35"/>
    </row>
    <row r="143" spans="1:14" s="37" customFormat="1" x14ac:dyDescent="0.25">
      <c r="A143" s="121"/>
      <c r="B143" s="121"/>
      <c r="C143" s="112"/>
      <c r="D143" s="112"/>
      <c r="E143" s="128"/>
      <c r="F143" s="33">
        <v>0.6</v>
      </c>
      <c r="G143" s="121"/>
      <c r="H143" s="130"/>
      <c r="I143" s="35"/>
    </row>
    <row r="144" spans="1:14" s="2" customFormat="1" x14ac:dyDescent="0.25">
      <c r="A144" s="113" t="s">
        <v>175</v>
      </c>
      <c r="B144" s="113"/>
      <c r="C144" s="113"/>
      <c r="D144" s="113"/>
      <c r="E144" s="113"/>
      <c r="F144" s="113"/>
      <c r="G144" s="113"/>
      <c r="H144" s="113"/>
      <c r="I144" s="35"/>
      <c r="L144" s="97"/>
      <c r="M144" s="97"/>
    </row>
    <row r="145" spans="1:16" s="2" customFormat="1" x14ac:dyDescent="0.25">
      <c r="A145" s="122">
        <v>1</v>
      </c>
      <c r="B145" s="122"/>
      <c r="C145" s="14" t="s">
        <v>176</v>
      </c>
      <c r="D145" s="14">
        <f>65.91*10.764</f>
        <v>709.45523999999989</v>
      </c>
      <c r="E145" s="14">
        <v>0</v>
      </c>
      <c r="F145" s="55">
        <f>D145*(($F$143)+1)+(IF(E145&lt;101,E145,IF(E145&lt;201,E145/2,IF(E145&lt;=301,E145/3,E145/4))))</f>
        <v>1135.1283839999999</v>
      </c>
      <c r="G145" s="98" t="str">
        <f>A144</f>
        <v>1st Floor</v>
      </c>
      <c r="H145" s="99"/>
      <c r="I145" s="35"/>
      <c r="L145" s="44"/>
      <c r="M145" s="44"/>
      <c r="N145" s="35"/>
    </row>
    <row r="146" spans="1:16" s="2" customFormat="1" x14ac:dyDescent="0.25">
      <c r="A146" s="122">
        <f>A145+1</f>
        <v>2</v>
      </c>
      <c r="B146" s="122"/>
      <c r="C146" s="14" t="s">
        <v>176</v>
      </c>
      <c r="D146" s="14">
        <f>57.8*10.764</f>
        <v>622.15919999999994</v>
      </c>
      <c r="E146" s="45">
        <v>0</v>
      </c>
      <c r="F146" s="57">
        <f>D146*(($F$143)+1)+(IF(E146&lt;101,E146,IF(E146&lt;201,E146/2,IF(E146&lt;=301,E146/3,E146/4))))</f>
        <v>995.45471999999995</v>
      </c>
      <c r="G146" s="100"/>
      <c r="H146" s="101"/>
      <c r="I146" s="35"/>
      <c r="L146" s="44"/>
      <c r="M146" s="44"/>
      <c r="N146" s="35"/>
    </row>
    <row r="147" spans="1:16" s="2" customFormat="1" x14ac:dyDescent="0.25">
      <c r="A147" s="122">
        <f>A146+1</f>
        <v>3</v>
      </c>
      <c r="B147" s="122"/>
      <c r="C147" s="14" t="s">
        <v>176</v>
      </c>
      <c r="D147" s="14">
        <f>57.8*10.764</f>
        <v>622.15919999999994</v>
      </c>
      <c r="E147" s="45">
        <v>0</v>
      </c>
      <c r="F147" s="57">
        <f>D147*(($F$143)+1)+(IF(E147&lt;101,E147,IF(E147&lt;201,E147/2,IF(E147&lt;=301,E147/3,E147/4))))</f>
        <v>995.45471999999995</v>
      </c>
      <c r="G147" s="100"/>
      <c r="H147" s="101"/>
      <c r="I147" s="35"/>
      <c r="L147" s="44"/>
      <c r="M147" s="44"/>
      <c r="N147" s="35"/>
    </row>
    <row r="148" spans="1:16" s="2" customFormat="1" x14ac:dyDescent="0.25">
      <c r="A148" s="122">
        <f>A147+1</f>
        <v>4</v>
      </c>
      <c r="B148" s="122"/>
      <c r="C148" s="34" t="s">
        <v>176</v>
      </c>
      <c r="D148" s="34">
        <f>65.91*10.764</f>
        <v>709.45523999999989</v>
      </c>
      <c r="E148" s="45">
        <v>0</v>
      </c>
      <c r="F148" s="57">
        <f>D148*(($F$143)+1)+(IF(E148&lt;101,E148,IF(E148&lt;201,E148/2,IF(E148&lt;=301,E148/3,E148/4))))</f>
        <v>1135.1283839999999</v>
      </c>
      <c r="G148" s="102"/>
      <c r="H148" s="103"/>
      <c r="I148" s="35"/>
      <c r="L148" s="44"/>
      <c r="M148" s="44"/>
      <c r="N148" s="35"/>
    </row>
    <row r="149" spans="1:16" s="2" customFormat="1" ht="15.75" customHeight="1" x14ac:dyDescent="0.25">
      <c r="A149" s="114" t="s">
        <v>204</v>
      </c>
      <c r="B149" s="115"/>
      <c r="C149" s="115"/>
      <c r="D149" s="115"/>
      <c r="E149" s="115"/>
      <c r="F149" s="115"/>
      <c r="G149" s="115"/>
      <c r="H149" s="116"/>
      <c r="I149" s="35"/>
      <c r="L149" s="44"/>
      <c r="M149" s="44"/>
      <c r="P149" s="36"/>
    </row>
    <row r="150" spans="1:16" s="2" customFormat="1" ht="15.75" customHeight="1" x14ac:dyDescent="0.25">
      <c r="A150" s="95">
        <v>1</v>
      </c>
      <c r="B150" s="96"/>
      <c r="C150" s="14" t="s">
        <v>176</v>
      </c>
      <c r="D150" s="61">
        <f>65.91*10.764</f>
        <v>709.45523999999989</v>
      </c>
      <c r="E150" s="45">
        <v>0</v>
      </c>
      <c r="F150" s="55">
        <f>D150*(($F$143)+1)+(IF(E150&lt;101,E150,IF(E150&lt;201,E150/2,IF(E150&lt;=301,E150/3,E150/4))))</f>
        <v>1135.1283839999999</v>
      </c>
      <c r="G150" s="98" t="str">
        <f>A149</f>
        <v>2nd to 6th, 8th to 13th &amp; 15th to 18th Floor</v>
      </c>
      <c r="H150" s="99"/>
      <c r="I150" s="35"/>
      <c r="M150" s="44"/>
      <c r="N150" s="44" t="str">
        <f t="shared" ref="N150:N153" ca="1" si="3">O150&amp;""&amp;",..,"&amp;""&amp;P150</f>
        <v>201,..,1801</v>
      </c>
      <c r="O150" s="53">
        <f ca="1">(SUMPRODUCT(MID(0&amp;(LEFT(A149,SUM(LEN(A149)-LEN(SUBSTITUTE(A149,{0,1,2},""))))), LARGE(INDEX(ISNUMBER(--MID((LEFT(A149,SUM(LEN(A149)-LEN(SUBSTITUTE(A149,{0,1,2},""))))), ROW(INDIRECT("1:"&amp;LEN((LEFT(A149,SUM(LEN(A149)-LEN(SUBSTITUTE(A149,{0,1,2},"")))))))), 1)) * ROW(INDIRECT("1:"&amp;LEN((LEFT(A149,SUM(LEN(A149)-LEN(SUBSTITUTE(A149,{0,1,2},"")))))))), 0), ROW(INDIRECT("1:"&amp;LEN((LEFT(A149,SUM(LEN(A149)-LEN(SUBSTITUTE(A149,{0,1,2},"")))))))))+1, 1) * 10^ROW(INDIRECT("1:"&amp;LEN((LEFT(A149,SUM(LEN(A149)-LEN(SUBSTITUTE(A149,{0,1,2},""))))))))/10))*100+1</f>
        <v>201</v>
      </c>
      <c r="P150" s="53">
        <f ca="1">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1801</v>
      </c>
    </row>
    <row r="151" spans="1:16" s="2" customFormat="1" ht="15.75" customHeight="1" x14ac:dyDescent="0.25">
      <c r="A151" s="95">
        <v>2</v>
      </c>
      <c r="B151" s="96"/>
      <c r="C151" s="14" t="s">
        <v>176</v>
      </c>
      <c r="D151" s="61">
        <f>57.8*10.764</f>
        <v>622.15919999999994</v>
      </c>
      <c r="E151" s="45">
        <v>0</v>
      </c>
      <c r="F151" s="57">
        <f>D151*(($F$143)+1)+(IF(E151&lt;101,E151,IF(E151&lt;201,E151/2,IF(E151&lt;=301,E151/3,E151/4))))</f>
        <v>995.45471999999995</v>
      </c>
      <c r="G151" s="100"/>
      <c r="H151" s="101"/>
      <c r="I151" s="35"/>
      <c r="M151" s="44"/>
      <c r="N151" s="50" t="str">
        <f t="shared" ca="1" si="3"/>
        <v>202,..,1802</v>
      </c>
      <c r="O151" s="2">
        <f t="shared" ref="O151:P153" ca="1" si="4">O150+1</f>
        <v>202</v>
      </c>
      <c r="P151" s="2">
        <f t="shared" ca="1" si="4"/>
        <v>1802</v>
      </c>
    </row>
    <row r="152" spans="1:16" s="2" customFormat="1" ht="15.75" customHeight="1" x14ac:dyDescent="0.25">
      <c r="A152" s="95">
        <v>3</v>
      </c>
      <c r="B152" s="96"/>
      <c r="C152" s="14" t="s">
        <v>176</v>
      </c>
      <c r="D152" s="61">
        <f>57.8*10.764</f>
        <v>622.15919999999994</v>
      </c>
      <c r="E152" s="45">
        <v>0</v>
      </c>
      <c r="F152" s="57">
        <f>D152*(($F$143)+1)+(IF(E152&lt;101,E152,IF(E152&lt;201,E152/2,IF(E152&lt;=301,E152/3,E152/4))))</f>
        <v>995.45471999999995</v>
      </c>
      <c r="G152" s="100"/>
      <c r="H152" s="101"/>
      <c r="I152" s="35"/>
      <c r="M152" s="44"/>
      <c r="N152" s="50" t="str">
        <f t="shared" ca="1" si="3"/>
        <v>203,..,1803</v>
      </c>
      <c r="O152" s="2">
        <f t="shared" ca="1" si="4"/>
        <v>203</v>
      </c>
      <c r="P152" s="2">
        <f t="shared" ca="1" si="4"/>
        <v>1803</v>
      </c>
    </row>
    <row r="153" spans="1:16" s="2" customFormat="1" ht="15.75" customHeight="1" x14ac:dyDescent="0.25">
      <c r="A153" s="95">
        <v>4</v>
      </c>
      <c r="B153" s="96"/>
      <c r="C153" s="34" t="s">
        <v>176</v>
      </c>
      <c r="D153" s="61">
        <f>65.91*10.764</f>
        <v>709.45523999999989</v>
      </c>
      <c r="E153" s="45">
        <v>0</v>
      </c>
      <c r="F153" s="57">
        <f>D153*(($F$143)+1)+(IF(E153&lt;101,E153,IF(E153&lt;201,E153/2,IF(E153&lt;=301,E153/3,E153/4))))</f>
        <v>1135.1283839999999</v>
      </c>
      <c r="G153" s="102"/>
      <c r="H153" s="103"/>
      <c r="I153" s="35"/>
      <c r="M153" s="44"/>
      <c r="N153" s="50" t="str">
        <f t="shared" ca="1" si="3"/>
        <v>204,..,1804</v>
      </c>
      <c r="O153" s="2">
        <f t="shared" ca="1" si="4"/>
        <v>204</v>
      </c>
      <c r="P153" s="2">
        <f t="shared" ca="1" si="4"/>
        <v>1804</v>
      </c>
    </row>
    <row r="154" spans="1:16" s="39" customFormat="1" x14ac:dyDescent="0.25">
      <c r="A154" s="114" t="s">
        <v>177</v>
      </c>
      <c r="B154" s="115"/>
      <c r="C154" s="115"/>
      <c r="D154" s="115"/>
      <c r="E154" s="115"/>
      <c r="F154" s="115"/>
      <c r="G154" s="115"/>
      <c r="H154" s="116"/>
      <c r="I154" s="35"/>
      <c r="M154" s="44"/>
      <c r="N154" s="44"/>
      <c r="P154" s="36"/>
    </row>
    <row r="155" spans="1:16" s="39" customFormat="1" ht="15.75" customHeight="1" x14ac:dyDescent="0.25">
      <c r="A155" s="95">
        <v>1</v>
      </c>
      <c r="B155" s="96"/>
      <c r="C155" s="95" t="s">
        <v>178</v>
      </c>
      <c r="D155" s="117"/>
      <c r="E155" s="117"/>
      <c r="F155" s="96"/>
      <c r="G155" s="98" t="str">
        <f>A154</f>
        <v>7th &amp; 14th Floor (Part Refuge Area)</v>
      </c>
      <c r="H155" s="99"/>
      <c r="I155" s="35"/>
      <c r="M155" s="44"/>
      <c r="N155" s="44" t="str">
        <f t="shared" ref="N155:N158" ca="1" si="5">O155&amp;""&amp;" &amp; "&amp;""&amp;P155</f>
        <v>701 &amp; 1401</v>
      </c>
      <c r="O155" s="50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10^ROW(INDIRECT("1:"&amp;LEN((LEFT(A154,SUM(LEN(A154)-LEN(SUBSTITUTE(A154,{"0","1","2"},""))))))))/10))*100+1</f>
        <v>701</v>
      </c>
      <c r="P155" s="50">
        <f ca="1">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",LEN(A154))),LEN(A154)))))))/10))*100+1</f>
        <v>1401</v>
      </c>
    </row>
    <row r="156" spans="1:16" s="39" customFormat="1" ht="15.75" customHeight="1" x14ac:dyDescent="0.25">
      <c r="A156" s="95">
        <v>2</v>
      </c>
      <c r="B156" s="96"/>
      <c r="C156" s="52" t="s">
        <v>176</v>
      </c>
      <c r="D156" s="40">
        <f>57.8*10.764</f>
        <v>622.15919999999994</v>
      </c>
      <c r="E156" s="45">
        <v>0</v>
      </c>
      <c r="F156" s="57">
        <f>D156*(($F$143)+1)+(IF(E156&lt;101,E156,IF(E156&lt;201,E156/2,IF(E156&lt;=301,E156/3,E156/4))))</f>
        <v>995.45471999999995</v>
      </c>
      <c r="G156" s="100"/>
      <c r="H156" s="101"/>
      <c r="I156" s="35"/>
      <c r="M156" s="44"/>
      <c r="N156" s="50" t="str">
        <f t="shared" ca="1" si="5"/>
        <v>702 &amp; 1402</v>
      </c>
      <c r="O156" s="39">
        <f t="shared" ref="O156:P158" ca="1" si="6">O155+1</f>
        <v>702</v>
      </c>
      <c r="P156" s="39">
        <f t="shared" ca="1" si="6"/>
        <v>1402</v>
      </c>
    </row>
    <row r="157" spans="1:16" s="39" customFormat="1" ht="15.75" customHeight="1" x14ac:dyDescent="0.25">
      <c r="A157" s="95">
        <v>3</v>
      </c>
      <c r="B157" s="96"/>
      <c r="C157" s="40" t="s">
        <v>176</v>
      </c>
      <c r="D157" s="40">
        <f>57.8*10.764</f>
        <v>622.15919999999994</v>
      </c>
      <c r="E157" s="45">
        <v>0</v>
      </c>
      <c r="F157" s="57">
        <f>D157*(($F$143)+1)+(IF(E157&lt;101,E157,IF(E157&lt;201,E157/2,IF(E157&lt;=301,E157/3,E157/4))))</f>
        <v>995.45471999999995</v>
      </c>
      <c r="G157" s="100"/>
      <c r="H157" s="101"/>
      <c r="I157" s="35"/>
      <c r="M157" s="44"/>
      <c r="N157" s="50" t="str">
        <f t="shared" ca="1" si="5"/>
        <v>703 &amp; 1403</v>
      </c>
      <c r="O157" s="39">
        <f t="shared" ca="1" si="6"/>
        <v>703</v>
      </c>
      <c r="P157" s="39">
        <f t="shared" ca="1" si="6"/>
        <v>1403</v>
      </c>
    </row>
    <row r="158" spans="1:16" s="39" customFormat="1" ht="15.75" customHeight="1" x14ac:dyDescent="0.25">
      <c r="A158" s="95">
        <v>4</v>
      </c>
      <c r="B158" s="96"/>
      <c r="C158" s="40" t="s">
        <v>176</v>
      </c>
      <c r="D158" s="40">
        <f>65.91*10.764</f>
        <v>709.45523999999989</v>
      </c>
      <c r="E158" s="45">
        <v>0</v>
      </c>
      <c r="F158" s="57">
        <f>D158*(($F$143)+1)+(IF(E158&lt;101,E158,IF(E158&lt;201,E158/2,IF(E158&lt;=301,E158/3,E158/4))))</f>
        <v>1135.1283839999999</v>
      </c>
      <c r="G158" s="102"/>
      <c r="H158" s="103"/>
      <c r="I158" s="35"/>
      <c r="M158" s="44"/>
      <c r="N158" s="50" t="str">
        <f t="shared" ca="1" si="5"/>
        <v>704 &amp; 1404</v>
      </c>
      <c r="O158" s="39">
        <f t="shared" ca="1" si="6"/>
        <v>704</v>
      </c>
      <c r="P158" s="39">
        <f t="shared" ca="1" si="6"/>
        <v>1404</v>
      </c>
    </row>
    <row r="159" spans="1:16" s="62" customFormat="1" x14ac:dyDescent="0.25">
      <c r="A159" s="113" t="s">
        <v>179</v>
      </c>
      <c r="B159" s="113"/>
      <c r="C159" s="113"/>
      <c r="D159" s="113"/>
      <c r="E159" s="113"/>
      <c r="F159" s="113"/>
      <c r="G159" s="113"/>
      <c r="H159" s="113"/>
      <c r="I159" s="35"/>
      <c r="L159" s="97"/>
      <c r="M159" s="97"/>
    </row>
    <row r="160" spans="1:16" s="62" customFormat="1" ht="15.75" customHeight="1" x14ac:dyDescent="0.25">
      <c r="A160" s="114" t="s">
        <v>180</v>
      </c>
      <c r="B160" s="115"/>
      <c r="C160" s="115"/>
      <c r="D160" s="115"/>
      <c r="E160" s="115"/>
      <c r="F160" s="115"/>
      <c r="G160" s="115"/>
      <c r="H160" s="116"/>
      <c r="I160" s="35"/>
      <c r="P160" s="36"/>
    </row>
    <row r="161" spans="1:16" s="62" customFormat="1" ht="15.75" customHeight="1" x14ac:dyDescent="0.25">
      <c r="A161" s="95">
        <v>1</v>
      </c>
      <c r="B161" s="96"/>
      <c r="C161" s="61" t="s">
        <v>176</v>
      </c>
      <c r="D161" s="61">
        <f>71.75*10.764</f>
        <v>772.31700000000001</v>
      </c>
      <c r="E161" s="61">
        <v>0</v>
      </c>
      <c r="F161" s="61">
        <f>D161*(($F$143)+1)+(IF(E161&lt;101,E161,IF(E161&lt;201,E161/2,IF(E161&lt;=301,E161/3,E161/4))))</f>
        <v>1235.7072000000001</v>
      </c>
      <c r="G161" s="98" t="str">
        <f>A160</f>
        <v>20th, 22nd to 27th, 29th &amp; 30th Floor</v>
      </c>
      <c r="H161" s="99"/>
      <c r="I161" s="35"/>
      <c r="N161" s="62" t="str">
        <f t="shared" ref="N161:N166" ca="1" si="7">O161&amp;""&amp;",..,"&amp;""&amp;P161</f>
        <v>20201,..,3001</v>
      </c>
      <c r="O161" s="62">
        <f ca="1">(SUMPRODUCT(MID(0&amp;(LEFT(A160,SUM(LEN(A160)-LEN(SUBSTITUTE(A160,{0,1,2},""))))), LARGE(INDEX(ISNUMBER(--MID((LEFT(A160,SUM(LEN(A160)-LEN(SUBSTITUTE(A160,{0,1,2},""))))), ROW(INDIRECT("1:"&amp;LEN((LEFT(A160,SUM(LEN(A160)-LEN(SUBSTITUTE(A160,{0,1,2},"")))))))), 1)) * ROW(INDIRECT("1:"&amp;LEN((LEFT(A160,SUM(LEN(A160)-LEN(SUBSTITUTE(A160,{0,1,2},"")))))))), 0), ROW(INDIRECT("1:"&amp;LEN((LEFT(A160,SUM(LEN(A160)-LEN(SUBSTITUTE(A160,{0,1,2},"")))))))))+1, 1) * 10^ROW(INDIRECT("1:"&amp;LEN((LEFT(A160,SUM(LEN(A160)-LEN(SUBSTITUTE(A160,{0,1,2},""))))))))/10))*100+1</f>
        <v>20201</v>
      </c>
      <c r="P161" s="62">
        <f ca="1">(SUMPRODUCT(MID(0&amp;(--TRIM(RIGHT(SUBSTITUTE(LEFT(A160,_xlfn.AGGREGATE(16,6,FIND({0,1,2,3,4,5,6,7,8,9},A160,ROW(INDIRECT("1:"&amp;LEN(A160)))),1))," ",REPT(" ",LEN(A160))),LEN(A160)))), LARGE(INDEX(ISNUMBER(--MID((--TRIM(RIGHT(SUBSTITUTE(LEFT(A160,_xlfn.AGGREGATE(16,6,FIND({0,1,2,3,4,5,6,7,8,9},A160,ROW(INDIRECT("1:"&amp;LEN(A160)))),1))," ",REPT(" ",LEN(A160))),LEN(A160)))), ROW(INDIRECT("1:"&amp;LEN((--TRIM(RIGHT(SUBSTITUTE(LEFT(A160,_xlfn.AGGREGATE(16,6,FIND({0,1,2,3,4,5,6,7,8,9},A160,ROW(INDIRECT("1:"&amp;LEN(A160)))),1))," ",REPT(" ",LEN(A160))),LEN(A160))))))), 1)) * ROW(INDIRECT("1:"&amp;LEN((--TRIM(RIGHT(SUBSTITUTE(LEFT(A160,_xlfn.AGGREGATE(16,6,FIND({0,1,2,3,4,5,6,7,8,9},A160,ROW(INDIRECT("1:"&amp;LEN(A160)))),1))," ",REPT(" ",LEN(A160))),LEN(A160))))))), 0), ROW(INDIRECT("1:"&amp;LEN((--TRIM(RIGHT(SUBSTITUTE(LEFT(A160,_xlfn.AGGREGATE(16,6,FIND({0,1,2,3,4,5,6,7,8,9},A160,ROW(INDIRECT("1:"&amp;LEN(A160)))),1))," ",REPT(" ",LEN(A160))),LEN(A160))))))))+1, 1) * 10^ROW(INDIRECT("1:"&amp;LEN((--TRIM(RIGHT(SUBSTITUTE(LEFT(A160,_xlfn.AGGREGATE(16,6,FIND({0,1,2,3,4,5,6,7,8,9},A160,ROW(INDIRECT("1:"&amp;LEN(A160)))),1))," ",REPT(" ",LEN(A160))),LEN(A160)))))))/10))*100+1</f>
        <v>3001</v>
      </c>
    </row>
    <row r="162" spans="1:16" s="62" customFormat="1" ht="15.75" customHeight="1" x14ac:dyDescent="0.25">
      <c r="A162" s="95">
        <v>2</v>
      </c>
      <c r="B162" s="96"/>
      <c r="C162" s="61" t="s">
        <v>176</v>
      </c>
      <c r="D162" s="61">
        <f>60.45*10.764</f>
        <v>650.68380000000002</v>
      </c>
      <c r="E162" s="61">
        <v>0</v>
      </c>
      <c r="F162" s="61">
        <f t="shared" ref="F162:F166" si="8">D162*(($F$143)+1)+(IF(E162&lt;101,E162,IF(E162&lt;201,E162/2,IF(E162&lt;=301,E162/3,E162/4))))</f>
        <v>1041.0940800000001</v>
      </c>
      <c r="G162" s="100"/>
      <c r="H162" s="101"/>
      <c r="I162" s="35"/>
      <c r="N162" s="62" t="str">
        <f t="shared" ca="1" si="7"/>
        <v>20202,..,3002</v>
      </c>
      <c r="O162" s="62">
        <f t="shared" ref="O162:P162" ca="1" si="9">O161+1</f>
        <v>20202</v>
      </c>
      <c r="P162" s="62">
        <f t="shared" ca="1" si="9"/>
        <v>3002</v>
      </c>
    </row>
    <row r="163" spans="1:16" s="62" customFormat="1" ht="15.75" customHeight="1" x14ac:dyDescent="0.25">
      <c r="A163" s="95">
        <v>3</v>
      </c>
      <c r="B163" s="96"/>
      <c r="C163" s="61" t="s">
        <v>176</v>
      </c>
      <c r="D163" s="61">
        <f>60.45*10.764</f>
        <v>650.68380000000002</v>
      </c>
      <c r="E163" s="61">
        <v>0</v>
      </c>
      <c r="F163" s="61">
        <f t="shared" si="8"/>
        <v>1041.0940800000001</v>
      </c>
      <c r="G163" s="100"/>
      <c r="H163" s="101"/>
      <c r="I163" s="35"/>
      <c r="N163" s="62" t="str">
        <f t="shared" ca="1" si="7"/>
        <v>20203,..,3003</v>
      </c>
      <c r="O163" s="62">
        <f t="shared" ref="O163:P163" ca="1" si="10">O162+1</f>
        <v>20203</v>
      </c>
      <c r="P163" s="62">
        <f t="shared" ca="1" si="10"/>
        <v>3003</v>
      </c>
    </row>
    <row r="164" spans="1:16" s="62" customFormat="1" ht="15.75" customHeight="1" x14ac:dyDescent="0.25">
      <c r="A164" s="95">
        <v>4</v>
      </c>
      <c r="B164" s="96"/>
      <c r="C164" s="61" t="s">
        <v>176</v>
      </c>
      <c r="D164" s="61">
        <f>71.75*10.764</f>
        <v>772.31700000000001</v>
      </c>
      <c r="E164" s="61">
        <v>0</v>
      </c>
      <c r="F164" s="61">
        <f t="shared" si="8"/>
        <v>1235.7072000000001</v>
      </c>
      <c r="G164" s="100"/>
      <c r="H164" s="101"/>
      <c r="I164" s="35"/>
      <c r="N164" s="62" t="str">
        <f t="shared" ca="1" si="7"/>
        <v>20204,..,3004</v>
      </c>
      <c r="O164" s="62">
        <f t="shared" ref="O164:P164" ca="1" si="11">O163+1</f>
        <v>20204</v>
      </c>
      <c r="P164" s="62">
        <f t="shared" ca="1" si="11"/>
        <v>3004</v>
      </c>
    </row>
    <row r="165" spans="1:16" s="62" customFormat="1" ht="15.75" customHeight="1" x14ac:dyDescent="0.25">
      <c r="A165" s="95">
        <v>5</v>
      </c>
      <c r="B165" s="96"/>
      <c r="C165" s="61" t="s">
        <v>176</v>
      </c>
      <c r="D165" s="61">
        <f>57.2*10.764</f>
        <v>615.70079999999996</v>
      </c>
      <c r="E165" s="61">
        <v>0</v>
      </c>
      <c r="F165" s="61">
        <f t="shared" si="8"/>
        <v>985.12127999999996</v>
      </c>
      <c r="G165" s="100"/>
      <c r="H165" s="101"/>
      <c r="I165" s="35"/>
      <c r="N165" s="62" t="str">
        <f t="shared" ca="1" si="7"/>
        <v>20205,..,3005</v>
      </c>
      <c r="O165" s="62">
        <f t="shared" ref="O165:P165" ca="1" si="12">O164+1</f>
        <v>20205</v>
      </c>
      <c r="P165" s="62">
        <f t="shared" ca="1" si="12"/>
        <v>3005</v>
      </c>
    </row>
    <row r="166" spans="1:16" s="62" customFormat="1" ht="15.75" customHeight="1" x14ac:dyDescent="0.25">
      <c r="A166" s="95">
        <v>6</v>
      </c>
      <c r="B166" s="96"/>
      <c r="C166" s="61" t="s">
        <v>176</v>
      </c>
      <c r="D166" s="61">
        <f>57.8*10.764</f>
        <v>622.15919999999994</v>
      </c>
      <c r="E166" s="61">
        <v>0</v>
      </c>
      <c r="F166" s="61">
        <f t="shared" si="8"/>
        <v>995.45471999999995</v>
      </c>
      <c r="G166" s="100"/>
      <c r="H166" s="101"/>
      <c r="I166" s="35"/>
      <c r="N166" s="62" t="str">
        <f t="shared" ca="1" si="7"/>
        <v>20206,..,3006</v>
      </c>
      <c r="O166" s="62">
        <f ca="1">O165+1</f>
        <v>20206</v>
      </c>
      <c r="P166" s="62">
        <f ca="1">P165+1</f>
        <v>3006</v>
      </c>
    </row>
    <row r="167" spans="1:16" s="62" customFormat="1" ht="15.75" customHeight="1" x14ac:dyDescent="0.25">
      <c r="A167" s="95">
        <v>7</v>
      </c>
      <c r="B167" s="96"/>
      <c r="C167" s="61" t="s">
        <v>176</v>
      </c>
      <c r="D167" s="61">
        <f t="shared" ref="D167" si="13">57.8*10.764</f>
        <v>622.15919999999994</v>
      </c>
      <c r="E167" s="61">
        <v>0</v>
      </c>
      <c r="F167" s="61">
        <f t="shared" ref="F167:F168" si="14">D167*(($F$143)+1)+(IF(E167&lt;101,E167,IF(E167&lt;201,E167/2,IF(E167&lt;=301,E167/3,E167/4))))</f>
        <v>995.45471999999995</v>
      </c>
      <c r="G167" s="100"/>
      <c r="H167" s="101"/>
      <c r="I167" s="35"/>
      <c r="N167" s="62" t="str">
        <f t="shared" ref="N167:N168" ca="1" si="15">O167&amp;""&amp;",..,"&amp;""&amp;P167</f>
        <v>20207,..,3007</v>
      </c>
      <c r="O167" s="62">
        <f t="shared" ref="O167:P167" ca="1" si="16">O166+1</f>
        <v>20207</v>
      </c>
      <c r="P167" s="62">
        <f t="shared" ca="1" si="16"/>
        <v>3007</v>
      </c>
    </row>
    <row r="168" spans="1:16" s="62" customFormat="1" ht="15.75" customHeight="1" x14ac:dyDescent="0.25">
      <c r="A168" s="95">
        <v>8</v>
      </c>
      <c r="B168" s="96"/>
      <c r="C168" s="61" t="s">
        <v>176</v>
      </c>
      <c r="D168" s="61">
        <f>57.2*10.764</f>
        <v>615.70079999999996</v>
      </c>
      <c r="E168" s="61">
        <v>0</v>
      </c>
      <c r="F168" s="61">
        <f t="shared" si="14"/>
        <v>985.12127999999996</v>
      </c>
      <c r="G168" s="102"/>
      <c r="H168" s="103"/>
      <c r="I168" s="35"/>
      <c r="N168" s="62" t="str">
        <f t="shared" ca="1" si="15"/>
        <v>20208,..,3008</v>
      </c>
      <c r="O168" s="62">
        <f ca="1">O167+1</f>
        <v>20208</v>
      </c>
      <c r="P168" s="62">
        <f ca="1">P167+1</f>
        <v>3008</v>
      </c>
    </row>
    <row r="169" spans="1:16" s="62" customFormat="1" x14ac:dyDescent="0.25">
      <c r="A169" s="114" t="s">
        <v>181</v>
      </c>
      <c r="B169" s="115"/>
      <c r="C169" s="115"/>
      <c r="D169" s="115"/>
      <c r="E169" s="115"/>
      <c r="F169" s="115"/>
      <c r="G169" s="115"/>
      <c r="H169" s="116"/>
      <c r="I169" s="35"/>
      <c r="P169" s="36"/>
    </row>
    <row r="170" spans="1:16" s="62" customFormat="1" ht="15.75" customHeight="1" x14ac:dyDescent="0.25">
      <c r="A170" s="95">
        <v>1</v>
      </c>
      <c r="B170" s="96"/>
      <c r="C170" s="98" t="s">
        <v>178</v>
      </c>
      <c r="D170" s="107"/>
      <c r="E170" s="107"/>
      <c r="F170" s="99"/>
      <c r="G170" s="98" t="str">
        <f>A169</f>
        <v>21st &amp; 28th Floor (Part Refuge Area)</v>
      </c>
      <c r="H170" s="99"/>
      <c r="I170" s="35"/>
      <c r="N170" s="62" t="str">
        <f t="shared" ref="N170:N173" ca="1" si="17">O170&amp;""&amp;" &amp; "&amp;""&amp;P170</f>
        <v>2101 &amp; 2801</v>
      </c>
      <c r="O170" s="62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</f>
        <v>2101</v>
      </c>
      <c r="P170" s="62">
        <f ca="1">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2801</v>
      </c>
    </row>
    <row r="171" spans="1:16" s="62" customFormat="1" ht="15.75" customHeight="1" x14ac:dyDescent="0.25">
      <c r="A171" s="95">
        <v>2</v>
      </c>
      <c r="B171" s="96"/>
      <c r="C171" s="102"/>
      <c r="D171" s="108"/>
      <c r="E171" s="108"/>
      <c r="F171" s="103"/>
      <c r="G171" s="100"/>
      <c r="H171" s="101"/>
      <c r="I171" s="35"/>
      <c r="N171" s="62" t="str">
        <f t="shared" ca="1" si="17"/>
        <v>2102 &amp; 2802</v>
      </c>
      <c r="O171" s="62">
        <f t="shared" ref="O171:P171" ca="1" si="18">O170+1</f>
        <v>2102</v>
      </c>
      <c r="P171" s="62">
        <f t="shared" ca="1" si="18"/>
        <v>2802</v>
      </c>
    </row>
    <row r="172" spans="1:16" s="62" customFormat="1" ht="15.75" customHeight="1" x14ac:dyDescent="0.25">
      <c r="A172" s="95">
        <v>3</v>
      </c>
      <c r="B172" s="96"/>
      <c r="C172" s="61" t="s">
        <v>176</v>
      </c>
      <c r="D172" s="61">
        <f>60.45*10.764</f>
        <v>650.68380000000002</v>
      </c>
      <c r="E172" s="61">
        <v>0</v>
      </c>
      <c r="F172" s="61">
        <f>D172*(($F$143)+1)+(IF(E172&lt;101,E172,IF(E172&lt;201,E172/2,IF(E172&lt;=301,E172/3,E172/4))))</f>
        <v>1041.0940800000001</v>
      </c>
      <c r="G172" s="100"/>
      <c r="H172" s="101"/>
      <c r="I172" s="35"/>
      <c r="N172" s="62" t="str">
        <f t="shared" ca="1" si="17"/>
        <v>2103 &amp; 2803</v>
      </c>
      <c r="O172" s="62">
        <f t="shared" ref="O172:P172" ca="1" si="19">O171+1</f>
        <v>2103</v>
      </c>
      <c r="P172" s="62">
        <f t="shared" ca="1" si="19"/>
        <v>2803</v>
      </c>
    </row>
    <row r="173" spans="1:16" s="62" customFormat="1" ht="15.75" customHeight="1" x14ac:dyDescent="0.25">
      <c r="A173" s="95">
        <v>4</v>
      </c>
      <c r="B173" s="96"/>
      <c r="C173" s="61" t="s">
        <v>176</v>
      </c>
      <c r="D173" s="61">
        <f>71.75*10.764</f>
        <v>772.31700000000001</v>
      </c>
      <c r="E173" s="61">
        <v>0</v>
      </c>
      <c r="F173" s="61">
        <f>D173*(($F$143)+1)+(IF(E173&lt;101,E173,IF(E173&lt;201,E173/2,IF(E173&lt;=301,E173/3,E173/4))))</f>
        <v>1235.7072000000001</v>
      </c>
      <c r="G173" s="100"/>
      <c r="H173" s="101"/>
      <c r="I173" s="35"/>
      <c r="N173" s="62" t="str">
        <f t="shared" ca="1" si="17"/>
        <v>2104 &amp; 2804</v>
      </c>
      <c r="O173" s="62">
        <f t="shared" ref="O173:P173" ca="1" si="20">O172+1</f>
        <v>2104</v>
      </c>
      <c r="P173" s="62">
        <f t="shared" ca="1" si="20"/>
        <v>2804</v>
      </c>
    </row>
    <row r="174" spans="1:16" s="62" customFormat="1" ht="15.75" customHeight="1" x14ac:dyDescent="0.25">
      <c r="A174" s="95">
        <v>5</v>
      </c>
      <c r="B174" s="96"/>
      <c r="C174" s="61" t="s">
        <v>176</v>
      </c>
      <c r="D174" s="61">
        <f>57.2*10.764</f>
        <v>615.70079999999996</v>
      </c>
      <c r="E174" s="61">
        <v>0</v>
      </c>
      <c r="F174" s="61">
        <f t="shared" ref="F174:F176" si="21">D174*(($F$143)+1)+(IF(E174&lt;101,E174,IF(E174&lt;201,E174/2,IF(E174&lt;=301,E174/3,E174/4))))</f>
        <v>985.12127999999996</v>
      </c>
      <c r="G174" s="100"/>
      <c r="H174" s="101"/>
      <c r="I174" s="35"/>
      <c r="N174" s="62" t="str">
        <f t="shared" ref="N174:N176" ca="1" si="22">O174&amp;""&amp;" &amp; "&amp;""&amp;P174</f>
        <v>2105 &amp; 2805</v>
      </c>
      <c r="O174" s="62">
        <f t="shared" ref="O174:P174" ca="1" si="23">O173+1</f>
        <v>2105</v>
      </c>
      <c r="P174" s="62">
        <f t="shared" ca="1" si="23"/>
        <v>2805</v>
      </c>
    </row>
    <row r="175" spans="1:16" s="62" customFormat="1" ht="15.75" customHeight="1" x14ac:dyDescent="0.25">
      <c r="A175" s="95">
        <v>6</v>
      </c>
      <c r="B175" s="96"/>
      <c r="C175" s="61" t="s">
        <v>176</v>
      </c>
      <c r="D175" s="61">
        <f>57.8*10.764</f>
        <v>622.15919999999994</v>
      </c>
      <c r="E175" s="61">
        <v>0</v>
      </c>
      <c r="F175" s="61">
        <f t="shared" si="21"/>
        <v>995.45471999999995</v>
      </c>
      <c r="G175" s="100"/>
      <c r="H175" s="101"/>
      <c r="I175" s="35"/>
      <c r="N175" s="62" t="str">
        <f t="shared" ca="1" si="22"/>
        <v>2106 &amp; 2806</v>
      </c>
      <c r="O175" s="62">
        <f t="shared" ref="O175:P175" ca="1" si="24">O174+1</f>
        <v>2106</v>
      </c>
      <c r="P175" s="62">
        <f t="shared" ca="1" si="24"/>
        <v>2806</v>
      </c>
    </row>
    <row r="176" spans="1:16" s="62" customFormat="1" ht="15.75" customHeight="1" x14ac:dyDescent="0.25">
      <c r="A176" s="95">
        <v>7</v>
      </c>
      <c r="B176" s="96"/>
      <c r="C176" s="61" t="s">
        <v>176</v>
      </c>
      <c r="D176" s="61">
        <f t="shared" ref="D176" si="25">57.8*10.764</f>
        <v>622.15919999999994</v>
      </c>
      <c r="E176" s="61">
        <v>0</v>
      </c>
      <c r="F176" s="61">
        <f t="shared" si="21"/>
        <v>995.45471999999995</v>
      </c>
      <c r="G176" s="100"/>
      <c r="H176" s="101"/>
      <c r="I176" s="35"/>
      <c r="N176" s="62" t="str">
        <f t="shared" ca="1" si="22"/>
        <v>2107 &amp; 2807</v>
      </c>
      <c r="O176" s="62">
        <f t="shared" ref="O176:P177" ca="1" si="26">O175+1</f>
        <v>2107</v>
      </c>
      <c r="P176" s="62">
        <f t="shared" ca="1" si="26"/>
        <v>2807</v>
      </c>
    </row>
    <row r="177" spans="1:16" s="62" customFormat="1" ht="15.75" customHeight="1" x14ac:dyDescent="0.25">
      <c r="A177" s="95">
        <v>8</v>
      </c>
      <c r="B177" s="96"/>
      <c r="C177" s="61" t="s">
        <v>176</v>
      </c>
      <c r="D177" s="61">
        <f>57.2*10.764</f>
        <v>615.70079999999996</v>
      </c>
      <c r="E177" s="61">
        <v>0</v>
      </c>
      <c r="F177" s="61">
        <f t="shared" ref="F177" si="27">D177*(($F$143)+1)+(IF(E177&lt;101,E177,IF(E177&lt;201,E177/2,IF(E177&lt;=301,E177/3,E177/4))))</f>
        <v>985.12127999999996</v>
      </c>
      <c r="G177" s="102"/>
      <c r="H177" s="103"/>
      <c r="I177" s="35"/>
      <c r="N177" s="62" t="str">
        <f t="shared" ref="N177" ca="1" si="28">O177&amp;""&amp;" &amp; "&amp;""&amp;P177</f>
        <v>2108 &amp; 2808</v>
      </c>
      <c r="O177" s="62">
        <f t="shared" ca="1" si="26"/>
        <v>2108</v>
      </c>
      <c r="P177" s="62">
        <f t="shared" ca="1" si="26"/>
        <v>2808</v>
      </c>
    </row>
    <row r="178" spans="1:16" s="1" customFormat="1" x14ac:dyDescent="0.25">
      <c r="A178" s="195" t="s">
        <v>73</v>
      </c>
      <c r="B178" s="195"/>
      <c r="C178" s="195"/>
      <c r="D178" s="195"/>
      <c r="E178" s="195"/>
      <c r="F178" s="195"/>
      <c r="G178" s="195"/>
      <c r="H178" s="195"/>
    </row>
    <row r="179" spans="1:16" s="1" customFormat="1" x14ac:dyDescent="0.25">
      <c r="A179" s="63">
        <v>1</v>
      </c>
      <c r="B179" s="92" t="s">
        <v>221</v>
      </c>
      <c r="C179" s="93"/>
      <c r="D179" s="93"/>
      <c r="E179" s="93"/>
      <c r="F179" s="93"/>
      <c r="G179" s="93"/>
      <c r="H179" s="94"/>
      <c r="I179" s="92" t="s">
        <v>214</v>
      </c>
      <c r="J179" s="93"/>
      <c r="K179" s="93"/>
      <c r="L179" s="93"/>
      <c r="M179" s="93"/>
      <c r="N179" s="93"/>
      <c r="O179" s="94"/>
    </row>
    <row r="180" spans="1:16" s="1" customFormat="1" x14ac:dyDescent="0.25">
      <c r="A180" s="46">
        <f t="shared" ref="A180:A185" si="29">A179+1</f>
        <v>2</v>
      </c>
      <c r="B180" s="92" t="str">
        <f>(IF(F142="Saleable area Loading :","We have considered Saleable area of Flats as per our Calculation.","We considered Saleable area of Flat as per Builder area Sheet."))</f>
        <v>We have considered Saleable area of Flats as per our Calculation.</v>
      </c>
      <c r="C180" s="93"/>
      <c r="D180" s="93"/>
      <c r="E180" s="93"/>
      <c r="F180" s="93"/>
      <c r="G180" s="93"/>
      <c r="H180" s="94"/>
    </row>
    <row r="181" spans="1:16" s="1" customFormat="1" x14ac:dyDescent="0.25">
      <c r="A181" s="54">
        <f t="shared" si="29"/>
        <v>3</v>
      </c>
      <c r="B181" s="92" t="str">
        <f>(IF(F128="Saleable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1" s="93"/>
      <c r="D181" s="93"/>
      <c r="E181" s="93"/>
      <c r="F181" s="93"/>
      <c r="G181" s="93"/>
      <c r="H181" s="94"/>
    </row>
    <row r="182" spans="1:16" s="1" customFormat="1" x14ac:dyDescent="0.25">
      <c r="A182" s="51">
        <f>A181+1</f>
        <v>4</v>
      </c>
      <c r="B182" s="104" t="s">
        <v>139</v>
      </c>
      <c r="C182" s="105"/>
      <c r="D182" s="105"/>
      <c r="E182" s="105"/>
      <c r="F182" s="105"/>
      <c r="G182" s="105"/>
      <c r="H182" s="106"/>
    </row>
    <row r="183" spans="1:16" s="1" customFormat="1" x14ac:dyDescent="0.25">
      <c r="A183" s="51">
        <f t="shared" si="29"/>
        <v>5</v>
      </c>
      <c r="B183" s="104" t="s">
        <v>140</v>
      </c>
      <c r="C183" s="105"/>
      <c r="D183" s="105"/>
      <c r="E183" s="105"/>
      <c r="F183" s="105"/>
      <c r="G183" s="105"/>
      <c r="H183" s="106"/>
    </row>
    <row r="184" spans="1:16" s="1" customFormat="1" x14ac:dyDescent="0.25">
      <c r="A184" s="51">
        <f t="shared" si="29"/>
        <v>6</v>
      </c>
      <c r="B184" s="104" t="s">
        <v>141</v>
      </c>
      <c r="C184" s="105"/>
      <c r="D184" s="105"/>
      <c r="E184" s="105"/>
      <c r="F184" s="105"/>
      <c r="G184" s="105"/>
      <c r="H184" s="106"/>
    </row>
    <row r="185" spans="1:16" s="1" customFormat="1" x14ac:dyDescent="0.25">
      <c r="A185" s="51">
        <f t="shared" si="29"/>
        <v>7</v>
      </c>
      <c r="B185" s="104" t="s">
        <v>142</v>
      </c>
      <c r="C185" s="105"/>
      <c r="D185" s="105"/>
      <c r="E185" s="105"/>
      <c r="F185" s="105"/>
      <c r="G185" s="105"/>
      <c r="H185" s="106"/>
    </row>
    <row r="186" spans="1:16" s="1" customFormat="1" x14ac:dyDescent="0.25">
      <c r="A186" s="66">
        <v>8</v>
      </c>
      <c r="B186" s="89" t="s">
        <v>205</v>
      </c>
      <c r="C186" s="90"/>
      <c r="D186" s="90"/>
      <c r="E186" s="90"/>
      <c r="F186" s="90"/>
      <c r="G186" s="90"/>
      <c r="H186" s="91"/>
      <c r="I186" s="89" t="s">
        <v>195</v>
      </c>
      <c r="J186" s="90"/>
      <c r="K186" s="90"/>
      <c r="L186" s="90"/>
      <c r="M186" s="90"/>
      <c r="N186" s="90"/>
      <c r="O186" s="91"/>
    </row>
    <row r="187" spans="1:16" s="1" customFormat="1" ht="35.25" customHeight="1" x14ac:dyDescent="0.25">
      <c r="A187" s="82">
        <v>9</v>
      </c>
      <c r="B187" s="89" t="s">
        <v>218</v>
      </c>
      <c r="C187" s="90"/>
      <c r="D187" s="90"/>
      <c r="E187" s="90"/>
      <c r="F187" s="90"/>
      <c r="G187" s="90"/>
      <c r="H187" s="91"/>
      <c r="I187" s="89" t="s">
        <v>195</v>
      </c>
      <c r="J187" s="90"/>
      <c r="K187" s="90"/>
      <c r="L187" s="90"/>
      <c r="M187" s="90"/>
      <c r="N187" s="90"/>
      <c r="O187" s="91"/>
    </row>
    <row r="188" spans="1:16" x14ac:dyDescent="0.25">
      <c r="A188" s="196" t="s">
        <v>66</v>
      </c>
      <c r="B188" s="196"/>
      <c r="C188" s="196"/>
      <c r="D188" s="196"/>
      <c r="E188" s="196"/>
      <c r="F188" s="196"/>
      <c r="G188" s="196"/>
      <c r="H188" s="196"/>
    </row>
    <row r="189" spans="1:16" x14ac:dyDescent="0.25">
      <c r="A189" s="88" t="s">
        <v>67</v>
      </c>
      <c r="B189" s="88"/>
      <c r="C189" s="88"/>
      <c r="D189" s="88"/>
      <c r="E189" s="88"/>
      <c r="F189" s="88"/>
      <c r="G189" s="88"/>
      <c r="H189" s="88"/>
    </row>
    <row r="190" spans="1:16" ht="15.75" customHeight="1" x14ac:dyDescent="0.25">
      <c r="A190" s="204" t="s">
        <v>68</v>
      </c>
      <c r="B190" s="204"/>
      <c r="C190" s="204"/>
      <c r="D190" s="204"/>
      <c r="E190" s="204"/>
      <c r="F190" s="204"/>
      <c r="G190" s="204"/>
      <c r="H190" s="204"/>
    </row>
    <row r="191" spans="1:16" x14ac:dyDescent="0.25">
      <c r="A191" s="88" t="s">
        <v>69</v>
      </c>
      <c r="B191" s="88"/>
      <c r="C191" s="88"/>
      <c r="D191" s="88"/>
      <c r="E191" s="88"/>
      <c r="F191" s="88"/>
      <c r="G191" s="88"/>
      <c r="H191" s="88"/>
    </row>
    <row r="192" spans="1:16" x14ac:dyDescent="0.25">
      <c r="A192" s="88" t="s">
        <v>70</v>
      </c>
      <c r="B192" s="88"/>
      <c r="C192" s="88"/>
      <c r="D192" s="88"/>
      <c r="E192" s="88"/>
      <c r="F192" s="88"/>
      <c r="G192" s="88"/>
      <c r="H192" s="88"/>
    </row>
    <row r="193" spans="1:8" x14ac:dyDescent="0.25">
      <c r="A193" s="88" t="s">
        <v>143</v>
      </c>
      <c r="B193" s="88"/>
      <c r="C193" s="88"/>
      <c r="D193" s="88"/>
      <c r="E193" s="88"/>
      <c r="F193" s="88"/>
      <c r="G193" s="88"/>
      <c r="H193" s="88"/>
    </row>
    <row r="194" spans="1:8" ht="30.95" customHeight="1" x14ac:dyDescent="0.25">
      <c r="A194" s="151" t="s">
        <v>144</v>
      </c>
      <c r="B194" s="151"/>
      <c r="C194" s="151"/>
      <c r="D194" s="151"/>
      <c r="E194" s="151"/>
      <c r="F194" s="151"/>
      <c r="G194" s="151"/>
      <c r="H194" s="151"/>
    </row>
    <row r="195" spans="1:8" x14ac:dyDescent="0.25">
      <c r="A195" s="191" t="s">
        <v>84</v>
      </c>
      <c r="B195" s="191"/>
      <c r="C195" s="191" t="s">
        <v>216</v>
      </c>
      <c r="D195" s="191"/>
      <c r="E195" s="191" t="s">
        <v>119</v>
      </c>
      <c r="F195" s="191"/>
      <c r="G195" s="191" t="s">
        <v>224</v>
      </c>
      <c r="H195" s="191"/>
    </row>
    <row r="196" spans="1:8" x14ac:dyDescent="0.25">
      <c r="A196" s="190" t="s">
        <v>86</v>
      </c>
      <c r="B196" s="190"/>
      <c r="C196" s="190"/>
      <c r="D196" s="190"/>
      <c r="E196" s="190"/>
      <c r="F196" s="190"/>
      <c r="G196" s="190"/>
      <c r="H196" s="190"/>
    </row>
    <row r="197" spans="1:8" x14ac:dyDescent="0.25">
      <c r="A197" s="190"/>
      <c r="B197" s="190"/>
      <c r="C197" s="190"/>
      <c r="D197" s="190"/>
      <c r="E197" s="190"/>
      <c r="F197" s="190"/>
      <c r="G197" s="190"/>
      <c r="H197" s="190"/>
    </row>
    <row r="198" spans="1:8" x14ac:dyDescent="0.25">
      <c r="A198" s="190"/>
      <c r="B198" s="190"/>
      <c r="C198" s="190"/>
      <c r="D198" s="190"/>
      <c r="E198" s="190"/>
      <c r="F198" s="190"/>
      <c r="G198" s="190"/>
      <c r="H198" s="190"/>
    </row>
    <row r="199" spans="1:8" x14ac:dyDescent="0.25">
      <c r="A199" s="190"/>
      <c r="B199" s="190"/>
      <c r="C199" s="190"/>
      <c r="D199" s="190"/>
      <c r="E199" s="190"/>
      <c r="F199" s="190"/>
      <c r="G199" s="190"/>
      <c r="H199" s="190"/>
    </row>
    <row r="200" spans="1:8" x14ac:dyDescent="0.25">
      <c r="A200" s="9" t="s">
        <v>71</v>
      </c>
      <c r="B200" s="10"/>
      <c r="C200" s="10"/>
      <c r="D200" s="9" t="str">
        <f>E8</f>
        <v>Ruparel Westsky</v>
      </c>
      <c r="F200" s="10"/>
      <c r="G200" s="10"/>
      <c r="H200" s="10"/>
    </row>
    <row r="201" spans="1:8" x14ac:dyDescent="0.25">
      <c r="A201" s="10"/>
      <c r="B201" s="10"/>
      <c r="C201" s="10"/>
      <c r="D201" s="10"/>
      <c r="E201" s="10"/>
      <c r="F201" s="10"/>
      <c r="G201" s="10"/>
      <c r="H201" s="10"/>
    </row>
    <row r="202" spans="1:8" x14ac:dyDescent="0.25">
      <c r="A202" s="10"/>
      <c r="B202" s="10"/>
      <c r="C202" s="10"/>
      <c r="D202" s="10"/>
      <c r="E202" s="10"/>
      <c r="F202" s="10"/>
      <c r="G202" s="10"/>
      <c r="H202" s="10"/>
    </row>
    <row r="203" spans="1:8" ht="15" customHeight="1" x14ac:dyDescent="0.25"/>
    <row r="243" spans="1:1" x14ac:dyDescent="0.25">
      <c r="A243" s="12" t="s">
        <v>72</v>
      </c>
    </row>
  </sheetData>
  <mergeCells count="343">
    <mergeCell ref="A66:B66"/>
    <mergeCell ref="E66:F66"/>
    <mergeCell ref="G66:H66"/>
    <mergeCell ref="A67:B67"/>
    <mergeCell ref="E67:F76"/>
    <mergeCell ref="G67:H76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I187:O187"/>
    <mergeCell ref="A91:B91"/>
    <mergeCell ref="C91:H91"/>
    <mergeCell ref="A93:B93"/>
    <mergeCell ref="C93:H93"/>
    <mergeCell ref="A94:B94"/>
    <mergeCell ref="E94:F94"/>
    <mergeCell ref="G94:H94"/>
    <mergeCell ref="A95:B95"/>
    <mergeCell ref="E95:F104"/>
    <mergeCell ref="G95:H104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F105:G105"/>
    <mergeCell ref="C105:D105"/>
    <mergeCell ref="L136:M136"/>
    <mergeCell ref="E40:H40"/>
    <mergeCell ref="A40:D40"/>
    <mergeCell ref="A193:H193"/>
    <mergeCell ref="A190:H190"/>
    <mergeCell ref="A145:B145"/>
    <mergeCell ref="A124:B124"/>
    <mergeCell ref="D142:D143"/>
    <mergeCell ref="E142:E143"/>
    <mergeCell ref="G142:H143"/>
    <mergeCell ref="A86:B86"/>
    <mergeCell ref="F107:H107"/>
    <mergeCell ref="A106:H106"/>
    <mergeCell ref="G122:H122"/>
    <mergeCell ref="A46:B46"/>
    <mergeCell ref="C46:E46"/>
    <mergeCell ref="B186:H186"/>
    <mergeCell ref="B185:H185"/>
    <mergeCell ref="G46:H46"/>
    <mergeCell ref="G48:H48"/>
    <mergeCell ref="D52:H52"/>
    <mergeCell ref="C48:E48"/>
    <mergeCell ref="A55:C55"/>
    <mergeCell ref="D55:H55"/>
    <mergeCell ref="B187:H187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A196:H199"/>
    <mergeCell ref="A195:B195"/>
    <mergeCell ref="E195:F195"/>
    <mergeCell ref="C195:D195"/>
    <mergeCell ref="G195:H195"/>
    <mergeCell ref="A120:H120"/>
    <mergeCell ref="A118:E118"/>
    <mergeCell ref="F118:H118"/>
    <mergeCell ref="A119:E119"/>
    <mergeCell ref="F119:H119"/>
    <mergeCell ref="A144:H144"/>
    <mergeCell ref="A125:B125"/>
    <mergeCell ref="A152:B152"/>
    <mergeCell ref="A122:B122"/>
    <mergeCell ref="A191:H191"/>
    <mergeCell ref="A123:H123"/>
    <mergeCell ref="A194:H194"/>
    <mergeCell ref="A192:H192"/>
    <mergeCell ref="A178:H178"/>
    <mergeCell ref="C128:C129"/>
    <mergeCell ref="B142:B143"/>
    <mergeCell ref="A149:H149"/>
    <mergeCell ref="A188:H188"/>
    <mergeCell ref="A189:H189"/>
    <mergeCell ref="A61:C61"/>
    <mergeCell ref="D61:H61"/>
    <mergeCell ref="A81:B81"/>
    <mergeCell ref="G80:H80"/>
    <mergeCell ref="A79:B79"/>
    <mergeCell ref="A77:B77"/>
    <mergeCell ref="C77:H77"/>
    <mergeCell ref="A85:B85"/>
    <mergeCell ref="A58:C58"/>
    <mergeCell ref="D58:H58"/>
    <mergeCell ref="C79:H79"/>
    <mergeCell ref="A82:B82"/>
    <mergeCell ref="A84:B84"/>
    <mergeCell ref="E80:F80"/>
    <mergeCell ref="A59:C59"/>
    <mergeCell ref="D59:H59"/>
    <mergeCell ref="A62:C62"/>
    <mergeCell ref="D62:H62"/>
    <mergeCell ref="A60:C60"/>
    <mergeCell ref="D60:H60"/>
    <mergeCell ref="A63:B63"/>
    <mergeCell ref="C63:H63"/>
    <mergeCell ref="A65:B65"/>
    <mergeCell ref="C65:H65"/>
    <mergeCell ref="A56:C56"/>
    <mergeCell ref="A57:C57"/>
    <mergeCell ref="D56:H56"/>
    <mergeCell ref="E81:F90"/>
    <mergeCell ref="G81:H90"/>
    <mergeCell ref="A89:B89"/>
    <mergeCell ref="A90:B90"/>
    <mergeCell ref="D57:H57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87:B87"/>
    <mergeCell ref="A80:B80"/>
    <mergeCell ref="A83:B8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A88:B88"/>
    <mergeCell ref="C125:D125"/>
    <mergeCell ref="E125:F125"/>
    <mergeCell ref="G125:H125"/>
    <mergeCell ref="F113:H113"/>
    <mergeCell ref="A107:E107"/>
    <mergeCell ref="A131:H131"/>
    <mergeCell ref="E128:E129"/>
    <mergeCell ref="G128:H129"/>
    <mergeCell ref="E124:F124"/>
    <mergeCell ref="E121:F121"/>
    <mergeCell ref="A126:H126"/>
    <mergeCell ref="A121:B121"/>
    <mergeCell ref="F114:H114"/>
    <mergeCell ref="C121:D121"/>
    <mergeCell ref="F117:H117"/>
    <mergeCell ref="F115:H115"/>
    <mergeCell ref="A127:H127"/>
    <mergeCell ref="G121:H121"/>
    <mergeCell ref="A116:E116"/>
    <mergeCell ref="C122:D122"/>
    <mergeCell ref="E122:F122"/>
    <mergeCell ref="B128:B129"/>
    <mergeCell ref="A128:A129"/>
    <mergeCell ref="A175:B175"/>
    <mergeCell ref="A167:B167"/>
    <mergeCell ref="A168:B168"/>
    <mergeCell ref="A169:H169"/>
    <mergeCell ref="L138:M138"/>
    <mergeCell ref="A151:B151"/>
    <mergeCell ref="C142:C143"/>
    <mergeCell ref="L137:M137"/>
    <mergeCell ref="A115:E115"/>
    <mergeCell ref="L130:M130"/>
    <mergeCell ref="L159:M159"/>
    <mergeCell ref="G170:H177"/>
    <mergeCell ref="L135:M135"/>
    <mergeCell ref="L134:M134"/>
    <mergeCell ref="L133:M133"/>
    <mergeCell ref="L132:M132"/>
    <mergeCell ref="G132:H140"/>
    <mergeCell ref="G145:H148"/>
    <mergeCell ref="L139:M139"/>
    <mergeCell ref="L140:M140"/>
    <mergeCell ref="A174:B174"/>
    <mergeCell ref="A153:B153"/>
    <mergeCell ref="A139:B139"/>
    <mergeCell ref="A140:B140"/>
    <mergeCell ref="A157:B157"/>
    <mergeCell ref="A154:H154"/>
    <mergeCell ref="A155:B155"/>
    <mergeCell ref="A156:B156"/>
    <mergeCell ref="A161:B161"/>
    <mergeCell ref="A158:B158"/>
    <mergeCell ref="C155:F155"/>
    <mergeCell ref="A159:H159"/>
    <mergeCell ref="A109:E109"/>
    <mergeCell ref="C124:D124"/>
    <mergeCell ref="G124:H124"/>
    <mergeCell ref="A137:B137"/>
    <mergeCell ref="A141:H141"/>
    <mergeCell ref="A142:A143"/>
    <mergeCell ref="A146:B146"/>
    <mergeCell ref="A147:B147"/>
    <mergeCell ref="A148:B148"/>
    <mergeCell ref="A173:B173"/>
    <mergeCell ref="F108:H108"/>
    <mergeCell ref="A108:E108"/>
    <mergeCell ref="D128:D129"/>
    <mergeCell ref="A110:E110"/>
    <mergeCell ref="A138:B138"/>
    <mergeCell ref="A132:B132"/>
    <mergeCell ref="A133:B133"/>
    <mergeCell ref="A134:B134"/>
    <mergeCell ref="A135:B135"/>
    <mergeCell ref="A136:B136"/>
    <mergeCell ref="A111:E111"/>
    <mergeCell ref="F111:H111"/>
    <mergeCell ref="F110:H110"/>
    <mergeCell ref="F116:H116"/>
    <mergeCell ref="A130:H130"/>
    <mergeCell ref="A117:E117"/>
    <mergeCell ref="A112:E112"/>
    <mergeCell ref="F112:H112"/>
    <mergeCell ref="A113:E113"/>
    <mergeCell ref="F109:H109"/>
    <mergeCell ref="A160:H160"/>
    <mergeCell ref="A162:B162"/>
    <mergeCell ref="A114:E114"/>
    <mergeCell ref="I10:L10"/>
    <mergeCell ref="I186:O186"/>
    <mergeCell ref="I179:O179"/>
    <mergeCell ref="A170:B170"/>
    <mergeCell ref="A163:B163"/>
    <mergeCell ref="A165:B165"/>
    <mergeCell ref="A166:B166"/>
    <mergeCell ref="L144:M144"/>
    <mergeCell ref="G150:H153"/>
    <mergeCell ref="G161:H168"/>
    <mergeCell ref="G155:H158"/>
    <mergeCell ref="A150:B150"/>
    <mergeCell ref="B184:H184"/>
    <mergeCell ref="B181:H181"/>
    <mergeCell ref="B179:H179"/>
    <mergeCell ref="B180:H180"/>
    <mergeCell ref="B182:H182"/>
    <mergeCell ref="B183:H183"/>
    <mergeCell ref="A164:B164"/>
    <mergeCell ref="A176:B176"/>
    <mergeCell ref="A177:B177"/>
    <mergeCell ref="C170:F171"/>
    <mergeCell ref="A171:B171"/>
    <mergeCell ref="A172:B172"/>
  </mergeCells>
  <hyperlinks>
    <hyperlink ref="C37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90" max="16383" man="1"/>
    <brk id="199" max="16383" man="1"/>
    <brk id="24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G13" sqref="G13"/>
    </sheetView>
  </sheetViews>
  <sheetFormatPr defaultColWidth="8.7109375" defaultRowHeight="15" x14ac:dyDescent="0.25"/>
  <cols>
    <col min="1" max="1" width="8.7109375" style="19"/>
    <col min="2" max="2" width="22.140625" style="19" customWidth="1"/>
    <col min="3" max="3" width="37" style="19" customWidth="1"/>
    <col min="4" max="5" width="11.42578125" style="19" customWidth="1"/>
    <col min="6" max="6" width="14" style="19" customWidth="1"/>
    <col min="7" max="7" width="20" style="19" customWidth="1"/>
    <col min="8" max="8" width="16.42578125" style="19" customWidth="1"/>
    <col min="9" max="16384" width="8.7109375" style="19"/>
  </cols>
  <sheetData>
    <row r="1" spans="1:9" ht="15" customHeight="1" x14ac:dyDescent="0.25">
      <c r="A1" s="18"/>
      <c r="B1" s="18"/>
      <c r="C1" s="18"/>
      <c r="D1" s="18"/>
      <c r="E1" s="18"/>
      <c r="F1" s="18"/>
      <c r="G1" s="18"/>
      <c r="H1" s="18"/>
    </row>
    <row r="2" spans="1:9" ht="15" customHeight="1" x14ac:dyDescent="0.25">
      <c r="A2" s="20"/>
      <c r="B2" s="20"/>
      <c r="C2" s="20"/>
      <c r="D2" s="20"/>
      <c r="E2" s="20"/>
      <c r="F2" s="20"/>
      <c r="G2" s="20"/>
      <c r="H2" s="20"/>
    </row>
    <row r="3" spans="1:9" ht="15.75" customHeight="1" x14ac:dyDescent="0.25">
      <c r="A3" s="20"/>
      <c r="B3" s="215" t="s">
        <v>120</v>
      </c>
      <c r="C3" s="215"/>
      <c r="D3" s="215"/>
      <c r="E3" s="215"/>
      <c r="F3" s="215"/>
      <c r="G3" s="215"/>
      <c r="H3" s="215"/>
    </row>
    <row r="4" spans="1:9" x14ac:dyDescent="0.25">
      <c r="A4" s="20"/>
      <c r="B4" s="21" t="s">
        <v>121</v>
      </c>
      <c r="C4" s="21" t="s">
        <v>122</v>
      </c>
      <c r="D4" s="21" t="s">
        <v>74</v>
      </c>
      <c r="E4" s="21" t="s">
        <v>123</v>
      </c>
      <c r="F4" s="21" t="s">
        <v>129</v>
      </c>
      <c r="G4" s="21" t="s">
        <v>130</v>
      </c>
      <c r="H4" s="21" t="s">
        <v>124</v>
      </c>
    </row>
    <row r="5" spans="1:9" ht="15" customHeight="1" x14ac:dyDescent="0.25">
      <c r="A5" s="20"/>
      <c r="B5" s="23" t="s">
        <v>125</v>
      </c>
      <c r="C5" s="24"/>
      <c r="D5" s="80" t="s">
        <v>199</v>
      </c>
      <c r="E5" s="23">
        <v>622</v>
      </c>
      <c r="F5" s="25">
        <f>E5*1.6</f>
        <v>995.2</v>
      </c>
      <c r="G5" s="25">
        <f>H5/F5</f>
        <v>12560.289389067524</v>
      </c>
      <c r="H5" s="26">
        <v>12500000</v>
      </c>
    </row>
    <row r="6" spans="1:9" x14ac:dyDescent="0.25">
      <c r="A6" s="20"/>
      <c r="B6" s="23" t="s">
        <v>125</v>
      </c>
      <c r="C6" s="27"/>
      <c r="D6" s="80" t="s">
        <v>199</v>
      </c>
      <c r="E6" s="23">
        <v>612</v>
      </c>
      <c r="F6" s="25">
        <f t="shared" ref="F6:F11" si="0">E6*1.6</f>
        <v>979.2</v>
      </c>
      <c r="G6" s="25">
        <f t="shared" ref="G6:G11" si="1">H6/F6</f>
        <v>14808.006535947712</v>
      </c>
      <c r="H6" s="26">
        <v>14500000</v>
      </c>
    </row>
    <row r="7" spans="1:9" ht="15" customHeight="1" x14ac:dyDescent="0.25">
      <c r="A7" s="20"/>
      <c r="B7" s="23" t="s">
        <v>125</v>
      </c>
      <c r="C7" s="24"/>
      <c r="D7" s="23"/>
      <c r="E7" s="23"/>
      <c r="F7" s="25">
        <f t="shared" si="0"/>
        <v>0</v>
      </c>
      <c r="G7" s="25" t="e">
        <f t="shared" si="1"/>
        <v>#DIV/0!</v>
      </c>
      <c r="H7" s="26"/>
    </row>
    <row r="8" spans="1:9" x14ac:dyDescent="0.25">
      <c r="A8" s="20"/>
      <c r="B8" s="23" t="s">
        <v>125</v>
      </c>
      <c r="C8" s="27"/>
      <c r="D8" s="23"/>
      <c r="E8" s="23"/>
      <c r="F8" s="25">
        <f t="shared" si="0"/>
        <v>0</v>
      </c>
      <c r="G8" s="25" t="e">
        <f t="shared" si="1"/>
        <v>#DIV/0!</v>
      </c>
      <c r="H8" s="26"/>
    </row>
    <row r="9" spans="1:9" ht="15" customHeight="1" x14ac:dyDescent="0.25">
      <c r="A9" s="20"/>
      <c r="B9" s="23" t="s">
        <v>125</v>
      </c>
      <c r="C9" s="27"/>
      <c r="D9" s="23"/>
      <c r="E9" s="23"/>
      <c r="F9" s="25">
        <f t="shared" si="0"/>
        <v>0</v>
      </c>
      <c r="G9" s="25" t="e">
        <f t="shared" si="1"/>
        <v>#DIV/0!</v>
      </c>
      <c r="H9" s="26"/>
    </row>
    <row r="10" spans="1:9" ht="15" customHeight="1" x14ac:dyDescent="0.25">
      <c r="A10" s="20"/>
      <c r="B10" s="23" t="s">
        <v>126</v>
      </c>
      <c r="C10" s="24"/>
      <c r="D10" s="80" t="s">
        <v>199</v>
      </c>
      <c r="E10" s="23">
        <v>622</v>
      </c>
      <c r="F10" s="25">
        <f t="shared" si="0"/>
        <v>995.2</v>
      </c>
      <c r="G10" s="25">
        <f t="shared" si="1"/>
        <v>12459.807073954984</v>
      </c>
      <c r="H10" s="26">
        <v>12400000</v>
      </c>
    </row>
    <row r="11" spans="1:9" ht="15" customHeight="1" x14ac:dyDescent="0.25">
      <c r="A11" s="20"/>
      <c r="B11" s="23" t="s">
        <v>126</v>
      </c>
      <c r="C11" s="24"/>
      <c r="D11" s="80" t="s">
        <v>199</v>
      </c>
      <c r="E11" s="23">
        <v>709</v>
      </c>
      <c r="F11" s="25">
        <f t="shared" si="0"/>
        <v>1134.4000000000001</v>
      </c>
      <c r="G11" s="25">
        <f t="shared" si="1"/>
        <v>12693.935119887165</v>
      </c>
      <c r="H11" s="26">
        <v>14400000</v>
      </c>
    </row>
    <row r="12" spans="1:9" ht="15" customHeight="1" x14ac:dyDescent="0.25">
      <c r="A12" s="20"/>
      <c r="B12" s="28" t="s">
        <v>127</v>
      </c>
      <c r="C12" s="23"/>
      <c r="D12" s="23"/>
      <c r="E12" s="23"/>
      <c r="F12" s="23"/>
      <c r="G12" s="29">
        <f>AVERAGE(G5:G6, G10:G11)</f>
        <v>13130.509529714347</v>
      </c>
      <c r="H12" s="23"/>
    </row>
    <row r="13" spans="1:9" ht="15" customHeight="1" x14ac:dyDescent="0.25">
      <c r="A13" s="18"/>
      <c r="B13" s="28" t="s">
        <v>128</v>
      </c>
      <c r="C13" s="30"/>
      <c r="D13" s="30"/>
      <c r="E13" s="30"/>
      <c r="F13" s="31"/>
      <c r="G13" s="28"/>
      <c r="H13" s="28"/>
      <c r="I13" s="22"/>
    </row>
    <row r="14" spans="1:9" ht="15" customHeight="1" x14ac:dyDescent="0.25">
      <c r="B14" s="18"/>
      <c r="C14" s="18"/>
      <c r="D14" s="18"/>
      <c r="E14" s="18"/>
    </row>
    <row r="15" spans="1:9" ht="15" customHeight="1" x14ac:dyDescent="0.25">
      <c r="B15" s="18"/>
      <c r="C15" s="18"/>
      <c r="D15" s="18"/>
      <c r="E15" s="18"/>
    </row>
    <row r="16" spans="1:9" ht="15" customHeight="1" x14ac:dyDescent="0.25">
      <c r="B16" s="18"/>
      <c r="C16" s="18"/>
      <c r="D16" s="18"/>
      <c r="E16" s="18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2025-07-15T11:13:15Z</cp:lastPrinted>
  <dcterms:created xsi:type="dcterms:W3CDTF">2019-07-16T09:29:46Z</dcterms:created>
  <dcterms:modified xsi:type="dcterms:W3CDTF">2025-07-15T11:14:08Z</dcterms:modified>
</cp:coreProperties>
</file>