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bookViews>
  <sheets>
    <sheet name="Sheet1" sheetId="1" r:id="rId1"/>
    <sheet name="Valutation" sheetId="16" r:id="rId2"/>
    <sheet name="Note" sheetId="17" r:id="rId3"/>
    <sheet name="1A%" sheetId="11" r:id="rId4"/>
    <sheet name="1B%" sheetId="18" r:id="rId5"/>
    <sheet name="1C%" sheetId="19" r:id="rId6"/>
    <sheet name="2%" sheetId="14" r:id="rId7"/>
    <sheet name="3%" sheetId="15" r:id="rId8"/>
    <sheet name="Wing B" sheetId="12" r:id="rId9"/>
    <sheet name="Wing C" sheetId="13" r:id="rId10"/>
  </sheets>
  <definedNames>
    <definedName name="_xlnm.Print_Area" localSheetId="0">Sheet1!$A$1:$J$487</definedName>
  </definedNames>
  <calcPr calcId="152511"/>
</workbook>
</file>

<file path=xl/calcChain.xml><?xml version="1.0" encoding="utf-8"?>
<calcChain xmlns="http://schemas.openxmlformats.org/spreadsheetml/2006/main">
  <c r="C110" i="1" l="1"/>
  <c r="C66" i="1"/>
  <c r="C138" i="1"/>
  <c r="C124" i="1" l="1"/>
  <c r="C154" i="1" l="1"/>
  <c r="C168" i="1"/>
  <c r="C79" i="1"/>
  <c r="O79" i="1"/>
  <c r="C139" i="1" l="1"/>
  <c r="C140" i="1" s="1"/>
  <c r="L142" i="1" l="1"/>
  <c r="L141" i="1"/>
  <c r="L140" i="1"/>
  <c r="L139" i="1"/>
  <c r="L128" i="1"/>
  <c r="L127" i="1"/>
  <c r="L126" i="1"/>
  <c r="L125" i="1"/>
  <c r="I118" i="1"/>
  <c r="I132" i="1"/>
  <c r="D137" i="1" l="1"/>
  <c r="L135" i="1"/>
  <c r="D140" i="1"/>
  <c r="D143" i="1"/>
  <c r="L136" i="1"/>
  <c r="C135" i="1" s="1"/>
  <c r="D135" i="1" s="1"/>
  <c r="L134" i="1"/>
  <c r="D141" i="1"/>
  <c r="D138" i="1"/>
  <c r="D144" i="1"/>
  <c r="L137" i="1"/>
  <c r="L138" i="1" s="1"/>
  <c r="L143" i="1" s="1"/>
  <c r="L144" i="1" s="1"/>
  <c r="C136" i="1" s="1"/>
  <c r="D142" i="1"/>
  <c r="D139" i="1"/>
  <c r="D130" i="1"/>
  <c r="D126" i="1"/>
  <c r="L123" i="1"/>
  <c r="L124" i="1" s="1"/>
  <c r="L129" i="1" s="1"/>
  <c r="L130" i="1" s="1"/>
  <c r="C122" i="1" s="1"/>
  <c r="L122" i="1"/>
  <c r="C121" i="1" s="1"/>
  <c r="D121" i="1" s="1"/>
  <c r="L120" i="1"/>
  <c r="D123" i="1"/>
  <c r="D125" i="1"/>
  <c r="L121" i="1"/>
  <c r="D127" i="1"/>
  <c r="D129" i="1"/>
  <c r="D124" i="1"/>
  <c r="D128" i="1"/>
  <c r="C45" i="1"/>
  <c r="F3" i="1"/>
  <c r="C94" i="1"/>
  <c r="F135" i="1" l="1"/>
  <c r="K131" i="1" s="1"/>
  <c r="C133" i="1" s="1"/>
  <c r="D136" i="1"/>
  <c r="H135" i="1"/>
  <c r="F121" i="1"/>
  <c r="D122" i="1"/>
  <c r="H121" i="1"/>
  <c r="C146" i="1" l="1"/>
  <c r="H146" i="1"/>
  <c r="K117" i="1"/>
  <c r="C119" i="1" s="1"/>
  <c r="L98" i="1"/>
  <c r="L97" i="1"/>
  <c r="L96" i="1"/>
  <c r="L95" i="1"/>
  <c r="D82" i="1" l="1"/>
  <c r="D81" i="1"/>
  <c r="C96" i="1"/>
  <c r="D96" i="1" s="1"/>
  <c r="C95" i="1"/>
  <c r="D95" i="1" s="1"/>
  <c r="D93" i="1"/>
  <c r="D100" i="1"/>
  <c r="D98" i="1"/>
  <c r="D94" i="1"/>
  <c r="L91" i="1"/>
  <c r="L90" i="1"/>
  <c r="D99" i="1"/>
  <c r="L92" i="1"/>
  <c r="C91" i="1" s="1"/>
  <c r="D91" i="1" s="1"/>
  <c r="D97" i="1"/>
  <c r="L93" i="1"/>
  <c r="L94" i="1" s="1"/>
  <c r="L99" i="1" s="1"/>
  <c r="L100" i="1" s="1"/>
  <c r="C92" i="1" s="1"/>
  <c r="L76" i="1"/>
  <c r="L77" i="1"/>
  <c r="L78" i="1"/>
  <c r="C77" i="1" s="1"/>
  <c r="D79" i="1"/>
  <c r="L79" i="1"/>
  <c r="L80" i="1" s="1"/>
  <c r="L85" i="1" s="1"/>
  <c r="L86" i="1" s="1"/>
  <c r="C78" i="1" s="1"/>
  <c r="D80" i="1"/>
  <c r="L81" i="1"/>
  <c r="L82" i="1"/>
  <c r="D83" i="1"/>
  <c r="L83" i="1"/>
  <c r="D84" i="1"/>
  <c r="L84" i="1"/>
  <c r="D85" i="1"/>
  <c r="D86" i="1"/>
  <c r="F91" i="1" l="1"/>
  <c r="D92" i="1"/>
  <c r="H91" i="1"/>
  <c r="F77" i="1"/>
  <c r="D78" i="1"/>
  <c r="D77" i="1"/>
  <c r="H77" i="1"/>
  <c r="K87" i="1" l="1"/>
  <c r="C89" i="1" s="1"/>
  <c r="C102" i="1"/>
  <c r="H102" i="1"/>
  <c r="K73" i="1"/>
  <c r="C75" i="1" s="1"/>
  <c r="L114" i="1" l="1"/>
  <c r="L113" i="1"/>
  <c r="L112" i="1"/>
  <c r="L111" i="1"/>
  <c r="I104" i="1"/>
  <c r="D109" i="1" l="1"/>
  <c r="D116" i="1"/>
  <c r="D114" i="1"/>
  <c r="D112" i="1"/>
  <c r="D110" i="1"/>
  <c r="L107" i="1"/>
  <c r="D113" i="1"/>
  <c r="D111" i="1"/>
  <c r="L108" i="1"/>
  <c r="C107" i="1" s="1"/>
  <c r="L106" i="1"/>
  <c r="D115" i="1"/>
  <c r="L109" i="1"/>
  <c r="L110" i="1" s="1"/>
  <c r="L115" i="1" s="1"/>
  <c r="L116" i="1" s="1"/>
  <c r="C108" i="1" s="1"/>
  <c r="L172" i="1"/>
  <c r="L171" i="1"/>
  <c r="L170" i="1"/>
  <c r="L169" i="1"/>
  <c r="L158" i="1"/>
  <c r="L157" i="1"/>
  <c r="L156" i="1"/>
  <c r="L155" i="1"/>
  <c r="L70" i="1"/>
  <c r="L69" i="1"/>
  <c r="L68" i="1"/>
  <c r="L67" i="1"/>
  <c r="I148" i="1"/>
  <c r="I60" i="1"/>
  <c r="I162" i="1"/>
  <c r="F107" i="1" l="1"/>
  <c r="D108" i="1"/>
  <c r="H107" i="1"/>
  <c r="D107" i="1"/>
  <c r="D66" i="1"/>
  <c r="D167" i="1"/>
  <c r="L166" i="1"/>
  <c r="C165" i="1" s="1"/>
  <c r="D165" i="1" s="1"/>
  <c r="L164" i="1"/>
  <c r="L165" i="1"/>
  <c r="D174" i="1"/>
  <c r="D172" i="1"/>
  <c r="D170" i="1"/>
  <c r="D168" i="1"/>
  <c r="L167" i="1"/>
  <c r="L168" i="1" s="1"/>
  <c r="L173" i="1" s="1"/>
  <c r="L174" i="1" s="1"/>
  <c r="C166" i="1" s="1"/>
  <c r="D173" i="1"/>
  <c r="D171" i="1"/>
  <c r="D169" i="1"/>
  <c r="D160" i="1"/>
  <c r="D158" i="1"/>
  <c r="D156" i="1"/>
  <c r="D154" i="1"/>
  <c r="L153" i="1"/>
  <c r="L154" i="1" s="1"/>
  <c r="L159" i="1" s="1"/>
  <c r="L160" i="1" s="1"/>
  <c r="C152" i="1" s="1"/>
  <c r="D159" i="1"/>
  <c r="D157" i="1"/>
  <c r="D155" i="1"/>
  <c r="D153" i="1"/>
  <c r="L151" i="1"/>
  <c r="L152" i="1"/>
  <c r="C151" i="1" s="1"/>
  <c r="L150" i="1"/>
  <c r="D67" i="1"/>
  <c r="D72" i="1"/>
  <c r="D70" i="1"/>
  <c r="D68" i="1"/>
  <c r="L64" i="1"/>
  <c r="C63" i="1" s="1"/>
  <c r="L62" i="1"/>
  <c r="D71" i="1"/>
  <c r="D65" i="1"/>
  <c r="L63" i="1"/>
  <c r="L65" i="1"/>
  <c r="L66" i="1" s="1"/>
  <c r="L71" i="1" s="1"/>
  <c r="L72" i="1" s="1"/>
  <c r="C64" i="1" s="1"/>
  <c r="D69" i="1"/>
  <c r="C8" i="14"/>
  <c r="C9" i="14" s="1"/>
  <c r="C8" i="11"/>
  <c r="C9" i="11" s="1"/>
  <c r="K103" i="1" l="1"/>
  <c r="C105" i="1" s="1"/>
  <c r="K101" i="1" s="1"/>
  <c r="F165" i="1"/>
  <c r="K161" i="1" s="1"/>
  <c r="C163" i="1" s="1"/>
  <c r="D166" i="1"/>
  <c r="H165" i="1"/>
  <c r="F151" i="1"/>
  <c r="D152" i="1"/>
  <c r="H151" i="1"/>
  <c r="D151" i="1"/>
  <c r="F63" i="1"/>
  <c r="D64" i="1"/>
  <c r="H63" i="1"/>
  <c r="D63" i="1"/>
  <c r="D6" i="11"/>
  <c r="G15" i="19"/>
  <c r="G16" i="19" s="1"/>
  <c r="C15" i="19" s="1"/>
  <c r="B7" i="19"/>
  <c r="H15" i="19" s="1"/>
  <c r="B16" i="19" s="1"/>
  <c r="D6" i="19"/>
  <c r="C5" i="19"/>
  <c r="B8" i="19" s="1"/>
  <c r="G15" i="18"/>
  <c r="B15" i="18" s="1"/>
  <c r="B7" i="18"/>
  <c r="D7" i="18" s="1"/>
  <c r="D6" i="18"/>
  <c r="C5" i="18"/>
  <c r="B10" i="18" s="1"/>
  <c r="F13" i="16"/>
  <c r="G13" i="16" s="1"/>
  <c r="F12" i="16"/>
  <c r="G12" i="16" s="1"/>
  <c r="G11" i="16"/>
  <c r="F10" i="16"/>
  <c r="G10" i="16" s="1"/>
  <c r="F9" i="16"/>
  <c r="G9" i="16" s="1"/>
  <c r="F8" i="16"/>
  <c r="G8" i="16" s="1"/>
  <c r="F7" i="16"/>
  <c r="G7" i="16" s="1"/>
  <c r="F6" i="16"/>
  <c r="G6" i="16" s="1"/>
  <c r="F5" i="16"/>
  <c r="G5" i="16" s="1"/>
  <c r="L346" i="1"/>
  <c r="L341" i="1"/>
  <c r="L335" i="1"/>
  <c r="L331" i="1"/>
  <c r="L326" i="1"/>
  <c r="L321" i="1"/>
  <c r="M321" i="1"/>
  <c r="L284" i="1"/>
  <c r="L278" i="1"/>
  <c r="L272" i="1"/>
  <c r="L265" i="1"/>
  <c r="L261" i="1"/>
  <c r="L250" i="1"/>
  <c r="L255" i="1"/>
  <c r="L363" i="1"/>
  <c r="L364" i="1"/>
  <c r="I377" i="1"/>
  <c r="I364" i="1"/>
  <c r="D385" i="1"/>
  <c r="F385" i="1" s="1"/>
  <c r="H385" i="1" s="1"/>
  <c r="D384" i="1"/>
  <c r="F384" i="1" s="1"/>
  <c r="H384" i="1" s="1"/>
  <c r="D383" i="1"/>
  <c r="F383" i="1" s="1"/>
  <c r="H383" i="1" s="1"/>
  <c r="D382" i="1"/>
  <c r="F382" i="1" s="1"/>
  <c r="H382" i="1" s="1"/>
  <c r="D381" i="1"/>
  <c r="F381" i="1" s="1"/>
  <c r="H381" i="1" s="1"/>
  <c r="D380" i="1"/>
  <c r="F380" i="1" s="1"/>
  <c r="H380" i="1" s="1"/>
  <c r="D379" i="1"/>
  <c r="F379" i="1" s="1"/>
  <c r="H379" i="1" s="1"/>
  <c r="D378" i="1"/>
  <c r="F378" i="1" s="1"/>
  <c r="H378" i="1" s="1"/>
  <c r="D377" i="1"/>
  <c r="F377" i="1" s="1"/>
  <c r="H377" i="1" s="1"/>
  <c r="D365" i="1"/>
  <c r="F365" i="1" s="1"/>
  <c r="H365" i="1" s="1"/>
  <c r="D366" i="1"/>
  <c r="F366" i="1" s="1"/>
  <c r="H366" i="1" s="1"/>
  <c r="D367" i="1"/>
  <c r="F367" i="1" s="1"/>
  <c r="H367" i="1" s="1"/>
  <c r="D368" i="1"/>
  <c r="F368" i="1" s="1"/>
  <c r="H368" i="1" s="1"/>
  <c r="D369" i="1"/>
  <c r="F369" i="1" s="1"/>
  <c r="H369" i="1" s="1"/>
  <c r="D370" i="1"/>
  <c r="F370" i="1" s="1"/>
  <c r="H370" i="1" s="1"/>
  <c r="D371" i="1"/>
  <c r="F371" i="1" s="1"/>
  <c r="H371" i="1" s="1"/>
  <c r="D372" i="1"/>
  <c r="F372" i="1" s="1"/>
  <c r="H372" i="1" s="1"/>
  <c r="D373" i="1"/>
  <c r="F373" i="1" s="1"/>
  <c r="H373" i="1" s="1"/>
  <c r="D374" i="1"/>
  <c r="F374" i="1" s="1"/>
  <c r="H374" i="1" s="1"/>
  <c r="D375" i="1"/>
  <c r="F375" i="1" s="1"/>
  <c r="H375" i="1" s="1"/>
  <c r="D364" i="1"/>
  <c r="F364" i="1" s="1"/>
  <c r="H364" i="1" s="1"/>
  <c r="F362" i="1"/>
  <c r="H362" i="1" s="1"/>
  <c r="F361" i="1"/>
  <c r="H361" i="1" s="1"/>
  <c r="F360" i="1"/>
  <c r="H360" i="1" s="1"/>
  <c r="F359" i="1"/>
  <c r="H359" i="1" s="1"/>
  <c r="F358" i="1"/>
  <c r="H358" i="1" s="1"/>
  <c r="F357" i="1"/>
  <c r="H357" i="1" s="1"/>
  <c r="F356" i="1"/>
  <c r="H356" i="1" s="1"/>
  <c r="F355" i="1"/>
  <c r="H355" i="1" s="1"/>
  <c r="F354" i="1"/>
  <c r="H354" i="1" s="1"/>
  <c r="F353" i="1"/>
  <c r="H353" i="1" s="1"/>
  <c r="F352" i="1"/>
  <c r="H352" i="1" s="1"/>
  <c r="F351" i="1"/>
  <c r="H351" i="1" s="1"/>
  <c r="F350" i="1"/>
  <c r="H350" i="1" s="1"/>
  <c r="D362" i="1"/>
  <c r="D361" i="1"/>
  <c r="D360" i="1"/>
  <c r="D359" i="1"/>
  <c r="D358" i="1"/>
  <c r="D357" i="1"/>
  <c r="D356" i="1"/>
  <c r="D355" i="1"/>
  <c r="D354" i="1"/>
  <c r="D353" i="1"/>
  <c r="D352" i="1"/>
  <c r="D351" i="1"/>
  <c r="D350" i="1"/>
  <c r="D306" i="1"/>
  <c r="F306" i="1" s="1"/>
  <c r="H306" i="1" s="1"/>
  <c r="D305" i="1"/>
  <c r="F305" i="1" s="1"/>
  <c r="H305" i="1" s="1"/>
  <c r="D304" i="1"/>
  <c r="F304" i="1" s="1"/>
  <c r="H304" i="1" s="1"/>
  <c r="D303" i="1"/>
  <c r="F303" i="1" s="1"/>
  <c r="H303" i="1" s="1"/>
  <c r="D311" i="1"/>
  <c r="F311" i="1" s="1"/>
  <c r="H311" i="1" s="1"/>
  <c r="D310" i="1"/>
  <c r="F310" i="1" s="1"/>
  <c r="H310" i="1" s="1"/>
  <c r="D309" i="1"/>
  <c r="F309" i="1" s="1"/>
  <c r="H309" i="1" s="1"/>
  <c r="D308" i="1"/>
  <c r="F308" i="1" s="1"/>
  <c r="H308" i="1" s="1"/>
  <c r="D316" i="1"/>
  <c r="F316" i="1" s="1"/>
  <c r="H316" i="1" s="1"/>
  <c r="D314" i="1"/>
  <c r="F314" i="1" s="1"/>
  <c r="H314" i="1" s="1"/>
  <c r="D313" i="1"/>
  <c r="F313" i="1" s="1"/>
  <c r="H313" i="1" s="1"/>
  <c r="D321" i="1"/>
  <c r="F321" i="1" s="1"/>
  <c r="H321" i="1" s="1"/>
  <c r="D320" i="1"/>
  <c r="F320" i="1" s="1"/>
  <c r="H320" i="1" s="1"/>
  <c r="D319" i="1"/>
  <c r="F319" i="1" s="1"/>
  <c r="H319" i="1" s="1"/>
  <c r="D318" i="1"/>
  <c r="F318" i="1" s="1"/>
  <c r="H318" i="1" s="1"/>
  <c r="D326" i="1"/>
  <c r="F326" i="1" s="1"/>
  <c r="H326" i="1" s="1"/>
  <c r="D325" i="1"/>
  <c r="F325" i="1" s="1"/>
  <c r="H325" i="1" s="1"/>
  <c r="D324" i="1"/>
  <c r="F324" i="1" s="1"/>
  <c r="H324" i="1" s="1"/>
  <c r="D323" i="1"/>
  <c r="F323" i="1" s="1"/>
  <c r="H323" i="1" s="1"/>
  <c r="D331" i="1"/>
  <c r="F331" i="1" s="1"/>
  <c r="H331" i="1" s="1"/>
  <c r="D330" i="1"/>
  <c r="F330" i="1" s="1"/>
  <c r="H330" i="1" s="1"/>
  <c r="D329" i="1"/>
  <c r="F329" i="1" s="1"/>
  <c r="H329" i="1" s="1"/>
  <c r="D328" i="1"/>
  <c r="F328" i="1" s="1"/>
  <c r="H328" i="1" s="1"/>
  <c r="D335" i="1"/>
  <c r="F335" i="1" s="1"/>
  <c r="H335" i="1" s="1"/>
  <c r="D334" i="1"/>
  <c r="F334" i="1" s="1"/>
  <c r="H334" i="1" s="1"/>
  <c r="D333" i="1"/>
  <c r="F333" i="1" s="1"/>
  <c r="H333" i="1" s="1"/>
  <c r="D341" i="1"/>
  <c r="F341" i="1" s="1"/>
  <c r="H341" i="1" s="1"/>
  <c r="D340" i="1"/>
  <c r="F340" i="1" s="1"/>
  <c r="H340" i="1" s="1"/>
  <c r="D339" i="1"/>
  <c r="F339" i="1" s="1"/>
  <c r="H339" i="1" s="1"/>
  <c r="D346" i="1"/>
  <c r="F346" i="1" s="1"/>
  <c r="H346" i="1" s="1"/>
  <c r="D345" i="1"/>
  <c r="F345" i="1" s="1"/>
  <c r="H345" i="1" s="1"/>
  <c r="D344" i="1"/>
  <c r="F344" i="1" s="1"/>
  <c r="H344" i="1" s="1"/>
  <c r="D301" i="1"/>
  <c r="F301" i="1" s="1"/>
  <c r="H301" i="1" s="1"/>
  <c r="D300" i="1"/>
  <c r="F300" i="1" s="1"/>
  <c r="H300" i="1" s="1"/>
  <c r="C55" i="1"/>
  <c r="D232" i="1"/>
  <c r="G232" i="1" s="1"/>
  <c r="D231" i="1"/>
  <c r="G231" i="1" s="1"/>
  <c r="D230" i="1"/>
  <c r="G230" i="1" s="1"/>
  <c r="D229" i="1"/>
  <c r="G229" i="1" s="1"/>
  <c r="D228" i="1"/>
  <c r="G228" i="1" s="1"/>
  <c r="D227" i="1"/>
  <c r="G227" i="1" s="1"/>
  <c r="D226" i="1"/>
  <c r="G226" i="1" s="1"/>
  <c r="D225" i="1"/>
  <c r="G225" i="1" s="1"/>
  <c r="D224" i="1"/>
  <c r="G224" i="1" s="1"/>
  <c r="D223" i="1"/>
  <c r="G223" i="1" s="1"/>
  <c r="D222" i="1"/>
  <c r="G222" i="1" s="1"/>
  <c r="D221" i="1"/>
  <c r="G221" i="1" s="1"/>
  <c r="D220" i="1"/>
  <c r="G220" i="1" s="1"/>
  <c r="D219" i="1"/>
  <c r="G219" i="1" s="1"/>
  <c r="D218" i="1"/>
  <c r="G218" i="1" s="1"/>
  <c r="D217" i="1"/>
  <c r="G217" i="1" s="1"/>
  <c r="D216" i="1"/>
  <c r="G216" i="1" s="1"/>
  <c r="D215" i="1"/>
  <c r="G215" i="1" s="1"/>
  <c r="D214" i="1"/>
  <c r="G214" i="1" s="1"/>
  <c r="D213" i="1"/>
  <c r="D212" i="1"/>
  <c r="G212" i="1" s="1"/>
  <c r="D211" i="1"/>
  <c r="G211" i="1" s="1"/>
  <c r="D210" i="1"/>
  <c r="G210" i="1" s="1"/>
  <c r="D209" i="1"/>
  <c r="G209" i="1" s="1"/>
  <c r="D208" i="1"/>
  <c r="G208" i="1" s="1"/>
  <c r="D207" i="1"/>
  <c r="D295" i="1"/>
  <c r="F295" i="1" s="1"/>
  <c r="H295" i="1" s="1"/>
  <c r="D294" i="1"/>
  <c r="F294" i="1" s="1"/>
  <c r="H294" i="1" s="1"/>
  <c r="D293" i="1"/>
  <c r="F293" i="1" s="1"/>
  <c r="H293" i="1" s="1"/>
  <c r="D291" i="1"/>
  <c r="F291" i="1" s="1"/>
  <c r="H291" i="1" s="1"/>
  <c r="D289" i="1"/>
  <c r="F289" i="1" s="1"/>
  <c r="H289" i="1" s="1"/>
  <c r="D288" i="1"/>
  <c r="F288" i="1" s="1"/>
  <c r="H288" i="1" s="1"/>
  <c r="D286" i="1"/>
  <c r="F286" i="1" s="1"/>
  <c r="H286" i="1" s="1"/>
  <c r="D284" i="1"/>
  <c r="F284" i="1" s="1"/>
  <c r="H284" i="1" s="1"/>
  <c r="D282" i="1"/>
  <c r="F282" i="1" s="1"/>
  <c r="H282" i="1" s="1"/>
  <c r="D281" i="1"/>
  <c r="F281" i="1" s="1"/>
  <c r="H281" i="1" s="1"/>
  <c r="D280" i="1"/>
  <c r="F280" i="1" s="1"/>
  <c r="H280" i="1" s="1"/>
  <c r="D278" i="1"/>
  <c r="F278" i="1" s="1"/>
  <c r="H278" i="1" s="1"/>
  <c r="D277" i="1"/>
  <c r="F277" i="1" s="1"/>
  <c r="H277" i="1" s="1"/>
  <c r="D276" i="1"/>
  <c r="F276" i="1" s="1"/>
  <c r="H276" i="1" s="1"/>
  <c r="D274" i="1"/>
  <c r="F274" i="1" s="1"/>
  <c r="H274" i="1" s="1"/>
  <c r="D272" i="1"/>
  <c r="F272" i="1" s="1"/>
  <c r="H272" i="1" s="1"/>
  <c r="D271" i="1"/>
  <c r="F271" i="1" s="1"/>
  <c r="H271" i="1" s="1"/>
  <c r="D269" i="1"/>
  <c r="F269" i="1" s="1"/>
  <c r="H269" i="1" s="1"/>
  <c r="D267" i="1"/>
  <c r="F267" i="1" s="1"/>
  <c r="H267" i="1" s="1"/>
  <c r="D265" i="1"/>
  <c r="F265" i="1" s="1"/>
  <c r="H265" i="1" s="1"/>
  <c r="D264" i="1"/>
  <c r="F264" i="1" s="1"/>
  <c r="H264" i="1" s="1"/>
  <c r="D263" i="1"/>
  <c r="F263" i="1" s="1"/>
  <c r="H263" i="1" s="1"/>
  <c r="D255" i="1"/>
  <c r="F255" i="1" s="1"/>
  <c r="H255" i="1" s="1"/>
  <c r="D254" i="1"/>
  <c r="F254" i="1" s="1"/>
  <c r="H254" i="1" s="1"/>
  <c r="D253" i="1"/>
  <c r="F253" i="1" s="1"/>
  <c r="H253" i="1" s="1"/>
  <c r="D252" i="1"/>
  <c r="F252" i="1" s="1"/>
  <c r="D261" i="1"/>
  <c r="F261" i="1" s="1"/>
  <c r="H261" i="1" s="1"/>
  <c r="D260" i="1"/>
  <c r="F260" i="1" s="1"/>
  <c r="H260" i="1" s="1"/>
  <c r="D259" i="1"/>
  <c r="F259" i="1" s="1"/>
  <c r="H259" i="1" s="1"/>
  <c r="D258" i="1"/>
  <c r="F258" i="1" s="1"/>
  <c r="H258" i="1" s="1"/>
  <c r="D257" i="1"/>
  <c r="F257" i="1" s="1"/>
  <c r="D243" i="1"/>
  <c r="F243" i="1" s="1"/>
  <c r="H243" i="1" s="1"/>
  <c r="D242" i="1"/>
  <c r="F242" i="1" s="1"/>
  <c r="H242" i="1" s="1"/>
  <c r="D240" i="1"/>
  <c r="F240" i="1" s="1"/>
  <c r="H240" i="1" s="1"/>
  <c r="D239" i="1"/>
  <c r="F239" i="1" s="1"/>
  <c r="H239" i="1" s="1"/>
  <c r="D237" i="1"/>
  <c r="F237" i="1" s="1"/>
  <c r="H237" i="1" s="1"/>
  <c r="D247" i="1"/>
  <c r="F247" i="1" s="1"/>
  <c r="H247" i="1" s="1"/>
  <c r="D248" i="1"/>
  <c r="F248" i="1" s="1"/>
  <c r="H248" i="1" s="1"/>
  <c r="D249" i="1"/>
  <c r="F249" i="1" s="1"/>
  <c r="H249" i="1" s="1"/>
  <c r="D250" i="1"/>
  <c r="F250" i="1" s="1"/>
  <c r="H250" i="1" s="1"/>
  <c r="D246" i="1"/>
  <c r="F246" i="1" s="1"/>
  <c r="G15" i="15"/>
  <c r="G16" i="15" s="1"/>
  <c r="C15" i="15" s="1"/>
  <c r="D7" i="15"/>
  <c r="H16" i="15"/>
  <c r="C16" i="15" s="1"/>
  <c r="D6" i="15"/>
  <c r="C5" i="15"/>
  <c r="B12" i="15" s="1"/>
  <c r="G15" i="14"/>
  <c r="G16" i="14" s="1"/>
  <c r="C15" i="14" s="1"/>
  <c r="B7" i="14"/>
  <c r="H16" i="14" s="1"/>
  <c r="C16" i="14" s="1"/>
  <c r="D6" i="14"/>
  <c r="C5" i="14"/>
  <c r="B11" i="14" s="1"/>
  <c r="G15" i="11"/>
  <c r="G16" i="11" s="1"/>
  <c r="C15" i="11" s="1"/>
  <c r="B7" i="11"/>
  <c r="H16" i="11" s="1"/>
  <c r="C16" i="11" s="1"/>
  <c r="C5" i="11"/>
  <c r="B9" i="11" s="1"/>
  <c r="D9" i="11" s="1"/>
  <c r="F402" i="1"/>
  <c r="C46" i="1"/>
  <c r="G188"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K7" i="13"/>
  <c r="K8" i="13"/>
  <c r="K9" i="13"/>
  <c r="K10" i="13"/>
  <c r="G11" i="13"/>
  <c r="N10" i="13"/>
  <c r="G10" i="13"/>
  <c r="N9" i="13"/>
  <c r="G9" i="13"/>
  <c r="N8" i="13"/>
  <c r="N7" i="13"/>
  <c r="G8"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F7" i="12"/>
  <c r="F8" i="12"/>
  <c r="F9" i="12"/>
  <c r="F10" i="12"/>
  <c r="F11" i="12"/>
  <c r="M11" i="12"/>
  <c r="J11" i="12"/>
  <c r="M10" i="12"/>
  <c r="J10" i="12"/>
  <c r="M9" i="12"/>
  <c r="J9" i="12"/>
  <c r="M8" i="12"/>
  <c r="J8" i="12"/>
  <c r="M7" i="12"/>
  <c r="J7" i="12"/>
  <c r="B12" i="14"/>
  <c r="D12" i="14" s="1"/>
  <c r="B11" i="11"/>
  <c r="L16" i="11" s="1"/>
  <c r="C20" i="11" s="1"/>
  <c r="B10" i="11"/>
  <c r="K15" i="11" s="1"/>
  <c r="B19" i="11" s="1"/>
  <c r="H15" i="15"/>
  <c r="B16" i="15" s="1"/>
  <c r="B10" i="19"/>
  <c r="K15" i="19" s="1"/>
  <c r="B19" i="19" s="1"/>
  <c r="B12" i="19"/>
  <c r="D12" i="19" s="1"/>
  <c r="B15" i="19"/>
  <c r="B15" i="15" l="1"/>
  <c r="G16" i="18"/>
  <c r="C15" i="18" s="1"/>
  <c r="D10" i="11"/>
  <c r="D10" i="19"/>
  <c r="M35" i="12"/>
  <c r="L35" i="12" s="1"/>
  <c r="K16" i="11"/>
  <c r="C19" i="11" s="1"/>
  <c r="B15" i="11"/>
  <c r="B12" i="11"/>
  <c r="M16" i="11" s="1"/>
  <c r="C21" i="11" s="1"/>
  <c r="H252" i="1"/>
  <c r="C198" i="1"/>
  <c r="E198" i="1"/>
  <c r="G213" i="1"/>
  <c r="H194" i="1" s="1"/>
  <c r="C194" i="1"/>
  <c r="E194" i="1"/>
  <c r="H246" i="1"/>
  <c r="H197" i="1" s="1"/>
  <c r="C197" i="1"/>
  <c r="E197" i="1"/>
  <c r="G207" i="1"/>
  <c r="H191" i="1" s="1"/>
  <c r="C191" i="1"/>
  <c r="E191" i="1"/>
  <c r="H257" i="1"/>
  <c r="H199" i="1" s="1"/>
  <c r="C199" i="1"/>
  <c r="E199" i="1"/>
  <c r="B8" i="11"/>
  <c r="I15" i="11" s="1"/>
  <c r="B17" i="11" s="1"/>
  <c r="M15" i="14"/>
  <c r="B21" i="14" s="1"/>
  <c r="B10" i="14"/>
  <c r="B12" i="18"/>
  <c r="M16" i="18" s="1"/>
  <c r="C21" i="18" s="1"/>
  <c r="B8" i="14"/>
  <c r="I15" i="14" s="1"/>
  <c r="B17" i="14" s="1"/>
  <c r="H16" i="18"/>
  <c r="C16" i="18" s="1"/>
  <c r="B11" i="19"/>
  <c r="D11" i="19" s="1"/>
  <c r="B11" i="15"/>
  <c r="L16" i="15" s="1"/>
  <c r="C20" i="15" s="1"/>
  <c r="B9" i="14"/>
  <c r="F35" i="12"/>
  <c r="E35" i="12" s="1"/>
  <c r="G35" i="13"/>
  <c r="F35" i="13" s="1"/>
  <c r="K147" i="1"/>
  <c r="C149" i="1" s="1"/>
  <c r="K59" i="1"/>
  <c r="C61" i="1" s="1"/>
  <c r="D8" i="19"/>
  <c r="I16" i="19"/>
  <c r="C17" i="19" s="1"/>
  <c r="I15" i="19"/>
  <c r="B17" i="19" s="1"/>
  <c r="D7" i="19"/>
  <c r="K16" i="19"/>
  <c r="C19" i="19" s="1"/>
  <c r="H15" i="18"/>
  <c r="B16" i="18" s="1"/>
  <c r="N35" i="13"/>
  <c r="M35" i="13" s="1"/>
  <c r="K35" i="13"/>
  <c r="J35" i="13" s="1"/>
  <c r="B9" i="18"/>
  <c r="D9" i="18" s="1"/>
  <c r="B9" i="19"/>
  <c r="J16" i="19" s="1"/>
  <c r="C18" i="19" s="1"/>
  <c r="L15" i="11"/>
  <c r="B20" i="11" s="1"/>
  <c r="J35" i="12"/>
  <c r="I35" i="12" s="1"/>
  <c r="L366" i="1"/>
  <c r="D10" i="18"/>
  <c r="K15" i="18"/>
  <c r="B19" i="18" s="1"/>
  <c r="K16" i="18"/>
  <c r="C19" i="18" s="1"/>
  <c r="M16" i="15"/>
  <c r="C21" i="15" s="1"/>
  <c r="M15" i="15"/>
  <c r="B21" i="15" s="1"/>
  <c r="D12" i="15"/>
  <c r="G14" i="16"/>
  <c r="L16" i="14"/>
  <c r="C20" i="14" s="1"/>
  <c r="L15" i="14"/>
  <c r="B20" i="14" s="1"/>
  <c r="D11" i="14"/>
  <c r="B8" i="18"/>
  <c r="J15" i="11"/>
  <c r="B18" i="11" s="1"/>
  <c r="B10" i="15"/>
  <c r="M16" i="14"/>
  <c r="C21" i="14" s="1"/>
  <c r="D11" i="11"/>
  <c r="H15" i="14"/>
  <c r="B16" i="14" s="1"/>
  <c r="D7" i="14"/>
  <c r="B8" i="15"/>
  <c r="B11" i="18"/>
  <c r="H16" i="19"/>
  <c r="C16" i="19" s="1"/>
  <c r="M15" i="19"/>
  <c r="B21" i="19" s="1"/>
  <c r="J16" i="11"/>
  <c r="C18" i="11" s="1"/>
  <c r="M15" i="18"/>
  <c r="B21" i="18" s="1"/>
  <c r="M16" i="19"/>
  <c r="C21" i="19" s="1"/>
  <c r="D7" i="11"/>
  <c r="B9" i="15"/>
  <c r="B15" i="14"/>
  <c r="L15" i="15"/>
  <c r="B20" i="15" s="1"/>
  <c r="H15" i="11"/>
  <c r="B16" i="11" s="1"/>
  <c r="D11" i="15" l="1"/>
  <c r="D12" i="18"/>
  <c r="H198" i="1"/>
  <c r="N252" i="1"/>
  <c r="M15" i="11"/>
  <c r="B21" i="11" s="1"/>
  <c r="B22" i="11" s="1"/>
  <c r="D12" i="11"/>
  <c r="I16" i="11"/>
  <c r="C17" i="11" s="1"/>
  <c r="C22" i="11" s="1"/>
  <c r="D8" i="11"/>
  <c r="J15" i="14"/>
  <c r="B18" i="14" s="1"/>
  <c r="D9" i="14"/>
  <c r="J16" i="14"/>
  <c r="C18" i="14" s="1"/>
  <c r="D8" i="14"/>
  <c r="I16" i="14"/>
  <c r="C17" i="14" s="1"/>
  <c r="J16" i="18"/>
  <c r="C18" i="18" s="1"/>
  <c r="L15" i="19"/>
  <c r="B20" i="19" s="1"/>
  <c r="L16" i="19"/>
  <c r="C20" i="19" s="1"/>
  <c r="C22" i="19" s="1"/>
  <c r="K16" i="14"/>
  <c r="C19" i="14" s="1"/>
  <c r="D10" i="14"/>
  <c r="K15" i="14"/>
  <c r="B19" i="14" s="1"/>
  <c r="D9" i="19"/>
  <c r="J15" i="19"/>
  <c r="B18" i="19" s="1"/>
  <c r="J15" i="18"/>
  <c r="B18" i="18" s="1"/>
  <c r="D8" i="15"/>
  <c r="I15" i="15"/>
  <c r="B17" i="15" s="1"/>
  <c r="I16" i="15"/>
  <c r="C17" i="15" s="1"/>
  <c r="I15" i="18"/>
  <c r="B17" i="18" s="1"/>
  <c r="D8" i="18"/>
  <c r="I16" i="18"/>
  <c r="C17" i="18" s="1"/>
  <c r="D11" i="18"/>
  <c r="L16" i="18"/>
  <c r="C20" i="18" s="1"/>
  <c r="L15" i="18"/>
  <c r="B20" i="18" s="1"/>
  <c r="D10" i="15"/>
  <c r="K16" i="15"/>
  <c r="C19" i="15" s="1"/>
  <c r="K15" i="15"/>
  <c r="B19" i="15" s="1"/>
  <c r="D9" i="15"/>
  <c r="J15" i="15"/>
  <c r="B18" i="15" s="1"/>
  <c r="J16" i="15"/>
  <c r="C18" i="15" s="1"/>
  <c r="C22" i="14" l="1"/>
  <c r="B22" i="14"/>
  <c r="B22" i="19"/>
  <c r="B22" i="18"/>
  <c r="C22" i="18"/>
  <c r="C22" i="15"/>
  <c r="B22" i="15"/>
</calcChain>
</file>

<file path=xl/sharedStrings.xml><?xml version="1.0" encoding="utf-8"?>
<sst xmlns="http://schemas.openxmlformats.org/spreadsheetml/2006/main" count="1280" uniqueCount="360">
  <si>
    <t>Date:</t>
  </si>
  <si>
    <t>CPC Name:</t>
  </si>
  <si>
    <t>Date Of Property Visit</t>
  </si>
  <si>
    <t>Name of the builder group</t>
  </si>
  <si>
    <t>Name of the builder company</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</si>
  <si>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</si>
  <si>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</si>
  <si>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</si>
  <si>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</si>
  <si>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</si>
  <si>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</si>
  <si>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</si>
  <si>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</si>
  <si>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</si>
  <si>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</si>
  <si>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</si>
  <si>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</si>
  <si>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</si>
  <si>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</si>
  <si>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</si>
  <si>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</si>
  <si>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</si>
  <si>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</si>
  <si>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</si>
  <si>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</si>
  <si>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</si>
  <si>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</si>
  <si>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</si>
  <si>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</si>
  <si>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</si>
  <si>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</si>
  <si>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</si>
  <si>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</si>
  <si>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</si>
  <si>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</si>
  <si>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</si>
  <si>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</si>
  <si>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</si>
  <si>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</si>
  <si>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</si>
  <si>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</si>
  <si>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</si>
  <si>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</si>
  <si>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</si>
  <si>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</si>
  <si>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</si>
  <si>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</si>
  <si>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</si>
  <si>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</si>
  <si>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</si>
  <si>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</si>
  <si>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</si>
  <si>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</si>
  <si>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</si>
  <si>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</si>
  <si>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</si>
  <si>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</si>
  <si>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</si>
  <si>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</si>
  <si>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</si>
  <si>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</si>
  <si>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</si>
  <si>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</si>
  <si>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</si>
  <si>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</si>
  <si>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</si>
  <si>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</si>
  <si>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</si>
  <si>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</si>
  <si>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</si>
  <si>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</si>
  <si>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</si>
  <si>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</si>
  <si>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</si>
  <si>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</si>
  <si>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</si>
  <si>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</si>
  <si>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</si>
  <si>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</si>
  <si>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</si>
  <si>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</si>
  <si>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Distress valuation of the property Per Sq. Ft.</t>
  </si>
  <si>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</si>
  <si>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</si>
  <si>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</si>
  <si>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</si>
  <si>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</si>
  <si>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</si>
  <si>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</si>
  <si>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</si>
  <si>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</si>
  <si>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</si>
  <si>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</si>
  <si>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</si>
  <si>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</si>
  <si>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</si>
  <si>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</si>
  <si>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</si>
  <si>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</si>
  <si>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</si>
  <si>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</si>
  <si>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</si>
  <si>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</si>
  <si>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</si>
  <si>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</si>
  <si>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</si>
  <si>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</si>
  <si>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</si>
  <si>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</si>
  <si>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</si>
  <si>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</si>
  <si>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1. Copy of Plans. 2. Copy of CC.</t>
  </si>
  <si>
    <t>Plot No.</t>
  </si>
  <si>
    <t>Axis Kalina</t>
  </si>
  <si>
    <t>M/s. Ruparel Realty</t>
  </si>
  <si>
    <t>M/s. Ruparel Infra &amp; Realty Pvt Ltd.</t>
  </si>
  <si>
    <t>Ruparel Optima (Sale Building 1, 2 &amp; 3)</t>
  </si>
  <si>
    <t>Mr.Aaditya(022-24391100)</t>
  </si>
  <si>
    <t>CTS No.471 A, Village Kandivali, opp. Pooja Enclave, Near Oscar Hospital, Old Link Road, Kandivali West, Mumbai.</t>
  </si>
  <si>
    <t>471 A</t>
  </si>
  <si>
    <t>Old Link Road</t>
  </si>
  <si>
    <t>Near Oscar Hospital,</t>
  </si>
  <si>
    <t>Kandivali</t>
  </si>
  <si>
    <t>Mumbai</t>
  </si>
  <si>
    <t>Kandivali West</t>
  </si>
  <si>
    <t>400 067.</t>
  </si>
  <si>
    <t>About 3 Km from Kandivali     Railway Station.</t>
  </si>
  <si>
    <t>Slum</t>
  </si>
  <si>
    <t>Approved usage of the Property: Residential &amp; Commercial                                                                                                                                                     (Restrictive convenants in regards to land use , if any)</t>
  </si>
  <si>
    <t>Sale Building No.1</t>
  </si>
  <si>
    <t>1BHK</t>
  </si>
  <si>
    <t>1st Floor (A Wing)</t>
  </si>
  <si>
    <t>1st Floor (B Wing)</t>
  </si>
  <si>
    <t>1st Floor (C Wing)</t>
  </si>
  <si>
    <t>Refuge Area</t>
  </si>
  <si>
    <t>Sale Building No.2</t>
  </si>
  <si>
    <t>Ground Floor For Parking</t>
  </si>
  <si>
    <t>Sale Building No.3</t>
  </si>
  <si>
    <t>6th, 13th, 20th, 27th &amp; 34th Floor</t>
  </si>
  <si>
    <t>Google Map :</t>
  </si>
  <si>
    <t>Recommended rate of the flat Per Sq. Ft. ( on Saleable area)</t>
  </si>
  <si>
    <t>600000/-</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</si>
  <si>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</si>
  <si>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</si>
  <si>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</si>
  <si>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</si>
  <si>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</si>
  <si>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</si>
  <si>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</si>
  <si>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</si>
  <si>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</si>
  <si>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</si>
  <si>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</si>
  <si>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</si>
  <si>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</si>
  <si>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</si>
  <si>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</si>
  <si>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</si>
  <si>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Panvel</t>
  </si>
  <si>
    <t>300000/-</t>
  </si>
  <si>
    <t>Wood &amp; painting</t>
  </si>
  <si>
    <t>Mumbai - G + 15</t>
  </si>
  <si>
    <t>500000/-</t>
  </si>
  <si>
    <t>Mumbai - G + 25</t>
  </si>
  <si>
    <t>800000/-</t>
  </si>
  <si>
    <t>Mumbai - G + 35</t>
  </si>
  <si>
    <t>1000000/-</t>
  </si>
  <si>
    <t>Progress</t>
  </si>
  <si>
    <t>Recommended</t>
  </si>
  <si>
    <t>rcc</t>
  </si>
  <si>
    <t>Bricks</t>
  </si>
  <si>
    <t xml:space="preserve">Recommended </t>
  </si>
  <si>
    <t>total</t>
  </si>
  <si>
    <t>Thane - G + 7</t>
  </si>
  <si>
    <t>Thane - G + 15</t>
  </si>
  <si>
    <t>400000/-</t>
  </si>
  <si>
    <t>Excavation in process</t>
  </si>
  <si>
    <t>Thane - G + 25</t>
  </si>
  <si>
    <t>Excavation Completed</t>
  </si>
  <si>
    <t>Footing in Process</t>
  </si>
  <si>
    <t>Footing Completed</t>
  </si>
  <si>
    <t>Plinth in process</t>
  </si>
  <si>
    <t>Plinth completed</t>
  </si>
  <si>
    <t>Saleable area</t>
  </si>
  <si>
    <t>Floor</t>
  </si>
  <si>
    <t>Flat/Shop No.</t>
  </si>
  <si>
    <t>N</t>
  </si>
  <si>
    <t>Ground Floor for Parking, Fitness center &amp; Commercial.</t>
  </si>
  <si>
    <t>S1</t>
  </si>
  <si>
    <t>S2</t>
  </si>
  <si>
    <t>S3</t>
  </si>
  <si>
    <t>S4</t>
  </si>
  <si>
    <t>S5</t>
  </si>
  <si>
    <t>S6</t>
  </si>
  <si>
    <t>Sale</t>
  </si>
  <si>
    <t>Shop</t>
  </si>
  <si>
    <t>Ground Floor</t>
  </si>
  <si>
    <t>Rehab</t>
  </si>
  <si>
    <t>Shop
Annx. No.386</t>
  </si>
  <si>
    <t>Shop
Annx. No.487</t>
  </si>
  <si>
    <t>Shop
Annx. No.398</t>
  </si>
  <si>
    <t>Shop
Annx. No.385</t>
  </si>
  <si>
    <t>Shop
Annx. No.369</t>
  </si>
  <si>
    <t>Shop
Annx. No.373</t>
  </si>
  <si>
    <t>Shop
Annx. No.387</t>
  </si>
  <si>
    <t>Shop
Annx. No.379</t>
  </si>
  <si>
    <t>Shop
Annx. No.375</t>
  </si>
  <si>
    <t>Shop
Annx. No.367</t>
  </si>
  <si>
    <t>Shop
Annx. No.381</t>
  </si>
  <si>
    <t>Shop
Annx. No.372</t>
  </si>
  <si>
    <t>Shop
Annx. No.382</t>
  </si>
  <si>
    <t>Shop
Annx. No.383</t>
  </si>
  <si>
    <t>Shop
Annx. No.380</t>
  </si>
  <si>
    <t>Shop
Annx. No.368</t>
  </si>
  <si>
    <t>Shop
Annx. No.376</t>
  </si>
  <si>
    <t>Shop
Annx. No.374</t>
  </si>
  <si>
    <t>Shop
Annx. No.432</t>
  </si>
  <si>
    <t>Shop
Annx. No.377</t>
  </si>
  <si>
    <t>Service Floor</t>
  </si>
  <si>
    <t>1st to 3rd, 5th to 10th, 12th to 17th, 19th to 24th, 26th to 31st, 33rd to 38th &amp; 40th Floor (A Wing)</t>
  </si>
  <si>
    <t>1st to 3rd, 5th to 10th, 12th to 17th, 19th to 24th, 26th to 31st, 33rd to 38th &amp; 40th Floor (B Wing)</t>
  </si>
  <si>
    <t>1st to 3rd, 5th to 10th, 12th to 17th, 19th to 24th, 26th to 31st, 33rd to 38th &amp; 40th Floor (C Wing)</t>
  </si>
  <si>
    <t>4th, 11th, 18th, 25th, 32nd Floor (A Wing)</t>
  </si>
  <si>
    <t>4th, 11th, 18th, 25th, 32nd Floor (B Wing)</t>
  </si>
  <si>
    <t>4th, 11th, 18th, 25th, 32nd Floor (C Wing)</t>
  </si>
  <si>
    <t>39th Floor (A Wing)</t>
  </si>
  <si>
    <t>39th Floor (B Wing)</t>
  </si>
  <si>
    <t>39th Floor (C Wing)</t>
  </si>
  <si>
    <t>1st &amp; 2nd Commercial Floor (A Wing) (Part Health Care)</t>
  </si>
  <si>
    <t>1st &amp; 2nd Commercial Floor (B Wing)  (Part Health Care)</t>
  </si>
  <si>
    <t>1st &amp; 2nd Commercial Floor (C Wing)  (Part Health Care)</t>
  </si>
  <si>
    <t>Ground Floor (A Wing)</t>
  </si>
  <si>
    <t>Double Height for Sub Station</t>
  </si>
  <si>
    <t>2nd to 7th, 9th to 14th &amp; 16th to 21st, 23rd to 28th, 30th to 35th, 37th to 42nd Floor 
(A Wing)</t>
  </si>
  <si>
    <t>2nd to 7th, 9th to 14th &amp; 16th to 21st, 23rd to 28th, 30th to 35th, 37th to 42nd Floor 
(B Wing)</t>
  </si>
  <si>
    <t>2nd to 7th, 9th to 14th &amp; 16th to 21st, 23rd to 28th, 30th to 35th, 37th to 42nd Floor 
(C Wing)</t>
  </si>
  <si>
    <t>Basement Floor For Tanks</t>
  </si>
  <si>
    <t>8th &amp; 15th, 22nd, 29th &amp; 36th Floor (A Wing)</t>
  </si>
  <si>
    <t>8th &amp; 15th, 22nd, 29th &amp; 36th Floor (B Wing)</t>
  </si>
  <si>
    <t>8th &amp; 15th, 22nd, 29th &amp; 36th Floor (C Wing)</t>
  </si>
  <si>
    <t>Building No.1</t>
  </si>
  <si>
    <t>Approved no of units</t>
  </si>
  <si>
    <t>Recommended rate of the Shop Per Sq. Ft. ( on Saleable area)</t>
  </si>
  <si>
    <t>02/01/2020.</t>
  </si>
  <si>
    <t>Society Formation Charges</t>
  </si>
  <si>
    <t>Club Charges</t>
  </si>
  <si>
    <t>Water &amp; Electricity Charges</t>
  </si>
  <si>
    <t>MGL Connection</t>
  </si>
  <si>
    <t>10000/-</t>
  </si>
  <si>
    <t>25000/-</t>
  </si>
  <si>
    <t>Legal Charges</t>
  </si>
  <si>
    <t>Development Charges</t>
  </si>
  <si>
    <t>150000/-</t>
  </si>
  <si>
    <t>PHOTOGRAPHS OF PROPERTY :</t>
  </si>
  <si>
    <t xml:space="preserve">Basement Floor </t>
  </si>
  <si>
    <t>Shop (Duplex)</t>
  </si>
  <si>
    <t>1st to 5th, 7th to 12th, 14th to 19th, 21st to 26th, 28th to 33rd, 35th to 41st Floor</t>
  </si>
  <si>
    <t>Sale bldg No.1 (A, B, C Wing) = G + 1st &amp; 2nd Commercial Floor + Service Floor + 1st to 42nd Floor.
Sale bldg No.2 (A, B, C Wing) = B + G + 1st to 42nd Floor.
Sale bldg No.3 = B + G + 1st commercial + 1st to 41st Floor</t>
  </si>
  <si>
    <t>Ground + 1st Commercial Floor  (Part Amenities)</t>
  </si>
  <si>
    <t>Ground + 1st Commercial Floor</t>
  </si>
  <si>
    <t>Sale Shops = 25
Flats = 1507</t>
  </si>
  <si>
    <t>09/10/2020.</t>
  </si>
  <si>
    <t>Market Research Data</t>
  </si>
  <si>
    <t>Source</t>
  </si>
  <si>
    <t>Distance from proposed property</t>
  </si>
  <si>
    <t>Net Carpet</t>
  </si>
  <si>
    <t>Saleable Area</t>
  </si>
  <si>
    <t>Rate on Saleable</t>
  </si>
  <si>
    <t>Market Value</t>
  </si>
  <si>
    <t>magicbricks</t>
  </si>
  <si>
    <t xml:space="preserve">Ruparel Optima </t>
  </si>
  <si>
    <t>99Acres</t>
  </si>
  <si>
    <t>squareyards</t>
  </si>
  <si>
    <t>housing</t>
  </si>
  <si>
    <t>commonfloor</t>
  </si>
  <si>
    <t>proptiger</t>
  </si>
  <si>
    <t>dwello</t>
  </si>
  <si>
    <t>Average</t>
  </si>
  <si>
    <t xml:space="preserve">Valuation Adopted </t>
  </si>
  <si>
    <t>Dhanashree</t>
  </si>
  <si>
    <t>OLD APF</t>
  </si>
  <si>
    <t>1. Rate has not changed.</t>
  </si>
  <si>
    <t xml:space="preserve">Proposed Amenities                                                                                                                                                                                                                                   1.  Vitrified tiles flooring 2. Granite Kitchen Platform  3. Decorative Enternace  etc.                                                  </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</si>
  <si>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</si>
  <si>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</si>
  <si>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</si>
  <si>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</si>
  <si>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</si>
  <si>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</si>
  <si>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</si>
  <si>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</si>
  <si>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</si>
  <si>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</si>
  <si>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</si>
  <si>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</si>
  <si>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</si>
  <si>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</si>
  <si>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</si>
  <si>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</si>
  <si>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</si>
  <si>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</si>
  <si>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</si>
  <si>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</si>
  <si>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</si>
  <si>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</si>
  <si>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</si>
  <si>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</si>
  <si>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</si>
  <si>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Sale Building 3 = B + G + 1st commercial + 1st to 41st Floor</t>
  </si>
  <si>
    <t>RERA No.</t>
  </si>
  <si>
    <t>P51800013701</t>
  </si>
  <si>
    <t>Sale Building 1 (A Wing) = G + 1st &amp; 2nd Commercial Floor + Service Floor + 1st to 42nd Floor.</t>
  </si>
  <si>
    <t xml:space="preserve">Construction details: Average of B Wing = Part B1 &amp; Part B2
</t>
  </si>
  <si>
    <t>Sale Building 1 (B Wing - Flat no.3 &amp; 4) = G + 1st &amp; 2nd Commercial Floor + Service Floor + 1st to 42nd Floor (Part 2)</t>
  </si>
  <si>
    <t>Sale Building 1 (C Wing) (Flat No. 1, 2, 3 &amp; 5) = G + 1st &amp; 2nd Commercial Floor + Service Floor + 1st to 42nd Floor.</t>
  </si>
  <si>
    <t>Sale bldg No.1-RS/STGOVT/0013/20060721/AP/S1                Dated: 29/08/2019.
Sale bldg No.2-RS/STGOVT/0013/20060721/AP/S2                Dated: 29/08/2019.
Sale bldg No.3-SRA/ENG/RS/STGOVT/0013/20060721/AP/S3 Dated:29/08/2019.</t>
  </si>
  <si>
    <t>Sale Building 1 (B Wing) = G + 1st &amp; 2nd Commercial Floor + Service Floor + 1st to 42nd Floor.</t>
  </si>
  <si>
    <t>Location Link</t>
  </si>
  <si>
    <t>https://goo.gl/maps/unLVNz2JnMk5oiYL9</t>
  </si>
  <si>
    <t>19.20201464, 72.8282365</t>
  </si>
  <si>
    <t>Building &amp; Wing</t>
  </si>
  <si>
    <t>No. of Units</t>
  </si>
  <si>
    <t>Total Carpet Area</t>
  </si>
  <si>
    <t>Total Saleable Area</t>
  </si>
  <si>
    <t>Sale Building No.1
Wing A, B, C</t>
  </si>
  <si>
    <t>Commercial Area Details : (Sale)</t>
  </si>
  <si>
    <t>Commercial Area Details : (Rehab)</t>
  </si>
  <si>
    <t>Residential Area Details : (Sale)</t>
  </si>
  <si>
    <t>Wing A</t>
  </si>
  <si>
    <t>Wing B</t>
  </si>
  <si>
    <t>Wing C</t>
  </si>
  <si>
    <t>7 Buildings</t>
  </si>
  <si>
    <t>A, B, C Wing</t>
  </si>
  <si>
    <t>Sale Building 2 (B &amp; C wing) = B + G + 1st to 42nd Floor.</t>
  </si>
  <si>
    <t>Sale Building 2 (A wing - Flat No. 1 &amp; 2) = B + G + 1st to 42nd Floor.</t>
  </si>
  <si>
    <t>Sale Building 2 (A wing - Flat No. 3 &amp; 4) = B + G + 1st to 42nd Floor.</t>
  </si>
  <si>
    <t>Average of Sale Building 2 (A wing ) = B + G + 1st to 42nd Floor.</t>
  </si>
  <si>
    <t>Office No. 1031, Wing J, Akshar Business Park, Plot No. 03 Sector 25, Near APMC Market, Vashi, Navi Mumbai, Maharashtra 400703 TEL: 022-46090378/79/80                                                                                                                              E mail : vsjcapf@gmail.com. Web site : www.vsjadon.com</t>
  </si>
  <si>
    <t>50000/-</t>
  </si>
  <si>
    <t>25K Ither charges add</t>
  </si>
  <si>
    <t>Trupti</t>
  </si>
  <si>
    <t>Mr.Yash : 8928335745</t>
  </si>
  <si>
    <t>13300 to 14000</t>
  </si>
  <si>
    <t xml:space="preserve">smith </t>
  </si>
  <si>
    <t>verbal</t>
  </si>
  <si>
    <t>Name of the Project (As per Builder)</t>
  </si>
  <si>
    <t>Ruparel Optima Ph I</t>
  </si>
  <si>
    <t>Name of the Project (As per RERA)</t>
  </si>
  <si>
    <t>Contact Details ( Name &amp; Contact No.)</t>
  </si>
  <si>
    <t>Site Meet Person Contact Details ( Name &amp; Contact No.)</t>
  </si>
  <si>
    <t>11. As per site person Mr. Samay,
     Construction work of Building No.1 Wing C - Flat no.4 not yet started.
     Construction work of Building No.2 Wing A - Flat no.3 &amp; 4 is completed upto 16slab.</t>
  </si>
  <si>
    <t>Mr. Ashok 8369099238</t>
  </si>
  <si>
    <t xml:space="preserve">Sale bldg No.1-RS/STGOVT/0013/20060721/AP/S1                  Dated: 02/06/2021.
</t>
  </si>
  <si>
    <t>Valid Upto : This CC is further extended upto 20th upper floors as per last approved amended plans.</t>
  </si>
  <si>
    <t xml:space="preserve">Valid Upto : This CC is further extended upto 22nd upper floors as per last approved amended plans.
</t>
  </si>
  <si>
    <t xml:space="preserve">Sale bldg No.2-RS/STGOVT/0013/20060721/AP/S2                  Dated: 02/06/2021
</t>
  </si>
  <si>
    <t>Sale bldg No.3-RS/STGOVT/0013/20060721/AP/S3                  Dated:05/10/2020.</t>
  </si>
  <si>
    <t>Valid Upto : This CC is further extended from 1st to 3rd &amp; 4th to 7th part upper floors marked red hatched line as shown on plan.</t>
  </si>
  <si>
    <t>Projected life: 60 Years After Completion</t>
  </si>
  <si>
    <r>
      <t>Remarks:  
1. Bldg No. 1, 2 (Wing B &amp; Wing C) &amp; 3 = Construction work is in process at the time of visit. Internal photo not allowed. (Speed is slow)
Bldg No. 2(Wing A) = we were unable to determine building progress from an external visit; so, we are maintaining the same progress as in the previous report dtd 05/04/2025.
Building No.1 Wing C (Flat no.4) = Construction work not yet started.
2. We considered saleable area as per our calculation.
3. Car parking is subjected to authentic documentation.
4. We update revised plan of Building No.1 &amp; 2 (on 17/01/2020).
5. We have given 60% Loading for commercial &amp; 50% Loading for Residential.
6. Construction percentages are Reduced due to changes in no. of Floors as per revised Plan.
7. We have considered rate by verifying it from market inquire.
8. We have considered Other charges from cost sheet.
9. We update revised plan of Building No.3 (on 14/02/2020).</t>
    </r>
    <r>
      <rPr>
        <b/>
        <sz val="11"/>
        <color rgb="FFFF0000"/>
        <rFont val="Times New Roman"/>
        <family val="1"/>
      </rPr>
      <t xml:space="preserve">
</t>
    </r>
    <r>
      <rPr>
        <b/>
        <sz val="11"/>
        <color indexed="8"/>
        <rFont val="Times New Roman"/>
        <family val="1"/>
      </rPr>
      <t>10. We have updated CC from Rera (On 21/06/2023).
11. Recommended Rates/Other Charges of the Property have been revised on 28/03/2024.
12</t>
    </r>
    <r>
      <rPr>
        <b/>
        <sz val="11"/>
        <color rgb="FFFF0000"/>
        <rFont val="Times New Roman"/>
        <family val="1"/>
      </rPr>
      <t>. As per our observation, the construction work of ruparel projects (Ruparel Jewel, Ruparel
Regalia, Ruparel Millennia, etc.) seems to be on a slow speed since last year.</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</si>
</sst>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0"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0.5"/>
      <color theme="1"/>
      <name val="Times New Roman"/>
      <family val="1"/>
    </font>
    <font>
      <sz val="11"/>
      <color rgb="FF000000"/>
      <name val="Times New Roman"/>
      <family val="1"/>
    </font>
    <font>
      <b/>
      <sz val="11"/>
      <color theme="1"/>
      <name val="Times New Roman"/>
      <family val="1"/>
    </font>
    <font>
      <b/>
      <sz val="11"/>
      <color rgb="FF000000"/>
      <name val="Times New Roman"/>
      <family val="1"/>
    </font>
    <font>
      <b/>
      <sz val="15"/>
      <color rgb="FFFF0000"/>
      <name val="Times New Roman"/>
      <family val="1"/>
    </font>
    <font>
      <b/>
      <sz val="18"/>
      <color rgb="FFFF0000"/>
      <name val="Calibri"/>
      <family val="2"/>
      <scheme val="minor"/>
    </font>
    <font>
      <sz val="12"/>
      <color theme="1"/>
      <name val="Times New Roman"/>
      <family val="1"/>
    </font>
    <font>
      <b/>
      <sz val="12"/>
      <color theme="1"/>
      <name val="Times New Roman"/>
      <family val="1"/>
    </font>
    <font>
      <sz val="11"/>
      <color rgb="FFFF0000"/>
      <name val="Calibri"/>
      <family val="2"/>
    </font>
    <font>
      <sz val="11"/>
      <color theme="1"/>
      <name val="Times New Roman"/>
      <family val="1"/>
    </font>
    <font>
      <sz val="12"/>
      <name val="Times New Roman"/>
      <family val="1"/>
    </font>
    <font>
      <b/>
      <sz val="12"/>
      <name val="Times New Roman"/>
      <family val="1"/>
    </font>
    <font>
      <sz val="11"/>
      <color rgb="FF333333"/>
      <name val="Arial"/>
      <family val="2"/>
    </font>
    <font>
      <b/>
      <sz val="11"/>
      <color rgb="FFFF0000"/>
      <name val="Times New Roman"/>
      <family val="1"/>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2" fillId="0" borderId="0"/>
    <xf numFmtId="0" fontId="12" fillId="0" borderId="0"/>
    <xf numFmtId="9" fontId="5" fillId="0" borderId="0" applyFont="0" applyFill="0" applyBorder="0" applyAlignment="0" applyProtection="0"/>
    <xf numFmtId="0" fontId="29" fillId="0" borderId="0" applyNumberFormat="0" applyFill="0" applyBorder="0" applyAlignment="0" applyProtection="0"/>
  </cellStyleXfs>
  <cellXfs count="277">
    <xf numFmtId="0" fontId="0" fillId="0" borderId="0" xfId="0"/>
    <xf numFmtId="0" fontId="2" fillId="0" borderId="0" xfId="2"/>
    <xf numFmtId="0" fontId="4" fillId="0" borderId="1" xfId="0" applyFont="1" applyBorder="1" applyAlignment="1">
      <alignment vertical="top"/>
    </xf>
    <xf numFmtId="0" fontId="6"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7"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3" fillId="0" borderId="2" xfId="0" applyFont="1" applyBorder="1"/>
    <xf numFmtId="0" fontId="0" fillId="0" borderId="3" xfId="0" applyBorder="1"/>
    <xf numFmtId="0" fontId="0" fillId="2" borderId="2" xfId="0" applyFill="1" applyBorder="1"/>
    <xf numFmtId="0" fontId="13" fillId="0" borderId="2" xfId="0" applyFont="1" applyBorder="1" applyAlignment="1">
      <alignment horizontal="center"/>
    </xf>
    <xf numFmtId="1" fontId="11" fillId="0" borderId="2" xfId="0" applyNumberFormat="1" applyFont="1" applyBorder="1" applyAlignment="1">
      <alignment horizontal="center" vertical="center" wrapText="1"/>
    </xf>
    <xf numFmtId="0" fontId="15" fillId="0" borderId="0" xfId="0" applyFont="1"/>
    <xf numFmtId="0" fontId="16" fillId="0" borderId="2" xfId="0" applyFont="1" applyBorder="1"/>
    <xf numFmtId="0" fontId="16" fillId="0" borderId="0" xfId="0" applyFont="1"/>
    <xf numFmtId="0" fontId="16" fillId="2" borderId="2" xfId="0" applyFont="1" applyFill="1" applyBorder="1"/>
    <xf numFmtId="0" fontId="17" fillId="0" borderId="2" xfId="0" applyFont="1" applyBorder="1" applyAlignment="1">
      <alignment horizontal="center"/>
    </xf>
    <xf numFmtId="0" fontId="17" fillId="0" borderId="0" xfId="0" applyFont="1" applyAlignment="1">
      <alignment horizontal="center"/>
    </xf>
    <xf numFmtId="0" fontId="16" fillId="0" borderId="2" xfId="0" applyFont="1" applyBorder="1" applyAlignment="1">
      <alignment horizontal="center"/>
    </xf>
    <xf numFmtId="0" fontId="16" fillId="2" borderId="2" xfId="0" applyFont="1" applyFill="1" applyBorder="1" applyAlignment="1">
      <alignment horizontal="center"/>
    </xf>
    <xf numFmtId="9" fontId="16" fillId="0" borderId="0" xfId="6" applyFont="1" applyBorder="1"/>
    <xf numFmtId="0" fontId="18" fillId="0" borderId="2" xfId="0" applyFont="1" applyBorder="1" applyAlignment="1">
      <alignment horizontal="center"/>
    </xf>
    <xf numFmtId="0" fontId="16" fillId="0" borderId="0" xfId="0" applyFont="1" applyAlignment="1">
      <alignment horizontal="right"/>
    </xf>
    <xf numFmtId="0" fontId="16" fillId="0" borderId="0" xfId="0" applyFont="1" applyAlignment="1">
      <alignment wrapText="1"/>
    </xf>
    <xf numFmtId="0" fontId="16" fillId="0" borderId="4" xfId="0" applyFont="1" applyBorder="1"/>
    <xf numFmtId="0" fontId="16" fillId="0" borderId="2" xfId="0" applyFont="1" applyBorder="1" applyAlignment="1">
      <alignment wrapText="1"/>
    </xf>
    <xf numFmtId="9" fontId="16" fillId="0" borderId="2" xfId="6" applyFont="1" applyBorder="1"/>
    <xf numFmtId="9" fontId="16" fillId="0" borderId="0" xfId="0" applyNumberFormat="1" applyFont="1"/>
    <xf numFmtId="0" fontId="19" fillId="0" borderId="0" xfId="0" applyFont="1"/>
    <xf numFmtId="0" fontId="20" fillId="0" borderId="0" xfId="0" applyFont="1" applyAlignment="1">
      <alignment horizontal="left" vertical="center" readingOrder="1"/>
    </xf>
    <xf numFmtId="1" fontId="7" fillId="0" borderId="2" xfId="4" applyNumberFormat="1" applyFont="1" applyBorder="1" applyAlignment="1">
      <alignment horizontal="center" vertical="top" wrapText="1"/>
    </xf>
    <xf numFmtId="1" fontId="3" fillId="0" borderId="2" xfId="4" applyNumberFormat="1" applyFont="1" applyBorder="1" applyAlignment="1">
      <alignment horizontal="center" vertical="top" wrapText="1"/>
    </xf>
    <xf numFmtId="1" fontId="11" fillId="0" borderId="2" xfId="4" applyNumberFormat="1" applyFont="1" applyBorder="1" applyAlignment="1">
      <alignment horizontal="center" vertical="center" wrapText="1"/>
    </xf>
    <xf numFmtId="1" fontId="21" fillId="0" borderId="2" xfId="4" applyNumberFormat="1" applyFont="1" applyBorder="1" applyAlignment="1">
      <alignment horizontal="center" vertical="top" wrapText="1"/>
    </xf>
    <xf numFmtId="0" fontId="13" fillId="0" borderId="0" xfId="0" applyFont="1"/>
    <xf numFmtId="1" fontId="11" fillId="0" borderId="2" xfId="0" applyNumberFormat="1" applyFont="1" applyBorder="1" applyAlignment="1">
      <alignment horizontal="center" vertical="center"/>
    </xf>
    <xf numFmtId="1" fontId="7" fillId="0" borderId="2" xfId="0" applyNumberFormat="1" applyFont="1" applyBorder="1" applyAlignment="1">
      <alignment horizontal="center" vertical="center" wrapText="1"/>
    </xf>
    <xf numFmtId="1" fontId="22" fillId="0" borderId="2" xfId="4" applyNumberFormat="1" applyFont="1" applyBorder="1" applyAlignment="1">
      <alignment horizontal="center" vertical="top" wrapText="1"/>
    </xf>
    <xf numFmtId="0" fontId="14" fillId="0" borderId="0" xfId="0" applyFont="1"/>
    <xf numFmtId="0" fontId="1" fillId="0" borderId="0" xfId="3"/>
    <xf numFmtId="0" fontId="12" fillId="0" borderId="0" xfId="5"/>
    <xf numFmtId="0" fontId="13" fillId="0" borderId="2" xfId="5" applyFont="1" applyBorder="1" applyAlignment="1">
      <alignment horizontal="center" vertical="top" wrapText="1"/>
    </xf>
    <xf numFmtId="0" fontId="12" fillId="0" borderId="2" xfId="5" applyBorder="1" applyAlignment="1">
      <alignment horizontal="center" vertical="top" wrapText="1"/>
    </xf>
    <xf numFmtId="0" fontId="12" fillId="0" borderId="2" xfId="5" applyBorder="1" applyAlignment="1">
      <alignment horizontal="left" vertical="center"/>
    </xf>
    <xf numFmtId="0" fontId="12" fillId="0" borderId="2" xfId="5" applyBorder="1" applyAlignment="1">
      <alignment horizontal="center" vertical="center"/>
    </xf>
    <xf numFmtId="1" fontId="12" fillId="0" borderId="2" xfId="5" applyNumberFormat="1" applyBorder="1" applyAlignment="1">
      <alignment horizontal="center" vertical="center"/>
    </xf>
    <xf numFmtId="165" fontId="12" fillId="0" borderId="2" xfId="1" applyNumberFormat="1" applyFont="1" applyBorder="1" applyAlignment="1">
      <alignment horizontal="right" vertical="center"/>
    </xf>
    <xf numFmtId="0" fontId="13" fillId="0" borderId="2" xfId="5" applyFont="1" applyBorder="1" applyAlignment="1">
      <alignment horizontal="center" vertical="center"/>
    </xf>
    <xf numFmtId="1" fontId="14" fillId="0" borderId="2" xfId="5" applyNumberFormat="1" applyFont="1" applyBorder="1" applyAlignment="1">
      <alignment horizontal="center" vertical="center"/>
    </xf>
    <xf numFmtId="0" fontId="1" fillId="0" borderId="2" xfId="3" applyBorder="1" applyAlignment="1">
      <alignment horizontal="center" vertical="center"/>
    </xf>
    <xf numFmtId="0" fontId="23" fillId="0" borderId="0" xfId="3" applyFont="1"/>
    <xf numFmtId="1" fontId="1" fillId="0" borderId="0" xfId="3" applyNumberFormat="1"/>
    <xf numFmtId="0" fontId="1" fillId="0" borderId="0" xfId="3" applyAlignment="1">
      <alignment wrapText="1"/>
    </xf>
    <xf numFmtId="14" fontId="0" fillId="0" borderId="0" xfId="0" applyNumberFormat="1"/>
    <xf numFmtId="0" fontId="21" fillId="0" borderId="14" xfId="4" applyFont="1" applyBorder="1" applyProtection="1">
      <protection hidden="1"/>
    </xf>
    <xf numFmtId="0" fontId="21" fillId="0" borderId="15" xfId="4" applyFont="1" applyBorder="1" applyProtection="1">
      <protection hidden="1"/>
    </xf>
    <xf numFmtId="0" fontId="21" fillId="0" borderId="0" xfId="4" applyFont="1" applyProtection="1">
      <protection hidden="1"/>
    </xf>
    <xf numFmtId="0" fontId="21" fillId="0" borderId="16" xfId="4" applyFont="1" applyBorder="1" applyProtection="1">
      <protection hidden="1"/>
    </xf>
    <xf numFmtId="0" fontId="16" fillId="0" borderId="0" xfId="0" applyFont="1" applyProtection="1">
      <protection hidden="1"/>
    </xf>
    <xf numFmtId="0" fontId="21" fillId="0" borderId="16" xfId="4" applyFont="1" applyBorder="1"/>
    <xf numFmtId="0" fontId="16" fillId="0" borderId="16" xfId="0" applyFont="1" applyBorder="1" applyProtection="1">
      <protection hidden="1"/>
    </xf>
    <xf numFmtId="1" fontId="0" fillId="0" borderId="16" xfId="0" applyNumberFormat="1" applyBorder="1"/>
    <xf numFmtId="1" fontId="0" fillId="0" borderId="16" xfId="0" applyNumberFormat="1" applyBorder="1" applyAlignment="1">
      <alignment horizontal="right"/>
    </xf>
    <xf numFmtId="0" fontId="16" fillId="0" borderId="17" xfId="0" applyFont="1" applyBorder="1" applyProtection="1">
      <protection hidden="1"/>
    </xf>
    <xf numFmtId="1" fontId="0" fillId="0" borderId="18" xfId="0" applyNumberFormat="1" applyBorder="1"/>
    <xf numFmtId="0" fontId="25" fillId="0" borderId="2" xfId="4" applyFont="1" applyBorder="1" applyAlignment="1" applyProtection="1">
      <alignment horizontal="center" wrapText="1"/>
      <protection locked="0"/>
    </xf>
    <xf numFmtId="1" fontId="25" fillId="0" borderId="2" xfId="4" applyNumberFormat="1" applyFont="1" applyBorder="1" applyAlignment="1" applyProtection="1">
      <alignment horizontal="center" wrapText="1"/>
      <protection locked="0"/>
    </xf>
    <xf numFmtId="0" fontId="21" fillId="0" borderId="0" xfId="4" applyFont="1" applyAlignment="1" applyProtection="1">
      <alignment horizontal="center" vertical="center"/>
      <protection hidden="1"/>
    </xf>
    <xf numFmtId="0" fontId="21" fillId="0" borderId="16" xfId="4" applyFont="1" applyBorder="1" applyAlignment="1" applyProtection="1">
      <alignment horizontal="center" vertical="center"/>
      <protection hidden="1"/>
    </xf>
    <xf numFmtId="0" fontId="0" fillId="0" borderId="0" xfId="0" applyAlignment="1">
      <alignment horizontal="center" vertical="center"/>
    </xf>
    <xf numFmtId="0" fontId="25" fillId="0" borderId="21" xfId="4" applyFont="1" applyBorder="1" applyAlignment="1" applyProtection="1">
      <alignment horizontal="center" wrapText="1"/>
      <protection locked="0"/>
    </xf>
    <xf numFmtId="14" fontId="27" fillId="0" borderId="0" xfId="0" applyNumberFormat="1" applyFont="1"/>
    <xf numFmtId="0" fontId="4" fillId="0" borderId="2" xfId="0" applyFont="1" applyBorder="1" applyAlignment="1">
      <alignment horizontal="center" vertical="top"/>
    </xf>
    <xf numFmtId="0" fontId="21" fillId="0" borderId="21" xfId="4" applyFont="1" applyBorder="1" applyProtection="1">
      <protection hidden="1"/>
    </xf>
    <xf numFmtId="0" fontId="0" fillId="0" borderId="21" xfId="0" applyBorder="1"/>
    <xf numFmtId="0" fontId="16" fillId="0" borderId="0" xfId="0" applyFont="1" applyBorder="1" applyProtection="1">
      <protection hidden="1"/>
    </xf>
    <xf numFmtId="0" fontId="21" fillId="0" borderId="0" xfId="4" applyFont="1" applyBorder="1" applyProtection="1">
      <protection hidden="1"/>
    </xf>
    <xf numFmtId="2" fontId="0" fillId="0" borderId="0" xfId="0" applyNumberFormat="1"/>
    <xf numFmtId="0" fontId="21" fillId="0" borderId="0" xfId="4" applyFont="1" applyBorder="1" applyAlignment="1" applyProtection="1">
      <alignment vertical="center"/>
      <protection hidden="1"/>
    </xf>
    <xf numFmtId="0" fontId="0" fillId="0" borderId="0" xfId="0" applyAlignment="1">
      <alignment vertical="center"/>
    </xf>
    <xf numFmtId="0" fontId="0" fillId="0" borderId="0" xfId="0" applyAlignment="1">
      <alignment wrapText="1"/>
    </xf>
    <xf numFmtId="0" fontId="25" fillId="0" borderId="2" xfId="4" applyFont="1" applyBorder="1" applyAlignment="1" applyProtection="1">
      <alignment horizontal="center" vertical="top" wrapText="1"/>
      <protection locked="0"/>
    </xf>
    <xf numFmtId="0" fontId="25" fillId="0" borderId="26" xfId="4" applyFont="1" applyBorder="1" applyAlignment="1" applyProtection="1">
      <alignment horizontal="center" vertical="top"/>
      <protection locked="0"/>
    </xf>
    <xf numFmtId="0" fontId="25" fillId="0" borderId="2" xfId="4" applyFont="1" applyBorder="1" applyAlignment="1" applyProtection="1">
      <alignment horizontal="center" vertical="top"/>
      <protection locked="0"/>
    </xf>
    <xf numFmtId="0" fontId="21" fillId="0" borderId="28" xfId="4" applyFont="1" applyBorder="1" applyProtection="1">
      <protection hidden="1"/>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9" fontId="25" fillId="3" borderId="2" xfId="4" applyNumberFormat="1" applyFont="1" applyFill="1" applyBorder="1" applyAlignment="1" applyProtection="1">
      <alignment horizontal="center" vertical="center" wrapText="1"/>
      <protection hidden="1"/>
    </xf>
    <xf numFmtId="0" fontId="25" fillId="0" borderId="26" xfId="4" applyFont="1" applyBorder="1" applyAlignment="1" applyProtection="1">
      <alignment horizontal="center" vertical="top" wrapText="1"/>
      <protection locked="0"/>
    </xf>
    <xf numFmtId="0" fontId="25" fillId="0" borderId="2" xfId="4" applyFont="1" applyBorder="1" applyAlignment="1" applyProtection="1">
      <alignment horizontal="center" vertical="top" wrapText="1"/>
      <protection locked="0"/>
    </xf>
    <xf numFmtId="0" fontId="25" fillId="0" borderId="2" xfId="4" applyFont="1" applyBorder="1" applyAlignment="1" applyProtection="1">
      <alignment horizontal="center" vertical="top"/>
      <protection locked="0"/>
    </xf>
    <xf numFmtId="0" fontId="25" fillId="0" borderId="27" xfId="4" applyFont="1" applyBorder="1" applyAlignment="1" applyProtection="1">
      <alignment horizontal="center" vertical="top"/>
      <protection locked="0"/>
    </xf>
    <xf numFmtId="0" fontId="26" fillId="0" borderId="2" xfId="4" applyFont="1" applyBorder="1" applyAlignment="1" applyProtection="1">
      <alignment horizontal="left" vertical="top" wrapText="1"/>
      <protection locked="0"/>
    </xf>
    <xf numFmtId="0" fontId="26" fillId="0" borderId="27" xfId="4" applyFont="1" applyBorder="1" applyAlignment="1" applyProtection="1">
      <alignment horizontal="left" vertical="top" wrapText="1"/>
      <protection locked="0"/>
    </xf>
    <xf numFmtId="0" fontId="25" fillId="0" borderId="27" xfId="4" applyFont="1" applyBorder="1" applyAlignment="1" applyProtection="1">
      <alignment horizontal="center" vertical="top" wrapText="1"/>
      <protection locked="0"/>
    </xf>
    <xf numFmtId="9" fontId="25" fillId="3" borderId="21" xfId="4" applyNumberFormat="1" applyFont="1" applyFill="1" applyBorder="1" applyAlignment="1" applyProtection="1">
      <alignment horizontal="center" vertical="center" wrapText="1"/>
      <protection hidden="1"/>
    </xf>
    <xf numFmtId="9" fontId="25" fillId="3" borderId="27" xfId="4" applyNumberFormat="1" applyFont="1" applyFill="1" applyBorder="1" applyAlignment="1" applyProtection="1">
      <alignment horizontal="center" vertical="center" wrapText="1"/>
      <protection hidden="1"/>
    </xf>
    <xf numFmtId="9" fontId="25" fillId="3" borderId="22" xfId="4" applyNumberFormat="1" applyFont="1" applyFill="1" applyBorder="1" applyAlignment="1" applyProtection="1">
      <alignment horizontal="center" vertical="center" wrapText="1"/>
      <protection hidden="1"/>
    </xf>
    <xf numFmtId="0" fontId="25" fillId="0" borderId="26" xfId="4" applyFont="1" applyBorder="1" applyAlignment="1" applyProtection="1">
      <alignment horizontal="center" vertical="top"/>
      <protection locked="0"/>
    </xf>
    <xf numFmtId="0" fontId="26" fillId="0" borderId="23" xfId="4" applyFont="1" applyBorder="1" applyAlignment="1" applyProtection="1">
      <alignment horizontal="center" vertical="top" wrapText="1"/>
      <protection locked="0"/>
    </xf>
    <xf numFmtId="0" fontId="26" fillId="0" borderId="24" xfId="4" applyFont="1" applyBorder="1" applyAlignment="1" applyProtection="1">
      <alignment horizontal="center" vertical="top" wrapText="1"/>
      <protection locked="0"/>
    </xf>
    <xf numFmtId="0" fontId="26" fillId="0" borderId="26" xfId="4" applyFont="1" applyBorder="1" applyAlignment="1" applyProtection="1">
      <alignment horizontal="left" vertical="top"/>
      <protection locked="0"/>
    </xf>
    <xf numFmtId="0" fontId="26" fillId="0" borderId="2" xfId="4" applyFont="1" applyBorder="1" applyAlignment="1" applyProtection="1">
      <alignment horizontal="left" vertical="top"/>
      <protection locked="0"/>
    </xf>
    <xf numFmtId="0" fontId="6" fillId="0" borderId="6" xfId="0" applyFont="1" applyBorder="1" applyAlignment="1">
      <alignment horizontal="left" vertical="top"/>
    </xf>
    <xf numFmtId="0" fontId="6" fillId="0" borderId="5"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25" fillId="0" borderId="20" xfId="4" applyFont="1" applyBorder="1" applyAlignment="1" applyProtection="1">
      <alignment horizontal="center" vertical="top" wrapText="1"/>
      <protection locked="0"/>
    </xf>
    <xf numFmtId="0" fontId="25" fillId="0" borderId="21" xfId="4" applyFont="1" applyBorder="1" applyAlignment="1" applyProtection="1">
      <alignment horizontal="center" vertical="top" wrapText="1"/>
      <protection locked="0"/>
    </xf>
    <xf numFmtId="0" fontId="26" fillId="0" borderId="24" xfId="4" applyFont="1" applyBorder="1" applyAlignment="1" applyProtection="1">
      <alignment horizontal="left" vertical="top" wrapText="1"/>
      <protection locked="0"/>
    </xf>
    <xf numFmtId="0" fontId="26" fillId="0" borderId="25" xfId="4" applyFont="1" applyBorder="1" applyAlignment="1" applyProtection="1">
      <alignment horizontal="left" vertical="top" wrapText="1"/>
      <protection locked="0"/>
    </xf>
    <xf numFmtId="0" fontId="26" fillId="0" borderId="19" xfId="4" applyFont="1" applyBorder="1" applyAlignment="1" applyProtection="1">
      <alignment horizontal="center" vertical="top" wrapText="1"/>
      <protection locked="0"/>
    </xf>
    <xf numFmtId="0" fontId="26" fillId="0" borderId="19" xfId="4" applyFont="1" applyBorder="1" applyAlignment="1" applyProtection="1">
      <alignment horizontal="left" vertical="top" wrapText="1"/>
      <protection locked="0"/>
    </xf>
    <xf numFmtId="0" fontId="6" fillId="0" borderId="1"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center" vertical="top"/>
    </xf>
    <xf numFmtId="0" fontId="4" fillId="3" borderId="2" xfId="0" applyFont="1" applyFill="1" applyBorder="1" applyAlignment="1">
      <alignment horizontal="left" vertical="top"/>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6" fillId="0" borderId="6" xfId="0" applyFont="1" applyBorder="1" applyAlignment="1">
      <alignment vertical="top"/>
    </xf>
    <xf numFmtId="0" fontId="6" fillId="0" borderId="5" xfId="0" applyFont="1" applyBorder="1" applyAlignment="1">
      <alignment vertical="top"/>
    </xf>
    <xf numFmtId="0" fontId="6" fillId="0" borderId="1" xfId="0" applyFont="1" applyBorder="1" applyAlignment="1">
      <alignment horizontal="center" vertical="top"/>
    </xf>
    <xf numFmtId="0" fontId="6" fillId="0" borderId="5" xfId="0" applyFont="1" applyBorder="1" applyAlignment="1">
      <alignment horizontal="center"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14" fontId="4" fillId="0" borderId="1"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5" xfId="0" applyNumberFormat="1" applyFont="1" applyBorder="1" applyAlignment="1">
      <alignment horizontal="left" vertical="top"/>
    </xf>
    <xf numFmtId="0" fontId="4" fillId="0" borderId="2" xfId="0" applyFont="1" applyBorder="1" applyAlignment="1">
      <alignment horizontal="lef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0" borderId="11" xfId="0" applyFont="1" applyBorder="1" applyAlignment="1">
      <alignment horizontal="left" vertical="top" wrapText="1"/>
    </xf>
    <xf numFmtId="0" fontId="4" fillId="0" borderId="2" xfId="0" applyFont="1" applyBorder="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4" fillId="0" borderId="2" xfId="0" applyFont="1" applyBorder="1" applyAlignment="1">
      <alignment horizontal="center" vertical="top" wrapText="1"/>
    </xf>
    <xf numFmtId="0" fontId="4" fillId="3" borderId="1"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5" xfId="0" applyFont="1" applyFill="1" applyBorder="1" applyAlignment="1">
      <alignment horizontal="left" vertical="top" wrapText="1"/>
    </xf>
    <xf numFmtId="0" fontId="0" fillId="0" borderId="5" xfId="0" applyBorder="1" applyAlignment="1">
      <alignment horizontal="left"/>
    </xf>
    <xf numFmtId="0" fontId="6" fillId="0" borderId="1" xfId="0" applyFont="1" applyBorder="1" applyAlignment="1">
      <alignmen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1" fontId="11" fillId="0" borderId="7"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7" fillId="0" borderId="1" xfId="4" applyNumberFormat="1" applyFont="1" applyBorder="1" applyAlignment="1">
      <alignment horizontal="center" vertical="top" wrapText="1"/>
    </xf>
    <xf numFmtId="1" fontId="7" fillId="0" borderId="5" xfId="4" applyNumberFormat="1" applyFont="1" applyBorder="1" applyAlignment="1">
      <alignment horizontal="center" vertical="top" wrapText="1"/>
    </xf>
    <xf numFmtId="1" fontId="11" fillId="0" borderId="1" xfId="4" applyNumberFormat="1" applyFont="1" applyBorder="1" applyAlignment="1">
      <alignment horizontal="center" vertical="center" wrapText="1"/>
    </xf>
    <xf numFmtId="1" fontId="11" fillId="0" borderId="5" xfId="4"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xf>
    <xf numFmtId="0" fontId="10" fillId="3" borderId="1"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3" fontId="9" fillId="3" borderId="1" xfId="0" applyNumberFormat="1" applyFont="1" applyFill="1" applyBorder="1" applyAlignment="1">
      <alignment horizontal="left" vertical="top"/>
    </xf>
    <xf numFmtId="0" fontId="9" fillId="3" borderId="6" xfId="0" applyFont="1" applyFill="1" applyBorder="1" applyAlignment="1">
      <alignment horizontal="left" vertical="top"/>
    </xf>
    <xf numFmtId="0" fontId="9" fillId="3" borderId="5" xfId="0" applyFont="1" applyFill="1" applyBorder="1" applyAlignment="1">
      <alignment horizontal="left" vertical="top"/>
    </xf>
    <xf numFmtId="1" fontId="7" fillId="0" borderId="7"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1" xfId="4" applyNumberFormat="1" applyFont="1" applyBorder="1" applyAlignment="1">
      <alignment horizontal="center" vertical="center" wrapText="1"/>
    </xf>
    <xf numFmtId="1" fontId="7" fillId="0" borderId="6" xfId="4" applyNumberFormat="1" applyFont="1" applyBorder="1" applyAlignment="1">
      <alignment horizontal="center" vertical="center" wrapText="1"/>
    </xf>
    <xf numFmtId="1" fontId="7" fillId="0" borderId="5" xfId="4"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8" fillId="0" borderId="6" xfId="0" applyFont="1" applyBorder="1" applyAlignment="1">
      <alignment horizontal="left" vertical="top"/>
    </xf>
    <xf numFmtId="0" fontId="8" fillId="0" borderId="5" xfId="0" applyFont="1" applyBorder="1" applyAlignment="1">
      <alignment horizontal="left" vertical="top"/>
    </xf>
    <xf numFmtId="3" fontId="4" fillId="3" borderId="1" xfId="0" applyNumberFormat="1"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24" fillId="0" borderId="1"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vertical="top"/>
    </xf>
    <xf numFmtId="0" fontId="3" fillId="0" borderId="6" xfId="0" applyFont="1" applyBorder="1" applyAlignment="1">
      <alignment vertical="top"/>
    </xf>
    <xf numFmtId="0" fontId="3" fillId="0" borderId="5" xfId="0" applyFont="1" applyBorder="1" applyAlignment="1">
      <alignment vertical="top"/>
    </xf>
    <xf numFmtId="0" fontId="10" fillId="0" borderId="1"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left" vertical="top"/>
    </xf>
    <xf numFmtId="3" fontId="10" fillId="3" borderId="1" xfId="0" applyNumberFormat="1" applyFont="1" applyFill="1" applyBorder="1" applyAlignment="1">
      <alignment horizontal="left" vertical="top"/>
    </xf>
    <xf numFmtId="0" fontId="10" fillId="3" borderId="6" xfId="0" applyFont="1" applyFill="1" applyBorder="1" applyAlignment="1">
      <alignment horizontal="left" vertical="top"/>
    </xf>
    <xf numFmtId="0" fontId="10" fillId="3" borderId="5" xfId="0" applyFont="1" applyFill="1" applyBorder="1" applyAlignment="1">
      <alignment horizontal="left" vertical="top"/>
    </xf>
    <xf numFmtId="0" fontId="9" fillId="0" borderId="2" xfId="0" applyFont="1" applyBorder="1" applyAlignment="1">
      <alignment vertical="center" wrapText="1"/>
    </xf>
    <xf numFmtId="0" fontId="10" fillId="0" borderId="10" xfId="0" applyFont="1" applyBorder="1" applyAlignment="1">
      <alignment horizontal="left" vertical="top"/>
    </xf>
    <xf numFmtId="0" fontId="10" fillId="0" borderId="3" xfId="0" applyFont="1" applyBorder="1" applyAlignment="1">
      <alignment horizontal="left" vertical="top"/>
    </xf>
    <xf numFmtId="0" fontId="10" fillId="0" borderId="11" xfId="0" applyFont="1" applyBorder="1" applyAlignment="1">
      <alignment horizontal="left" vertical="top"/>
    </xf>
    <xf numFmtId="1" fontId="11" fillId="0" borderId="2" xfId="0"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1" fontId="11" fillId="0" borderId="0" xfId="0" applyNumberFormat="1" applyFont="1" applyAlignment="1">
      <alignment horizontal="center" vertical="center" wrapText="1"/>
    </xf>
    <xf numFmtId="1" fontId="11" fillId="0" borderId="3" xfId="0" applyNumberFormat="1" applyFont="1" applyBorder="1" applyAlignment="1">
      <alignment horizontal="center" vertical="center" wrapText="1"/>
    </xf>
    <xf numFmtId="0" fontId="20" fillId="0" borderId="0" xfId="0" applyFont="1" applyAlignment="1">
      <alignment horizontal="center" vertical="center"/>
    </xf>
    <xf numFmtId="1" fontId="7" fillId="0" borderId="1" xfId="0" applyNumberFormat="1" applyFont="1" applyBorder="1" applyAlignment="1">
      <alignment horizontal="center" vertical="top" wrapText="1"/>
    </xf>
    <xf numFmtId="1" fontId="7" fillId="0" borderId="5" xfId="0" applyNumberFormat="1" applyFont="1" applyBorder="1" applyAlignment="1">
      <alignment horizontal="center" vertical="top" wrapText="1"/>
    </xf>
    <xf numFmtId="1" fontId="21" fillId="0" borderId="1" xfId="4" applyNumberFormat="1" applyFont="1" applyBorder="1" applyAlignment="1">
      <alignment horizontal="center" vertical="top" wrapText="1"/>
    </xf>
    <xf numFmtId="1" fontId="21" fillId="0" borderId="6" xfId="4" applyNumberFormat="1" applyFont="1" applyBorder="1" applyAlignment="1">
      <alignment horizontal="center" vertical="top" wrapText="1"/>
    </xf>
    <xf numFmtId="1" fontId="21" fillId="0" borderId="5" xfId="4" applyNumberFormat="1" applyFont="1" applyBorder="1" applyAlignment="1">
      <alignment horizontal="center" vertical="top" wrapText="1"/>
    </xf>
    <xf numFmtId="1" fontId="22" fillId="0" borderId="1" xfId="4" applyNumberFormat="1" applyFont="1" applyBorder="1" applyAlignment="1">
      <alignment horizontal="center" vertical="top" wrapText="1"/>
    </xf>
    <xf numFmtId="1" fontId="22" fillId="0" borderId="6" xfId="4" applyNumberFormat="1" applyFont="1" applyBorder="1" applyAlignment="1">
      <alignment horizontal="center" vertical="top" wrapText="1"/>
    </xf>
    <xf numFmtId="1" fontId="22" fillId="0" borderId="5" xfId="4" applyNumberFormat="1" applyFont="1" applyBorder="1" applyAlignment="1">
      <alignment horizontal="center" vertical="top" wrapText="1"/>
    </xf>
    <xf numFmtId="0" fontId="26" fillId="0" borderId="2" xfId="4" applyFont="1" applyBorder="1" applyAlignment="1" applyProtection="1">
      <alignment horizontal="center" vertical="top" wrapText="1"/>
      <protection locked="0"/>
    </xf>
    <xf numFmtId="0" fontId="3" fillId="0" borderId="2" xfId="0" applyFont="1" applyBorder="1" applyAlignment="1">
      <alignment horizontal="center" vertical="top"/>
    </xf>
    <xf numFmtId="1" fontId="4" fillId="0" borderId="2" xfId="0" applyNumberFormat="1" applyFont="1" applyBorder="1" applyAlignment="1">
      <alignment horizontal="center" vertical="top"/>
    </xf>
    <xf numFmtId="0" fontId="29" fillId="0" borderId="1" xfId="7" applyBorder="1" applyAlignment="1">
      <alignment horizontal="left" vertical="top"/>
    </xf>
    <xf numFmtId="0" fontId="26" fillId="4" borderId="4" xfId="4" applyFont="1" applyFill="1" applyBorder="1" applyAlignment="1" applyProtection="1">
      <alignment horizontal="center" vertical="center"/>
      <protection locked="0"/>
    </xf>
    <xf numFmtId="0" fontId="26" fillId="4" borderId="4" xfId="4" applyFont="1" applyFill="1" applyBorder="1" applyAlignment="1" applyProtection="1">
      <alignment horizontal="center" vertical="center" wrapText="1"/>
      <protection locked="0"/>
    </xf>
    <xf numFmtId="9" fontId="26" fillId="4" borderId="4" xfId="4" applyNumberFormat="1"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26" fillId="5" borderId="23" xfId="4" applyFont="1" applyFill="1" applyBorder="1" applyAlignment="1" applyProtection="1">
      <alignment horizontal="center" vertical="top" wrapText="1"/>
      <protection locked="0"/>
    </xf>
    <xf numFmtId="0" fontId="26" fillId="5" borderId="24" xfId="4" applyFont="1" applyFill="1" applyBorder="1" applyAlignment="1" applyProtection="1">
      <alignment horizontal="center" vertical="top" wrapText="1"/>
      <protection locked="0"/>
    </xf>
    <xf numFmtId="0" fontId="26" fillId="5" borderId="24" xfId="4" applyFont="1" applyFill="1" applyBorder="1" applyAlignment="1" applyProtection="1">
      <alignment horizontal="left" vertical="top" wrapText="1"/>
      <protection locked="0"/>
    </xf>
    <xf numFmtId="0" fontId="26" fillId="5" borderId="25" xfId="4" applyFont="1" applyFill="1" applyBorder="1" applyAlignment="1" applyProtection="1">
      <alignment horizontal="left" vertical="top" wrapText="1"/>
      <protection locked="0"/>
    </xf>
    <xf numFmtId="0" fontId="25" fillId="5" borderId="20" xfId="4" applyFont="1" applyFill="1" applyBorder="1" applyAlignment="1" applyProtection="1">
      <alignment horizontal="center" vertical="center" wrapText="1"/>
      <protection locked="0"/>
    </xf>
    <xf numFmtId="0" fontId="25" fillId="5" borderId="21" xfId="4" applyFont="1" applyFill="1" applyBorder="1" applyAlignment="1" applyProtection="1">
      <alignment horizontal="center" vertical="center" wrapText="1"/>
      <protection locked="0"/>
    </xf>
    <xf numFmtId="9" fontId="25" fillId="5" borderId="21" xfId="4" applyNumberFormat="1" applyFont="1" applyFill="1" applyBorder="1" applyAlignment="1" applyProtection="1">
      <alignment horizontal="center" vertical="center"/>
      <protection locked="0"/>
    </xf>
    <xf numFmtId="0" fontId="25" fillId="5" borderId="21" xfId="4" applyFont="1" applyFill="1" applyBorder="1" applyAlignment="1" applyProtection="1">
      <alignment horizontal="center" vertical="center"/>
      <protection locked="0"/>
    </xf>
    <xf numFmtId="0" fontId="25" fillId="5" borderId="22" xfId="4" applyFont="1" applyFill="1" applyBorder="1" applyAlignment="1" applyProtection="1">
      <alignment horizontal="center" vertical="center"/>
      <protection locked="0"/>
    </xf>
    <xf numFmtId="0" fontId="13" fillId="0" borderId="2" xfId="5" applyFont="1" applyBorder="1" applyAlignment="1">
      <alignment horizontal="left"/>
    </xf>
    <xf numFmtId="0" fontId="16" fillId="0" borderId="2" xfId="0" applyFont="1" applyBorder="1" applyAlignment="1">
      <alignment horizontal="center"/>
    </xf>
    <xf numFmtId="0" fontId="16" fillId="2" borderId="2" xfId="0" applyFont="1" applyFill="1" applyBorder="1" applyAlignment="1">
      <alignment horizontal="center"/>
    </xf>
    <xf numFmtId="0" fontId="18" fillId="0" borderId="2" xfId="0" applyFont="1" applyBorder="1" applyAlignment="1">
      <alignment horizontal="center"/>
    </xf>
    <xf numFmtId="0" fontId="16" fillId="0" borderId="2" xfId="0" applyFont="1" applyBorder="1" applyAlignment="1">
      <alignment horizontal="left"/>
    </xf>
    <xf numFmtId="0" fontId="0" fillId="2" borderId="2" xfId="0" applyFill="1" applyBorder="1" applyAlignment="1">
      <alignment horizontal="center" wrapText="1"/>
    </xf>
    <xf numFmtId="0" fontId="13" fillId="0" borderId="2" xfId="0" applyFont="1" applyBorder="1" applyAlignment="1">
      <alignment horizontal="center"/>
    </xf>
    <xf numFmtId="0" fontId="22" fillId="0" borderId="24" xfId="4" applyFont="1" applyBorder="1" applyAlignment="1" applyProtection="1">
      <alignment horizontal="left" vertical="top" wrapText="1"/>
      <protection locked="0"/>
    </xf>
    <xf numFmtId="0" fontId="22" fillId="0" borderId="25" xfId="4" applyFont="1" applyBorder="1" applyAlignment="1" applyProtection="1">
      <alignment horizontal="left" vertical="top" wrapText="1"/>
      <protection locked="0"/>
    </xf>
  </cellXfs>
  <cellStyles count="8">
    <cellStyle name="Comma 2" xfId="1"/>
    <cellStyle name="Excel Built-in Normal" xfId="2"/>
    <cellStyle name="Excel Built-in Normal 2" xfId="3"/>
    <cellStyle name="Hyperlink" xfId="7" builtinId="8"/>
    <cellStyle name="Normal" xfId="0" builtinId="0"/>
    <cellStyle name="Normal 3" xfId="4"/>
    <cellStyle name="Normal 4"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drawing2.xml.rels><?xml version="1.0" encoding="UTF-8" standalone="yes"?>
<Relationships xmlns="http://schemas.openxmlformats.org/package/2006/relationships"><Relationship Id="rId8" Type="http://schemas.openxmlformats.org/officeDocument/2006/relationships/image" Target="../media/image49.png"/><Relationship Id="rId3" Type="http://schemas.openxmlformats.org/officeDocument/2006/relationships/image" Target="../media/image44.png"/><Relationship Id="rId7" Type="http://schemas.openxmlformats.org/officeDocument/2006/relationships/image" Target="../media/image48.pn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3.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5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editAs="oneCell">
    <xdr:from>
      <xdr:col>0</xdr:col>
      <xdr:colOff>380441</xdr:colOff>
      <xdr:row>445</xdr:row>
      <xdr:rowOff>100853</xdr:rowOff>
    </xdr:from>
    <xdr:to>
      <xdr:col>8</xdr:col>
      <xdr:colOff>530040</xdr:colOff>
      <xdr:row>463</xdr:row>
      <xdr:rowOff>24654</xdr:rowOff>
    </xdr:to>
    <xdr:pic>
      <xdr:nvPicPr>
        <xdr:cNvPr id="12678" name="Picture 1">
          <a:extLst>
            <a:ext uri="{FF2B5EF4-FFF2-40B4-BE49-F238E27FC236}">
              <a16:creationId xmlns="" xmlns:a16="http://schemas.microsoft.com/office/drawing/2014/main" id="{00000000-0008-0000-0000-00008631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80441" y="84413912"/>
          <a:ext cx="5943040" cy="3352801"/>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380441</xdr:colOff>
      <xdr:row>464</xdr:row>
      <xdr:rowOff>62753</xdr:rowOff>
    </xdr:from>
    <xdr:to>
      <xdr:col>8</xdr:col>
      <xdr:colOff>530040</xdr:colOff>
      <xdr:row>482</xdr:row>
      <xdr:rowOff>138957</xdr:rowOff>
    </xdr:to>
    <xdr:pic>
      <xdr:nvPicPr>
        <xdr:cNvPr id="12679" name="Picture 2">
          <a:extLst>
            <a:ext uri="{FF2B5EF4-FFF2-40B4-BE49-F238E27FC236}">
              <a16:creationId xmlns="" xmlns:a16="http://schemas.microsoft.com/office/drawing/2014/main" id="{00000000-0008-0000-0000-00008731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80441" y="87995312"/>
          <a:ext cx="5943040" cy="350520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xdr:col>
      <xdr:colOff>847725</xdr:colOff>
      <xdr:row>431</xdr:row>
      <xdr:rowOff>76200</xdr:rowOff>
    </xdr:from>
    <xdr:ext cx="184731" cy="264560"/>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1428750" y="9533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oneCellAnchor>
    <xdr:from>
      <xdr:col>12</xdr:col>
      <xdr:colOff>561975</xdr:colOff>
      <xdr:row>401</xdr:row>
      <xdr:rowOff>0</xdr:rowOff>
    </xdr:from>
    <xdr:ext cx="971484" cy="436786"/>
    <xdr:sp macro="" textlink="">
      <xdr:nvSpPr>
        <xdr:cNvPr id="22" name="TextBox 21">
          <a:extLst>
            <a:ext uri="{FF2B5EF4-FFF2-40B4-BE49-F238E27FC236}">
              <a16:creationId xmlns="" xmlns:a16="http://schemas.microsoft.com/office/drawing/2014/main" id="{00000000-0008-0000-0000-000016000000}"/>
            </a:ext>
          </a:extLst>
        </xdr:cNvPr>
        <xdr:cNvSpPr txBox="1"/>
      </xdr:nvSpPr>
      <xdr:spPr>
        <a:xfrm>
          <a:off x="7677150" y="89639775"/>
          <a:ext cx="971484"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a:t>
          </a:r>
          <a:r>
            <a:rPr lang="en-IN" sz="1100" b="1" baseline="0"/>
            <a:t> No.1</a:t>
          </a:r>
        </a:p>
        <a:p>
          <a:r>
            <a:rPr lang="en-IN" sz="1100" b="1" baseline="0"/>
            <a:t>Wing A</a:t>
          </a:r>
          <a:endParaRPr lang="en-IN" sz="1100" b="1"/>
        </a:p>
      </xdr:txBody>
    </xdr:sp>
    <xdr:clientData/>
  </xdr:oneCellAnchor>
  <xdr:oneCellAnchor>
    <xdr:from>
      <xdr:col>16</xdr:col>
      <xdr:colOff>88213</xdr:colOff>
      <xdr:row>401</xdr:row>
      <xdr:rowOff>0</xdr:rowOff>
    </xdr:from>
    <xdr:ext cx="971484" cy="436786"/>
    <xdr:sp macro="" textlink="">
      <xdr:nvSpPr>
        <xdr:cNvPr id="27" name="TextBox 26">
          <a:extLst>
            <a:ext uri="{FF2B5EF4-FFF2-40B4-BE49-F238E27FC236}">
              <a16:creationId xmlns="" xmlns:a16="http://schemas.microsoft.com/office/drawing/2014/main" id="{00000000-0008-0000-0000-00001B000000}"/>
            </a:ext>
          </a:extLst>
        </xdr:cNvPr>
        <xdr:cNvSpPr txBox="1"/>
      </xdr:nvSpPr>
      <xdr:spPr>
        <a:xfrm>
          <a:off x="9641788" y="89639775"/>
          <a:ext cx="971484"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a:t>
          </a:r>
          <a:r>
            <a:rPr lang="en-IN" sz="1100" b="1" baseline="0"/>
            <a:t> No.1</a:t>
          </a:r>
        </a:p>
        <a:p>
          <a:r>
            <a:rPr lang="en-IN" sz="1100" b="1" baseline="0"/>
            <a:t>Wing B</a:t>
          </a:r>
          <a:endParaRPr lang="en-IN" sz="1100" b="1"/>
        </a:p>
      </xdr:txBody>
    </xdr:sp>
    <xdr:clientData/>
  </xdr:oneCellAnchor>
  <xdr:oneCellAnchor>
    <xdr:from>
      <xdr:col>11</xdr:col>
      <xdr:colOff>28575</xdr:colOff>
      <xdr:row>404</xdr:row>
      <xdr:rowOff>44270</xdr:rowOff>
    </xdr:from>
    <xdr:ext cx="971484" cy="436786"/>
    <xdr:sp macro="" textlink="">
      <xdr:nvSpPr>
        <xdr:cNvPr id="28" name="TextBox 27">
          <a:extLst>
            <a:ext uri="{FF2B5EF4-FFF2-40B4-BE49-F238E27FC236}">
              <a16:creationId xmlns="" xmlns:a16="http://schemas.microsoft.com/office/drawing/2014/main" id="{00000000-0008-0000-0000-00001C000000}"/>
            </a:ext>
          </a:extLst>
        </xdr:cNvPr>
        <xdr:cNvSpPr txBox="1"/>
      </xdr:nvSpPr>
      <xdr:spPr>
        <a:xfrm>
          <a:off x="6534150" y="90255545"/>
          <a:ext cx="971484"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a:t>
          </a:r>
          <a:r>
            <a:rPr lang="en-IN" sz="1100" b="1" baseline="0"/>
            <a:t> No.1</a:t>
          </a:r>
        </a:p>
        <a:p>
          <a:r>
            <a:rPr lang="en-IN" sz="1100" b="1" baseline="0"/>
            <a:t>Wing C</a:t>
          </a:r>
          <a:endParaRPr lang="en-IN" sz="1100" b="1"/>
        </a:p>
      </xdr:txBody>
    </xdr:sp>
    <xdr:clientData/>
  </xdr:oneCellAnchor>
  <xdr:oneCellAnchor>
    <xdr:from>
      <xdr:col>14</xdr:col>
      <xdr:colOff>406615</xdr:colOff>
      <xdr:row>414</xdr:row>
      <xdr:rowOff>86292</xdr:rowOff>
    </xdr:from>
    <xdr:ext cx="971484" cy="436786"/>
    <xdr:sp macro="" textlink="">
      <xdr:nvSpPr>
        <xdr:cNvPr id="29" name="TextBox 28">
          <a:extLst>
            <a:ext uri="{FF2B5EF4-FFF2-40B4-BE49-F238E27FC236}">
              <a16:creationId xmlns="" xmlns:a16="http://schemas.microsoft.com/office/drawing/2014/main" id="{00000000-0008-0000-0000-00001D000000}"/>
            </a:ext>
          </a:extLst>
        </xdr:cNvPr>
        <xdr:cNvSpPr txBox="1"/>
      </xdr:nvSpPr>
      <xdr:spPr>
        <a:xfrm>
          <a:off x="8732586" y="93128733"/>
          <a:ext cx="971484"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a:t>
          </a:r>
          <a:r>
            <a:rPr lang="en-IN" sz="1100" b="1" baseline="0"/>
            <a:t> No.2</a:t>
          </a:r>
        </a:p>
        <a:p>
          <a:r>
            <a:rPr lang="en-IN" sz="1100" b="1" baseline="0"/>
            <a:t>Wing A (Pt2)</a:t>
          </a:r>
          <a:endParaRPr lang="en-IN" sz="1100" b="1"/>
        </a:p>
      </xdr:txBody>
    </xdr:sp>
    <xdr:clientData/>
  </xdr:oneCellAnchor>
  <xdr:oneCellAnchor>
    <xdr:from>
      <xdr:col>16</xdr:col>
      <xdr:colOff>116788</xdr:colOff>
      <xdr:row>415</xdr:row>
      <xdr:rowOff>187145</xdr:rowOff>
    </xdr:from>
    <xdr:ext cx="971484" cy="264560"/>
    <xdr:sp macro="" textlink="">
      <xdr:nvSpPr>
        <xdr:cNvPr id="30" name="TextBox 29">
          <a:extLst>
            <a:ext uri="{FF2B5EF4-FFF2-40B4-BE49-F238E27FC236}">
              <a16:creationId xmlns="" xmlns:a16="http://schemas.microsoft.com/office/drawing/2014/main" id="{00000000-0008-0000-0000-00001E000000}"/>
            </a:ext>
          </a:extLst>
        </xdr:cNvPr>
        <xdr:cNvSpPr txBox="1"/>
      </xdr:nvSpPr>
      <xdr:spPr>
        <a:xfrm>
          <a:off x="9670363" y="92474870"/>
          <a:ext cx="971484"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Building</a:t>
          </a:r>
          <a:r>
            <a:rPr lang="en-IN" sz="1100" b="1" baseline="0"/>
            <a:t> No.3</a:t>
          </a:r>
        </a:p>
      </xdr:txBody>
    </xdr:sp>
    <xdr:clientData/>
  </xdr:oneCellAnchor>
  <xdr:oneCellAnchor>
    <xdr:from>
      <xdr:col>14</xdr:col>
      <xdr:colOff>50800</xdr:colOff>
      <xdr:row>418</xdr:row>
      <xdr:rowOff>41275</xdr:rowOff>
    </xdr:from>
    <xdr:ext cx="971484" cy="609013"/>
    <xdr:sp macro="" textlink="">
      <xdr:nvSpPr>
        <xdr:cNvPr id="31" name="TextBox 30">
          <a:extLst>
            <a:ext uri="{FF2B5EF4-FFF2-40B4-BE49-F238E27FC236}">
              <a16:creationId xmlns="" xmlns:a16="http://schemas.microsoft.com/office/drawing/2014/main" id="{00000000-0008-0000-0000-00001F000000}"/>
            </a:ext>
          </a:extLst>
        </xdr:cNvPr>
        <xdr:cNvSpPr txBox="1"/>
      </xdr:nvSpPr>
      <xdr:spPr>
        <a:xfrm>
          <a:off x="8921750" y="90909775"/>
          <a:ext cx="971484" cy="60901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IN" sz="1100" b="1"/>
            <a:t>Building No.2</a:t>
          </a:r>
        </a:p>
        <a:p>
          <a:pPr algn="ctr"/>
          <a:r>
            <a:rPr lang="en-IN" sz="1100" b="1"/>
            <a:t>Wing</a:t>
          </a:r>
          <a:r>
            <a:rPr lang="en-IN" sz="1100" b="1" baseline="0"/>
            <a:t> A</a:t>
          </a:r>
        </a:p>
        <a:p>
          <a:pPr algn="ctr"/>
          <a:r>
            <a:rPr lang="en-IN" sz="1100" b="1" baseline="0"/>
            <a:t>Flat No. 3 &amp; 4</a:t>
          </a:r>
          <a:endParaRPr lang="en-IN" sz="1100" b="1"/>
        </a:p>
      </xdr:txBody>
    </xdr:sp>
    <xdr:clientData/>
  </xdr:oneCellAnchor>
  <xdr:twoCellAnchor>
    <xdr:from>
      <xdr:col>12</xdr:col>
      <xdr:colOff>469493</xdr:colOff>
      <xdr:row>401</xdr:row>
      <xdr:rowOff>30913</xdr:rowOff>
    </xdr:from>
    <xdr:to>
      <xdr:col>22</xdr:col>
      <xdr:colOff>216155</xdr:colOff>
      <xdr:row>440</xdr:row>
      <xdr:rowOff>162769</xdr:rowOff>
    </xdr:to>
    <xdr:grpSp>
      <xdr:nvGrpSpPr>
        <xdr:cNvPr id="2" name="Group 1">
          <a:extLst>
            <a:ext uri="{FF2B5EF4-FFF2-40B4-BE49-F238E27FC236}">
              <a16:creationId xmlns="" xmlns:a16="http://schemas.microsoft.com/office/drawing/2014/main" id="{00000000-0008-0000-0000-000002000000}"/>
            </a:ext>
          </a:extLst>
        </xdr:cNvPr>
        <xdr:cNvGrpSpPr/>
      </xdr:nvGrpSpPr>
      <xdr:grpSpPr>
        <a:xfrm>
          <a:off x="7585228" y="92849237"/>
          <a:ext cx="6201251" cy="7908738"/>
          <a:chOff x="7585228" y="90406354"/>
          <a:chExt cx="6201251" cy="7908739"/>
        </a:xfrm>
      </xdr:grpSpPr>
      <xdr:pic>
        <xdr:nvPicPr>
          <xdr:cNvPr id="18" name="Picture 17" descr="https://vsjcllp.vsjadon.com/upload/insp-203311-1525.jpg">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592936" y="95738418"/>
            <a:ext cx="2156382" cy="1615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03311-843.jpg">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618455" y="90406354"/>
            <a:ext cx="1958697" cy="25892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03311-845.jpg">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703822" y="93123205"/>
            <a:ext cx="1956764" cy="25784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03311-844.jpg">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7585228" y="95727343"/>
            <a:ext cx="1958697" cy="2587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03311-851.jpg">
            <a:extLst>
              <a:ext uri="{FF2B5EF4-FFF2-40B4-BE49-F238E27FC236}">
                <a16:creationId xmlns=""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618455" y="93112130"/>
            <a:ext cx="1958697" cy="25784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03311-861.jpg">
            <a:extLst>
              <a:ext uri="{FF2B5EF4-FFF2-40B4-BE49-F238E27FC236}">
                <a16:creationId xmlns=""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1798334" y="93101055"/>
            <a:ext cx="1957129" cy="25784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03311-860.jpg">
            <a:extLst>
              <a:ext uri="{FF2B5EF4-FFF2-40B4-BE49-F238E27FC236}">
                <a16:creationId xmlns=""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1809409" y="90424064"/>
            <a:ext cx="1957129" cy="25892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03311-871.jpg">
            <a:extLst>
              <a:ext uri="{FF2B5EF4-FFF2-40B4-BE49-F238E27FC236}">
                <a16:creationId xmlns=""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714898" y="90450657"/>
            <a:ext cx="1956764" cy="25915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03311-925.jpg">
            <a:extLst>
              <a:ext uri="{FF2B5EF4-FFF2-40B4-BE49-F238E27FC236}">
                <a16:creationId xmlns=""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1798332" y="95754198"/>
            <a:ext cx="1988147" cy="14838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14</xdr:col>
      <xdr:colOff>445187</xdr:colOff>
      <xdr:row>430</xdr:row>
      <xdr:rowOff>47939</xdr:rowOff>
    </xdr:from>
    <xdr:to>
      <xdr:col>18</xdr:col>
      <xdr:colOff>226603</xdr:colOff>
      <xdr:row>438</xdr:row>
      <xdr:rowOff>89617</xdr:rowOff>
    </xdr:to>
    <xdr:pic>
      <xdr:nvPicPr>
        <xdr:cNvPr id="23" name="Picture 22" descr="https://vsjcllp.vsjadon.com/upload/insp-214358-1525.jpg">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179612" y="95859914"/>
          <a:ext cx="2219816" cy="16704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660400</xdr:colOff>
      <xdr:row>403</xdr:row>
      <xdr:rowOff>149891</xdr:rowOff>
    </xdr:from>
    <xdr:to>
      <xdr:col>15</xdr:col>
      <xdr:colOff>333966</xdr:colOff>
      <xdr:row>417</xdr:row>
      <xdr:rowOff>25652</xdr:rowOff>
    </xdr:to>
    <xdr:pic>
      <xdr:nvPicPr>
        <xdr:cNvPr id="24" name="Picture 23" descr="https://vsjcllp.vsjadon.com/upload/insp-214358-843.jpg">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775575" y="90561191"/>
          <a:ext cx="1902416" cy="25237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708360</xdr:colOff>
      <xdr:row>430</xdr:row>
      <xdr:rowOff>47939</xdr:rowOff>
    </xdr:from>
    <xdr:to>
      <xdr:col>14</xdr:col>
      <xdr:colOff>348867</xdr:colOff>
      <xdr:row>438</xdr:row>
      <xdr:rowOff>89617</xdr:rowOff>
    </xdr:to>
    <xdr:pic>
      <xdr:nvPicPr>
        <xdr:cNvPr id="25" name="Picture 24" descr="https://vsjcllp.vsjadon.com/upload/insp-214358-844.jpg">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7823535" y="95859914"/>
          <a:ext cx="1259757" cy="16704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454544</xdr:colOff>
      <xdr:row>417</xdr:row>
      <xdr:rowOff>138288</xdr:rowOff>
    </xdr:from>
    <xdr:to>
      <xdr:col>18</xdr:col>
      <xdr:colOff>546113</xdr:colOff>
      <xdr:row>429</xdr:row>
      <xdr:rowOff>121460</xdr:rowOff>
    </xdr:to>
    <xdr:pic>
      <xdr:nvPicPr>
        <xdr:cNvPr id="26" name="Picture 25" descr="https://vsjcllp.vsjadon.com/upload/insp-214358-847.jpg">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798569" y="93197538"/>
          <a:ext cx="1920369" cy="25453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672076</xdr:colOff>
      <xdr:row>417</xdr:row>
      <xdr:rowOff>138288</xdr:rowOff>
    </xdr:from>
    <xdr:to>
      <xdr:col>15</xdr:col>
      <xdr:colOff>362353</xdr:colOff>
      <xdr:row>429</xdr:row>
      <xdr:rowOff>121460</xdr:rowOff>
    </xdr:to>
    <xdr:pic>
      <xdr:nvPicPr>
        <xdr:cNvPr id="32" name="Picture 31" descr="https://vsjcllp.vsjadon.com/upload/insp-214358-851.jpg">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7787251" y="93197538"/>
          <a:ext cx="1919127" cy="25453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452355</xdr:colOff>
      <xdr:row>403</xdr:row>
      <xdr:rowOff>158175</xdr:rowOff>
    </xdr:from>
    <xdr:to>
      <xdr:col>18</xdr:col>
      <xdr:colOff>527213</xdr:colOff>
      <xdr:row>417</xdr:row>
      <xdr:rowOff>33936</xdr:rowOff>
    </xdr:to>
    <xdr:pic>
      <xdr:nvPicPr>
        <xdr:cNvPr id="33" name="Picture 32" descr="https://vsjcllp.vsjadon.com/upload/insp-214358-861.jpg">
          <a:extLst>
            <a:ext uri="{FF2B5EF4-FFF2-40B4-BE49-F238E27FC236}">
              <a16:creationId xmlns=""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9796380" y="90569475"/>
          <a:ext cx="1903658" cy="25237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10419</xdr:colOff>
      <xdr:row>403</xdr:row>
      <xdr:rowOff>152816</xdr:rowOff>
    </xdr:from>
    <xdr:to>
      <xdr:col>22</xdr:col>
      <xdr:colOff>87348</xdr:colOff>
      <xdr:row>417</xdr:row>
      <xdr:rowOff>28577</xdr:rowOff>
    </xdr:to>
    <xdr:pic>
      <xdr:nvPicPr>
        <xdr:cNvPr id="34" name="Picture 33" descr="https://vsjcllp.vsjadon.com/upload/insp-214358-862.jpg">
          <a:extLst>
            <a:ext uri="{FF2B5EF4-FFF2-40B4-BE49-F238E27FC236}">
              <a16:creationId xmlns=""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1792844" y="90564116"/>
          <a:ext cx="1905729" cy="25237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32309</xdr:colOff>
      <xdr:row>417</xdr:row>
      <xdr:rowOff>121722</xdr:rowOff>
    </xdr:from>
    <xdr:to>
      <xdr:col>22</xdr:col>
      <xdr:colOff>123464</xdr:colOff>
      <xdr:row>429</xdr:row>
      <xdr:rowOff>104894</xdr:rowOff>
    </xdr:to>
    <xdr:pic>
      <xdr:nvPicPr>
        <xdr:cNvPr id="40" name="Picture 39" descr="https://vsjcllp.vsjadon.com/upload/insp-214358-860.jpg">
          <a:extLst>
            <a:ext uri="{FF2B5EF4-FFF2-40B4-BE49-F238E27FC236}">
              <a16:creationId xmlns=""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1814734" y="93180972"/>
          <a:ext cx="1919955" cy="25453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340691</xdr:colOff>
      <xdr:row>430</xdr:row>
      <xdr:rowOff>47939</xdr:rowOff>
    </xdr:from>
    <xdr:to>
      <xdr:col>22</xdr:col>
      <xdr:colOff>137367</xdr:colOff>
      <xdr:row>438</xdr:row>
      <xdr:rowOff>89617</xdr:rowOff>
    </xdr:to>
    <xdr:pic>
      <xdr:nvPicPr>
        <xdr:cNvPr id="41" name="Picture 40" descr="https://vsjcllp.vsjadon.com/upload/insp-214358-925.jpg">
          <a:extLst>
            <a:ext uri="{FF2B5EF4-FFF2-40B4-BE49-F238E27FC236}">
              <a16:creationId xmlns=""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1513516" y="95859914"/>
          <a:ext cx="2235076" cy="16704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400050</xdr:colOff>
      <xdr:row>400</xdr:row>
      <xdr:rowOff>171450</xdr:rowOff>
    </xdr:from>
    <xdr:to>
      <xdr:col>20</xdr:col>
      <xdr:colOff>504825</xdr:colOff>
      <xdr:row>441</xdr:row>
      <xdr:rowOff>133350</xdr:rowOff>
    </xdr:to>
    <xdr:grpSp>
      <xdr:nvGrpSpPr>
        <xdr:cNvPr id="42" name="Group 41">
          <a:extLst>
            <a:ext uri="{FF2B5EF4-FFF2-40B4-BE49-F238E27FC236}">
              <a16:creationId xmlns="" xmlns:a16="http://schemas.microsoft.com/office/drawing/2014/main" id="{3E96BA3A-D686-4FF1-995D-8DB9256A7CBC}"/>
            </a:ext>
          </a:extLst>
        </xdr:cNvPr>
        <xdr:cNvGrpSpPr/>
      </xdr:nvGrpSpPr>
      <xdr:grpSpPr>
        <a:xfrm>
          <a:off x="6910668" y="92799274"/>
          <a:ext cx="5954245" cy="8119782"/>
          <a:chOff x="626689" y="251572"/>
          <a:chExt cx="6023722" cy="8640856"/>
        </a:xfrm>
      </xdr:grpSpPr>
      <xdr:pic>
        <xdr:nvPicPr>
          <xdr:cNvPr id="43" name="Picture 42">
            <a:extLst>
              <a:ext uri="{FF2B5EF4-FFF2-40B4-BE49-F238E27FC236}">
                <a16:creationId xmlns="" xmlns:a16="http://schemas.microsoft.com/office/drawing/2014/main" id="{25BC41AA-6856-478E-9981-7ABEAC597CEF}"/>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26689" y="251572"/>
            <a:ext cx="1895272" cy="2520000"/>
          </a:xfrm>
          <a:prstGeom prst="rect">
            <a:avLst/>
          </a:prstGeom>
          <a:ln>
            <a:solidFill>
              <a:schemeClr val="tx1"/>
            </a:solidFill>
          </a:ln>
        </xdr:spPr>
      </xdr:pic>
      <xdr:pic>
        <xdr:nvPicPr>
          <xdr:cNvPr id="44" name="Picture 43">
            <a:extLst>
              <a:ext uri="{FF2B5EF4-FFF2-40B4-BE49-F238E27FC236}">
                <a16:creationId xmlns="" xmlns:a16="http://schemas.microsoft.com/office/drawing/2014/main" id="{D869661E-1E94-4AF5-8B97-E6686DBF5BFD}"/>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690914" y="251572"/>
            <a:ext cx="1895272" cy="2520000"/>
          </a:xfrm>
          <a:prstGeom prst="rect">
            <a:avLst/>
          </a:prstGeom>
          <a:ln>
            <a:solidFill>
              <a:schemeClr val="tx1"/>
            </a:solidFill>
          </a:ln>
        </xdr:spPr>
      </xdr:pic>
      <xdr:pic>
        <xdr:nvPicPr>
          <xdr:cNvPr id="45" name="Picture 44">
            <a:extLst>
              <a:ext uri="{FF2B5EF4-FFF2-40B4-BE49-F238E27FC236}">
                <a16:creationId xmlns="" xmlns:a16="http://schemas.microsoft.com/office/drawing/2014/main" id="{D795D6E5-42D7-46EE-9783-1B11AE1603A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755139" y="251572"/>
            <a:ext cx="1895272" cy="2520000"/>
          </a:xfrm>
          <a:prstGeom prst="rect">
            <a:avLst/>
          </a:prstGeom>
          <a:ln>
            <a:solidFill>
              <a:schemeClr val="tx1"/>
            </a:solidFill>
          </a:ln>
        </xdr:spPr>
      </xdr:pic>
      <xdr:pic>
        <xdr:nvPicPr>
          <xdr:cNvPr id="46" name="Picture 45">
            <a:extLst>
              <a:ext uri="{FF2B5EF4-FFF2-40B4-BE49-F238E27FC236}">
                <a16:creationId xmlns="" xmlns:a16="http://schemas.microsoft.com/office/drawing/2014/main" id="{9F2486D9-48A3-4B41-8B50-50C42B533C5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26689" y="2880427"/>
            <a:ext cx="1895272" cy="2520000"/>
          </a:xfrm>
          <a:prstGeom prst="rect">
            <a:avLst/>
          </a:prstGeom>
          <a:ln>
            <a:solidFill>
              <a:schemeClr val="tx1"/>
            </a:solidFill>
          </a:ln>
        </xdr:spPr>
      </xdr:pic>
      <xdr:pic>
        <xdr:nvPicPr>
          <xdr:cNvPr id="47" name="Picture 46">
            <a:extLst>
              <a:ext uri="{FF2B5EF4-FFF2-40B4-BE49-F238E27FC236}">
                <a16:creationId xmlns="" xmlns:a16="http://schemas.microsoft.com/office/drawing/2014/main" id="{D0995040-C2EC-4961-9965-ED589C63603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690914" y="2880427"/>
            <a:ext cx="1895272" cy="2520000"/>
          </a:xfrm>
          <a:prstGeom prst="rect">
            <a:avLst/>
          </a:prstGeom>
          <a:ln>
            <a:solidFill>
              <a:schemeClr val="tx1"/>
            </a:solidFill>
          </a:ln>
        </xdr:spPr>
      </xdr:pic>
      <xdr:pic>
        <xdr:nvPicPr>
          <xdr:cNvPr id="48" name="Picture 47">
            <a:extLst>
              <a:ext uri="{FF2B5EF4-FFF2-40B4-BE49-F238E27FC236}">
                <a16:creationId xmlns="" xmlns:a16="http://schemas.microsoft.com/office/drawing/2014/main" id="{CC2486FF-7DDA-4B87-8A04-5669E149A93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755139" y="2880427"/>
            <a:ext cx="1895272" cy="2520000"/>
          </a:xfrm>
          <a:prstGeom prst="rect">
            <a:avLst/>
          </a:prstGeom>
          <a:ln>
            <a:solidFill>
              <a:schemeClr val="tx1"/>
            </a:solidFill>
          </a:ln>
        </xdr:spPr>
      </xdr:pic>
      <xdr:pic>
        <xdr:nvPicPr>
          <xdr:cNvPr id="49" name="Picture 48">
            <a:extLst>
              <a:ext uri="{FF2B5EF4-FFF2-40B4-BE49-F238E27FC236}">
                <a16:creationId xmlns="" xmlns:a16="http://schemas.microsoft.com/office/drawing/2014/main" id="{84034665-5A60-46D6-A0EC-47DFA9D3F4B4}"/>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200983" y="5509282"/>
            <a:ext cx="2387823" cy="1800000"/>
          </a:xfrm>
          <a:prstGeom prst="rect">
            <a:avLst/>
          </a:prstGeom>
          <a:ln>
            <a:solidFill>
              <a:schemeClr val="tx1"/>
            </a:solidFill>
          </a:ln>
        </xdr:spPr>
      </xdr:pic>
      <xdr:pic>
        <xdr:nvPicPr>
          <xdr:cNvPr id="50" name="Picture 49">
            <a:extLst>
              <a:ext uri="{FF2B5EF4-FFF2-40B4-BE49-F238E27FC236}">
                <a16:creationId xmlns="" xmlns:a16="http://schemas.microsoft.com/office/drawing/2014/main" id="{D74976B9-4918-4566-9324-B577AF4DF384}"/>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652561" y="7452428"/>
            <a:ext cx="1917334" cy="1440000"/>
          </a:xfrm>
          <a:prstGeom prst="rect">
            <a:avLst/>
          </a:prstGeom>
          <a:ln>
            <a:solidFill>
              <a:schemeClr val="tx1"/>
            </a:solidFill>
          </a:ln>
        </xdr:spPr>
      </xdr:pic>
      <xdr:pic>
        <xdr:nvPicPr>
          <xdr:cNvPr id="51" name="Picture 50">
            <a:extLst>
              <a:ext uri="{FF2B5EF4-FFF2-40B4-BE49-F238E27FC236}">
                <a16:creationId xmlns="" xmlns:a16="http://schemas.microsoft.com/office/drawing/2014/main" id="{DA641DCE-1884-48B0-9FED-BF94EBE28728}"/>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688296" y="5509282"/>
            <a:ext cx="2387823" cy="1800000"/>
          </a:xfrm>
          <a:prstGeom prst="rect">
            <a:avLst/>
          </a:prstGeom>
          <a:ln>
            <a:solidFill>
              <a:schemeClr val="tx1"/>
            </a:solidFill>
          </a:ln>
        </xdr:spPr>
      </xdr:pic>
      <xdr:pic>
        <xdr:nvPicPr>
          <xdr:cNvPr id="52" name="Picture 51">
            <a:extLst>
              <a:ext uri="{FF2B5EF4-FFF2-40B4-BE49-F238E27FC236}">
                <a16:creationId xmlns="" xmlns:a16="http://schemas.microsoft.com/office/drawing/2014/main" id="{E634A1E3-9B77-4F11-9028-3B6D0D4BCC15}"/>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714281" y="7452428"/>
            <a:ext cx="1910258" cy="1440000"/>
          </a:xfrm>
          <a:prstGeom prst="rect">
            <a:avLst/>
          </a:prstGeom>
          <a:ln>
            <a:solidFill>
              <a:schemeClr val="tx1"/>
            </a:solidFill>
          </a:ln>
        </xdr:spPr>
      </xdr:pic>
    </xdr:grpSp>
    <xdr:clientData/>
  </xdr:twoCellAnchor>
  <xdr:twoCellAnchor>
    <xdr:from>
      <xdr:col>0</xdr:col>
      <xdr:colOff>200025</xdr:colOff>
      <xdr:row>403</xdr:row>
      <xdr:rowOff>38099</xdr:rowOff>
    </xdr:from>
    <xdr:to>
      <xdr:col>9</xdr:col>
      <xdr:colOff>76200</xdr:colOff>
      <xdr:row>437</xdr:row>
      <xdr:rowOff>85724</xdr:rowOff>
    </xdr:to>
    <xdr:grpSp>
      <xdr:nvGrpSpPr>
        <xdr:cNvPr id="53" name="Group 52">
          <a:extLst>
            <a:ext uri="{FF2B5EF4-FFF2-40B4-BE49-F238E27FC236}">
              <a16:creationId xmlns="" xmlns:a16="http://schemas.microsoft.com/office/drawing/2014/main" id="{5F878544-8CF5-4989-923A-E33502A9BC89}"/>
            </a:ext>
          </a:extLst>
        </xdr:cNvPr>
        <xdr:cNvGrpSpPr/>
      </xdr:nvGrpSpPr>
      <xdr:grpSpPr>
        <a:xfrm>
          <a:off x="200025" y="93237423"/>
          <a:ext cx="5994587" cy="6872007"/>
          <a:chOff x="231722" y="449356"/>
          <a:chExt cx="6392204" cy="6838164"/>
        </a:xfrm>
      </xdr:grpSpPr>
      <xdr:grpSp>
        <xdr:nvGrpSpPr>
          <xdr:cNvPr id="54" name="Group 53">
            <a:extLst>
              <a:ext uri="{FF2B5EF4-FFF2-40B4-BE49-F238E27FC236}">
                <a16:creationId xmlns="" xmlns:a16="http://schemas.microsoft.com/office/drawing/2014/main" id="{90ED7E33-E51A-4359-BB89-6B1D521815FB}"/>
              </a:ext>
            </a:extLst>
          </xdr:cNvPr>
          <xdr:cNvGrpSpPr/>
        </xdr:nvGrpSpPr>
        <xdr:grpSpPr>
          <a:xfrm>
            <a:off x="231722" y="449356"/>
            <a:ext cx="6392204" cy="6838164"/>
            <a:chOff x="231722" y="449356"/>
            <a:chExt cx="6392204" cy="6838164"/>
          </a:xfrm>
        </xdr:grpSpPr>
        <xdr:pic>
          <xdr:nvPicPr>
            <xdr:cNvPr id="62" name="Picture 61">
              <a:extLst>
                <a:ext uri="{FF2B5EF4-FFF2-40B4-BE49-F238E27FC236}">
                  <a16:creationId xmlns="" xmlns:a16="http://schemas.microsoft.com/office/drawing/2014/main" id="{9052009C-21BF-4E8C-89E1-0BC437E85313}"/>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596432" y="449356"/>
              <a:ext cx="1759895" cy="2340000"/>
            </a:xfrm>
            <a:prstGeom prst="rect">
              <a:avLst/>
            </a:prstGeom>
            <a:ln>
              <a:solidFill>
                <a:schemeClr val="tx1"/>
              </a:solidFill>
            </a:ln>
          </xdr:spPr>
        </xdr:pic>
        <xdr:pic>
          <xdr:nvPicPr>
            <xdr:cNvPr id="63" name="Picture 62">
              <a:extLst>
                <a:ext uri="{FF2B5EF4-FFF2-40B4-BE49-F238E27FC236}">
                  <a16:creationId xmlns="" xmlns:a16="http://schemas.microsoft.com/office/drawing/2014/main" id="{500844E5-494E-48DE-8721-7E9F137DD6A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550738" y="449356"/>
              <a:ext cx="1759895" cy="2340000"/>
            </a:xfrm>
            <a:prstGeom prst="rect">
              <a:avLst/>
            </a:prstGeom>
            <a:ln>
              <a:solidFill>
                <a:schemeClr val="tx1"/>
              </a:solidFill>
            </a:ln>
          </xdr:spPr>
        </xdr:pic>
        <xdr:pic>
          <xdr:nvPicPr>
            <xdr:cNvPr id="64" name="Picture 63">
              <a:extLst>
                <a:ext uri="{FF2B5EF4-FFF2-40B4-BE49-F238E27FC236}">
                  <a16:creationId xmlns="" xmlns:a16="http://schemas.microsoft.com/office/drawing/2014/main" id="{A7673E1E-A14E-4E66-9259-77BBCE2889DF}"/>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505044" y="449356"/>
              <a:ext cx="1759895" cy="2340000"/>
            </a:xfrm>
            <a:prstGeom prst="rect">
              <a:avLst/>
            </a:prstGeom>
            <a:ln>
              <a:solidFill>
                <a:schemeClr val="tx1"/>
              </a:solidFill>
            </a:ln>
          </xdr:spPr>
        </xdr:pic>
        <xdr:pic>
          <xdr:nvPicPr>
            <xdr:cNvPr id="65" name="Picture 64">
              <a:extLst>
                <a:ext uri="{FF2B5EF4-FFF2-40B4-BE49-F238E27FC236}">
                  <a16:creationId xmlns="" xmlns:a16="http://schemas.microsoft.com/office/drawing/2014/main" id="{7A549600-52A8-4F01-9150-4813FFCB663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596431" y="2995332"/>
              <a:ext cx="1759895" cy="2340000"/>
            </a:xfrm>
            <a:prstGeom prst="rect">
              <a:avLst/>
            </a:prstGeom>
            <a:ln>
              <a:solidFill>
                <a:schemeClr val="tx1"/>
              </a:solidFill>
            </a:ln>
          </xdr:spPr>
        </xdr:pic>
        <xdr:pic>
          <xdr:nvPicPr>
            <xdr:cNvPr id="66" name="Picture 65">
              <a:extLst>
                <a:ext uri="{FF2B5EF4-FFF2-40B4-BE49-F238E27FC236}">
                  <a16:creationId xmlns="" xmlns:a16="http://schemas.microsoft.com/office/drawing/2014/main" id="{CB9C7108-8E0C-41A4-8257-6EF7F809D6E5}"/>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2550737" y="2995332"/>
              <a:ext cx="1759895" cy="2340000"/>
            </a:xfrm>
            <a:prstGeom prst="rect">
              <a:avLst/>
            </a:prstGeom>
            <a:ln>
              <a:solidFill>
                <a:schemeClr val="tx1"/>
              </a:solidFill>
            </a:ln>
          </xdr:spPr>
        </xdr:pic>
        <xdr:pic>
          <xdr:nvPicPr>
            <xdr:cNvPr id="67" name="Picture 66">
              <a:extLst>
                <a:ext uri="{FF2B5EF4-FFF2-40B4-BE49-F238E27FC236}">
                  <a16:creationId xmlns="" xmlns:a16="http://schemas.microsoft.com/office/drawing/2014/main" id="{47E1F885-6623-4090-8380-7101CFE06805}"/>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4505044" y="2995332"/>
              <a:ext cx="1759895" cy="2340000"/>
            </a:xfrm>
            <a:prstGeom prst="rect">
              <a:avLst/>
            </a:prstGeom>
            <a:ln>
              <a:solidFill>
                <a:schemeClr val="tx1"/>
              </a:solidFill>
            </a:ln>
          </xdr:spPr>
        </xdr:pic>
        <xdr:pic>
          <xdr:nvPicPr>
            <xdr:cNvPr id="68" name="Picture 67">
              <a:extLst>
                <a:ext uri="{FF2B5EF4-FFF2-40B4-BE49-F238E27FC236}">
                  <a16:creationId xmlns="" xmlns:a16="http://schemas.microsoft.com/office/drawing/2014/main" id="{07192391-4582-49D7-85E4-12392FCC9693}"/>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231722" y="5487520"/>
              <a:ext cx="1353766" cy="1800000"/>
            </a:xfrm>
            <a:prstGeom prst="rect">
              <a:avLst/>
            </a:prstGeom>
            <a:ln>
              <a:solidFill>
                <a:schemeClr val="tx1"/>
              </a:solidFill>
            </a:ln>
          </xdr:spPr>
        </xdr:pic>
        <xdr:pic>
          <xdr:nvPicPr>
            <xdr:cNvPr id="69" name="Picture 68">
              <a:extLst>
                <a:ext uri="{FF2B5EF4-FFF2-40B4-BE49-F238E27FC236}">
                  <a16:creationId xmlns="" xmlns:a16="http://schemas.microsoft.com/office/drawing/2014/main" id="{4F10EE06-75AC-4799-9F34-3C5116D42E27}"/>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686898" y="5487520"/>
              <a:ext cx="2396667" cy="1800000"/>
            </a:xfrm>
            <a:prstGeom prst="rect">
              <a:avLst/>
            </a:prstGeom>
            <a:ln>
              <a:solidFill>
                <a:schemeClr val="tx1"/>
              </a:solidFill>
            </a:ln>
          </xdr:spPr>
        </xdr:pic>
        <xdr:pic>
          <xdr:nvPicPr>
            <xdr:cNvPr id="70" name="Picture 69">
              <a:extLst>
                <a:ext uri="{FF2B5EF4-FFF2-40B4-BE49-F238E27FC236}">
                  <a16:creationId xmlns="" xmlns:a16="http://schemas.microsoft.com/office/drawing/2014/main" id="{4C0D9798-5FCB-4427-BA28-F75876982432}"/>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4236103" y="5487520"/>
              <a:ext cx="2387823" cy="1800000"/>
            </a:xfrm>
            <a:prstGeom prst="rect">
              <a:avLst/>
            </a:prstGeom>
            <a:ln>
              <a:solidFill>
                <a:schemeClr val="tx1"/>
              </a:solidFill>
            </a:ln>
          </xdr:spPr>
        </xdr:pic>
      </xdr:grpSp>
      <xdr:sp macro="" textlink="">
        <xdr:nvSpPr>
          <xdr:cNvPr id="55" name="TextBox 360">
            <a:extLst>
              <a:ext uri="{FF2B5EF4-FFF2-40B4-BE49-F238E27FC236}">
                <a16:creationId xmlns="" xmlns:a16="http://schemas.microsoft.com/office/drawing/2014/main" id="{0A35C149-4A39-45BC-9C0A-7EEFD3BD23DF}"/>
              </a:ext>
            </a:extLst>
          </xdr:cNvPr>
          <xdr:cNvSpPr txBox="1"/>
        </xdr:nvSpPr>
        <xdr:spPr>
          <a:xfrm>
            <a:off x="524652" y="449356"/>
            <a:ext cx="11931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1A</a:t>
            </a:r>
            <a:endParaRPr lang="en-IN" b="1">
              <a:solidFill>
                <a:srgbClr val="FF0000"/>
              </a:solidFill>
            </a:endParaRPr>
          </a:p>
        </xdr:txBody>
      </xdr:sp>
      <xdr:sp macro="" textlink="">
        <xdr:nvSpPr>
          <xdr:cNvPr id="56" name="TextBox 361">
            <a:extLst>
              <a:ext uri="{FF2B5EF4-FFF2-40B4-BE49-F238E27FC236}">
                <a16:creationId xmlns="" xmlns:a16="http://schemas.microsoft.com/office/drawing/2014/main" id="{5FBAA7D0-A41F-412D-8334-FAE6FDD657DE}"/>
              </a:ext>
            </a:extLst>
          </xdr:cNvPr>
          <xdr:cNvSpPr txBox="1"/>
        </xdr:nvSpPr>
        <xdr:spPr>
          <a:xfrm>
            <a:off x="3264966" y="455849"/>
            <a:ext cx="103604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1B</a:t>
            </a:r>
            <a:endParaRPr lang="en-IN" b="1">
              <a:solidFill>
                <a:srgbClr val="FF0000"/>
              </a:solidFill>
            </a:endParaRPr>
          </a:p>
        </xdr:txBody>
      </xdr:sp>
      <xdr:sp macro="" textlink="">
        <xdr:nvSpPr>
          <xdr:cNvPr id="57" name="TextBox 362">
            <a:extLst>
              <a:ext uri="{FF2B5EF4-FFF2-40B4-BE49-F238E27FC236}">
                <a16:creationId xmlns="" xmlns:a16="http://schemas.microsoft.com/office/drawing/2014/main" id="{4B32BE39-BA9C-4F6C-ACFA-84FE3DDC5647}"/>
              </a:ext>
            </a:extLst>
          </xdr:cNvPr>
          <xdr:cNvSpPr txBox="1"/>
        </xdr:nvSpPr>
        <xdr:spPr>
          <a:xfrm>
            <a:off x="4517584" y="480271"/>
            <a:ext cx="966330" cy="3715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1C</a:t>
            </a:r>
            <a:endParaRPr lang="en-IN" b="1">
              <a:solidFill>
                <a:srgbClr val="FF0000"/>
              </a:solidFill>
            </a:endParaRPr>
          </a:p>
        </xdr:txBody>
      </xdr:sp>
      <xdr:sp macro="" textlink="">
        <xdr:nvSpPr>
          <xdr:cNvPr id="58" name="TextBox 363">
            <a:extLst>
              <a:ext uri="{FF2B5EF4-FFF2-40B4-BE49-F238E27FC236}">
                <a16:creationId xmlns="" xmlns:a16="http://schemas.microsoft.com/office/drawing/2014/main" id="{D0631C95-8851-4EC9-9916-594D92460D14}"/>
              </a:ext>
            </a:extLst>
          </xdr:cNvPr>
          <xdr:cNvSpPr txBox="1"/>
        </xdr:nvSpPr>
        <xdr:spPr>
          <a:xfrm>
            <a:off x="1443896" y="2995332"/>
            <a:ext cx="99659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2A</a:t>
            </a:r>
            <a:endParaRPr lang="en-IN" b="1">
              <a:solidFill>
                <a:srgbClr val="FF0000"/>
              </a:solidFill>
            </a:endParaRPr>
          </a:p>
        </xdr:txBody>
      </xdr:sp>
      <xdr:sp macro="" textlink="">
        <xdr:nvSpPr>
          <xdr:cNvPr id="59" name="TextBox 364">
            <a:extLst>
              <a:ext uri="{FF2B5EF4-FFF2-40B4-BE49-F238E27FC236}">
                <a16:creationId xmlns="" xmlns:a16="http://schemas.microsoft.com/office/drawing/2014/main" id="{F4B7C6B9-0CDD-4DE6-A408-D587F95DA80F}"/>
              </a:ext>
            </a:extLst>
          </xdr:cNvPr>
          <xdr:cNvSpPr txBox="1"/>
        </xdr:nvSpPr>
        <xdr:spPr>
          <a:xfrm>
            <a:off x="3171136" y="2906805"/>
            <a:ext cx="10608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2B</a:t>
            </a:r>
            <a:endParaRPr lang="en-IN" b="1">
              <a:solidFill>
                <a:srgbClr val="FF0000"/>
              </a:solidFill>
            </a:endParaRPr>
          </a:p>
        </xdr:txBody>
      </xdr:sp>
      <xdr:sp macro="" textlink="">
        <xdr:nvSpPr>
          <xdr:cNvPr id="60" name="TextBox 365">
            <a:extLst>
              <a:ext uri="{FF2B5EF4-FFF2-40B4-BE49-F238E27FC236}">
                <a16:creationId xmlns="" xmlns:a16="http://schemas.microsoft.com/office/drawing/2014/main" id="{120469B3-BA06-40F3-939A-B3CA0E5C5B22}"/>
              </a:ext>
            </a:extLst>
          </xdr:cNvPr>
          <xdr:cNvSpPr txBox="1"/>
        </xdr:nvSpPr>
        <xdr:spPr>
          <a:xfrm>
            <a:off x="4778614" y="2941544"/>
            <a:ext cx="106155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2C</a:t>
            </a:r>
            <a:endParaRPr lang="en-IN" b="1">
              <a:solidFill>
                <a:srgbClr val="FF0000"/>
              </a:solidFill>
            </a:endParaRPr>
          </a:p>
        </xdr:txBody>
      </xdr:sp>
      <xdr:sp macro="" textlink="">
        <xdr:nvSpPr>
          <xdr:cNvPr id="61" name="TextBox 366">
            <a:extLst>
              <a:ext uri="{FF2B5EF4-FFF2-40B4-BE49-F238E27FC236}">
                <a16:creationId xmlns="" xmlns:a16="http://schemas.microsoft.com/office/drawing/2014/main" id="{5DCDBDA7-9A81-45EA-8710-68FA115E82DE}"/>
              </a:ext>
            </a:extLst>
          </xdr:cNvPr>
          <xdr:cNvSpPr txBox="1"/>
        </xdr:nvSpPr>
        <xdr:spPr>
          <a:xfrm>
            <a:off x="563949" y="6697756"/>
            <a:ext cx="8281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3</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352425</xdr:colOff>
      <xdr:row>34</xdr:row>
      <xdr:rowOff>171450</xdr:rowOff>
    </xdr:to>
    <xdr:pic>
      <xdr:nvPicPr>
        <xdr:cNvPr id="9649" name="Picture 9">
          <a:extLst>
            <a:ext uri="{FF2B5EF4-FFF2-40B4-BE49-F238E27FC236}">
              <a16:creationId xmlns="" xmlns:a16="http://schemas.microsoft.com/office/drawing/2014/main" id="{00000000-0008-0000-0100-0000B12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3048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38100</xdr:rowOff>
    </xdr:from>
    <xdr:to>
      <xdr:col>6</xdr:col>
      <xdr:colOff>352425</xdr:colOff>
      <xdr:row>55</xdr:row>
      <xdr:rowOff>19050</xdr:rowOff>
    </xdr:to>
    <xdr:pic>
      <xdr:nvPicPr>
        <xdr:cNvPr id="9650" name="Picture 10">
          <a:extLst>
            <a:ext uri="{FF2B5EF4-FFF2-40B4-BE49-F238E27FC236}">
              <a16:creationId xmlns="" xmlns:a16="http://schemas.microsoft.com/office/drawing/2014/main" id="{00000000-0008-0000-0100-0000B22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81025" y="68961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533400</xdr:colOff>
      <xdr:row>16</xdr:row>
      <xdr:rowOff>38100</xdr:rowOff>
    </xdr:from>
    <xdr:to>
      <xdr:col>16</xdr:col>
      <xdr:colOff>209550</xdr:colOff>
      <xdr:row>35</xdr:row>
      <xdr:rowOff>19050</xdr:rowOff>
    </xdr:to>
    <xdr:pic>
      <xdr:nvPicPr>
        <xdr:cNvPr id="9651" name="Picture 11">
          <a:extLst>
            <a:ext uri="{FF2B5EF4-FFF2-40B4-BE49-F238E27FC236}">
              <a16:creationId xmlns="" xmlns:a16="http://schemas.microsoft.com/office/drawing/2014/main" id="{00000000-0008-0000-0100-0000B325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515225" y="30861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36</xdr:row>
      <xdr:rowOff>38100</xdr:rowOff>
    </xdr:from>
    <xdr:to>
      <xdr:col>16</xdr:col>
      <xdr:colOff>219075</xdr:colOff>
      <xdr:row>55</xdr:row>
      <xdr:rowOff>19050</xdr:rowOff>
    </xdr:to>
    <xdr:pic>
      <xdr:nvPicPr>
        <xdr:cNvPr id="9652" name="Picture 12">
          <a:extLst>
            <a:ext uri="{FF2B5EF4-FFF2-40B4-BE49-F238E27FC236}">
              <a16:creationId xmlns="" xmlns:a16="http://schemas.microsoft.com/office/drawing/2014/main" id="{00000000-0008-0000-0100-0000B425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24750" y="68961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390525</xdr:colOff>
      <xdr:row>16</xdr:row>
      <xdr:rowOff>38100</xdr:rowOff>
    </xdr:from>
    <xdr:to>
      <xdr:col>28</xdr:col>
      <xdr:colOff>171450</xdr:colOff>
      <xdr:row>35</xdr:row>
      <xdr:rowOff>19050</xdr:rowOff>
    </xdr:to>
    <xdr:pic>
      <xdr:nvPicPr>
        <xdr:cNvPr id="9653" name="Picture 13">
          <a:extLst>
            <a:ext uri="{FF2B5EF4-FFF2-40B4-BE49-F238E27FC236}">
              <a16:creationId xmlns="" xmlns:a16="http://schemas.microsoft.com/office/drawing/2014/main" id="{00000000-0008-0000-0100-0000B525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4449425" y="30861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409575</xdr:colOff>
      <xdr:row>36</xdr:row>
      <xdr:rowOff>38100</xdr:rowOff>
    </xdr:from>
    <xdr:to>
      <xdr:col>28</xdr:col>
      <xdr:colOff>190500</xdr:colOff>
      <xdr:row>55</xdr:row>
      <xdr:rowOff>19050</xdr:rowOff>
    </xdr:to>
    <xdr:pic>
      <xdr:nvPicPr>
        <xdr:cNvPr id="9654" name="Picture 14">
          <a:extLst>
            <a:ext uri="{FF2B5EF4-FFF2-40B4-BE49-F238E27FC236}">
              <a16:creationId xmlns="" xmlns:a16="http://schemas.microsoft.com/office/drawing/2014/main" id="{00000000-0008-0000-0100-0000B625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468475" y="68961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56</xdr:row>
      <xdr:rowOff>19050</xdr:rowOff>
    </xdr:from>
    <xdr:to>
      <xdr:col>6</xdr:col>
      <xdr:colOff>352425</xdr:colOff>
      <xdr:row>74</xdr:row>
      <xdr:rowOff>190500</xdr:rowOff>
    </xdr:to>
    <xdr:pic>
      <xdr:nvPicPr>
        <xdr:cNvPr id="9655" name="Picture 15">
          <a:extLst>
            <a:ext uri="{FF2B5EF4-FFF2-40B4-BE49-F238E27FC236}">
              <a16:creationId xmlns="" xmlns:a16="http://schemas.microsoft.com/office/drawing/2014/main" id="{00000000-0008-0000-0100-0000B725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81025" y="106870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56</xdr:row>
      <xdr:rowOff>19050</xdr:rowOff>
    </xdr:from>
    <xdr:to>
      <xdr:col>16</xdr:col>
      <xdr:colOff>219075</xdr:colOff>
      <xdr:row>74</xdr:row>
      <xdr:rowOff>190500</xdr:rowOff>
    </xdr:to>
    <xdr:pic>
      <xdr:nvPicPr>
        <xdr:cNvPr id="9656" name="Picture 16">
          <a:extLst>
            <a:ext uri="{FF2B5EF4-FFF2-40B4-BE49-F238E27FC236}">
              <a16:creationId xmlns="" xmlns:a16="http://schemas.microsoft.com/office/drawing/2014/main" id="{00000000-0008-0000-0100-0000B825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7524750" y="106870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495540</xdr:colOff>
      <xdr:row>3</xdr:row>
      <xdr:rowOff>0</xdr:rowOff>
    </xdr:from>
    <xdr:to>
      <xdr:col>11</xdr:col>
      <xdr:colOff>144727</xdr:colOff>
      <xdr:row>22</xdr:row>
      <xdr:rowOff>125280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465560" y="548640"/>
          <a:ext cx="2697187" cy="3600000"/>
        </a:xfrm>
        <a:prstGeom prst="rect">
          <a:avLst/>
        </a:prstGeom>
      </xdr:spPr>
    </xdr:pic>
    <xdr:clientData/>
  </xdr:twoCellAnchor>
  <xdr:twoCellAnchor editAs="oneCell">
    <xdr:from>
      <xdr:col>2</xdr:col>
      <xdr:colOff>0</xdr:colOff>
      <xdr:row>3</xdr:row>
      <xdr:rowOff>0</xdr:rowOff>
    </xdr:from>
    <xdr:to>
      <xdr:col>6</xdr:col>
      <xdr:colOff>258787</xdr:colOff>
      <xdr:row>22</xdr:row>
      <xdr:rowOff>125280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31620" y="548640"/>
          <a:ext cx="2697187" cy="3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11</xdr:col>
      <xdr:colOff>400050</xdr:colOff>
      <xdr:row>30</xdr:row>
      <xdr:rowOff>66675</xdr:rowOff>
    </xdr:to>
    <xdr:pic>
      <xdr:nvPicPr>
        <xdr:cNvPr id="3148" name="Picture 1">
          <a:extLst>
            <a:ext uri="{FF2B5EF4-FFF2-40B4-BE49-F238E27FC236}">
              <a16:creationId xmlns="" xmlns:a16="http://schemas.microsoft.com/office/drawing/2014/main" id="{00000000-0008-0000-0300-00004C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6125" y="1905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11</xdr:col>
      <xdr:colOff>400050</xdr:colOff>
      <xdr:row>30</xdr:row>
      <xdr:rowOff>66675</xdr:rowOff>
    </xdr:to>
    <xdr:pic>
      <xdr:nvPicPr>
        <xdr:cNvPr id="10265" name="Picture 1">
          <a:extLst>
            <a:ext uri="{FF2B5EF4-FFF2-40B4-BE49-F238E27FC236}">
              <a16:creationId xmlns="" xmlns:a16="http://schemas.microsoft.com/office/drawing/2014/main" id="{00000000-0008-0000-0400-0000192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096125" y="1905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355934</xdr:colOff>
      <xdr:row>9</xdr:row>
      <xdr:rowOff>105276</xdr:rowOff>
    </xdr:from>
    <xdr:to>
      <xdr:col>10</xdr:col>
      <xdr:colOff>339891</xdr:colOff>
      <xdr:row>28</xdr:row>
      <xdr:rowOff>171951</xdr:rowOff>
    </xdr:to>
    <xdr:pic>
      <xdr:nvPicPr>
        <xdr:cNvPr id="11289" name="Picture 1">
          <a:extLst>
            <a:ext uri="{FF2B5EF4-FFF2-40B4-BE49-F238E27FC236}">
              <a16:creationId xmlns="" xmlns:a16="http://schemas.microsoft.com/office/drawing/2014/main" id="{00000000-0008-0000-0500-0000192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426868" y="1629276"/>
          <a:ext cx="162326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nLVNz2JnMk5oiYL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5"/>
  <sheetViews>
    <sheetView tabSelected="1" view="pageBreakPreview" zoomScale="85" zoomScaleNormal="100" zoomScaleSheetLayoutView="85" zoomScalePageLayoutView="25" workbookViewId="0">
      <selection activeCell="Q6" sqref="Q6"/>
    </sheetView>
  </sheetViews>
  <sheetFormatPr defaultRowHeight="15" x14ac:dyDescent="0.25"/>
  <cols>
    <col min="1" max="1" width="8.7109375" customWidth="1"/>
    <col min="2" max="3" width="14.42578125" customWidth="1"/>
    <col min="4" max="4" width="7.28515625" customWidth="1"/>
    <col min="5" max="5" width="6.85546875" customWidth="1"/>
    <col min="6" max="6" width="9" customWidth="1"/>
    <col min="7" max="8" width="9.85546875" customWidth="1"/>
    <col min="9" max="9" width="11.140625" customWidth="1"/>
    <col min="10" max="10" width="2.42578125" customWidth="1"/>
    <col min="11" max="11" width="3.5703125" customWidth="1"/>
    <col min="13" max="13" width="12" bestFit="1" customWidth="1"/>
    <col min="14" max="14" width="12.28515625" bestFit="1" customWidth="1"/>
  </cols>
  <sheetData>
    <row r="1" spans="1:15" ht="43.9" customHeight="1" x14ac:dyDescent="0.25">
      <c r="A1" s="220" t="s">
        <v>337</v>
      </c>
      <c r="B1" s="221"/>
      <c r="C1" s="221"/>
      <c r="D1" s="221"/>
      <c r="E1" s="221"/>
      <c r="F1" s="221"/>
      <c r="G1" s="221"/>
      <c r="H1" s="221"/>
      <c r="I1" s="221"/>
      <c r="J1" s="222"/>
    </row>
    <row r="2" spans="1:15" x14ac:dyDescent="0.25">
      <c r="A2" s="144" t="s">
        <v>47</v>
      </c>
      <c r="B2" s="145"/>
      <c r="C2" s="145"/>
      <c r="D2" s="145"/>
      <c r="E2" s="145"/>
      <c r="F2" s="145"/>
      <c r="G2" s="145"/>
      <c r="H2" s="145"/>
      <c r="I2" s="145"/>
      <c r="J2" s="146"/>
    </row>
    <row r="3" spans="1:15" x14ac:dyDescent="0.25">
      <c r="A3" s="117" t="s">
        <v>0</v>
      </c>
      <c r="B3" s="106"/>
      <c r="C3" s="106"/>
      <c r="D3" s="106"/>
      <c r="E3" s="107"/>
      <c r="F3" s="147" t="str">
        <f ca="1">TEXT(TODAY(),"DD/MM/YYYY")</f>
        <v>16/07/2025</v>
      </c>
      <c r="G3" s="148"/>
      <c r="H3" s="148"/>
      <c r="I3" s="148"/>
      <c r="J3" s="149"/>
    </row>
    <row r="4" spans="1:15" x14ac:dyDescent="0.25">
      <c r="A4" s="117" t="s">
        <v>1</v>
      </c>
      <c r="B4" s="106"/>
      <c r="C4" s="106"/>
      <c r="D4" s="106"/>
      <c r="E4" s="107"/>
      <c r="F4" s="87" t="s">
        <v>113</v>
      </c>
      <c r="G4" s="88"/>
      <c r="H4" s="88"/>
      <c r="I4" s="88"/>
      <c r="J4" s="89"/>
    </row>
    <row r="5" spans="1:15" x14ac:dyDescent="0.25">
      <c r="A5" s="117" t="s">
        <v>2</v>
      </c>
      <c r="B5" s="106"/>
      <c r="C5" s="106"/>
      <c r="D5" s="106"/>
      <c r="E5" s="107"/>
      <c r="F5" s="147">
        <v>45847</v>
      </c>
      <c r="G5" s="148"/>
      <c r="H5" s="148"/>
      <c r="I5" s="148"/>
      <c r="J5" s="149"/>
    </row>
    <row r="6" spans="1:15" ht="16.5" customHeight="1" x14ac:dyDescent="0.25">
      <c r="A6" s="117" t="s">
        <v>3</v>
      </c>
      <c r="B6" s="106"/>
      <c r="C6" s="106"/>
      <c r="D6" s="106"/>
      <c r="E6" s="107"/>
      <c r="F6" s="118" t="s">
        <v>114</v>
      </c>
      <c r="G6" s="119"/>
      <c r="H6" s="119"/>
      <c r="I6" s="119"/>
      <c r="J6" s="120"/>
    </row>
    <row r="7" spans="1:15" ht="15" customHeight="1" x14ac:dyDescent="0.25">
      <c r="A7" s="117" t="s">
        <v>4</v>
      </c>
      <c r="B7" s="106"/>
      <c r="C7" s="106"/>
      <c r="D7" s="106"/>
      <c r="E7" s="107"/>
      <c r="F7" s="118" t="s">
        <v>115</v>
      </c>
      <c r="G7" s="119"/>
      <c r="H7" s="119"/>
      <c r="I7" s="119"/>
      <c r="J7" s="120"/>
    </row>
    <row r="8" spans="1:15" ht="15" customHeight="1" x14ac:dyDescent="0.25">
      <c r="A8" s="87" t="s">
        <v>347</v>
      </c>
      <c r="B8" s="106"/>
      <c r="C8" s="106"/>
      <c r="D8" s="106"/>
      <c r="E8" s="107"/>
      <c r="F8" s="108" t="s">
        <v>346</v>
      </c>
      <c r="G8" s="109"/>
      <c r="H8" s="109"/>
      <c r="I8" s="109"/>
      <c r="J8" s="110"/>
    </row>
    <row r="9" spans="1:15" x14ac:dyDescent="0.25">
      <c r="A9" s="87" t="s">
        <v>345</v>
      </c>
      <c r="B9" s="106"/>
      <c r="C9" s="106"/>
      <c r="D9" s="106"/>
      <c r="E9" s="107"/>
      <c r="F9" s="108" t="s">
        <v>116</v>
      </c>
      <c r="G9" s="109"/>
      <c r="H9" s="109"/>
      <c r="I9" s="109"/>
      <c r="J9" s="110"/>
    </row>
    <row r="10" spans="1:15" x14ac:dyDescent="0.25">
      <c r="A10" s="87" t="s">
        <v>348</v>
      </c>
      <c r="B10" s="106"/>
      <c r="C10" s="106"/>
      <c r="D10" s="106"/>
      <c r="E10" s="107"/>
      <c r="F10" s="87" t="s">
        <v>117</v>
      </c>
      <c r="G10" s="88"/>
      <c r="H10" s="88"/>
      <c r="I10" s="88"/>
      <c r="J10" s="89"/>
    </row>
    <row r="11" spans="1:15" x14ac:dyDescent="0.25">
      <c r="A11" s="87" t="s">
        <v>349</v>
      </c>
      <c r="B11" s="106"/>
      <c r="C11" s="106"/>
      <c r="D11" s="106"/>
      <c r="E11" s="107"/>
      <c r="F11" s="87" t="s">
        <v>351</v>
      </c>
      <c r="G11" s="88"/>
      <c r="H11" s="88"/>
      <c r="I11" s="88"/>
      <c r="J11" s="89"/>
      <c r="K11" s="87" t="s">
        <v>341</v>
      </c>
      <c r="L11" s="88"/>
      <c r="M11" s="88"/>
      <c r="N11" s="88"/>
      <c r="O11" s="89"/>
    </row>
    <row r="12" spans="1:15" x14ac:dyDescent="0.25">
      <c r="A12" s="87" t="s">
        <v>5</v>
      </c>
      <c r="B12" s="106"/>
      <c r="C12" s="106"/>
      <c r="D12" s="106"/>
      <c r="E12" s="107"/>
      <c r="F12" s="87" t="s">
        <v>111</v>
      </c>
      <c r="G12" s="88"/>
      <c r="H12" s="88"/>
      <c r="I12" s="88"/>
      <c r="J12" s="89"/>
    </row>
    <row r="13" spans="1:15" x14ac:dyDescent="0.25">
      <c r="A13" s="87" t="s">
        <v>309</v>
      </c>
      <c r="B13" s="106"/>
      <c r="C13" s="106"/>
      <c r="D13" s="106"/>
      <c r="E13" s="107"/>
      <c r="F13" s="87" t="s">
        <v>310</v>
      </c>
      <c r="G13" s="88"/>
      <c r="H13" s="88"/>
      <c r="I13" s="88"/>
      <c r="J13" s="89"/>
    </row>
    <row r="14" spans="1:15" ht="46.5" customHeight="1" x14ac:dyDescent="0.25">
      <c r="A14" s="150" t="s">
        <v>65</v>
      </c>
      <c r="B14" s="150"/>
      <c r="C14" s="118" t="s">
        <v>315</v>
      </c>
      <c r="D14" s="119"/>
      <c r="E14" s="119"/>
      <c r="F14" s="119"/>
      <c r="G14" s="119"/>
      <c r="H14" s="119"/>
      <c r="I14" s="119"/>
      <c r="J14" s="120"/>
    </row>
    <row r="15" spans="1:15" ht="31.5" customHeight="1" x14ac:dyDescent="0.25">
      <c r="A15" s="150" t="s">
        <v>66</v>
      </c>
      <c r="B15" s="150"/>
      <c r="C15" s="118" t="s">
        <v>118</v>
      </c>
      <c r="D15" s="119"/>
      <c r="E15" s="119"/>
      <c r="F15" s="119"/>
      <c r="G15" s="119"/>
      <c r="H15" s="119"/>
      <c r="I15" s="119"/>
      <c r="J15" s="120"/>
    </row>
    <row r="16" spans="1:15" ht="19.5" customHeight="1" x14ac:dyDescent="0.25">
      <c r="A16" s="2" t="s">
        <v>67</v>
      </c>
      <c r="B16" s="87" t="s">
        <v>119</v>
      </c>
      <c r="C16" s="88"/>
      <c r="D16" s="89"/>
      <c r="E16" s="2" t="s">
        <v>112</v>
      </c>
      <c r="F16" s="4"/>
      <c r="G16" s="5" t="s">
        <v>68</v>
      </c>
      <c r="H16" s="118" t="s">
        <v>124</v>
      </c>
      <c r="I16" s="119"/>
      <c r="J16" s="120"/>
    </row>
    <row r="17" spans="1:10" x14ac:dyDescent="0.25">
      <c r="A17" s="3" t="s">
        <v>6</v>
      </c>
      <c r="B17" s="87" t="s">
        <v>120</v>
      </c>
      <c r="C17" s="88"/>
      <c r="D17" s="88"/>
      <c r="E17" s="89"/>
      <c r="F17" s="4" t="s">
        <v>69</v>
      </c>
      <c r="G17" s="87" t="s">
        <v>123</v>
      </c>
      <c r="H17" s="88"/>
      <c r="I17" s="88"/>
      <c r="J17" s="89"/>
    </row>
    <row r="18" spans="1:10" x14ac:dyDescent="0.25">
      <c r="A18" s="3" t="s">
        <v>7</v>
      </c>
      <c r="B18" s="87" t="s">
        <v>122</v>
      </c>
      <c r="C18" s="88"/>
      <c r="D18" s="88"/>
      <c r="E18" s="89"/>
      <c r="F18" s="4" t="s">
        <v>70</v>
      </c>
      <c r="G18" s="87" t="s">
        <v>125</v>
      </c>
      <c r="H18" s="88"/>
      <c r="I18" s="88"/>
      <c r="J18" s="89"/>
    </row>
    <row r="19" spans="1:10" ht="32.25" customHeight="1" x14ac:dyDescent="0.25">
      <c r="A19" s="150" t="s">
        <v>71</v>
      </c>
      <c r="B19" s="150"/>
      <c r="C19" s="122" t="s">
        <v>121</v>
      </c>
      <c r="D19" s="122"/>
      <c r="E19" s="122"/>
      <c r="F19" s="157" t="s">
        <v>56</v>
      </c>
      <c r="G19" s="157"/>
      <c r="H19" s="119" t="s">
        <v>126</v>
      </c>
      <c r="I19" s="119"/>
      <c r="J19" s="120"/>
    </row>
    <row r="20" spans="1:10" ht="15" customHeight="1" x14ac:dyDescent="0.25">
      <c r="A20" s="126" t="s">
        <v>58</v>
      </c>
      <c r="B20" s="127"/>
      <c r="C20" s="127"/>
      <c r="D20" s="127"/>
      <c r="E20" s="128"/>
      <c r="F20" s="132" t="s">
        <v>64</v>
      </c>
      <c r="G20" s="133"/>
      <c r="H20" s="133"/>
      <c r="I20" s="133"/>
      <c r="J20" s="134"/>
    </row>
    <row r="21" spans="1:10" x14ac:dyDescent="0.25">
      <c r="A21" s="129"/>
      <c r="B21" s="130"/>
      <c r="C21" s="130"/>
      <c r="D21" s="130"/>
      <c r="E21" s="131"/>
      <c r="F21" s="135"/>
      <c r="G21" s="136"/>
      <c r="H21" s="136"/>
      <c r="I21" s="136"/>
      <c r="J21" s="137"/>
    </row>
    <row r="22" spans="1:10" ht="15" customHeight="1" x14ac:dyDescent="0.25">
      <c r="A22" s="151" t="s">
        <v>8</v>
      </c>
      <c r="B22" s="152"/>
      <c r="C22" s="152"/>
      <c r="D22" s="152"/>
      <c r="E22" s="153"/>
      <c r="F22" s="126" t="s">
        <v>49</v>
      </c>
      <c r="G22" s="127"/>
      <c r="H22" s="127"/>
      <c r="I22" s="127"/>
      <c r="J22" s="128"/>
    </row>
    <row r="23" spans="1:10" x14ac:dyDescent="0.25">
      <c r="A23" s="154"/>
      <c r="B23" s="155"/>
      <c r="C23" s="155"/>
      <c r="D23" s="155"/>
      <c r="E23" s="156"/>
      <c r="F23" s="129"/>
      <c r="G23" s="130"/>
      <c r="H23" s="130"/>
      <c r="I23" s="130"/>
      <c r="J23" s="131"/>
    </row>
    <row r="24" spans="1:10" x14ac:dyDescent="0.25">
      <c r="A24" s="117" t="s">
        <v>9</v>
      </c>
      <c r="B24" s="106"/>
      <c r="C24" s="106"/>
      <c r="D24" s="106"/>
      <c r="E24" s="107"/>
      <c r="F24" s="123" t="s">
        <v>110</v>
      </c>
      <c r="G24" s="124"/>
      <c r="H24" s="124"/>
      <c r="I24" s="124"/>
      <c r="J24" s="125"/>
    </row>
    <row r="25" spans="1:10" x14ac:dyDescent="0.25">
      <c r="A25" s="117" t="s">
        <v>10</v>
      </c>
      <c r="B25" s="106"/>
      <c r="C25" s="106"/>
      <c r="D25" s="106"/>
      <c r="E25" s="107"/>
      <c r="F25" s="123" t="s">
        <v>57</v>
      </c>
      <c r="G25" s="124"/>
      <c r="H25" s="124"/>
      <c r="I25" s="124"/>
      <c r="J25" s="125"/>
    </row>
    <row r="26" spans="1:10" x14ac:dyDescent="0.25">
      <c r="A26" s="117" t="s">
        <v>11</v>
      </c>
      <c r="B26" s="106"/>
      <c r="C26" s="106"/>
      <c r="D26" s="106"/>
      <c r="E26" s="107"/>
      <c r="F26" s="123" t="s">
        <v>50</v>
      </c>
      <c r="G26" s="124"/>
      <c r="H26" s="124"/>
      <c r="I26" s="124"/>
      <c r="J26" s="125"/>
    </row>
    <row r="27" spans="1:10" x14ac:dyDescent="0.25">
      <c r="A27" s="117" t="s">
        <v>29</v>
      </c>
      <c r="B27" s="106"/>
      <c r="C27" s="106"/>
      <c r="D27" s="106"/>
      <c r="E27" s="107"/>
      <c r="F27" s="123" t="s">
        <v>72</v>
      </c>
      <c r="G27" s="138"/>
      <c r="H27" s="138"/>
      <c r="I27" s="138"/>
      <c r="J27" s="139"/>
    </row>
    <row r="28" spans="1:10" x14ac:dyDescent="0.25">
      <c r="A28" s="140" t="s">
        <v>12</v>
      </c>
      <c r="B28" s="141"/>
      <c r="C28" s="140" t="s">
        <v>13</v>
      </c>
      <c r="D28" s="141"/>
      <c r="E28" s="142" t="s">
        <v>14</v>
      </c>
      <c r="F28" s="141"/>
      <c r="G28" s="142" t="s">
        <v>55</v>
      </c>
      <c r="H28" s="143"/>
      <c r="I28" s="140" t="s">
        <v>15</v>
      </c>
      <c r="J28" s="141"/>
    </row>
    <row r="29" spans="1:10" x14ac:dyDescent="0.25">
      <c r="A29" s="142" t="s">
        <v>16</v>
      </c>
      <c r="B29" s="143"/>
      <c r="C29" s="142" t="s">
        <v>54</v>
      </c>
      <c r="D29" s="143"/>
      <c r="E29" s="142" t="s">
        <v>54</v>
      </c>
      <c r="F29" s="143"/>
      <c r="G29" s="142" t="s">
        <v>54</v>
      </c>
      <c r="H29" s="143"/>
      <c r="I29" s="142" t="s">
        <v>54</v>
      </c>
      <c r="J29" s="143"/>
    </row>
    <row r="30" spans="1:10" x14ac:dyDescent="0.25">
      <c r="A30" s="140" t="s">
        <v>17</v>
      </c>
      <c r="B30" s="141"/>
      <c r="C30" s="142" t="s">
        <v>127</v>
      </c>
      <c r="D30" s="143"/>
      <c r="E30" s="142" t="s">
        <v>127</v>
      </c>
      <c r="F30" s="143"/>
      <c r="G30" s="142" t="s">
        <v>127</v>
      </c>
      <c r="H30" s="143"/>
      <c r="I30" s="142" t="s">
        <v>6</v>
      </c>
      <c r="J30" s="143"/>
    </row>
    <row r="31" spans="1:10" x14ac:dyDescent="0.25">
      <c r="A31" s="87" t="s">
        <v>62</v>
      </c>
      <c r="B31" s="88"/>
      <c r="C31" s="88"/>
      <c r="D31" s="88"/>
      <c r="E31" s="88"/>
      <c r="F31" s="88"/>
      <c r="G31" s="88"/>
      <c r="H31" s="88"/>
      <c r="I31" s="88"/>
      <c r="J31" s="89"/>
    </row>
    <row r="32" spans="1:10" x14ac:dyDescent="0.25">
      <c r="A32" s="87" t="s">
        <v>51</v>
      </c>
      <c r="B32" s="88"/>
      <c r="C32" s="88"/>
      <c r="D32" s="88"/>
      <c r="E32" s="88"/>
      <c r="F32" s="88"/>
      <c r="G32" s="88"/>
      <c r="H32" s="88"/>
      <c r="I32" s="88"/>
      <c r="J32" s="89"/>
    </row>
    <row r="33" spans="1:10" x14ac:dyDescent="0.25">
      <c r="A33" s="87" t="s">
        <v>44</v>
      </c>
      <c r="B33" s="89"/>
      <c r="C33" s="87" t="s">
        <v>319</v>
      </c>
      <c r="D33" s="88"/>
      <c r="E33" s="88"/>
      <c r="F33" s="88"/>
      <c r="G33" s="88"/>
      <c r="H33" s="88"/>
      <c r="I33" s="88"/>
      <c r="J33" s="89"/>
    </row>
    <row r="34" spans="1:10" x14ac:dyDescent="0.25">
      <c r="A34" s="87" t="s">
        <v>317</v>
      </c>
      <c r="B34" s="89"/>
      <c r="C34" s="252" t="s">
        <v>318</v>
      </c>
      <c r="D34" s="88"/>
      <c r="E34" s="88"/>
      <c r="F34" s="88"/>
      <c r="G34" s="88"/>
      <c r="H34" s="88"/>
      <c r="I34" s="88"/>
      <c r="J34" s="89"/>
    </row>
    <row r="35" spans="1:10" x14ac:dyDescent="0.25">
      <c r="A35" s="108" t="s">
        <v>18</v>
      </c>
      <c r="B35" s="109"/>
      <c r="C35" s="109"/>
      <c r="D35" s="109"/>
      <c r="E35" s="109"/>
      <c r="F35" s="109"/>
      <c r="G35" s="109"/>
      <c r="H35" s="109"/>
      <c r="I35" s="109"/>
      <c r="J35" s="110"/>
    </row>
    <row r="36" spans="1:10" ht="15" customHeight="1" x14ac:dyDescent="0.25">
      <c r="A36" s="126" t="s">
        <v>128</v>
      </c>
      <c r="B36" s="127"/>
      <c r="C36" s="127"/>
      <c r="D36" s="127"/>
      <c r="E36" s="127"/>
      <c r="F36" s="127"/>
      <c r="G36" s="127"/>
      <c r="H36" s="127"/>
      <c r="I36" s="127"/>
      <c r="J36" s="128"/>
    </row>
    <row r="37" spans="1:10" x14ac:dyDescent="0.25">
      <c r="A37" s="129"/>
      <c r="B37" s="130"/>
      <c r="C37" s="130"/>
      <c r="D37" s="130"/>
      <c r="E37" s="130"/>
      <c r="F37" s="130"/>
      <c r="G37" s="130"/>
      <c r="H37" s="130"/>
      <c r="I37" s="130"/>
      <c r="J37" s="131"/>
    </row>
    <row r="38" spans="1:10" x14ac:dyDescent="0.25">
      <c r="A38" s="87" t="s">
        <v>73</v>
      </c>
      <c r="B38" s="106"/>
      <c r="C38" s="106"/>
      <c r="D38" s="106"/>
      <c r="E38" s="107"/>
      <c r="F38" s="118">
        <v>21191.31</v>
      </c>
      <c r="G38" s="119"/>
      <c r="H38" s="119"/>
      <c r="I38" s="119"/>
      <c r="J38" s="120"/>
    </row>
    <row r="39" spans="1:10" x14ac:dyDescent="0.25">
      <c r="A39" s="117" t="s">
        <v>19</v>
      </c>
      <c r="B39" s="106"/>
      <c r="C39" s="106"/>
      <c r="D39" s="106"/>
      <c r="E39" s="107"/>
      <c r="F39" s="87">
        <v>4</v>
      </c>
      <c r="G39" s="88"/>
      <c r="H39" s="88"/>
      <c r="I39" s="88"/>
      <c r="J39" s="89"/>
    </row>
    <row r="40" spans="1:10" x14ac:dyDescent="0.25">
      <c r="A40" s="117" t="s">
        <v>20</v>
      </c>
      <c r="B40" s="106"/>
      <c r="C40" s="106"/>
      <c r="D40" s="106"/>
      <c r="E40" s="107"/>
      <c r="F40" s="87">
        <v>0</v>
      </c>
      <c r="G40" s="88"/>
      <c r="H40" s="88"/>
      <c r="I40" s="88"/>
      <c r="J40" s="89"/>
    </row>
    <row r="41" spans="1:10" x14ac:dyDescent="0.25">
      <c r="A41" s="117" t="s">
        <v>21</v>
      </c>
      <c r="B41" s="106"/>
      <c r="C41" s="106"/>
      <c r="D41" s="106"/>
      <c r="E41" s="107"/>
      <c r="F41" s="87">
        <v>4</v>
      </c>
      <c r="G41" s="88"/>
      <c r="H41" s="88"/>
      <c r="I41" s="88"/>
      <c r="J41" s="89"/>
    </row>
    <row r="42" spans="1:10" x14ac:dyDescent="0.25">
      <c r="A42" s="87" t="s">
        <v>74</v>
      </c>
      <c r="B42" s="106"/>
      <c r="C42" s="106"/>
      <c r="D42" s="106"/>
      <c r="E42" s="107"/>
      <c r="F42" s="118">
        <v>84765.24</v>
      </c>
      <c r="G42" s="88"/>
      <c r="H42" s="88"/>
      <c r="I42" s="88"/>
      <c r="J42" s="89"/>
    </row>
    <row r="43" spans="1:10" x14ac:dyDescent="0.25">
      <c r="A43" s="117" t="s">
        <v>22</v>
      </c>
      <c r="B43" s="106"/>
      <c r="C43" s="106"/>
      <c r="D43" s="106"/>
      <c r="E43" s="107"/>
      <c r="F43" s="87" t="s">
        <v>331</v>
      </c>
      <c r="G43" s="88"/>
      <c r="H43" s="88"/>
      <c r="I43" s="88"/>
      <c r="J43" s="89"/>
    </row>
    <row r="44" spans="1:10" x14ac:dyDescent="0.25">
      <c r="A44" s="108" t="s">
        <v>76</v>
      </c>
      <c r="B44" s="109"/>
      <c r="C44" s="109"/>
      <c r="D44" s="109"/>
      <c r="E44" s="109"/>
      <c r="F44" s="109"/>
      <c r="G44" s="109"/>
      <c r="H44" s="109"/>
      <c r="I44" s="109"/>
      <c r="J44" s="110"/>
    </row>
    <row r="45" spans="1:10" ht="45.6" customHeight="1" x14ac:dyDescent="0.25">
      <c r="A45" s="157" t="s">
        <v>75</v>
      </c>
      <c r="B45" s="157"/>
      <c r="C45" s="164" t="str">
        <f>C14</f>
        <v>Sale bldg No.1-RS/STGOVT/0013/20060721/AP/S1                Dated: 29/08/2019.
Sale bldg No.2-RS/STGOVT/0013/20060721/AP/S2                Dated: 29/08/2019.
Sale bldg No.3-SRA/ENG/RS/STGOVT/0013/20060721/AP/S3 Dated:29/08/2019.</v>
      </c>
      <c r="D45" s="165"/>
      <c r="E45" s="165"/>
      <c r="F45" s="165"/>
      <c r="G45" s="165"/>
      <c r="H45" s="165"/>
      <c r="I45" s="165"/>
      <c r="J45" s="166"/>
    </row>
    <row r="46" spans="1:10" ht="43.5" customHeight="1" x14ac:dyDescent="0.25">
      <c r="A46" s="118" t="s">
        <v>77</v>
      </c>
      <c r="B46" s="120"/>
      <c r="C46" s="164" t="str">
        <f>C45</f>
        <v>Sale bldg No.1-RS/STGOVT/0013/20060721/AP/S1                Dated: 29/08/2019.
Sale bldg No.2-RS/STGOVT/0013/20060721/AP/S2                Dated: 29/08/2019.
Sale bldg No.3-SRA/ENG/RS/STGOVT/0013/20060721/AP/S3 Dated:29/08/2019.</v>
      </c>
      <c r="D46" s="165"/>
      <c r="E46" s="165"/>
      <c r="F46" s="165"/>
      <c r="G46" s="165"/>
      <c r="H46" s="165"/>
      <c r="I46" s="165"/>
      <c r="J46" s="166"/>
    </row>
    <row r="47" spans="1:10" ht="15" customHeight="1" x14ac:dyDescent="0.25">
      <c r="A47" s="126" t="s">
        <v>78</v>
      </c>
      <c r="B47" s="128"/>
      <c r="C47" s="164" t="s">
        <v>352</v>
      </c>
      <c r="D47" s="165"/>
      <c r="E47" s="165"/>
      <c r="F47" s="165"/>
      <c r="G47" s="165"/>
      <c r="H47" s="165"/>
      <c r="I47" s="165"/>
      <c r="J47" s="166"/>
    </row>
    <row r="48" spans="1:10" ht="33.75" customHeight="1" x14ac:dyDescent="0.25">
      <c r="A48" s="129"/>
      <c r="B48" s="131"/>
      <c r="C48" s="164" t="s">
        <v>353</v>
      </c>
      <c r="D48" s="165"/>
      <c r="E48" s="165"/>
      <c r="F48" s="165"/>
      <c r="G48" s="165"/>
      <c r="H48" s="165"/>
      <c r="I48" s="165"/>
      <c r="J48" s="166"/>
    </row>
    <row r="49" spans="1:12" ht="15" customHeight="1" x14ac:dyDescent="0.25">
      <c r="A49" s="126" t="s">
        <v>78</v>
      </c>
      <c r="B49" s="128"/>
      <c r="C49" s="164" t="s">
        <v>355</v>
      </c>
      <c r="D49" s="165"/>
      <c r="E49" s="165"/>
      <c r="F49" s="165"/>
      <c r="G49" s="165"/>
      <c r="H49" s="165"/>
      <c r="I49" s="165"/>
      <c r="J49" s="166"/>
    </row>
    <row r="50" spans="1:12" ht="32.25" customHeight="1" x14ac:dyDescent="0.25">
      <c r="A50" s="129"/>
      <c r="B50" s="131"/>
      <c r="C50" s="164" t="s">
        <v>354</v>
      </c>
      <c r="D50" s="165"/>
      <c r="E50" s="165"/>
      <c r="F50" s="165"/>
      <c r="G50" s="165"/>
      <c r="H50" s="165"/>
      <c r="I50" s="165"/>
      <c r="J50" s="166"/>
    </row>
    <row r="51" spans="1:12" ht="17.25" customHeight="1" x14ac:dyDescent="0.25">
      <c r="A51" s="126" t="s">
        <v>78</v>
      </c>
      <c r="B51" s="128"/>
      <c r="C51" s="164" t="s">
        <v>356</v>
      </c>
      <c r="D51" s="165"/>
      <c r="E51" s="165"/>
      <c r="F51" s="165"/>
      <c r="G51" s="165"/>
      <c r="H51" s="165"/>
      <c r="I51" s="165"/>
      <c r="J51" s="166"/>
    </row>
    <row r="52" spans="1:12" ht="31.5" customHeight="1" x14ac:dyDescent="0.25">
      <c r="A52" s="129"/>
      <c r="B52" s="131"/>
      <c r="C52" s="164" t="s">
        <v>357</v>
      </c>
      <c r="D52" s="165"/>
      <c r="E52" s="165"/>
      <c r="F52" s="165"/>
      <c r="G52" s="165"/>
      <c r="H52" s="165"/>
      <c r="I52" s="165"/>
      <c r="J52" s="166"/>
    </row>
    <row r="53" spans="1:12" x14ac:dyDescent="0.25">
      <c r="A53" s="150" t="s">
        <v>82</v>
      </c>
      <c r="B53" s="150"/>
      <c r="C53" s="150"/>
      <c r="D53" s="121" t="s">
        <v>243</v>
      </c>
      <c r="E53" s="121"/>
      <c r="F53" s="87" t="s">
        <v>79</v>
      </c>
      <c r="G53" s="167"/>
      <c r="H53" s="147">
        <v>46021</v>
      </c>
      <c r="I53" s="88"/>
      <c r="J53" s="89"/>
    </row>
    <row r="54" spans="1:12" x14ac:dyDescent="0.25">
      <c r="A54" s="223" t="s">
        <v>23</v>
      </c>
      <c r="B54" s="224"/>
      <c r="C54" s="224"/>
      <c r="D54" s="224"/>
      <c r="E54" s="224"/>
      <c r="F54" s="224"/>
      <c r="G54" s="224"/>
      <c r="H54" s="224"/>
      <c r="I54" s="224"/>
      <c r="J54" s="225"/>
    </row>
    <row r="55" spans="1:12" ht="30" customHeight="1" x14ac:dyDescent="0.25">
      <c r="A55" s="163" t="s">
        <v>109</v>
      </c>
      <c r="B55" s="163"/>
      <c r="C55" s="163">
        <f>327.18+327.18+20205.98+16172.2+16233.6</f>
        <v>53266.14</v>
      </c>
      <c r="D55" s="163"/>
      <c r="E55" s="163"/>
      <c r="F55" s="161" t="s">
        <v>241</v>
      </c>
      <c r="G55" s="162"/>
      <c r="H55" s="158" t="s">
        <v>260</v>
      </c>
      <c r="I55" s="159"/>
      <c r="J55" s="160"/>
    </row>
    <row r="56" spans="1:12" ht="60.75" customHeight="1" x14ac:dyDescent="0.25">
      <c r="A56" s="121" t="s">
        <v>80</v>
      </c>
      <c r="B56" s="121"/>
      <c r="C56" s="118" t="s">
        <v>257</v>
      </c>
      <c r="D56" s="119"/>
      <c r="E56" s="119"/>
      <c r="F56" s="119"/>
      <c r="G56" s="119"/>
      <c r="H56" s="119"/>
      <c r="I56" s="119"/>
      <c r="J56" s="120"/>
    </row>
    <row r="57" spans="1:12" x14ac:dyDescent="0.25">
      <c r="A57" s="87" t="s">
        <v>52</v>
      </c>
      <c r="B57" s="88"/>
      <c r="C57" s="88"/>
      <c r="D57" s="89"/>
      <c r="E57" s="119" t="s">
        <v>358</v>
      </c>
      <c r="F57" s="119"/>
      <c r="G57" s="119"/>
      <c r="H57" s="119"/>
      <c r="I57" s="119"/>
      <c r="J57" s="120"/>
    </row>
    <row r="58" spans="1:12" ht="15.75" thickBot="1" x14ac:dyDescent="0.3">
      <c r="A58" s="132" t="s">
        <v>59</v>
      </c>
      <c r="B58" s="133"/>
      <c r="C58" s="133"/>
      <c r="D58" s="133"/>
      <c r="E58" s="133"/>
      <c r="F58" s="133"/>
      <c r="G58" s="133"/>
      <c r="H58" s="133"/>
      <c r="I58" s="133"/>
      <c r="J58" s="134"/>
    </row>
    <row r="59" spans="1:12" ht="32.25" customHeight="1" x14ac:dyDescent="0.25">
      <c r="A59" s="102" t="s">
        <v>284</v>
      </c>
      <c r="B59" s="103"/>
      <c r="C59" s="113" t="s">
        <v>311</v>
      </c>
      <c r="D59" s="113"/>
      <c r="E59" s="113"/>
      <c r="F59" s="113"/>
      <c r="G59" s="113"/>
      <c r="H59" s="113"/>
      <c r="I59" s="113"/>
      <c r="J59" s="114"/>
      <c r="K59" s="56" t="str">
        <f ca="1">(IF(F63&gt;99%,"All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completed","0")))))))))))&amp;(IF(C65=(D60+G60+I60),", RCC Slab",IF(C65&gt;0,", RCC upto "&amp;C65&amp;" Slab",""))&amp;(IF(C66=I60,", Brickwork",IF(C66&gt;0,", Brickwork upto "&amp;C66&amp;" Floor",""))&amp;(IF(C67=I60,", Internal Plaster",IF(C67&gt;0,", Internal Plaster upto "&amp;C67&amp;" Floor",""))&amp;(IF(C68=I60,", External Plaster",IF(C68&gt;0,", External Plaster upto "&amp;C68&amp;" Floor",""))&amp;(IF(C69=I60,", Flooring",IF(C69&gt;0,", Flooring upto "&amp;C69&amp;" Floor",""))&amp;(IF(C70=I60,", Painting",IF(C70&gt;0,", Painting upto "&amp;C70&amp;" Floor",""))&amp;(IF(C71&gt;0,", Finishing upto "&amp;C71&amp;" Floor","")&amp;(IF(C65&gt;0.5," Completed",""))))))))))))))</f>
        <v>Excavation work Completed. Plinth work completed, RCC upto 40 Slab, Brickwork upto 38 Floor, Internal Plaster upto 37 Floor, External Plaster upto 37 Floor, Flooring upto 35 Floor Completed</v>
      </c>
      <c r="L59" s="57"/>
    </row>
    <row r="60" spans="1:12" ht="15" customHeight="1" x14ac:dyDescent="0.25">
      <c r="A60" s="84" t="s">
        <v>142</v>
      </c>
      <c r="B60" s="85">
        <v>0</v>
      </c>
      <c r="C60" s="85" t="s">
        <v>144</v>
      </c>
      <c r="D60" s="85">
        <v>1</v>
      </c>
      <c r="E60" s="93" t="s">
        <v>143</v>
      </c>
      <c r="F60" s="93"/>
      <c r="G60" s="85">
        <v>2</v>
      </c>
      <c r="H60" s="85" t="s">
        <v>285</v>
      </c>
      <c r="I60" s="93">
        <f ca="1">--TRIM(RIGHT(SUBSTITUTE(LEFT(C59,_xlfn.AGGREGATE(16,6,FIND({0,1,2,3,4,5,6,7,8,9},C59,ROW(INDIRECT("1:"&amp;LEN(C59)))),1))," ",REPT(" ",LEN(C59))),LEN(C59)))</f>
        <v>42</v>
      </c>
      <c r="J60" s="94"/>
      <c r="K60" s="58"/>
      <c r="L60" s="59"/>
    </row>
    <row r="61" spans="1:12" ht="49.5" customHeight="1" x14ac:dyDescent="0.25">
      <c r="A61" s="104" t="s">
        <v>286</v>
      </c>
      <c r="B61" s="105"/>
      <c r="C61" s="95" t="str">
        <f ca="1">K59</f>
        <v>Excavation work Completed. Plinth work completed, RCC upto 40 Slab, Brickwork upto 38 Floor, Internal Plaster upto 37 Floor, External Plaster upto 37 Floor, Flooring upto 35 Floor Completed</v>
      </c>
      <c r="D61" s="95"/>
      <c r="E61" s="95"/>
      <c r="F61" s="95"/>
      <c r="G61" s="95"/>
      <c r="H61" s="95"/>
      <c r="I61" s="95"/>
      <c r="J61" s="96"/>
      <c r="K61" s="58" t="s">
        <v>287</v>
      </c>
      <c r="L61" s="59"/>
    </row>
    <row r="62" spans="1:12" ht="15.75" customHeight="1" x14ac:dyDescent="0.25">
      <c r="A62" s="91" t="s">
        <v>35</v>
      </c>
      <c r="B62" s="92"/>
      <c r="C62" s="83" t="s">
        <v>288</v>
      </c>
      <c r="D62" s="92" t="s">
        <v>289</v>
      </c>
      <c r="E62" s="92"/>
      <c r="F62" s="92" t="s">
        <v>290</v>
      </c>
      <c r="G62" s="92"/>
      <c r="H62" s="92" t="s">
        <v>291</v>
      </c>
      <c r="I62" s="92"/>
      <c r="J62" s="97"/>
      <c r="K62" s="60" t="s">
        <v>292</v>
      </c>
      <c r="L62" s="61">
        <f ca="1">I60*25%</f>
        <v>10.5</v>
      </c>
    </row>
    <row r="63" spans="1:12" ht="15.75" customHeight="1" x14ac:dyDescent="0.25">
      <c r="A63" s="91" t="s">
        <v>293</v>
      </c>
      <c r="B63" s="92"/>
      <c r="C63" s="67">
        <f ca="1">L64</f>
        <v>42</v>
      </c>
      <c r="D63" s="90">
        <f ca="1">((100/I60)*C63)/100</f>
        <v>1</v>
      </c>
      <c r="E63" s="90"/>
      <c r="F63" s="90">
        <f ca="1">(((C64/I60*10)+(40/(D60+G60+I60)*C65)+(7.5/(I60)*C66)+(7.5/(I60)*C67)+(10/I60*C68)+(10/I60*C69)+(5/I60*C70)+(5/I60*C71)+(5/I60*C72))/100)</f>
        <v>0.76091269841269837</v>
      </c>
      <c r="G63" s="90"/>
      <c r="H63" s="90">
        <f ca="1">((((C63/I60)*20)+((C64/I60)*25)+(30/(I60+G60+D60)*C65)+(5/I60*C66)+(5/I60*C67)+(5/I60*C68)+(5/I60*C69)+(0/I60*C70)+(0/I60*C71)+(5/I60*C72))/100)</f>
        <v>0.89166666666666639</v>
      </c>
      <c r="I63" s="90"/>
      <c r="J63" s="99"/>
      <c r="K63" s="60" t="s">
        <v>176</v>
      </c>
      <c r="L63" s="62">
        <f ca="1">I60*50%</f>
        <v>21</v>
      </c>
    </row>
    <row r="64" spans="1:12" ht="15.75" x14ac:dyDescent="0.25">
      <c r="A64" s="91" t="s">
        <v>36</v>
      </c>
      <c r="B64" s="92"/>
      <c r="C64" s="68">
        <f ca="1">L72</f>
        <v>42</v>
      </c>
      <c r="D64" s="90">
        <f ca="1">((100/I60)*C64)/100</f>
        <v>1</v>
      </c>
      <c r="E64" s="90"/>
      <c r="F64" s="90"/>
      <c r="G64" s="90"/>
      <c r="H64" s="90"/>
      <c r="I64" s="90"/>
      <c r="J64" s="99"/>
      <c r="K64" s="60" t="s">
        <v>178</v>
      </c>
      <c r="L64" s="62">
        <f ca="1">I60</f>
        <v>42</v>
      </c>
    </row>
    <row r="65" spans="1:15" ht="15.75" customHeight="1" x14ac:dyDescent="0.25">
      <c r="A65" s="101" t="s">
        <v>294</v>
      </c>
      <c r="B65" s="93"/>
      <c r="C65" s="68">
        <v>40</v>
      </c>
      <c r="D65" s="90">
        <f ca="1">((100/(D60+G60+I60))*C65)/100</f>
        <v>0.88888888888888884</v>
      </c>
      <c r="E65" s="90"/>
      <c r="F65" s="90"/>
      <c r="G65" s="90"/>
      <c r="H65" s="90"/>
      <c r="I65" s="90"/>
      <c r="J65" s="99"/>
      <c r="K65" s="60" t="s">
        <v>179</v>
      </c>
      <c r="L65" s="63">
        <f ca="1">(IF(B60&gt;1,(I60/(B60+2)),I60/4))</f>
        <v>10.5</v>
      </c>
    </row>
    <row r="66" spans="1:15" ht="15" customHeight="1" x14ac:dyDescent="0.25">
      <c r="A66" s="91" t="s">
        <v>295</v>
      </c>
      <c r="B66" s="92" t="s">
        <v>296</v>
      </c>
      <c r="C66" s="68">
        <f>C65-G60+0</f>
        <v>38</v>
      </c>
      <c r="D66" s="90">
        <f ca="1">((100/I60)*C66)/100</f>
        <v>0.90476190476190477</v>
      </c>
      <c r="E66" s="90"/>
      <c r="F66" s="90"/>
      <c r="G66" s="90"/>
      <c r="H66" s="90"/>
      <c r="I66" s="90"/>
      <c r="J66" s="99"/>
      <c r="K66" s="60" t="s">
        <v>180</v>
      </c>
      <c r="L66" s="63">
        <f ca="1">(IF(B60&gt;1,(I60/(B60+2)+L65),I60/4+L65))</f>
        <v>21</v>
      </c>
    </row>
    <row r="67" spans="1:15" ht="15.75" customHeight="1" x14ac:dyDescent="0.25">
      <c r="A67" s="91" t="s">
        <v>297</v>
      </c>
      <c r="B67" s="92" t="s">
        <v>296</v>
      </c>
      <c r="C67" s="68">
        <v>37</v>
      </c>
      <c r="D67" s="90">
        <f ca="1">((100/I60)*C67)/100</f>
        <v>0.88095238095238093</v>
      </c>
      <c r="E67" s="90"/>
      <c r="F67" s="90"/>
      <c r="G67" s="90"/>
      <c r="H67" s="90"/>
      <c r="I67" s="90"/>
      <c r="J67" s="99"/>
      <c r="K67" s="60" t="s">
        <v>298</v>
      </c>
      <c r="L67" s="63">
        <f>(IF(B60&gt;1,(I60/(B60+2)+L66),0))</f>
        <v>0</v>
      </c>
    </row>
    <row r="68" spans="1:15" ht="15.75" customHeight="1" x14ac:dyDescent="0.25">
      <c r="A68" s="101" t="s">
        <v>299</v>
      </c>
      <c r="B68" s="93" t="s">
        <v>300</v>
      </c>
      <c r="C68" s="68">
        <v>37</v>
      </c>
      <c r="D68" s="90">
        <f ca="1">((100/(I60))*C68)/100</f>
        <v>0.88095238095238093</v>
      </c>
      <c r="E68" s="90"/>
      <c r="F68" s="90"/>
      <c r="G68" s="90"/>
      <c r="H68" s="90"/>
      <c r="I68" s="90"/>
      <c r="J68" s="99"/>
      <c r="K68" s="60" t="s">
        <v>301</v>
      </c>
      <c r="L68" s="63">
        <f>(IF(B60&gt;2,(I60/(B60+2)+L67),0))</f>
        <v>0</v>
      </c>
    </row>
    <row r="69" spans="1:15" ht="15" customHeight="1" x14ac:dyDescent="0.25">
      <c r="A69" s="91" t="s">
        <v>302</v>
      </c>
      <c r="B69" s="92" t="s">
        <v>302</v>
      </c>
      <c r="C69" s="67">
        <v>35</v>
      </c>
      <c r="D69" s="90">
        <f ca="1">((100/I60)*C69)/100</f>
        <v>0.83333333333333326</v>
      </c>
      <c r="E69" s="90"/>
      <c r="F69" s="90"/>
      <c r="G69" s="90"/>
      <c r="H69" s="90"/>
      <c r="I69" s="90"/>
      <c r="J69" s="99"/>
      <c r="K69" s="60" t="s">
        <v>303</v>
      </c>
      <c r="L69" s="64">
        <f>(IF(B60&gt;3,(I60/(B60+2)+L68),0))</f>
        <v>0</v>
      </c>
    </row>
    <row r="70" spans="1:15" ht="15" customHeight="1" x14ac:dyDescent="0.25">
      <c r="A70" s="101" t="s">
        <v>304</v>
      </c>
      <c r="B70" s="93"/>
      <c r="C70" s="67">
        <v>0</v>
      </c>
      <c r="D70" s="90">
        <f ca="1">((100/I60)*C70)/100</f>
        <v>0</v>
      </c>
      <c r="E70" s="90"/>
      <c r="F70" s="90"/>
      <c r="G70" s="90"/>
      <c r="H70" s="90"/>
      <c r="I70" s="90"/>
      <c r="J70" s="99"/>
      <c r="K70" s="60" t="s">
        <v>305</v>
      </c>
      <c r="L70" s="63">
        <f>(IF(B60&gt;4,(I60/(B60+2)+L69),0))</f>
        <v>0</v>
      </c>
    </row>
    <row r="71" spans="1:15" ht="16.5" customHeight="1" x14ac:dyDescent="0.25">
      <c r="A71" s="91" t="s">
        <v>306</v>
      </c>
      <c r="B71" s="92" t="s">
        <v>306</v>
      </c>
      <c r="C71" s="67">
        <v>0</v>
      </c>
      <c r="D71" s="90">
        <f ca="1">((100/(I60))*C71)/100</f>
        <v>0</v>
      </c>
      <c r="E71" s="90"/>
      <c r="F71" s="90"/>
      <c r="G71" s="90"/>
      <c r="H71" s="90"/>
      <c r="I71" s="90"/>
      <c r="J71" s="99"/>
      <c r="K71" s="60" t="s">
        <v>181</v>
      </c>
      <c r="L71" s="63">
        <f ca="1">(IF(B60=1,(I60/(B60+3)+L66),IF(B60=0,(I60/4+L66),IF(B60&gt;1,0))))</f>
        <v>31.5</v>
      </c>
    </row>
    <row r="72" spans="1:15" ht="16.5" thickBot="1" x14ac:dyDescent="0.3">
      <c r="A72" s="111" t="s">
        <v>307</v>
      </c>
      <c r="B72" s="112"/>
      <c r="C72" s="72">
        <v>0</v>
      </c>
      <c r="D72" s="98">
        <f ca="1">((100/(I60))*C72)/100</f>
        <v>0</v>
      </c>
      <c r="E72" s="98"/>
      <c r="F72" s="98"/>
      <c r="G72" s="98"/>
      <c r="H72" s="98"/>
      <c r="I72" s="98"/>
      <c r="J72" s="100"/>
      <c r="K72" s="65" t="s">
        <v>182</v>
      </c>
      <c r="L72" s="66">
        <f ca="1">(IF(B60&gt;1.5,(I60/(B60+2)+L66+MAX(0,L67-L66)+MAX(0,L68-L67)+MAX(0,L69-L68)+MAX(0,L70-L69)+MAX(0,L71-L70)),IF(B60=1,(I60/(B60+3)+L71),IF(B60=0,I60/4+L71))))</f>
        <v>42</v>
      </c>
    </row>
    <row r="73" spans="1:15" ht="30.95" customHeight="1" x14ac:dyDescent="0.25">
      <c r="A73" s="102" t="s">
        <v>284</v>
      </c>
      <c r="B73" s="103"/>
      <c r="C73" s="113" t="s">
        <v>316</v>
      </c>
      <c r="D73" s="113"/>
      <c r="E73" s="113"/>
      <c r="F73" s="113"/>
      <c r="G73" s="113"/>
      <c r="H73" s="113"/>
      <c r="I73" s="113"/>
      <c r="J73" s="114"/>
      <c r="K73" s="56" t="str">
        <f>(IF(F77&gt;99%,"All work completed. Please provide OC.",IF(F77&gt;89.8%,"Plinth, RCC, Brick, Plaster, Flooring, Painting work Completed. Finishing work is in process.",IF(F77&lt;94%,(IF(C77=0,"Work not yet Started.",IF(D77=25%,"Piling work in process",IF(D77=50%,"Excavation work in process",IF(D77=100%,"Excavation work Completed. ","0")))&amp;(IF(C78=0%,"",IF(C78=L79,"Footing work is process",IF(C78=L80,"Footing work Completed",IF(C78=L81,"1st Basement Completed",IF(C78=L82,"1st &amp; 2nd Basement Completed",IF(C78=L83,"1st to 3rd Basement Completed",IF(C78=L84,"1st to 4th Basement Completed",IF(C78=L85,"Plinth work is process",IF(C78=L86,"Plinth work completed","0")))))))))))&amp;(IF(C79=(D74+G74+I74),", RCC Slab",IF(C79&gt;0,", RCC upto "&amp;C79&amp;" Slab",""))&amp;(IF(C80=I74,", Brickwork",IF(C80&gt;0,", Brickwork upto "&amp;C80&amp;" Floor",""))&amp;(IF(C81=I74,", Internal Plaster",IF(C81&gt;0,", Internal Plaster upto "&amp;C81&amp;" Floor",""))&amp;(IF(C82=I74,", External Plaster",IF(C82&gt;0,", External Plaster upto "&amp;C82&amp;" Floor",""))&amp;(IF(C83=I74,", Flooring",IF(C83&gt;0,", Flooring upto "&amp;C83&amp;" Floor",""))&amp;(IF(C84=I74,", Painting",IF(C84&gt;0,", Painting upto "&amp;C84&amp;" Floor",""))&amp;(IF(C85&gt;0,", Finishing upto "&amp;C85&amp;" Floor","")&amp;(IF(C79&gt;0.5," Completed",""))))))))))))))</f>
        <v>Excavation work Completed. Plinth work completed, RCC upto 39 Slab, Brickwork upto 37 Floor, Internal Plaster upto 37 Floor, External Plaster upto 37 Floor, Flooring upto 24 Floor Completed</v>
      </c>
      <c r="L73" s="57"/>
    </row>
    <row r="74" spans="1:15" ht="15.75" x14ac:dyDescent="0.25">
      <c r="A74" s="84" t="s">
        <v>142</v>
      </c>
      <c r="B74" s="85">
        <v>0</v>
      </c>
      <c r="C74" s="85" t="s">
        <v>144</v>
      </c>
      <c r="D74" s="85">
        <v>1</v>
      </c>
      <c r="E74" s="93" t="s">
        <v>143</v>
      </c>
      <c r="F74" s="93"/>
      <c r="G74" s="85">
        <v>2</v>
      </c>
      <c r="H74" s="85" t="s">
        <v>285</v>
      </c>
      <c r="I74" s="93">
        <v>42</v>
      </c>
      <c r="J74" s="94"/>
      <c r="K74" s="58"/>
      <c r="L74" s="59"/>
    </row>
    <row r="75" spans="1:15" ht="47.1" customHeight="1" x14ac:dyDescent="0.25">
      <c r="A75" s="104" t="s">
        <v>286</v>
      </c>
      <c r="B75" s="105"/>
      <c r="C75" s="95" t="str">
        <f>K73</f>
        <v>Excavation work Completed. Plinth work completed, RCC upto 39 Slab, Brickwork upto 37 Floor, Internal Plaster upto 37 Floor, External Plaster upto 37 Floor, Flooring upto 24 Floor Completed</v>
      </c>
      <c r="D75" s="95"/>
      <c r="E75" s="95"/>
      <c r="F75" s="95"/>
      <c r="G75" s="95"/>
      <c r="H75" s="95"/>
      <c r="I75" s="95"/>
      <c r="J75" s="96"/>
      <c r="K75" s="58" t="s">
        <v>287</v>
      </c>
      <c r="L75" s="59"/>
    </row>
    <row r="76" spans="1:15" ht="15.75" x14ac:dyDescent="0.25">
      <c r="A76" s="91" t="s">
        <v>35</v>
      </c>
      <c r="B76" s="92"/>
      <c r="C76" s="83" t="s">
        <v>288</v>
      </c>
      <c r="D76" s="92" t="s">
        <v>289</v>
      </c>
      <c r="E76" s="92"/>
      <c r="F76" s="92" t="s">
        <v>290</v>
      </c>
      <c r="G76" s="92"/>
      <c r="H76" s="92" t="s">
        <v>291</v>
      </c>
      <c r="I76" s="92"/>
      <c r="J76" s="97"/>
      <c r="K76" s="60" t="s">
        <v>292</v>
      </c>
      <c r="L76" s="61">
        <f>I74*25%</f>
        <v>10.5</v>
      </c>
    </row>
    <row r="77" spans="1:15" ht="15.75" customHeight="1" x14ac:dyDescent="0.25">
      <c r="A77" s="91" t="s">
        <v>293</v>
      </c>
      <c r="B77" s="92"/>
      <c r="C77" s="67">
        <f>L78</f>
        <v>42</v>
      </c>
      <c r="D77" s="90">
        <f>((100/I74)*C77)/100</f>
        <v>1</v>
      </c>
      <c r="E77" s="90"/>
      <c r="F77" s="90">
        <f>(((C78/I74*10)+(40/(D74+G74+I74)*C79)+(7.5/(I74)*C80)+(7.5/(I74)*C81)+(10/I74*C82)+(10/I74*C83)+(5/I74*C84)+(5/I74*C85)+(5/I74*C86))/100)</f>
        <v>0.72404761904761894</v>
      </c>
      <c r="G77" s="90"/>
      <c r="H77" s="90">
        <f>((((C77/I74)*20)+((C78/I74)*25)+(30/(I74+G74+D74)*C79)+(5/I74*C80)+(5/I74*C81)+(5/I74*C82)+(5/I74*C83)+(0/I74*C84)+(0/I74*C85)+(5/I74*C86))/100)</f>
        <v>0.87071428571428555</v>
      </c>
      <c r="I77" s="90"/>
      <c r="J77" s="99"/>
      <c r="K77" s="60" t="s">
        <v>176</v>
      </c>
      <c r="L77" s="62">
        <f>I74*50%</f>
        <v>21</v>
      </c>
    </row>
    <row r="78" spans="1:15" ht="15.75" x14ac:dyDescent="0.25">
      <c r="A78" s="91" t="s">
        <v>36</v>
      </c>
      <c r="B78" s="92"/>
      <c r="C78" s="68">
        <f>L86</f>
        <v>42</v>
      </c>
      <c r="D78" s="90">
        <f>((100/I74)*C78)/100</f>
        <v>1</v>
      </c>
      <c r="E78" s="90"/>
      <c r="F78" s="90"/>
      <c r="G78" s="90"/>
      <c r="H78" s="90"/>
      <c r="I78" s="90"/>
      <c r="J78" s="99"/>
      <c r="K78" s="60" t="s">
        <v>178</v>
      </c>
      <c r="L78" s="62">
        <f>I74</f>
        <v>42</v>
      </c>
    </row>
    <row r="79" spans="1:15" ht="15.75" customHeight="1" x14ac:dyDescent="0.25">
      <c r="A79" s="101" t="s">
        <v>294</v>
      </c>
      <c r="B79" s="93"/>
      <c r="C79" s="68">
        <f>D74+G74+36</f>
        <v>39</v>
      </c>
      <c r="D79" s="90">
        <f>((100/(D74+G74+I74))*C79)/100</f>
        <v>0.8666666666666667</v>
      </c>
      <c r="E79" s="90"/>
      <c r="F79" s="90"/>
      <c r="G79" s="90"/>
      <c r="H79" s="90"/>
      <c r="I79" s="90"/>
      <c r="J79" s="99"/>
      <c r="K79" s="60" t="s">
        <v>179</v>
      </c>
      <c r="L79" s="63">
        <f>(IF(B74&gt;1,(I74/(B74+2)),I74/4))</f>
        <v>10.5</v>
      </c>
      <c r="O79">
        <f>35+1+2</f>
        <v>38</v>
      </c>
    </row>
    <row r="80" spans="1:15" ht="15.75" customHeight="1" x14ac:dyDescent="0.25">
      <c r="A80" s="101" t="s">
        <v>295</v>
      </c>
      <c r="B80" s="93" t="s">
        <v>296</v>
      </c>
      <c r="C80" s="68">
        <v>37</v>
      </c>
      <c r="D80" s="90">
        <f>((100/I74)*C80)/100</f>
        <v>0.88095238095238093</v>
      </c>
      <c r="E80" s="90"/>
      <c r="F80" s="90"/>
      <c r="G80" s="90"/>
      <c r="H80" s="90"/>
      <c r="I80" s="90"/>
      <c r="J80" s="99"/>
      <c r="K80" s="60" t="s">
        <v>180</v>
      </c>
      <c r="L80" s="63">
        <f>(IF(B74&gt;1,(I74/(B74+2)+L79),I74/4+L79))</f>
        <v>21</v>
      </c>
    </row>
    <row r="81" spans="1:12" ht="15.75" customHeight="1" x14ac:dyDescent="0.25">
      <c r="A81" s="101" t="s">
        <v>297</v>
      </c>
      <c r="B81" s="93" t="s">
        <v>296</v>
      </c>
      <c r="C81" s="68">
        <v>37</v>
      </c>
      <c r="D81" s="90">
        <f>((100/I74)*C81)/100</f>
        <v>0.88095238095238093</v>
      </c>
      <c r="E81" s="90"/>
      <c r="F81" s="90"/>
      <c r="G81" s="90"/>
      <c r="H81" s="90"/>
      <c r="I81" s="90"/>
      <c r="J81" s="99"/>
      <c r="K81" s="60" t="s">
        <v>298</v>
      </c>
      <c r="L81" s="63">
        <f>(IF(B74&gt;1,(I74/(B74+2)+L80),0))</f>
        <v>0</v>
      </c>
    </row>
    <row r="82" spans="1:12" ht="15" customHeight="1" x14ac:dyDescent="0.25">
      <c r="A82" s="101" t="s">
        <v>299</v>
      </c>
      <c r="B82" s="93" t="s">
        <v>300</v>
      </c>
      <c r="C82" s="68">
        <v>37</v>
      </c>
      <c r="D82" s="90">
        <f>((100/(I74))*C82)/100</f>
        <v>0.88095238095238093</v>
      </c>
      <c r="E82" s="90"/>
      <c r="F82" s="90"/>
      <c r="G82" s="90"/>
      <c r="H82" s="90"/>
      <c r="I82" s="90"/>
      <c r="J82" s="99"/>
      <c r="K82" s="60" t="s">
        <v>301</v>
      </c>
      <c r="L82" s="63">
        <f>(IF(B74&gt;2,(I74/(B74+2)+L81),0))</f>
        <v>0</v>
      </c>
    </row>
    <row r="83" spans="1:12" ht="15.75" customHeight="1" x14ac:dyDescent="0.25">
      <c r="A83" s="101" t="s">
        <v>302</v>
      </c>
      <c r="B83" s="93" t="s">
        <v>302</v>
      </c>
      <c r="C83" s="67">
        <v>24</v>
      </c>
      <c r="D83" s="90">
        <f>((100/I74)*C83)/100</f>
        <v>0.5714285714285714</v>
      </c>
      <c r="E83" s="90"/>
      <c r="F83" s="90"/>
      <c r="G83" s="90"/>
      <c r="H83" s="90"/>
      <c r="I83" s="90"/>
      <c r="J83" s="99"/>
      <c r="K83" s="60" t="s">
        <v>303</v>
      </c>
      <c r="L83" s="64">
        <f>(IF(B74&gt;3,(I74/(B74+2)+L82),0))</f>
        <v>0</v>
      </c>
    </row>
    <row r="84" spans="1:12" ht="15.75" customHeight="1" x14ac:dyDescent="0.25">
      <c r="A84" s="101" t="s">
        <v>304</v>
      </c>
      <c r="B84" s="93"/>
      <c r="C84" s="67">
        <v>0</v>
      </c>
      <c r="D84" s="90">
        <f>((100/I74)*C84)/100</f>
        <v>0</v>
      </c>
      <c r="E84" s="90"/>
      <c r="F84" s="90"/>
      <c r="G84" s="90"/>
      <c r="H84" s="90"/>
      <c r="I84" s="90"/>
      <c r="J84" s="99"/>
      <c r="K84" s="60" t="s">
        <v>305</v>
      </c>
      <c r="L84" s="63">
        <f>(IF(B74&gt;4,(I74/(B74+2)+L83),0))</f>
        <v>0</v>
      </c>
    </row>
    <row r="85" spans="1:12" ht="15.75" customHeight="1" x14ac:dyDescent="0.25">
      <c r="A85" s="101" t="s">
        <v>306</v>
      </c>
      <c r="B85" s="93" t="s">
        <v>306</v>
      </c>
      <c r="C85" s="67">
        <v>0</v>
      </c>
      <c r="D85" s="90">
        <f>((100/(I74))*C85)/100</f>
        <v>0</v>
      </c>
      <c r="E85" s="90"/>
      <c r="F85" s="90"/>
      <c r="G85" s="90"/>
      <c r="H85" s="90"/>
      <c r="I85" s="90"/>
      <c r="J85" s="99"/>
      <c r="K85" s="60" t="s">
        <v>181</v>
      </c>
      <c r="L85" s="63">
        <f>(IF(B74=1,(I74/(B74+3)+L80),IF(B74=0,(I74/4+L80),IF(B74&gt;1,0))))</f>
        <v>31.5</v>
      </c>
    </row>
    <row r="86" spans="1:12" ht="16.5" customHeight="1" thickBot="1" x14ac:dyDescent="0.3">
      <c r="A86" s="111" t="s">
        <v>307</v>
      </c>
      <c r="B86" s="112"/>
      <c r="C86" s="72">
        <v>0</v>
      </c>
      <c r="D86" s="98">
        <f>((100/(I74))*C86)/100</f>
        <v>0</v>
      </c>
      <c r="E86" s="98"/>
      <c r="F86" s="98"/>
      <c r="G86" s="98"/>
      <c r="H86" s="98"/>
      <c r="I86" s="98"/>
      <c r="J86" s="100"/>
      <c r="K86" s="65" t="s">
        <v>182</v>
      </c>
      <c r="L86" s="66">
        <f>(IF(B74&gt;1.5,(I74/(B74+2)+L80+MAX(0,L81-L80)+MAX(0,L82-L81)+MAX(0,L83-L82)+MAX(0,L84-L83)+MAX(0,L85-L84)),IF(B74=1,(I74/(B74+3)+L85),IF(B74=0,I74/4+L85))))</f>
        <v>42</v>
      </c>
    </row>
    <row r="87" spans="1:12" ht="33.75" hidden="1" customHeight="1" x14ac:dyDescent="0.25">
      <c r="A87" s="115" t="s">
        <v>284</v>
      </c>
      <c r="B87" s="115"/>
      <c r="C87" s="116" t="s">
        <v>313</v>
      </c>
      <c r="D87" s="116"/>
      <c r="E87" s="116"/>
      <c r="F87" s="116"/>
      <c r="G87" s="116"/>
      <c r="H87" s="116"/>
      <c r="I87" s="116"/>
      <c r="J87" s="116"/>
      <c r="K87" s="56" t="str">
        <f>(IF(F91&gt;99%,"All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","0")))&amp;(IF(C92=0%,"",IF(C92=L93,"Footing work is process",IF(C92=L94,"Footing work Completed",IF(C92=L95,"1st Basement Completed",IF(C92=L96,"1st &amp; 2nd Basement Completed",IF(C92=L97,"1st to 3rd Basement Completed",IF(C92=L98,"1st to 4th Basement Completed",IF(C92=L99,"Plinth work is process",IF(C92=L100,"Plinth work completed","0")))))))))))&amp;(IF(C93=(D88+G88+I88),", RCC Slab",IF(C93&gt;0,", RCC upto "&amp;C93&amp;" Slab",""))&amp;(IF(C94=I88,", Brickwork",IF(C94&gt;0,", Brickwork upto "&amp;C94&amp;" Floor",""))&amp;(IF(C95=I88,", Internal Plaster",IF(C95&gt;0,", Internal Plaster upto "&amp;C95&amp;" Floor",""))&amp;(IF(C96=I88,", External Plaster",IF(C96&gt;0,", External Plaster upto "&amp;C96&amp;" Floor",""))&amp;(IF(C97=I88,", Flooring",IF(C97&gt;0,", Flooring upto "&amp;C97&amp;" Floor",""))&amp;(IF(C98=I88,", Painting",IF(C98&gt;0,", Painting upto "&amp;C98&amp;" Floor",""))&amp;(IF(C99&gt;0,", Finishing upto "&amp;C99&amp;" Floor","")&amp;(IF(C93&gt;0.5," Completed",""))))))))))))))</f>
        <v>Excavation work Completed. Plinth work completed, RCC upto 25 Slab, Brickwork upto 22 Floor, Internal Plaster upto 16 Floor, External Plaster upto 17 Floor Completed</v>
      </c>
      <c r="L87" s="57"/>
    </row>
    <row r="88" spans="1:12" ht="15.75" hidden="1" x14ac:dyDescent="0.25">
      <c r="A88" s="85" t="s">
        <v>142</v>
      </c>
      <c r="B88" s="85">
        <v>0</v>
      </c>
      <c r="C88" s="85" t="s">
        <v>144</v>
      </c>
      <c r="D88" s="85">
        <v>1</v>
      </c>
      <c r="E88" s="93" t="s">
        <v>143</v>
      </c>
      <c r="F88" s="93"/>
      <c r="G88" s="85">
        <v>2</v>
      </c>
      <c r="H88" s="85" t="s">
        <v>285</v>
      </c>
      <c r="I88" s="93">
        <v>42</v>
      </c>
      <c r="J88" s="93"/>
      <c r="K88" s="58"/>
      <c r="L88" s="59"/>
    </row>
    <row r="89" spans="1:12" ht="47.25" hidden="1" customHeight="1" x14ac:dyDescent="0.25">
      <c r="A89" s="105" t="s">
        <v>286</v>
      </c>
      <c r="B89" s="105"/>
      <c r="C89" s="95" t="str">
        <f>K87</f>
        <v>Excavation work Completed. Plinth work completed, RCC upto 25 Slab, Brickwork upto 22 Floor, Internal Plaster upto 16 Floor, External Plaster upto 17 Floor Completed</v>
      </c>
      <c r="D89" s="95"/>
      <c r="E89" s="95"/>
      <c r="F89" s="95"/>
      <c r="G89" s="95"/>
      <c r="H89" s="95"/>
      <c r="I89" s="95"/>
      <c r="J89" s="95"/>
      <c r="K89" s="58" t="s">
        <v>287</v>
      </c>
      <c r="L89" s="59"/>
    </row>
    <row r="90" spans="1:12" ht="15.75" hidden="1" x14ac:dyDescent="0.25">
      <c r="A90" s="92" t="s">
        <v>35</v>
      </c>
      <c r="B90" s="92"/>
      <c r="C90" s="83" t="s">
        <v>288</v>
      </c>
      <c r="D90" s="92" t="s">
        <v>289</v>
      </c>
      <c r="E90" s="92"/>
      <c r="F90" s="92" t="s">
        <v>290</v>
      </c>
      <c r="G90" s="92"/>
      <c r="H90" s="92" t="s">
        <v>291</v>
      </c>
      <c r="I90" s="92"/>
      <c r="J90" s="92"/>
      <c r="K90" s="60" t="s">
        <v>292</v>
      </c>
      <c r="L90" s="61">
        <f>I88*25%</f>
        <v>10.5</v>
      </c>
    </row>
    <row r="91" spans="1:12" ht="15.75" hidden="1" customHeight="1" x14ac:dyDescent="0.25">
      <c r="A91" s="92" t="s">
        <v>293</v>
      </c>
      <c r="B91" s="92"/>
      <c r="C91" s="67">
        <f>L92</f>
        <v>42</v>
      </c>
      <c r="D91" s="90">
        <f>((100/I88)*C91)/100</f>
        <v>1</v>
      </c>
      <c r="E91" s="90"/>
      <c r="F91" s="90">
        <f>(((C92/I88*10)+(40/(D88+G88+I88)*C93)+(7.5/(I88)*C94)+(7.5/(I88)*C95)+(10/I88*C96)+(10/I88*C97)+(5/I88*C98)+(5/I88*C99)+(5/I88*C100))/100)</f>
        <v>0.43055555555555558</v>
      </c>
      <c r="G91" s="90"/>
      <c r="H91" s="90">
        <f>((((C91/I88)*20)+((C92/I88)*25)+(30/(I88+G88+D88)*C93)+(5/I88*C94)+(5/I88*C95)+(5/I88*C96)+(5/I88*C97)+(0/I88*C98)+(0/I88*C99)+(5/I88*C100))/100)</f>
        <v>0.68214285714285694</v>
      </c>
      <c r="I91" s="90"/>
      <c r="J91" s="90"/>
      <c r="K91" s="60" t="s">
        <v>176</v>
      </c>
      <c r="L91" s="62">
        <f>I88*50%</f>
        <v>21</v>
      </c>
    </row>
    <row r="92" spans="1:12" ht="15.75" hidden="1" x14ac:dyDescent="0.25">
      <c r="A92" s="92" t="s">
        <v>36</v>
      </c>
      <c r="B92" s="92"/>
      <c r="C92" s="68">
        <f>L100</f>
        <v>42</v>
      </c>
      <c r="D92" s="90">
        <f>((100/I88)*C92)/100</f>
        <v>1</v>
      </c>
      <c r="E92" s="90"/>
      <c r="F92" s="90"/>
      <c r="G92" s="90"/>
      <c r="H92" s="90"/>
      <c r="I92" s="90"/>
      <c r="J92" s="90"/>
      <c r="K92" s="60" t="s">
        <v>178</v>
      </c>
      <c r="L92" s="62">
        <f>I88</f>
        <v>42</v>
      </c>
    </row>
    <row r="93" spans="1:12" ht="15.75" hidden="1" customHeight="1" x14ac:dyDescent="0.25">
      <c r="A93" s="93" t="s">
        <v>294</v>
      </c>
      <c r="B93" s="93"/>
      <c r="C93" s="68">
        <v>25</v>
      </c>
      <c r="D93" s="90">
        <f>((100/(D88+G88+I88))*C93)/100</f>
        <v>0.55555555555555558</v>
      </c>
      <c r="E93" s="90"/>
      <c r="F93" s="90"/>
      <c r="G93" s="90"/>
      <c r="H93" s="90"/>
      <c r="I93" s="90"/>
      <c r="J93" s="90"/>
      <c r="K93" s="60" t="s">
        <v>179</v>
      </c>
      <c r="L93" s="63">
        <f>(IF(B88&gt;1,(I88/(B88+2)),I88/4))</f>
        <v>10.5</v>
      </c>
    </row>
    <row r="94" spans="1:12" ht="15.75" hidden="1" customHeight="1" x14ac:dyDescent="0.25">
      <c r="A94" s="93" t="s">
        <v>295</v>
      </c>
      <c r="B94" s="93" t="s">
        <v>296</v>
      </c>
      <c r="C94" s="68">
        <f>C93-3</f>
        <v>22</v>
      </c>
      <c r="D94" s="90">
        <f>((100/I88)*C94)/100</f>
        <v>0.52380952380952384</v>
      </c>
      <c r="E94" s="90"/>
      <c r="F94" s="90"/>
      <c r="G94" s="90"/>
      <c r="H94" s="90"/>
      <c r="I94" s="90"/>
      <c r="J94" s="90"/>
      <c r="K94" s="60" t="s">
        <v>180</v>
      </c>
      <c r="L94" s="63">
        <f>(IF(B88&gt;1,(I88/(B88+2)+L93),I88/4+L93))</f>
        <v>21</v>
      </c>
    </row>
    <row r="95" spans="1:12" ht="15.75" hidden="1" customHeight="1" x14ac:dyDescent="0.25">
      <c r="A95" s="93" t="s">
        <v>297</v>
      </c>
      <c r="B95" s="93" t="s">
        <v>296</v>
      </c>
      <c r="C95" s="68">
        <f>C94-6</f>
        <v>16</v>
      </c>
      <c r="D95" s="90">
        <f>((100/I88)*C95)/100</f>
        <v>0.38095238095238093</v>
      </c>
      <c r="E95" s="90"/>
      <c r="F95" s="90"/>
      <c r="G95" s="90"/>
      <c r="H95" s="90"/>
      <c r="I95" s="90"/>
      <c r="J95" s="90"/>
      <c r="K95" s="60" t="s">
        <v>298</v>
      </c>
      <c r="L95" s="63">
        <f>(IF(B88&gt;1,(I88/(B88+2)+L94),0))</f>
        <v>0</v>
      </c>
    </row>
    <row r="96" spans="1:12" ht="15" hidden="1" customHeight="1" x14ac:dyDescent="0.25">
      <c r="A96" s="93" t="s">
        <v>299</v>
      </c>
      <c r="B96" s="93" t="s">
        <v>300</v>
      </c>
      <c r="C96" s="68">
        <f>C94-5</f>
        <v>17</v>
      </c>
      <c r="D96" s="90">
        <f>((100/(I88))*C96)/100</f>
        <v>0.40476190476190477</v>
      </c>
      <c r="E96" s="90"/>
      <c r="F96" s="90"/>
      <c r="G96" s="90"/>
      <c r="H96" s="90"/>
      <c r="I96" s="90"/>
      <c r="J96" s="90"/>
      <c r="K96" s="60" t="s">
        <v>301</v>
      </c>
      <c r="L96" s="63">
        <f>(IF(B88&gt;2,(I88/(B88+2)+L95),0))</f>
        <v>0</v>
      </c>
    </row>
    <row r="97" spans="1:12" ht="15.75" hidden="1" customHeight="1" x14ac:dyDescent="0.25">
      <c r="A97" s="93" t="s">
        <v>302</v>
      </c>
      <c r="B97" s="93" t="s">
        <v>302</v>
      </c>
      <c r="C97" s="67">
        <v>0</v>
      </c>
      <c r="D97" s="90">
        <f>((100/I88)*C97)/100</f>
        <v>0</v>
      </c>
      <c r="E97" s="90"/>
      <c r="F97" s="90"/>
      <c r="G97" s="90"/>
      <c r="H97" s="90"/>
      <c r="I97" s="90"/>
      <c r="J97" s="90"/>
      <c r="K97" s="60" t="s">
        <v>303</v>
      </c>
      <c r="L97" s="64">
        <f>(IF(B88&gt;3,(I88/(B88+2)+L96),0))</f>
        <v>0</v>
      </c>
    </row>
    <row r="98" spans="1:12" ht="15.75" hidden="1" customHeight="1" x14ac:dyDescent="0.25">
      <c r="A98" s="93" t="s">
        <v>304</v>
      </c>
      <c r="B98" s="93"/>
      <c r="C98" s="67">
        <v>0</v>
      </c>
      <c r="D98" s="90">
        <f>((100/I88)*C98)/100</f>
        <v>0</v>
      </c>
      <c r="E98" s="90"/>
      <c r="F98" s="90"/>
      <c r="G98" s="90"/>
      <c r="H98" s="90"/>
      <c r="I98" s="90"/>
      <c r="J98" s="90"/>
      <c r="K98" s="60" t="s">
        <v>305</v>
      </c>
      <c r="L98" s="63">
        <f>(IF(B88&gt;4,(I88/(B88+2)+L97),0))</f>
        <v>0</v>
      </c>
    </row>
    <row r="99" spans="1:12" ht="15.75" hidden="1" customHeight="1" x14ac:dyDescent="0.25">
      <c r="A99" s="93" t="s">
        <v>306</v>
      </c>
      <c r="B99" s="93" t="s">
        <v>306</v>
      </c>
      <c r="C99" s="67">
        <v>0</v>
      </c>
      <c r="D99" s="90">
        <f>((100/(I88))*C99)/100</f>
        <v>0</v>
      </c>
      <c r="E99" s="90"/>
      <c r="F99" s="90"/>
      <c r="G99" s="90"/>
      <c r="H99" s="90"/>
      <c r="I99" s="90"/>
      <c r="J99" s="90"/>
      <c r="K99" s="60" t="s">
        <v>181</v>
      </c>
      <c r="L99" s="63">
        <f>(IF(B88=1,(I88/(B88+3)+L94),IF(B88=0,(I88/4+L94),IF(B88&gt;1,0))))</f>
        <v>31.5</v>
      </c>
    </row>
    <row r="100" spans="1:12" ht="16.5" hidden="1" customHeight="1" thickBot="1" x14ac:dyDescent="0.3">
      <c r="A100" s="92" t="s">
        <v>307</v>
      </c>
      <c r="B100" s="92"/>
      <c r="C100" s="67">
        <v>0</v>
      </c>
      <c r="D100" s="90">
        <f>((100/(I88))*C100)/100</f>
        <v>0</v>
      </c>
      <c r="E100" s="90"/>
      <c r="F100" s="90"/>
      <c r="G100" s="90"/>
      <c r="H100" s="90"/>
      <c r="I100" s="90"/>
      <c r="J100" s="90"/>
      <c r="K100" s="65" t="s">
        <v>182</v>
      </c>
      <c r="L100" s="66">
        <f>(IF(B88&gt;1.5,(I88/(B88+2)+L94+MAX(0,L95-L94)+MAX(0,L96-L95)+MAX(0,L97-L96)+MAX(0,L98-L97)+MAX(0,L99-L98)),IF(B88=1,(I88/(B88+3)+L99),IF(B88=0,I88/4+L99))))</f>
        <v>42</v>
      </c>
    </row>
    <row r="101" spans="1:12" ht="15.75" hidden="1" customHeight="1" x14ac:dyDescent="0.25">
      <c r="A101" s="249" t="s">
        <v>284</v>
      </c>
      <c r="B101" s="249"/>
      <c r="C101" s="95" t="s">
        <v>312</v>
      </c>
      <c r="D101" s="95"/>
      <c r="E101" s="95"/>
      <c r="F101" s="95"/>
      <c r="G101" s="95"/>
      <c r="H101" s="95"/>
      <c r="I101" s="95"/>
      <c r="J101" s="95"/>
      <c r="K101" s="56" t="e">
        <f ca="1">(IF(F104&gt;99%,"All work completed. Please provide OC.",IF(F104&gt;89.8%,"Plinth, RCC, Brick, Plaster, Flooring, Painting work Completed. Finishing work is in process.",IF(F104&lt;94%,(IF(C104=0,"Work not yet Started.",IF(D104=25%,"Piling work in process",IF(D104=50%,"Excavation work in process",IF(D104=100%,"Excavation work Completed. ","0")))&amp;(IF(C105=0%,"",IF(C105=L106,"Footing work is process",IF(C105=L107,"Footing work Completed",IF(C105=L108,"1st Basement Completed",IF(C105=L109,"1st &amp; 2nd Basement Completed",IF(C105=L110,"1st to 3rd Basement Completed",IF(C105=L111,"1st to 4th Basement Completed",IF(C105=L112,"Plinth work is process",IF(C105=L113,"Plinth work completed","0")))))))))))&amp;(IF(C106=(#REF!+#REF!+#REF!),", RCC Slab",IF(C106&gt;0,", RCC upto "&amp;C106&amp;" Slab",""))&amp;(IF(C107=#REF!,", Brickwork",IF(C107&gt;0,", Brickwork upto "&amp;C107&amp;" Floor",""))&amp;(IF(C108=#REF!,", Internal Plaster",IF(C108&gt;0,", Internal Plaster upto "&amp;C108&amp;" Floor",""))&amp;(IF(C109=#REF!,", External Plaster",IF(C109&gt;0,", External Plaster upto "&amp;C109&amp;" Floor",""))&amp;(IF(C110=#REF!,", Flooring",IF(C110&gt;0,", Flooring upto "&amp;C110&amp;" Floor",""))&amp;(IF(C111=#REF!,", Painting",IF(C111&gt;0,", Painting upto "&amp;C111&amp;" Floor",""))&amp;(IF(C112&gt;0,", Finishing upto "&amp;C112&amp;" Floor","")&amp;(IF(C106&gt;0.5," Completed",""))))))))))))))</f>
        <v>#REF!</v>
      </c>
      <c r="L101" s="57"/>
    </row>
    <row r="102" spans="1:12" s="71" customFormat="1" ht="31.5" hidden="1" customHeight="1" thickBot="1" x14ac:dyDescent="0.3">
      <c r="A102" s="253" t="s">
        <v>290</v>
      </c>
      <c r="B102" s="253"/>
      <c r="C102" s="255">
        <f>(F77+F91)/2</f>
        <v>0.5773015873015872</v>
      </c>
      <c r="D102" s="255"/>
      <c r="E102" s="254" t="s">
        <v>291</v>
      </c>
      <c r="F102" s="254"/>
      <c r="G102" s="254"/>
      <c r="H102" s="255">
        <f>(H77+H91)/2</f>
        <v>0.77642857142857125</v>
      </c>
      <c r="I102" s="255"/>
      <c r="J102" s="255"/>
      <c r="K102" s="69" t="s">
        <v>287</v>
      </c>
      <c r="L102" s="70"/>
    </row>
    <row r="103" spans="1:12" s="76" customFormat="1" ht="32.25" customHeight="1" thickBot="1" x14ac:dyDescent="0.3">
      <c r="A103" s="102" t="s">
        <v>284</v>
      </c>
      <c r="B103" s="103"/>
      <c r="C103" s="275" t="s">
        <v>314</v>
      </c>
      <c r="D103" s="275"/>
      <c r="E103" s="275"/>
      <c r="F103" s="275"/>
      <c r="G103" s="275"/>
      <c r="H103" s="275"/>
      <c r="I103" s="275"/>
      <c r="J103" s="276"/>
      <c r="K103" s="86" t="str">
        <f ca="1">(IF(F107&gt;99%,"All work completed. Please provide OC.",IF(F107&gt;89.8%,"Plinth, RCC, Brick, Plaster, Flooring, Painting work Completed. Finishing work is in process.",IF(F107&lt;94%,(IF(C107=0,"Work not yet Started.",IF(D107=25%,"Piling work in process",IF(D107=50%,"Excavation work in process",IF(D107=100%,"Excavation work Completed. ","0")))&amp;(IF(C108=0%,"",IF(C108=L109,"Footing work is process",IF(C108=L110,"Footing work Completed",IF(C108=L111,"1st Basement Completed",IF(C108=L112,"1st &amp; 2nd Basement Completed",IF(C108=L113,"1st to 3rd Basement Completed",IF(C108=L114,"1st to 4th Basement Completed",IF(C108=L115,"Plinth work is process",IF(C108=L116,"Plinth work completed","0")))))))))))&amp;(IF(C109=(D104+G104+I104),", RCC Slab",IF(C109&gt;0,", RCC upto "&amp;C109&amp;" Slab",""))&amp;(IF(C110=I104,", Brickwork",IF(C110&gt;0,", Brickwork upto "&amp;C110&amp;" Floor",""))&amp;(IF(C111=I104,", Internal Plaster",IF(C111&gt;0,", Internal Plaster upto "&amp;C111&amp;" Floor",""))&amp;(IF(C112=I104,", External Plaster",IF(C112&gt;0,", External Plaster upto "&amp;C112&amp;" Floor",""))&amp;(IF(C113=I104,", Flooring",IF(C113&gt;0,", Flooring upto "&amp;C113&amp;" Floor",""))&amp;(IF(C114=I104,", Painting",IF(C114&gt;0,", Painting upto "&amp;C114&amp;" Floor",""))&amp;(IF(C115&gt;0,", Finishing upto "&amp;C115&amp;" Floor","")&amp;(IF(C109&gt;0.5," Completed",""))))))))))))))</f>
        <v>Excavation work Completed. Plinth work completed, RCC upto 41 Slab, Brickwork upto 39 Floor, Internal Plaster upto 37 Floor, External Plaster upto 37 Floor, Flooring upto 24 Floor Completed</v>
      </c>
      <c r="L103" s="75"/>
    </row>
    <row r="104" spans="1:12" ht="15" customHeight="1" x14ac:dyDescent="0.25">
      <c r="A104" s="84" t="s">
        <v>142</v>
      </c>
      <c r="B104" s="85">
        <v>0</v>
      </c>
      <c r="C104" s="85" t="s">
        <v>144</v>
      </c>
      <c r="D104" s="85">
        <v>1</v>
      </c>
      <c r="E104" s="93" t="s">
        <v>143</v>
      </c>
      <c r="F104" s="93"/>
      <c r="G104" s="85">
        <v>2</v>
      </c>
      <c r="H104" s="85" t="s">
        <v>285</v>
      </c>
      <c r="I104" s="93">
        <f ca="1">--TRIM(RIGHT(SUBSTITUTE(LEFT(C103,_xlfn.AGGREGATE(16,6,FIND({0,1,2,3,4,5,6,7,8,9},C103,ROW(INDIRECT("1:"&amp;LEN(C103)))),1))," ",REPT(" ",LEN(C103))),LEN(C103)))</f>
        <v>42</v>
      </c>
      <c r="J104" s="94"/>
      <c r="K104" s="58"/>
      <c r="L104" s="59"/>
    </row>
    <row r="105" spans="1:12" ht="47.1" customHeight="1" x14ac:dyDescent="0.25">
      <c r="A105" s="104" t="s">
        <v>286</v>
      </c>
      <c r="B105" s="105"/>
      <c r="C105" s="95" t="str">
        <f ca="1">K103</f>
        <v>Excavation work Completed. Plinth work completed, RCC upto 41 Slab, Brickwork upto 39 Floor, Internal Plaster upto 37 Floor, External Plaster upto 37 Floor, Flooring upto 24 Floor Completed</v>
      </c>
      <c r="D105" s="95"/>
      <c r="E105" s="95"/>
      <c r="F105" s="95"/>
      <c r="G105" s="95"/>
      <c r="H105" s="95"/>
      <c r="I105" s="95"/>
      <c r="J105" s="96"/>
      <c r="K105" s="58" t="s">
        <v>287</v>
      </c>
      <c r="L105" s="59"/>
    </row>
    <row r="106" spans="1:12" ht="15.75" customHeight="1" x14ac:dyDescent="0.25">
      <c r="A106" s="91" t="s">
        <v>35</v>
      </c>
      <c r="B106" s="92"/>
      <c r="C106" s="83" t="s">
        <v>288</v>
      </c>
      <c r="D106" s="92" t="s">
        <v>289</v>
      </c>
      <c r="E106" s="92"/>
      <c r="F106" s="92" t="s">
        <v>290</v>
      </c>
      <c r="G106" s="92"/>
      <c r="H106" s="92" t="s">
        <v>291</v>
      </c>
      <c r="I106" s="92"/>
      <c r="J106" s="97"/>
      <c r="K106" s="60" t="s">
        <v>292</v>
      </c>
      <c r="L106" s="61">
        <f ca="1">I104*25%</f>
        <v>10.5</v>
      </c>
    </row>
    <row r="107" spans="1:12" ht="15.75" customHeight="1" x14ac:dyDescent="0.25">
      <c r="A107" s="91" t="s">
        <v>293</v>
      </c>
      <c r="B107" s="92"/>
      <c r="C107" s="67">
        <f ca="1">L108</f>
        <v>42</v>
      </c>
      <c r="D107" s="90">
        <f ca="1">((100/I104)*C107)/100</f>
        <v>1</v>
      </c>
      <c r="E107" s="90"/>
      <c r="F107" s="90">
        <f ca="1">(((C108/I104*10)+(40/(D104+G104+I104)*C109)+(7.5/(I104)*C110)+(7.5/(I104)*C111)+(10/I104*C112)+(10/I104*C113)+(5/I104*C114)+(5/I104*C115)+(5/I104*C116))/100)</f>
        <v>0.74539682539682528</v>
      </c>
      <c r="G107" s="90"/>
      <c r="H107" s="90">
        <f ca="1">((((C107/I104)*20)+((C108/I104)*25)+(30/(I104+G104+D104)*C109)+(5/I104*C110)+(5/I104*C111)+(5/I104*C112)+(5/I104*C113)+(0/I104*C114)+(0/I104*C115)+(5/I104*C116))/100)</f>
        <v>0.88642857142857123</v>
      </c>
      <c r="I107" s="90"/>
      <c r="J107" s="99"/>
      <c r="K107" s="60" t="s">
        <v>176</v>
      </c>
      <c r="L107" s="62">
        <f ca="1">I104*50%</f>
        <v>21</v>
      </c>
    </row>
    <row r="108" spans="1:12" ht="15.75" x14ac:dyDescent="0.25">
      <c r="A108" s="91" t="s">
        <v>36</v>
      </c>
      <c r="B108" s="92"/>
      <c r="C108" s="68">
        <f ca="1">L116</f>
        <v>42</v>
      </c>
      <c r="D108" s="90">
        <f ca="1">((100/I104)*C108)/100</f>
        <v>1</v>
      </c>
      <c r="E108" s="90"/>
      <c r="F108" s="90"/>
      <c r="G108" s="90"/>
      <c r="H108" s="90"/>
      <c r="I108" s="90"/>
      <c r="J108" s="99"/>
      <c r="K108" s="60" t="s">
        <v>178</v>
      </c>
      <c r="L108" s="62">
        <f ca="1">I104</f>
        <v>42</v>
      </c>
    </row>
    <row r="109" spans="1:12" ht="15.75" customHeight="1" x14ac:dyDescent="0.25">
      <c r="A109" s="101" t="s">
        <v>294</v>
      </c>
      <c r="B109" s="93"/>
      <c r="C109" s="68">
        <v>41</v>
      </c>
      <c r="D109" s="90">
        <f ca="1">((100/(D104+G104+I104))*C109)/100</f>
        <v>0.91111111111111109</v>
      </c>
      <c r="E109" s="90"/>
      <c r="F109" s="90"/>
      <c r="G109" s="90"/>
      <c r="H109" s="90"/>
      <c r="I109" s="90"/>
      <c r="J109" s="99"/>
      <c r="K109" s="60" t="s">
        <v>179</v>
      </c>
      <c r="L109" s="63">
        <f ca="1">(IF(B104&gt;1,(I104/(B104+2)),I104/4))</f>
        <v>10.5</v>
      </c>
    </row>
    <row r="110" spans="1:12" ht="15" customHeight="1" x14ac:dyDescent="0.25">
      <c r="A110" s="91" t="s">
        <v>295</v>
      </c>
      <c r="B110" s="92" t="s">
        <v>296</v>
      </c>
      <c r="C110" s="68">
        <f>C109-G104</f>
        <v>39</v>
      </c>
      <c r="D110" s="90">
        <f ca="1">((100/I104)*C110)/100</f>
        <v>0.9285714285714286</v>
      </c>
      <c r="E110" s="90"/>
      <c r="F110" s="90"/>
      <c r="G110" s="90"/>
      <c r="H110" s="90"/>
      <c r="I110" s="90"/>
      <c r="J110" s="99"/>
      <c r="K110" s="60" t="s">
        <v>180</v>
      </c>
      <c r="L110" s="63">
        <f ca="1">(IF(B104&gt;1,(I104/(B104+2)+L109),I104/4+L109))</f>
        <v>21</v>
      </c>
    </row>
    <row r="111" spans="1:12" ht="15.75" customHeight="1" x14ac:dyDescent="0.25">
      <c r="A111" s="91" t="s">
        <v>297</v>
      </c>
      <c r="B111" s="92" t="s">
        <v>296</v>
      </c>
      <c r="C111" s="68">
        <v>37</v>
      </c>
      <c r="D111" s="90">
        <f ca="1">((100/I104)*C111)/100</f>
        <v>0.88095238095238093</v>
      </c>
      <c r="E111" s="90"/>
      <c r="F111" s="90"/>
      <c r="G111" s="90"/>
      <c r="H111" s="90"/>
      <c r="I111" s="90"/>
      <c r="J111" s="99"/>
      <c r="K111" s="60" t="s">
        <v>298</v>
      </c>
      <c r="L111" s="63">
        <f>(IF(B104&gt;1,(I104/(B104+2)+L110),0))</f>
        <v>0</v>
      </c>
    </row>
    <row r="112" spans="1:12" ht="15.75" customHeight="1" x14ac:dyDescent="0.25">
      <c r="A112" s="101" t="s">
        <v>299</v>
      </c>
      <c r="B112" s="93" t="s">
        <v>300</v>
      </c>
      <c r="C112" s="68">
        <v>37</v>
      </c>
      <c r="D112" s="90">
        <f ca="1">((100/(I104))*C112)/100</f>
        <v>0.88095238095238093</v>
      </c>
      <c r="E112" s="90"/>
      <c r="F112" s="90"/>
      <c r="G112" s="90"/>
      <c r="H112" s="90"/>
      <c r="I112" s="90"/>
      <c r="J112" s="99"/>
      <c r="K112" s="60" t="s">
        <v>301</v>
      </c>
      <c r="L112" s="63">
        <f>(IF(B104&gt;2,(I104/(B104+2)+L111),0))</f>
        <v>0</v>
      </c>
    </row>
    <row r="113" spans="1:12" ht="15" customHeight="1" x14ac:dyDescent="0.25">
      <c r="A113" s="91" t="s">
        <v>302</v>
      </c>
      <c r="B113" s="92" t="s">
        <v>302</v>
      </c>
      <c r="C113" s="67">
        <v>24</v>
      </c>
      <c r="D113" s="90">
        <f ca="1">((100/I104)*C113)/100</f>
        <v>0.5714285714285714</v>
      </c>
      <c r="E113" s="90"/>
      <c r="F113" s="90"/>
      <c r="G113" s="90"/>
      <c r="H113" s="90"/>
      <c r="I113" s="90"/>
      <c r="J113" s="99"/>
      <c r="K113" s="60" t="s">
        <v>303</v>
      </c>
      <c r="L113" s="64">
        <f>(IF(B104&gt;3,(I104/(B104+2)+L112),0))</f>
        <v>0</v>
      </c>
    </row>
    <row r="114" spans="1:12" ht="15" customHeight="1" x14ac:dyDescent="0.25">
      <c r="A114" s="101" t="s">
        <v>304</v>
      </c>
      <c r="B114" s="93"/>
      <c r="C114" s="67">
        <v>0</v>
      </c>
      <c r="D114" s="90">
        <f ca="1">((100/I104)*C114)/100</f>
        <v>0</v>
      </c>
      <c r="E114" s="90"/>
      <c r="F114" s="90"/>
      <c r="G114" s="90"/>
      <c r="H114" s="90"/>
      <c r="I114" s="90"/>
      <c r="J114" s="99"/>
      <c r="K114" s="60" t="s">
        <v>305</v>
      </c>
      <c r="L114" s="63">
        <f>(IF(B104&gt;4,(I104/(B104+2)+L113),0))</f>
        <v>0</v>
      </c>
    </row>
    <row r="115" spans="1:12" ht="16.5" customHeight="1" x14ac:dyDescent="0.25">
      <c r="A115" s="91" t="s">
        <v>306</v>
      </c>
      <c r="B115" s="92" t="s">
        <v>306</v>
      </c>
      <c r="C115" s="67">
        <v>0</v>
      </c>
      <c r="D115" s="90">
        <f ca="1">((100/(I104))*C115)/100</f>
        <v>0</v>
      </c>
      <c r="E115" s="90"/>
      <c r="F115" s="90"/>
      <c r="G115" s="90"/>
      <c r="H115" s="90"/>
      <c r="I115" s="90"/>
      <c r="J115" s="99"/>
      <c r="K115" s="60" t="s">
        <v>181</v>
      </c>
      <c r="L115" s="63">
        <f ca="1">(IF(B104=1,(I104/(B104+3)+L110),IF(B104=0,(I104/4+L110),IF(B104&gt;1,0))))</f>
        <v>31.5</v>
      </c>
    </row>
    <row r="116" spans="1:12" ht="16.5" thickBot="1" x14ac:dyDescent="0.3">
      <c r="A116" s="111" t="s">
        <v>307</v>
      </c>
      <c r="B116" s="112"/>
      <c r="C116" s="72">
        <v>0</v>
      </c>
      <c r="D116" s="98">
        <f ca="1">((100/(I104))*C116)/100</f>
        <v>0</v>
      </c>
      <c r="E116" s="98"/>
      <c r="F116" s="98"/>
      <c r="G116" s="98"/>
      <c r="H116" s="98"/>
      <c r="I116" s="98"/>
      <c r="J116" s="100"/>
      <c r="K116" s="65" t="s">
        <v>182</v>
      </c>
      <c r="L116" s="66">
        <f ca="1">(IF(B104&gt;1.5,(I104/(B104+2)+L110+MAX(0,L111-L110)+MAX(0,L112-L111)+MAX(0,L113-L112)+MAX(0,L114-L113)+MAX(0,L115-L114)),IF(B104=1,(I104/(B104+3)+L115),IF(B104=0,I104/4+L115))))</f>
        <v>42</v>
      </c>
    </row>
    <row r="117" spans="1:12" ht="15.75" x14ac:dyDescent="0.25">
      <c r="A117" s="102" t="s">
        <v>284</v>
      </c>
      <c r="B117" s="103"/>
      <c r="C117" s="113" t="s">
        <v>334</v>
      </c>
      <c r="D117" s="113"/>
      <c r="E117" s="113"/>
      <c r="F117" s="113"/>
      <c r="G117" s="113"/>
      <c r="H117" s="113"/>
      <c r="I117" s="113"/>
      <c r="J117" s="114"/>
      <c r="K117" s="56" t="str">
        <f ca="1">(IF(F121&gt;99%,"All work completed. Please provide OC.",IF(F121&gt;89.8%,"Plinth, RCC, Brick, Plaster, Flooring, Painting work Completed. Finishing work is in process.",IF(F121&lt;94%,(IF(C121=0,"Work not yet Started.",IF(D121=25%,"Piling work in process",IF(D121=50%,"Excavation work in process",IF(D121=100%,"Excavation work Completed. ","0")))&amp;(IF(C122=0%,"",IF(C122=L123,"Footing work is process",IF(C122=L124,"Footing work Completed",IF(C122=L125,"1st Basement Completed",IF(C122=L126,"1st &amp; 2nd Basement Completed",IF(C122=L127,"1st to 3rd Basement Completed",IF(C122=L128,"1st to 4th Basement Completed",IF(C122=L129,"Plinth work is process",IF(C122=L130,"Plinth work completed","0")))))))))))&amp;(IF(C123=(D118+G118+I118),", RCC Slab",IF(C123&gt;0,", RCC upto "&amp;C123&amp;" Slab",""))&amp;(IF(C124=I118,", Brickwork",IF(C124&gt;0,", Brickwork upto "&amp;C124&amp;" Floor",""))&amp;(IF(C125=I118,", Internal Plaster",IF(C125&gt;0,", Internal Plaster upto "&amp;C125&amp;" Floor",""))&amp;(IF(C126=I118,", External Plaster",IF(C126&gt;0,", External Plaster upto "&amp;C126&amp;" Floor",""))&amp;(IF(C127=I118,", Flooring",IF(C127&gt;0,", Flooring upto "&amp;C127&amp;" Floor",""))&amp;(IF(C128=I118,", Painting",IF(C128&gt;0,", Painting upto "&amp;C128&amp;" Floor",""))&amp;(IF(C129&gt;0,", Finishing upto "&amp;C129&amp;" Floor","")&amp;(IF(C123&gt;0.5," Completed",""))))))))))))))</f>
        <v>Excavation work Completed. Plinth work completed, RCC upto 41 Slab, Brickwork upto 39 Floor, Internal Plaster upto 39 Floor, External Plaster upto 39 Floor, Flooring upto 15 Floor Completed</v>
      </c>
      <c r="L117" s="57"/>
    </row>
    <row r="118" spans="1:12" ht="15" customHeight="1" x14ac:dyDescent="0.25">
      <c r="A118" s="84" t="s">
        <v>142</v>
      </c>
      <c r="B118" s="85">
        <v>1</v>
      </c>
      <c r="C118" s="85" t="s">
        <v>144</v>
      </c>
      <c r="D118" s="85">
        <v>1</v>
      </c>
      <c r="E118" s="93" t="s">
        <v>143</v>
      </c>
      <c r="F118" s="93"/>
      <c r="G118" s="85">
        <v>0</v>
      </c>
      <c r="H118" s="85" t="s">
        <v>285</v>
      </c>
      <c r="I118" s="93">
        <f ca="1">--TRIM(RIGHT(SUBSTITUTE(LEFT(C117,_xlfn.AGGREGATE(16,6,FIND({0,1,2,3,4,5,6,7,8,9},C117,ROW(INDIRECT("1:"&amp;LEN(C117)))),1))," ",REPT(" ",LEN(C117))),LEN(C117)))</f>
        <v>42</v>
      </c>
      <c r="J118" s="94"/>
      <c r="K118" s="58"/>
      <c r="L118" s="59"/>
    </row>
    <row r="119" spans="1:12" ht="47.25" customHeight="1" x14ac:dyDescent="0.25">
      <c r="A119" s="104" t="s">
        <v>286</v>
      </c>
      <c r="B119" s="105"/>
      <c r="C119" s="95" t="str">
        <f ca="1">K117</f>
        <v>Excavation work Completed. Plinth work completed, RCC upto 41 Slab, Brickwork upto 39 Floor, Internal Plaster upto 39 Floor, External Plaster upto 39 Floor, Flooring upto 15 Floor Completed</v>
      </c>
      <c r="D119" s="95"/>
      <c r="E119" s="95"/>
      <c r="F119" s="95"/>
      <c r="G119" s="95"/>
      <c r="H119" s="95"/>
      <c r="I119" s="95"/>
      <c r="J119" s="96"/>
      <c r="K119" s="58" t="s">
        <v>287</v>
      </c>
      <c r="L119" s="59"/>
    </row>
    <row r="120" spans="1:12" ht="15.75" customHeight="1" x14ac:dyDescent="0.25">
      <c r="A120" s="91" t="s">
        <v>35</v>
      </c>
      <c r="B120" s="92"/>
      <c r="C120" s="83" t="s">
        <v>288</v>
      </c>
      <c r="D120" s="92" t="s">
        <v>289</v>
      </c>
      <c r="E120" s="92"/>
      <c r="F120" s="92" t="s">
        <v>290</v>
      </c>
      <c r="G120" s="92"/>
      <c r="H120" s="92" t="s">
        <v>291</v>
      </c>
      <c r="I120" s="92"/>
      <c r="J120" s="97"/>
      <c r="K120" s="60" t="s">
        <v>292</v>
      </c>
      <c r="L120" s="61">
        <f ca="1">I118*25%</f>
        <v>10.5</v>
      </c>
    </row>
    <row r="121" spans="1:12" ht="15.75" customHeight="1" x14ac:dyDescent="0.25">
      <c r="A121" s="91" t="s">
        <v>293</v>
      </c>
      <c r="B121" s="92"/>
      <c r="C121" s="67">
        <f ca="1">L122</f>
        <v>42</v>
      </c>
      <c r="D121" s="90">
        <f ca="1">((100/I118)*C121)/100</f>
        <v>1</v>
      </c>
      <c r="E121" s="90"/>
      <c r="F121" s="90">
        <f ca="1">(((C122/I118*10)+(40/(D118+G118+I118)*C123)+(7.5/(I118)*C124)+(7.5/(I118)*C125)+(10/I118*C126)+(10/I118*C127)+(5/I118*C128)+(5/I118*C129)+(5/I118*C130))/100)</f>
        <v>0.74925249169435215</v>
      </c>
      <c r="G121" s="90"/>
      <c r="H121" s="90">
        <f ca="1">((((C121/I118)*20)+((C122/I118)*25)+(30/(I118+G118+D118)*C123)+(5/I118*C124)+(5/I118*C125)+(5/I118*C126)+(5/I118*C127)+(0/I118*C128)+(0/I118*C129)+(5/I118*C130))/100)</f>
        <v>0.89318936877076416</v>
      </c>
      <c r="I121" s="90"/>
      <c r="J121" s="99"/>
      <c r="K121" s="60" t="s">
        <v>176</v>
      </c>
      <c r="L121" s="62">
        <f ca="1">I118*50%</f>
        <v>21</v>
      </c>
    </row>
    <row r="122" spans="1:12" ht="15.75" x14ac:dyDescent="0.25">
      <c r="A122" s="91" t="s">
        <v>36</v>
      </c>
      <c r="B122" s="92"/>
      <c r="C122" s="68">
        <f ca="1">L130</f>
        <v>42</v>
      </c>
      <c r="D122" s="90">
        <f ca="1">((100/I118)*C122)/100</f>
        <v>1</v>
      </c>
      <c r="E122" s="90"/>
      <c r="F122" s="90"/>
      <c r="G122" s="90"/>
      <c r="H122" s="90"/>
      <c r="I122" s="90"/>
      <c r="J122" s="99"/>
      <c r="K122" s="60" t="s">
        <v>178</v>
      </c>
      <c r="L122" s="62">
        <f ca="1">I118</f>
        <v>42</v>
      </c>
    </row>
    <row r="123" spans="1:12" ht="15.75" customHeight="1" x14ac:dyDescent="0.25">
      <c r="A123" s="101" t="s">
        <v>294</v>
      </c>
      <c r="B123" s="93"/>
      <c r="C123" s="68">
        <v>41</v>
      </c>
      <c r="D123" s="90">
        <f ca="1">((100/(D118+G118+I118))*C123)/100</f>
        <v>0.95348837209302328</v>
      </c>
      <c r="E123" s="90"/>
      <c r="F123" s="90"/>
      <c r="G123" s="90"/>
      <c r="H123" s="90"/>
      <c r="I123" s="90"/>
      <c r="J123" s="99"/>
      <c r="K123" s="60" t="s">
        <v>179</v>
      </c>
      <c r="L123" s="63">
        <f ca="1">(IF(B118&gt;1,(I118/(B118+2)),I118/4))</f>
        <v>10.5</v>
      </c>
    </row>
    <row r="124" spans="1:12" ht="15" customHeight="1" x14ac:dyDescent="0.25">
      <c r="A124" s="91" t="s">
        <v>295</v>
      </c>
      <c r="B124" s="92" t="s">
        <v>296</v>
      </c>
      <c r="C124" s="68">
        <f>C123-2</f>
        <v>39</v>
      </c>
      <c r="D124" s="90">
        <f ca="1">((100/I118)*C124)/100</f>
        <v>0.9285714285714286</v>
      </c>
      <c r="E124" s="90"/>
      <c r="F124" s="90"/>
      <c r="G124" s="90"/>
      <c r="H124" s="90"/>
      <c r="I124" s="90"/>
      <c r="J124" s="99"/>
      <c r="K124" s="60" t="s">
        <v>180</v>
      </c>
      <c r="L124" s="63">
        <f ca="1">(IF(B118&gt;1,(I118/(B118+2)+L123),I118/4+L123))</f>
        <v>21</v>
      </c>
    </row>
    <row r="125" spans="1:12" ht="15.75" customHeight="1" x14ac:dyDescent="0.25">
      <c r="A125" s="91" t="s">
        <v>297</v>
      </c>
      <c r="B125" s="92" t="s">
        <v>296</v>
      </c>
      <c r="C125" s="68">
        <v>39</v>
      </c>
      <c r="D125" s="90">
        <f ca="1">((100/I118)*C125)/100</f>
        <v>0.9285714285714286</v>
      </c>
      <c r="E125" s="90"/>
      <c r="F125" s="90"/>
      <c r="G125" s="90"/>
      <c r="H125" s="90"/>
      <c r="I125" s="90"/>
      <c r="J125" s="99"/>
      <c r="K125" s="60" t="s">
        <v>298</v>
      </c>
      <c r="L125" s="63">
        <f>(IF(B118&gt;1,(I118/(B118+2)+L124),0))</f>
        <v>0</v>
      </c>
    </row>
    <row r="126" spans="1:12" ht="15.75" customHeight="1" x14ac:dyDescent="0.25">
      <c r="A126" s="101" t="s">
        <v>299</v>
      </c>
      <c r="B126" s="93" t="s">
        <v>300</v>
      </c>
      <c r="C126" s="68">
        <v>39</v>
      </c>
      <c r="D126" s="90">
        <f ca="1">((100/(I118))*C126)/100</f>
        <v>0.9285714285714286</v>
      </c>
      <c r="E126" s="90"/>
      <c r="F126" s="90"/>
      <c r="G126" s="90"/>
      <c r="H126" s="90"/>
      <c r="I126" s="90"/>
      <c r="J126" s="99"/>
      <c r="K126" s="60" t="s">
        <v>301</v>
      </c>
      <c r="L126" s="63">
        <f>(IF(B118&gt;2,(I118/(B118+2)+L125),0))</f>
        <v>0</v>
      </c>
    </row>
    <row r="127" spans="1:12" ht="15" customHeight="1" x14ac:dyDescent="0.25">
      <c r="A127" s="91" t="s">
        <v>302</v>
      </c>
      <c r="B127" s="92" t="s">
        <v>302</v>
      </c>
      <c r="C127" s="67">
        <v>15</v>
      </c>
      <c r="D127" s="90">
        <f ca="1">((100/I118)*C127)/100</f>
        <v>0.35714285714285715</v>
      </c>
      <c r="E127" s="90"/>
      <c r="F127" s="90"/>
      <c r="G127" s="90"/>
      <c r="H127" s="90"/>
      <c r="I127" s="90"/>
      <c r="J127" s="99"/>
      <c r="K127" s="60" t="s">
        <v>303</v>
      </c>
      <c r="L127" s="64">
        <f>(IF(B118&gt;3,(I118/(B118+2)+L126),0))</f>
        <v>0</v>
      </c>
    </row>
    <row r="128" spans="1:12" ht="15" customHeight="1" x14ac:dyDescent="0.25">
      <c r="A128" s="101" t="s">
        <v>304</v>
      </c>
      <c r="B128" s="93"/>
      <c r="C128" s="67">
        <v>0</v>
      </c>
      <c r="D128" s="90">
        <f ca="1">((100/I118)*C128)/100</f>
        <v>0</v>
      </c>
      <c r="E128" s="90"/>
      <c r="F128" s="90"/>
      <c r="G128" s="90"/>
      <c r="H128" s="90"/>
      <c r="I128" s="90"/>
      <c r="J128" s="99"/>
      <c r="K128" s="60" t="s">
        <v>305</v>
      </c>
      <c r="L128" s="63">
        <f>(IF(B118&gt;4,(I118/(B118+2)+L127),0))</f>
        <v>0</v>
      </c>
    </row>
    <row r="129" spans="1:12" ht="16.5" customHeight="1" x14ac:dyDescent="0.25">
      <c r="A129" s="91" t="s">
        <v>306</v>
      </c>
      <c r="B129" s="92" t="s">
        <v>306</v>
      </c>
      <c r="C129" s="67">
        <v>0</v>
      </c>
      <c r="D129" s="90">
        <f ca="1">((100/(I118))*C129)/100</f>
        <v>0</v>
      </c>
      <c r="E129" s="90"/>
      <c r="F129" s="90"/>
      <c r="G129" s="90"/>
      <c r="H129" s="90"/>
      <c r="I129" s="90"/>
      <c r="J129" s="99"/>
      <c r="K129" s="60" t="s">
        <v>181</v>
      </c>
      <c r="L129" s="63">
        <f ca="1">(IF(B118=1,(I118/(B118+3)+L124),IF(B118=0,(I118/4+L124),IF(B118&gt;1,0))))</f>
        <v>31.5</v>
      </c>
    </row>
    <row r="130" spans="1:12" ht="16.5" thickBot="1" x14ac:dyDescent="0.3">
      <c r="A130" s="111" t="s">
        <v>307</v>
      </c>
      <c r="B130" s="112"/>
      <c r="C130" s="72">
        <v>0</v>
      </c>
      <c r="D130" s="98">
        <f ca="1">((100/(I118))*C130)/100</f>
        <v>0</v>
      </c>
      <c r="E130" s="98"/>
      <c r="F130" s="98"/>
      <c r="G130" s="98"/>
      <c r="H130" s="98"/>
      <c r="I130" s="98"/>
      <c r="J130" s="100"/>
      <c r="K130" s="65" t="s">
        <v>182</v>
      </c>
      <c r="L130" s="66">
        <f ca="1">(IF(B118&gt;1.5,(I118/(B118+2)+L124+MAX(0,L125-L124)+MAX(0,L126-L125)+MAX(0,L127-L126)+MAX(0,L128-L127)+MAX(0,L129-L128)),IF(B118=1,(I118/(B118+3)+L129),IF(B118=0,I118/4+L129))))</f>
        <v>42</v>
      </c>
    </row>
    <row r="131" spans="1:12" ht="15.75" x14ac:dyDescent="0.25">
      <c r="A131" s="102" t="s">
        <v>284</v>
      </c>
      <c r="B131" s="103"/>
      <c r="C131" s="113" t="s">
        <v>335</v>
      </c>
      <c r="D131" s="113"/>
      <c r="E131" s="113"/>
      <c r="F131" s="113"/>
      <c r="G131" s="113"/>
      <c r="H131" s="113"/>
      <c r="I131" s="113"/>
      <c r="J131" s="114"/>
      <c r="K131" s="56" t="str">
        <f ca="1">(IF(F135&gt;99%,"All work completed. Please provide OC.",IF(F135&gt;89.8%,"Plinth, RCC, Brick, Plaster, Flooring, Painting work Completed. Finishing work is in process.",IF(F135&lt;94%,(IF(C135=0,"Work not yet Started.",IF(D135=25%,"Piling work in process",IF(D135=50%,"Excavation work in process",IF(D135=100%,"Excavation work Completed. ","0")))&amp;(IF(C136=0%,"",IF(C136=L137,"Footing work is process",IF(C136=L138,"Footing work Completed",IF(C136=L139,"1st Basement Completed",IF(C136=L140,"1st &amp; 2nd Basement Completed",IF(C136=L141,"1st to 3rd Basement Completed",IF(C136=L142,"1st to 4th Basement Completed",IF(C136=L143,"Plinth work is process",IF(C136=L144,"Plinth work completed","0")))))))))))&amp;(IF(C137=(D132+G132+I132),", RCC Slab",IF(C137&gt;0,", RCC upto "&amp;C137&amp;" Slab",""))&amp;(IF(C138=I132,", Brickwork",IF(C138&gt;0,", Brickwork upto "&amp;C138&amp;" Floor",""))&amp;(IF(C139=I132,", Internal Plaster",IF(C139&gt;0,", Internal Plaster upto "&amp;C139&amp;" Floor",""))&amp;(IF(C140=I132,", External Plaster",IF(C140&gt;0,", External Plaster upto "&amp;C140&amp;" Floor",""))&amp;(IF(C141=I132,", Flooring",IF(C141&gt;0,", Flooring upto "&amp;C141&amp;" Floor",""))&amp;(IF(C142=I132,", Painting",IF(C142&gt;0,", Painting upto "&amp;C142&amp;" Floor",""))&amp;(IF(C143&gt;0,", Finishing upto "&amp;C143&amp;" Floor","")&amp;(IF(C137&gt;0.5," Completed",""))))))))))))))</f>
        <v>Excavation work Completed. Plinth work completed, RCC upto 24 Slab, Brickwork upto 23 Floor, Internal Plaster upto 16.1 Floor, External Plaster upto 16.1 Floor Completed</v>
      </c>
      <c r="L131" s="57"/>
    </row>
    <row r="132" spans="1:12" ht="15" customHeight="1" x14ac:dyDescent="0.25">
      <c r="A132" s="84" t="s">
        <v>142</v>
      </c>
      <c r="B132" s="85">
        <v>1</v>
      </c>
      <c r="C132" s="85" t="s">
        <v>144</v>
      </c>
      <c r="D132" s="85">
        <v>1</v>
      </c>
      <c r="E132" s="93" t="s">
        <v>143</v>
      </c>
      <c r="F132" s="93"/>
      <c r="G132" s="85">
        <v>0</v>
      </c>
      <c r="H132" s="85" t="s">
        <v>285</v>
      </c>
      <c r="I132" s="93">
        <f ca="1">--TRIM(RIGHT(SUBSTITUTE(LEFT(C131,_xlfn.AGGREGATE(16,6,FIND({0,1,2,3,4,5,6,7,8,9},C131,ROW(INDIRECT("1:"&amp;LEN(C131)))),1))," ",REPT(" ",LEN(C131))),LEN(C131)))</f>
        <v>42</v>
      </c>
      <c r="J132" s="94"/>
      <c r="K132" s="58"/>
      <c r="L132" s="59"/>
    </row>
    <row r="133" spans="1:12" ht="48" customHeight="1" x14ac:dyDescent="0.25">
      <c r="A133" s="104" t="s">
        <v>286</v>
      </c>
      <c r="B133" s="105"/>
      <c r="C133" s="95" t="str">
        <f ca="1">K131</f>
        <v>Excavation work Completed. Plinth work completed, RCC upto 24 Slab, Brickwork upto 23 Floor, Internal Plaster upto 16.1 Floor, External Plaster upto 16.1 Floor Completed</v>
      </c>
      <c r="D133" s="95"/>
      <c r="E133" s="95"/>
      <c r="F133" s="95"/>
      <c r="G133" s="95"/>
      <c r="H133" s="95"/>
      <c r="I133" s="95"/>
      <c r="J133" s="96"/>
      <c r="K133" s="58" t="s">
        <v>287</v>
      </c>
      <c r="L133" s="59"/>
    </row>
    <row r="134" spans="1:12" ht="15.75" customHeight="1" x14ac:dyDescent="0.25">
      <c r="A134" s="91" t="s">
        <v>35</v>
      </c>
      <c r="B134" s="92"/>
      <c r="C134" s="83" t="s">
        <v>288</v>
      </c>
      <c r="D134" s="92" t="s">
        <v>289</v>
      </c>
      <c r="E134" s="92"/>
      <c r="F134" s="92" t="s">
        <v>290</v>
      </c>
      <c r="G134" s="92"/>
      <c r="H134" s="92" t="s">
        <v>291</v>
      </c>
      <c r="I134" s="92"/>
      <c r="J134" s="97"/>
      <c r="K134" s="60" t="s">
        <v>292</v>
      </c>
      <c r="L134" s="61">
        <f ca="1">I132*25%</f>
        <v>10.5</v>
      </c>
    </row>
    <row r="135" spans="1:12" ht="15.75" customHeight="1" x14ac:dyDescent="0.25">
      <c r="A135" s="91" t="s">
        <v>293</v>
      </c>
      <c r="B135" s="92"/>
      <c r="C135" s="67">
        <f ca="1">L136</f>
        <v>42</v>
      </c>
      <c r="D135" s="90">
        <f ca="1">((100/I132)*C135)/100</f>
        <v>1</v>
      </c>
      <c r="E135" s="90"/>
      <c r="F135" s="90">
        <f ca="1">(((C136/I132*10)+(40/(D132+G132+I132)*C137)+(7.5/(I132)*C138)+(7.5/(I132)*C139)+(10/I132*C140)+(10/I132*C141)+(5/I132*C142)+(5/I132*C143)+(5/I132*C144))/100)</f>
        <v>0.43141057585825032</v>
      </c>
      <c r="G135" s="90"/>
      <c r="H135" s="90">
        <f ca="1">((((C135/I132)*20)+((C136/I132)*25)+(30/(I132+G132+D132)*C137)+(5/I132*C138)+(5/I132*C139)+(5/I132*C140)+(5/I132*C141)+(0/I132*C142)+(0/I132*C143)+(5/I132*C144))/100)</f>
        <v>0.68315614617940212</v>
      </c>
      <c r="I135" s="90"/>
      <c r="J135" s="99"/>
      <c r="K135" s="60" t="s">
        <v>176</v>
      </c>
      <c r="L135" s="62">
        <f ca="1">I132*50%</f>
        <v>21</v>
      </c>
    </row>
    <row r="136" spans="1:12" ht="15.75" x14ac:dyDescent="0.25">
      <c r="A136" s="91" t="s">
        <v>36</v>
      </c>
      <c r="B136" s="92"/>
      <c r="C136" s="68">
        <f ca="1">L144</f>
        <v>42</v>
      </c>
      <c r="D136" s="90">
        <f ca="1">((100/I132)*C136)/100</f>
        <v>1</v>
      </c>
      <c r="E136" s="90"/>
      <c r="F136" s="90"/>
      <c r="G136" s="90"/>
      <c r="H136" s="90"/>
      <c r="I136" s="90"/>
      <c r="J136" s="99"/>
      <c r="K136" s="60" t="s">
        <v>178</v>
      </c>
      <c r="L136" s="62">
        <f ca="1">I132</f>
        <v>42</v>
      </c>
    </row>
    <row r="137" spans="1:12" ht="15.75" customHeight="1" x14ac:dyDescent="0.25">
      <c r="A137" s="101" t="s">
        <v>294</v>
      </c>
      <c r="B137" s="93"/>
      <c r="C137" s="68">
        <v>24</v>
      </c>
      <c r="D137" s="90">
        <f ca="1">((100/(D132+G132+I132))*C137)/100</f>
        <v>0.55813953488372092</v>
      </c>
      <c r="E137" s="90"/>
      <c r="F137" s="90"/>
      <c r="G137" s="90"/>
      <c r="H137" s="90"/>
      <c r="I137" s="90"/>
      <c r="J137" s="99"/>
      <c r="K137" s="60" t="s">
        <v>179</v>
      </c>
      <c r="L137" s="63">
        <f ca="1">(IF(B132&gt;1,(I132/(B132+2)),I132/4))</f>
        <v>10.5</v>
      </c>
    </row>
    <row r="138" spans="1:12" ht="15" customHeight="1" x14ac:dyDescent="0.25">
      <c r="A138" s="91" t="s">
        <v>295</v>
      </c>
      <c r="B138" s="92" t="s">
        <v>296</v>
      </c>
      <c r="C138" s="68">
        <f>C137-1</f>
        <v>23</v>
      </c>
      <c r="D138" s="90">
        <f ca="1">((100/I132)*C138)/100</f>
        <v>0.54761904761904756</v>
      </c>
      <c r="E138" s="90"/>
      <c r="F138" s="90"/>
      <c r="G138" s="90"/>
      <c r="H138" s="90"/>
      <c r="I138" s="90"/>
      <c r="J138" s="99"/>
      <c r="K138" s="60" t="s">
        <v>180</v>
      </c>
      <c r="L138" s="63">
        <f ca="1">(IF(B132&gt;1,(I132/(B132+2)+L137),I132/4+L137))</f>
        <v>21</v>
      </c>
    </row>
    <row r="139" spans="1:12" ht="15.75" customHeight="1" x14ac:dyDescent="0.25">
      <c r="A139" s="91" t="s">
        <v>297</v>
      </c>
      <c r="B139" s="92" t="s">
        <v>296</v>
      </c>
      <c r="C139" s="68">
        <f>C138*0.7</f>
        <v>16.099999999999998</v>
      </c>
      <c r="D139" s="90">
        <f ca="1">((100/I132)*C139)/100</f>
        <v>0.3833333333333333</v>
      </c>
      <c r="E139" s="90"/>
      <c r="F139" s="90"/>
      <c r="G139" s="90"/>
      <c r="H139" s="90"/>
      <c r="I139" s="90"/>
      <c r="J139" s="99"/>
      <c r="K139" s="60" t="s">
        <v>298</v>
      </c>
      <c r="L139" s="63">
        <f>(IF(B132&gt;1,(I132/(B132+2)+L138),0))</f>
        <v>0</v>
      </c>
    </row>
    <row r="140" spans="1:12" ht="15.75" customHeight="1" x14ac:dyDescent="0.25">
      <c r="A140" s="101" t="s">
        <v>299</v>
      </c>
      <c r="B140" s="93" t="s">
        <v>300</v>
      </c>
      <c r="C140" s="68">
        <f>C139</f>
        <v>16.099999999999998</v>
      </c>
      <c r="D140" s="90">
        <f ca="1">((100/(I132))*C140)/100</f>
        <v>0.3833333333333333</v>
      </c>
      <c r="E140" s="90"/>
      <c r="F140" s="90"/>
      <c r="G140" s="90"/>
      <c r="H140" s="90"/>
      <c r="I140" s="90"/>
      <c r="J140" s="99"/>
      <c r="K140" s="60" t="s">
        <v>301</v>
      </c>
      <c r="L140" s="63">
        <f>(IF(B132&gt;2,(I132/(B132+2)+L139),0))</f>
        <v>0</v>
      </c>
    </row>
    <row r="141" spans="1:12" ht="15" customHeight="1" x14ac:dyDescent="0.25">
      <c r="A141" s="91" t="s">
        <v>302</v>
      </c>
      <c r="B141" s="92" t="s">
        <v>302</v>
      </c>
      <c r="C141" s="67">
        <v>0</v>
      </c>
      <c r="D141" s="90">
        <f ca="1">((100/I132)*C141)/100</f>
        <v>0</v>
      </c>
      <c r="E141" s="90"/>
      <c r="F141" s="90"/>
      <c r="G141" s="90"/>
      <c r="H141" s="90"/>
      <c r="I141" s="90"/>
      <c r="J141" s="99"/>
      <c r="K141" s="60" t="s">
        <v>303</v>
      </c>
      <c r="L141" s="64">
        <f>(IF(B132&gt;3,(I132/(B132+2)+L140),0))</f>
        <v>0</v>
      </c>
    </row>
    <row r="142" spans="1:12" ht="15" customHeight="1" x14ac:dyDescent="0.25">
      <c r="A142" s="101" t="s">
        <v>304</v>
      </c>
      <c r="B142" s="93"/>
      <c r="C142" s="67">
        <v>0</v>
      </c>
      <c r="D142" s="90">
        <f ca="1">((100/I132)*C142)/100</f>
        <v>0</v>
      </c>
      <c r="E142" s="90"/>
      <c r="F142" s="90"/>
      <c r="G142" s="90"/>
      <c r="H142" s="90"/>
      <c r="I142" s="90"/>
      <c r="J142" s="99"/>
      <c r="K142" s="60" t="s">
        <v>305</v>
      </c>
      <c r="L142" s="63">
        <f>(IF(B132&gt;4,(I132/(B132+2)+L141),0))</f>
        <v>0</v>
      </c>
    </row>
    <row r="143" spans="1:12" ht="16.5" customHeight="1" x14ac:dyDescent="0.25">
      <c r="A143" s="91" t="s">
        <v>306</v>
      </c>
      <c r="B143" s="92" t="s">
        <v>306</v>
      </c>
      <c r="C143" s="67">
        <v>0</v>
      </c>
      <c r="D143" s="90">
        <f ca="1">((100/(I132))*C143)/100</f>
        <v>0</v>
      </c>
      <c r="E143" s="90"/>
      <c r="F143" s="90"/>
      <c r="G143" s="90"/>
      <c r="H143" s="90"/>
      <c r="I143" s="90"/>
      <c r="J143" s="99"/>
      <c r="K143" s="60" t="s">
        <v>181</v>
      </c>
      <c r="L143" s="63">
        <f ca="1">(IF(B132=1,(I132/(B132+3)+L138),IF(B132=0,(I132/4+L138),IF(B132&gt;1,0))))</f>
        <v>31.5</v>
      </c>
    </row>
    <row r="144" spans="1:12" ht="16.5" thickBot="1" x14ac:dyDescent="0.3">
      <c r="A144" s="111" t="s">
        <v>307</v>
      </c>
      <c r="B144" s="112"/>
      <c r="C144" s="72">
        <v>0</v>
      </c>
      <c r="D144" s="98">
        <f ca="1">((100/(I132))*C144)/100</f>
        <v>0</v>
      </c>
      <c r="E144" s="98"/>
      <c r="F144" s="98"/>
      <c r="G144" s="98"/>
      <c r="H144" s="98"/>
      <c r="I144" s="98"/>
      <c r="J144" s="100"/>
      <c r="K144" s="77" t="s">
        <v>182</v>
      </c>
      <c r="L144" s="63">
        <f ca="1">(IF(B132&gt;1.5,(I132/(B132+2)+L138+MAX(0,L139-L138)+MAX(0,L140-L139)+MAX(0,L141-L140)+MAX(0,L142-L141)+MAX(0,L143-L142)),IF(B132=1,(I132/(B132+3)+L143),IF(B132=0,I132/4+L143))))</f>
        <v>42</v>
      </c>
    </row>
    <row r="145" spans="1:12" ht="15.75" x14ac:dyDescent="0.25">
      <c r="A145" s="259" t="s">
        <v>284</v>
      </c>
      <c r="B145" s="260"/>
      <c r="C145" s="261" t="s">
        <v>336</v>
      </c>
      <c r="D145" s="261"/>
      <c r="E145" s="261"/>
      <c r="F145" s="261"/>
      <c r="G145" s="261"/>
      <c r="H145" s="261"/>
      <c r="I145" s="261"/>
      <c r="J145" s="262"/>
      <c r="K145" s="78"/>
      <c r="L145" s="78"/>
    </row>
    <row r="146" spans="1:12" s="81" customFormat="1" ht="26.25" customHeight="1" thickBot="1" x14ac:dyDescent="0.3">
      <c r="A146" s="263" t="s">
        <v>290</v>
      </c>
      <c r="B146" s="264"/>
      <c r="C146" s="265">
        <f ca="1">SUM(F121+F135)/2</f>
        <v>0.59033153377630121</v>
      </c>
      <c r="D146" s="266"/>
      <c r="E146" s="264" t="s">
        <v>291</v>
      </c>
      <c r="F146" s="264"/>
      <c r="G146" s="264"/>
      <c r="H146" s="265">
        <f ca="1">SUM(H121+H135)/2</f>
        <v>0.7881727574750832</v>
      </c>
      <c r="I146" s="266"/>
      <c r="J146" s="267"/>
      <c r="K146" s="80"/>
      <c r="L146" s="80"/>
    </row>
    <row r="147" spans="1:12" ht="15.75" x14ac:dyDescent="0.25">
      <c r="A147" s="102" t="s">
        <v>284</v>
      </c>
      <c r="B147" s="103"/>
      <c r="C147" s="113" t="s">
        <v>333</v>
      </c>
      <c r="D147" s="113"/>
      <c r="E147" s="113"/>
      <c r="F147" s="113"/>
      <c r="G147" s="113"/>
      <c r="H147" s="113"/>
      <c r="I147" s="113"/>
      <c r="J147" s="114"/>
      <c r="K147" s="78" t="str">
        <f ca="1">(IF(F151&gt;99%,"All work completed. Please provide OC.",IF(F151&gt;89.8%,"Plinth, RCC, Brick, Plaster, Flooring, Painting work Completed. Finishing work is in process.",IF(F151&lt;94%,(IF(C151=0,"Work not yet Started.",IF(D151=25%,"Piling work in process",IF(D151=50%,"Excavation work in process",IF(D151=100%,"Excavation work Completed. ","0")))&amp;(IF(C152=0%,"",IF(C152=L153,"Footing work is process",IF(C152=L154,"Footing work Completed",IF(C152=L155,"1st Basement Completed",IF(C152=L156,"1st &amp; 2nd Basement Completed",IF(C152=L157,"1st to 3rd Basement Completed",IF(C152=L158,"1st to 4th Basement Completed",IF(C152=L159,"Plinth work is process",IF(C152=L160,"Plinth work completed","0")))))))))))&amp;(IF(C153=(D148+G148+I148),", RCC Slab",IF(C153&gt;0,", RCC upto "&amp;C153&amp;" Slab",""))&amp;(IF(C154=I148,", Brickwork",IF(C154&gt;0,", Brickwork upto "&amp;C154&amp;" Floor",""))&amp;(IF(C155=I148,", Internal Plaster",IF(C155&gt;0,", Internal Plaster upto "&amp;C155&amp;" Floor",""))&amp;(IF(C156=I148,", External Plaster",IF(C156&gt;0,", External Plaster upto "&amp;C156&amp;" Floor",""))&amp;(IF(C157=I148,", Flooring",IF(C157&gt;0,", Flooring upto "&amp;C157&amp;" Floor",""))&amp;(IF(C158=I148,", Painting",IF(C158&gt;0,", Painting upto "&amp;C158&amp;" Floor",""))&amp;(IF(C159&gt;0,", Finishing upto "&amp;C159&amp;" Floor","")&amp;(IF(C153&gt;0.5," Completed",""))))))))))))))</f>
        <v>Excavation work Completed. Plinth work completed, RCC upto 41 Slab, Brickwork upto 40 Floor, Internal Plaster upto 39 Floor, External Plaster upto 39 Floor, Flooring upto 20 Floor Completed</v>
      </c>
      <c r="L147" s="59"/>
    </row>
    <row r="148" spans="1:12" ht="15" customHeight="1" x14ac:dyDescent="0.25">
      <c r="A148" s="84" t="s">
        <v>142</v>
      </c>
      <c r="B148" s="85">
        <v>1</v>
      </c>
      <c r="C148" s="85" t="s">
        <v>144</v>
      </c>
      <c r="D148" s="85">
        <v>1</v>
      </c>
      <c r="E148" s="93" t="s">
        <v>143</v>
      </c>
      <c r="F148" s="93"/>
      <c r="G148" s="85">
        <v>0</v>
      </c>
      <c r="H148" s="85" t="s">
        <v>285</v>
      </c>
      <c r="I148" s="93">
        <f ca="1">--TRIM(RIGHT(SUBSTITUTE(LEFT(C147,_xlfn.AGGREGATE(16,6,FIND({0,1,2,3,4,5,6,7,8,9},C147,ROW(INDIRECT("1:"&amp;LEN(C147)))),1))," ",REPT(" ",LEN(C147))),LEN(C147)))</f>
        <v>42</v>
      </c>
      <c r="J148" s="94"/>
      <c r="K148" s="58"/>
      <c r="L148" s="59"/>
    </row>
    <row r="149" spans="1:12" ht="47.25" customHeight="1" x14ac:dyDescent="0.25">
      <c r="A149" s="104" t="s">
        <v>286</v>
      </c>
      <c r="B149" s="105"/>
      <c r="C149" s="95" t="str">
        <f ca="1">K147</f>
        <v>Excavation work Completed. Plinth work completed, RCC upto 41 Slab, Brickwork upto 40 Floor, Internal Plaster upto 39 Floor, External Plaster upto 39 Floor, Flooring upto 20 Floor Completed</v>
      </c>
      <c r="D149" s="95"/>
      <c r="E149" s="95"/>
      <c r="F149" s="95"/>
      <c r="G149" s="95"/>
      <c r="H149" s="95"/>
      <c r="I149" s="95"/>
      <c r="J149" s="96"/>
      <c r="K149" s="58" t="s">
        <v>287</v>
      </c>
      <c r="L149" s="59"/>
    </row>
    <row r="150" spans="1:12" ht="15.75" customHeight="1" x14ac:dyDescent="0.25">
      <c r="A150" s="91" t="s">
        <v>35</v>
      </c>
      <c r="B150" s="92"/>
      <c r="C150" s="83" t="s">
        <v>288</v>
      </c>
      <c r="D150" s="92" t="s">
        <v>289</v>
      </c>
      <c r="E150" s="92"/>
      <c r="F150" s="92" t="s">
        <v>290</v>
      </c>
      <c r="G150" s="92"/>
      <c r="H150" s="92" t="s">
        <v>291</v>
      </c>
      <c r="I150" s="92"/>
      <c r="J150" s="97"/>
      <c r="K150" s="60" t="s">
        <v>292</v>
      </c>
      <c r="L150" s="61">
        <f ca="1">I148*25%</f>
        <v>10.5</v>
      </c>
    </row>
    <row r="151" spans="1:12" ht="15.75" customHeight="1" x14ac:dyDescent="0.25">
      <c r="A151" s="91" t="s">
        <v>293</v>
      </c>
      <c r="B151" s="92"/>
      <c r="C151" s="67">
        <f ca="1">L152</f>
        <v>42</v>
      </c>
      <c r="D151" s="90">
        <f ca="1">((100/I148)*C151)/100</f>
        <v>1</v>
      </c>
      <c r="E151" s="90"/>
      <c r="F151" s="90">
        <f ca="1">(((C152/I148*10)+(40/(D148+G148+I148)*C153)+(7.5/(I148)*C154)+(7.5/(I148)*C155)+(10/I148*C156)+(10/I148*C157)+(5/I148*C158)+(5/I148*C159)+(5/I148*C160))/100)</f>
        <v>0.76294296788482829</v>
      </c>
      <c r="G151" s="90"/>
      <c r="H151" s="90">
        <f ca="1">((((C151/I148)*20)+((C152/I148)*25)+(30/(I148+G148+D148)*C153)+(5/I148*C154)+(5/I148*C155)+(5/I148*C156)+(5/I148*C157)+(0/I148*C158)+(0/I148*C159)+(5/I148*C160))/100)</f>
        <v>0.90033222591362116</v>
      </c>
      <c r="I151" s="90"/>
      <c r="J151" s="99"/>
      <c r="K151" s="60" t="s">
        <v>176</v>
      </c>
      <c r="L151" s="62">
        <f ca="1">I148*50%</f>
        <v>21</v>
      </c>
    </row>
    <row r="152" spans="1:12" ht="15.75" x14ac:dyDescent="0.25">
      <c r="A152" s="91" t="s">
        <v>36</v>
      </c>
      <c r="B152" s="92"/>
      <c r="C152" s="68">
        <f ca="1">L160</f>
        <v>42</v>
      </c>
      <c r="D152" s="90">
        <f ca="1">((100/I148)*C152)/100</f>
        <v>1</v>
      </c>
      <c r="E152" s="90"/>
      <c r="F152" s="90"/>
      <c r="G152" s="90"/>
      <c r="H152" s="90"/>
      <c r="I152" s="90"/>
      <c r="J152" s="99"/>
      <c r="K152" s="60" t="s">
        <v>178</v>
      </c>
      <c r="L152" s="62">
        <f ca="1">I148</f>
        <v>42</v>
      </c>
    </row>
    <row r="153" spans="1:12" ht="15.75" customHeight="1" x14ac:dyDescent="0.25">
      <c r="A153" s="101" t="s">
        <v>294</v>
      </c>
      <c r="B153" s="93"/>
      <c r="C153" s="68">
        <v>41</v>
      </c>
      <c r="D153" s="90">
        <f ca="1">((100/(D148+G148+I148))*C153)/100</f>
        <v>0.95348837209302328</v>
      </c>
      <c r="E153" s="90"/>
      <c r="F153" s="90"/>
      <c r="G153" s="90"/>
      <c r="H153" s="90"/>
      <c r="I153" s="90"/>
      <c r="J153" s="99"/>
      <c r="K153" s="60" t="s">
        <v>179</v>
      </c>
      <c r="L153" s="63">
        <f ca="1">(IF(B148&gt;1,(I148/(B148+2)),I148/4))</f>
        <v>10.5</v>
      </c>
    </row>
    <row r="154" spans="1:12" ht="15" customHeight="1" x14ac:dyDescent="0.25">
      <c r="A154" s="91" t="s">
        <v>295</v>
      </c>
      <c r="B154" s="92" t="s">
        <v>296</v>
      </c>
      <c r="C154" s="68">
        <f>C153-D148</f>
        <v>40</v>
      </c>
      <c r="D154" s="90">
        <f ca="1">((100/I148)*C154)/100</f>
        <v>0.95238095238095244</v>
      </c>
      <c r="E154" s="90"/>
      <c r="F154" s="90"/>
      <c r="G154" s="90"/>
      <c r="H154" s="90"/>
      <c r="I154" s="90"/>
      <c r="J154" s="99"/>
      <c r="K154" s="60" t="s">
        <v>180</v>
      </c>
      <c r="L154" s="63">
        <f ca="1">(IF(B148&gt;1,(I148/(B148+2)+L153),I148/4+L153))</f>
        <v>21</v>
      </c>
    </row>
    <row r="155" spans="1:12" ht="15.75" customHeight="1" x14ac:dyDescent="0.25">
      <c r="A155" s="91" t="s">
        <v>297</v>
      </c>
      <c r="B155" s="92" t="s">
        <v>296</v>
      </c>
      <c r="C155" s="68">
        <v>39</v>
      </c>
      <c r="D155" s="90">
        <f ca="1">((100/I148)*C155)/100</f>
        <v>0.9285714285714286</v>
      </c>
      <c r="E155" s="90"/>
      <c r="F155" s="90"/>
      <c r="G155" s="90"/>
      <c r="H155" s="90"/>
      <c r="I155" s="90"/>
      <c r="J155" s="99"/>
      <c r="K155" s="60" t="s">
        <v>298</v>
      </c>
      <c r="L155" s="63">
        <f>(IF(B148&gt;1,(I148/(B148+2)+L154),0))</f>
        <v>0</v>
      </c>
    </row>
    <row r="156" spans="1:12" ht="15.75" customHeight="1" x14ac:dyDescent="0.25">
      <c r="A156" s="101" t="s">
        <v>299</v>
      </c>
      <c r="B156" s="93" t="s">
        <v>300</v>
      </c>
      <c r="C156" s="68">
        <v>39</v>
      </c>
      <c r="D156" s="90">
        <f ca="1">((100/(I148))*C156)/100</f>
        <v>0.9285714285714286</v>
      </c>
      <c r="E156" s="90"/>
      <c r="F156" s="90"/>
      <c r="G156" s="90"/>
      <c r="H156" s="90"/>
      <c r="I156" s="90"/>
      <c r="J156" s="99"/>
      <c r="K156" s="60" t="s">
        <v>301</v>
      </c>
      <c r="L156" s="63">
        <f>(IF(B148&gt;2,(I148/(B148+2)+L155),0))</f>
        <v>0</v>
      </c>
    </row>
    <row r="157" spans="1:12" ht="15" customHeight="1" x14ac:dyDescent="0.25">
      <c r="A157" s="91" t="s">
        <v>302</v>
      </c>
      <c r="B157" s="92" t="s">
        <v>302</v>
      </c>
      <c r="C157" s="67">
        <v>20</v>
      </c>
      <c r="D157" s="90">
        <f ca="1">((100/I148)*C157)/100</f>
        <v>0.47619047619047622</v>
      </c>
      <c r="E157" s="90"/>
      <c r="F157" s="90"/>
      <c r="G157" s="90"/>
      <c r="H157" s="90"/>
      <c r="I157" s="90"/>
      <c r="J157" s="99"/>
      <c r="K157" s="60" t="s">
        <v>303</v>
      </c>
      <c r="L157" s="64">
        <f>(IF(B148&gt;3,(I148/(B148+2)+L156),0))</f>
        <v>0</v>
      </c>
    </row>
    <row r="158" spans="1:12" ht="15" customHeight="1" x14ac:dyDescent="0.25">
      <c r="A158" s="101" t="s">
        <v>304</v>
      </c>
      <c r="B158" s="93"/>
      <c r="C158" s="67">
        <v>0</v>
      </c>
      <c r="D158" s="90">
        <f ca="1">((100/I148)*C158)/100</f>
        <v>0</v>
      </c>
      <c r="E158" s="90"/>
      <c r="F158" s="90"/>
      <c r="G158" s="90"/>
      <c r="H158" s="90"/>
      <c r="I158" s="90"/>
      <c r="J158" s="99"/>
      <c r="K158" s="60" t="s">
        <v>305</v>
      </c>
      <c r="L158" s="63">
        <f>(IF(B148&gt;4,(I148/(B148+2)+L157),0))</f>
        <v>0</v>
      </c>
    </row>
    <row r="159" spans="1:12" ht="16.5" customHeight="1" x14ac:dyDescent="0.25">
      <c r="A159" s="91" t="s">
        <v>306</v>
      </c>
      <c r="B159" s="92" t="s">
        <v>306</v>
      </c>
      <c r="C159" s="67">
        <v>0</v>
      </c>
      <c r="D159" s="90">
        <f ca="1">((100/(I148))*C159)/100</f>
        <v>0</v>
      </c>
      <c r="E159" s="90"/>
      <c r="F159" s="90"/>
      <c r="G159" s="90"/>
      <c r="H159" s="90"/>
      <c r="I159" s="90"/>
      <c r="J159" s="99"/>
      <c r="K159" s="60" t="s">
        <v>181</v>
      </c>
      <c r="L159" s="63">
        <f ca="1">(IF(B148=1,(I148/(B148+3)+L154),IF(B148=0,(I148/4+L154),IF(B148&gt;1,0))))</f>
        <v>31.5</v>
      </c>
    </row>
    <row r="160" spans="1:12" ht="16.5" thickBot="1" x14ac:dyDescent="0.3">
      <c r="A160" s="111" t="s">
        <v>307</v>
      </c>
      <c r="B160" s="112"/>
      <c r="C160" s="72">
        <v>0</v>
      </c>
      <c r="D160" s="98">
        <f ca="1">((100/(I148))*C160)/100</f>
        <v>0</v>
      </c>
      <c r="E160" s="98"/>
      <c r="F160" s="98"/>
      <c r="G160" s="98"/>
      <c r="H160" s="98"/>
      <c r="I160" s="98"/>
      <c r="J160" s="100"/>
      <c r="K160" s="65" t="s">
        <v>182</v>
      </c>
      <c r="L160" s="66">
        <f ca="1">(IF(B148&gt;1.5,(I148/(B148+2)+L154+MAX(0,L155-L154)+MAX(0,L156-L155)+MAX(0,L157-L156)+MAX(0,L158-L157)+MAX(0,L159-L158)),IF(B148=1,(I148/(B148+3)+L159),IF(B148=0,I148/4+L159))))</f>
        <v>42</v>
      </c>
    </row>
    <row r="161" spans="1:12" ht="15.75" x14ac:dyDescent="0.25">
      <c r="A161" s="102" t="s">
        <v>284</v>
      </c>
      <c r="B161" s="103"/>
      <c r="C161" s="113" t="s">
        <v>308</v>
      </c>
      <c r="D161" s="113"/>
      <c r="E161" s="113"/>
      <c r="F161" s="113"/>
      <c r="G161" s="113"/>
      <c r="H161" s="113"/>
      <c r="I161" s="113"/>
      <c r="J161" s="114"/>
      <c r="K161" s="56" t="str">
        <f ca="1">(IF(F165&gt;99%,"All work completed. Please provide OC.",IF(F165&gt;89.8%,"Plinth, RCC, Brick, Plaster, Flooring, Painting work Completed. Finishing work is in process.",IF(F165&lt;94%,(IF(C165=0,"Work not yet Started.",IF(D165=25%,"Piling work in process",IF(D165=50%,"Excavation work in process",IF(D165=100%,"Excavation work Completed. ","0")))&amp;(IF(C166=0%,"",IF(C166=L167,"Footing work is process",IF(C166=L168,"Footing work Completed",IF(C166=L169,"1st Basement Completed",IF(C166=L170,"1st &amp; 2nd Basement Completed",IF(C166=L171,"1st to 3rd Basement Completed",IF(C166=L172,"1st to 4th Basement Completed",IF(C166=L173,"Plinth work is process",IF(C166=L174,"Plinth work completed","0")))))))))))&amp;(IF(C167=(D162+G162+I162),", RCC Slab",IF(C167&gt;0,", RCC upto "&amp;C167&amp;" Slab",""))&amp;(IF(C168=I162,", Brickwork",IF(C168&gt;0,", Brickwork upto "&amp;C168&amp;" Floor",""))&amp;(IF(C169=I162,", Internal Plaster",IF(C169&gt;0,", Internal Plaster upto "&amp;C169&amp;" Floor",""))&amp;(IF(C170=I162,", External Plaster",IF(C170&gt;0,", External Plaster upto "&amp;C170&amp;" Floor",""))&amp;(IF(C171=I162,", Flooring",IF(C171&gt;0,", Flooring upto "&amp;C171&amp;" Floor",""))&amp;(IF(C172=I162,", Painting",IF(C172&gt;0,", Painting upto "&amp;C172&amp;" Floor",""))&amp;(IF(C173&gt;0,", Finishing upto "&amp;C173&amp;" Floor","")&amp;(IF(C167&gt;0.5," Completed",""))))))))))))))</f>
        <v>Excavation work Completed. Plinth work completed, RCC upto 39 Slab, Brickwork upto 37 Floor, Internal Plaster upto 33 Floor, External Plaster upto 33 Floor, Flooring upto 15 Floor Completed</v>
      </c>
      <c r="L161" s="57"/>
    </row>
    <row r="162" spans="1:12" ht="15" customHeight="1" x14ac:dyDescent="0.25">
      <c r="A162" s="84" t="s">
        <v>142</v>
      </c>
      <c r="B162" s="85">
        <v>1</v>
      </c>
      <c r="C162" s="85" t="s">
        <v>144</v>
      </c>
      <c r="D162" s="85">
        <v>1</v>
      </c>
      <c r="E162" s="93" t="s">
        <v>143</v>
      </c>
      <c r="F162" s="93"/>
      <c r="G162" s="85">
        <v>1</v>
      </c>
      <c r="H162" s="85" t="s">
        <v>285</v>
      </c>
      <c r="I162" s="93">
        <f ca="1">--TRIM(RIGHT(SUBSTITUTE(LEFT(C161,_xlfn.AGGREGATE(16,6,FIND({0,1,2,3,4,5,6,7,8,9},C161,ROW(INDIRECT("1:"&amp;LEN(C161)))),1))," ",REPT(" ",LEN(C161))),LEN(C161)))</f>
        <v>41</v>
      </c>
      <c r="J162" s="94"/>
      <c r="K162" s="58"/>
      <c r="L162" s="59"/>
    </row>
    <row r="163" spans="1:12" ht="46.5" customHeight="1" x14ac:dyDescent="0.25">
      <c r="A163" s="104" t="s">
        <v>286</v>
      </c>
      <c r="B163" s="105"/>
      <c r="C163" s="95" t="str">
        <f ca="1">K161</f>
        <v>Excavation work Completed. Plinth work completed, RCC upto 39 Slab, Brickwork upto 37 Floor, Internal Plaster upto 33 Floor, External Plaster upto 33 Floor, Flooring upto 15 Floor Completed</v>
      </c>
      <c r="D163" s="95"/>
      <c r="E163" s="95"/>
      <c r="F163" s="95"/>
      <c r="G163" s="95"/>
      <c r="H163" s="95"/>
      <c r="I163" s="95"/>
      <c r="J163" s="96"/>
      <c r="K163" s="58" t="s">
        <v>287</v>
      </c>
      <c r="L163" s="59"/>
    </row>
    <row r="164" spans="1:12" ht="15.75" customHeight="1" x14ac:dyDescent="0.25">
      <c r="A164" s="91" t="s">
        <v>35</v>
      </c>
      <c r="B164" s="92"/>
      <c r="C164" s="83" t="s">
        <v>288</v>
      </c>
      <c r="D164" s="92" t="s">
        <v>289</v>
      </c>
      <c r="E164" s="92"/>
      <c r="F164" s="92" t="s">
        <v>290</v>
      </c>
      <c r="G164" s="92"/>
      <c r="H164" s="92" t="s">
        <v>291</v>
      </c>
      <c r="I164" s="92"/>
      <c r="J164" s="97"/>
      <c r="K164" s="60" t="s">
        <v>292</v>
      </c>
      <c r="L164" s="61">
        <f ca="1">I162*25%</f>
        <v>10.25</v>
      </c>
    </row>
    <row r="165" spans="1:12" ht="15.75" customHeight="1" x14ac:dyDescent="0.25">
      <c r="A165" s="91" t="s">
        <v>293</v>
      </c>
      <c r="B165" s="92"/>
      <c r="C165" s="67">
        <f ca="1">L166</f>
        <v>41</v>
      </c>
      <c r="D165" s="90">
        <f ca="1">((100/I162)*C165)/100</f>
        <v>1</v>
      </c>
      <c r="E165" s="90"/>
      <c r="F165" s="90">
        <f ca="1">(((C166/I162*10)+(40/(D162+G162+I162)*C167)+(7.5/(I162)*C168)+(7.5/(I162)*C169)+(10/I162*C170)+(10/I162*C171)+(5/I162*C172)+(5/I162*C173)+(5/I162*C174))/100)</f>
        <v>0.7079126488939308</v>
      </c>
      <c r="G165" s="90"/>
      <c r="H165" s="90">
        <f ca="1">((((C165/I162)*20)+((C166/I162)*25)+(30/(I162+G162+D162)*C167)+(5/I162*C168)+(5/I162*C169)+(5/I162*C170)+(5/I162*C171)+(0/I162*C172)+(0/I162*C173)+(5/I162*C174))/100)</f>
        <v>0.86599546228020441</v>
      </c>
      <c r="I165" s="90"/>
      <c r="J165" s="99"/>
      <c r="K165" s="60" t="s">
        <v>176</v>
      </c>
      <c r="L165" s="62">
        <f ca="1">I162*50%</f>
        <v>20.5</v>
      </c>
    </row>
    <row r="166" spans="1:12" ht="15.75" x14ac:dyDescent="0.25">
      <c r="A166" s="91" t="s">
        <v>36</v>
      </c>
      <c r="B166" s="92"/>
      <c r="C166" s="68">
        <f ca="1">L174</f>
        <v>41</v>
      </c>
      <c r="D166" s="90">
        <f ca="1">((100/I162)*C166)/100</f>
        <v>1</v>
      </c>
      <c r="E166" s="90"/>
      <c r="F166" s="90"/>
      <c r="G166" s="90"/>
      <c r="H166" s="90"/>
      <c r="I166" s="90"/>
      <c r="J166" s="99"/>
      <c r="K166" s="60" t="s">
        <v>178</v>
      </c>
      <c r="L166" s="62">
        <f ca="1">I162</f>
        <v>41</v>
      </c>
    </row>
    <row r="167" spans="1:12" ht="15.75" customHeight="1" x14ac:dyDescent="0.25">
      <c r="A167" s="101" t="s">
        <v>294</v>
      </c>
      <c r="B167" s="93"/>
      <c r="C167" s="68">
        <v>39</v>
      </c>
      <c r="D167" s="90">
        <f ca="1">((100/(D162+G162+I162))*C167)/100</f>
        <v>0.90697674418604668</v>
      </c>
      <c r="E167" s="90"/>
      <c r="F167" s="90"/>
      <c r="G167" s="90"/>
      <c r="H167" s="90"/>
      <c r="I167" s="90"/>
      <c r="J167" s="99"/>
      <c r="K167" s="60" t="s">
        <v>179</v>
      </c>
      <c r="L167" s="63">
        <f ca="1">(IF(B162&gt;1,(I162/(B162+2)),I162/4))</f>
        <v>10.25</v>
      </c>
    </row>
    <row r="168" spans="1:12" ht="15" customHeight="1" x14ac:dyDescent="0.25">
      <c r="A168" s="91" t="s">
        <v>295</v>
      </c>
      <c r="B168" s="92" t="s">
        <v>296</v>
      </c>
      <c r="C168" s="68">
        <f>C167-G162-D162</f>
        <v>37</v>
      </c>
      <c r="D168" s="90">
        <f ca="1">((100/I162)*C168)/100</f>
        <v>0.90243902439024382</v>
      </c>
      <c r="E168" s="90"/>
      <c r="F168" s="90"/>
      <c r="G168" s="90"/>
      <c r="H168" s="90"/>
      <c r="I168" s="90"/>
      <c r="J168" s="99"/>
      <c r="K168" s="60" t="s">
        <v>180</v>
      </c>
      <c r="L168" s="63">
        <f ca="1">(IF(B162&gt;1,(I162/(B162+2)+L167),I162/4+L167))</f>
        <v>20.5</v>
      </c>
    </row>
    <row r="169" spans="1:12" ht="15.75" customHeight="1" x14ac:dyDescent="0.25">
      <c r="A169" s="91" t="s">
        <v>297</v>
      </c>
      <c r="B169" s="92" t="s">
        <v>296</v>
      </c>
      <c r="C169" s="68">
        <v>33</v>
      </c>
      <c r="D169" s="90">
        <f ca="1">((100/I162)*C169)/100</f>
        <v>0.80487804878048774</v>
      </c>
      <c r="E169" s="90"/>
      <c r="F169" s="90"/>
      <c r="G169" s="90"/>
      <c r="H169" s="90"/>
      <c r="I169" s="90"/>
      <c r="J169" s="99"/>
      <c r="K169" s="60" t="s">
        <v>298</v>
      </c>
      <c r="L169" s="63">
        <f>(IF(B162&gt;1,(I162/(B162+2)+L168),0))</f>
        <v>0</v>
      </c>
    </row>
    <row r="170" spans="1:12" ht="15.75" customHeight="1" x14ac:dyDescent="0.25">
      <c r="A170" s="101" t="s">
        <v>299</v>
      </c>
      <c r="B170" s="93" t="s">
        <v>300</v>
      </c>
      <c r="C170" s="68">
        <v>33</v>
      </c>
      <c r="D170" s="90">
        <f ca="1">((100/(I162))*C170)/100</f>
        <v>0.80487804878048774</v>
      </c>
      <c r="E170" s="90"/>
      <c r="F170" s="90"/>
      <c r="G170" s="90"/>
      <c r="H170" s="90"/>
      <c r="I170" s="90"/>
      <c r="J170" s="99"/>
      <c r="K170" s="60" t="s">
        <v>301</v>
      </c>
      <c r="L170" s="63">
        <f>(IF(B162&gt;2,(I162/(B162+2)+L169),0))</f>
        <v>0</v>
      </c>
    </row>
    <row r="171" spans="1:12" ht="15" customHeight="1" x14ac:dyDescent="0.25">
      <c r="A171" s="91" t="s">
        <v>302</v>
      </c>
      <c r="B171" s="92" t="s">
        <v>302</v>
      </c>
      <c r="C171" s="67">
        <v>15</v>
      </c>
      <c r="D171" s="90">
        <f ca="1">((100/I162)*C171)/100</f>
        <v>0.36585365853658536</v>
      </c>
      <c r="E171" s="90"/>
      <c r="F171" s="90"/>
      <c r="G171" s="90"/>
      <c r="H171" s="90"/>
      <c r="I171" s="90"/>
      <c r="J171" s="99"/>
      <c r="K171" s="60" t="s">
        <v>303</v>
      </c>
      <c r="L171" s="64">
        <f>(IF(B162&gt;3,(I162/(B162+2)+L170),0))</f>
        <v>0</v>
      </c>
    </row>
    <row r="172" spans="1:12" ht="15" customHeight="1" x14ac:dyDescent="0.25">
      <c r="A172" s="101" t="s">
        <v>304</v>
      </c>
      <c r="B172" s="93"/>
      <c r="C172" s="67">
        <v>0</v>
      </c>
      <c r="D172" s="90">
        <f ca="1">((100/I162)*C172)/100</f>
        <v>0</v>
      </c>
      <c r="E172" s="90"/>
      <c r="F172" s="90"/>
      <c r="G172" s="90"/>
      <c r="H172" s="90"/>
      <c r="I172" s="90"/>
      <c r="J172" s="99"/>
      <c r="K172" s="60" t="s">
        <v>305</v>
      </c>
      <c r="L172" s="63">
        <f>(IF(B162&gt;4,(I162/(B162+2)+L171),0))</f>
        <v>0</v>
      </c>
    </row>
    <row r="173" spans="1:12" ht="16.5" customHeight="1" x14ac:dyDescent="0.25">
      <c r="A173" s="91" t="s">
        <v>306</v>
      </c>
      <c r="B173" s="92" t="s">
        <v>306</v>
      </c>
      <c r="C173" s="67">
        <v>0</v>
      </c>
      <c r="D173" s="90">
        <f ca="1">((100/(I162))*C173)/100</f>
        <v>0</v>
      </c>
      <c r="E173" s="90"/>
      <c r="F173" s="90"/>
      <c r="G173" s="90"/>
      <c r="H173" s="90"/>
      <c r="I173" s="90"/>
      <c r="J173" s="99"/>
      <c r="K173" s="60" t="s">
        <v>181</v>
      </c>
      <c r="L173" s="63">
        <f ca="1">(IF(B162=1,(I162/(B162+3)+L168),IF(B162=0,(I162/4+L168),IF(B162&gt;1,0))))</f>
        <v>30.75</v>
      </c>
    </row>
    <row r="174" spans="1:12" ht="16.5" thickBot="1" x14ac:dyDescent="0.3">
      <c r="A174" s="111" t="s">
        <v>307</v>
      </c>
      <c r="B174" s="112"/>
      <c r="C174" s="72">
        <v>0</v>
      </c>
      <c r="D174" s="98">
        <f ca="1">((100/(I162))*C174)/100</f>
        <v>0</v>
      </c>
      <c r="E174" s="98"/>
      <c r="F174" s="98"/>
      <c r="G174" s="98"/>
      <c r="H174" s="98"/>
      <c r="I174" s="98"/>
      <c r="J174" s="100"/>
      <c r="K174" s="65" t="s">
        <v>182</v>
      </c>
      <c r="L174" s="66">
        <f ca="1">(IF(B162&gt;1.5,(I162/(B162+2)+L168+MAX(0,L169-L168)+MAX(0,L170-L169)+MAX(0,L171-L170)+MAX(0,L172-L171)+MAX(0,L173-L172)),IF(B162=1,(I162/(B162+3)+L173),IF(B162=0,I162/4+L173))))</f>
        <v>41</v>
      </c>
    </row>
    <row r="175" spans="1:12" x14ac:dyDescent="0.25">
      <c r="A175" s="233" t="s">
        <v>60</v>
      </c>
      <c r="B175" s="234"/>
      <c r="C175" s="234"/>
      <c r="D175" s="234"/>
      <c r="E175" s="234"/>
      <c r="F175" s="234"/>
      <c r="G175" s="234"/>
      <c r="H175" s="234"/>
      <c r="I175" s="234"/>
      <c r="J175" s="235"/>
    </row>
    <row r="176" spans="1:12" x14ac:dyDescent="0.25">
      <c r="A176" s="226" t="s">
        <v>53</v>
      </c>
      <c r="B176" s="227"/>
      <c r="C176" s="227"/>
      <c r="D176" s="227"/>
      <c r="E176" s="227"/>
      <c r="F176" s="227"/>
      <c r="G176" s="227"/>
      <c r="H176" s="227"/>
      <c r="I176" s="227"/>
      <c r="J176" s="228"/>
    </row>
    <row r="177" spans="1:16" ht="31.5" customHeight="1" x14ac:dyDescent="0.25">
      <c r="A177" s="232" t="s">
        <v>282</v>
      </c>
      <c r="B177" s="232"/>
      <c r="C177" s="232"/>
      <c r="D177" s="232"/>
      <c r="E177" s="232"/>
      <c r="F177" s="232"/>
      <c r="G177" s="232"/>
      <c r="H177" s="232"/>
      <c r="I177" s="232"/>
      <c r="J177" s="232"/>
    </row>
    <row r="178" spans="1:16" x14ac:dyDescent="0.25">
      <c r="A178" s="188" t="s">
        <v>24</v>
      </c>
      <c r="B178" s="189"/>
      <c r="C178" s="189"/>
      <c r="D178" s="189"/>
      <c r="E178" s="189"/>
      <c r="F178" s="189"/>
      <c r="G178" s="189"/>
      <c r="H178" s="189"/>
      <c r="I178" s="189"/>
      <c r="J178" s="190"/>
    </row>
    <row r="179" spans="1:16" x14ac:dyDescent="0.25">
      <c r="A179" s="226" t="s">
        <v>140</v>
      </c>
      <c r="B179" s="227"/>
      <c r="C179" s="227"/>
      <c r="D179" s="227"/>
      <c r="E179" s="227"/>
      <c r="F179" s="228"/>
      <c r="G179" s="194">
        <v>14500</v>
      </c>
      <c r="H179" s="195"/>
      <c r="I179" s="195"/>
      <c r="J179" s="196"/>
      <c r="M179" t="s">
        <v>342</v>
      </c>
      <c r="N179" s="55">
        <v>45379</v>
      </c>
      <c r="O179" t="s">
        <v>343</v>
      </c>
      <c r="P179" t="s">
        <v>344</v>
      </c>
    </row>
    <row r="180" spans="1:16" x14ac:dyDescent="0.25">
      <c r="A180" s="226" t="s">
        <v>242</v>
      </c>
      <c r="B180" s="227"/>
      <c r="C180" s="227"/>
      <c r="D180" s="227"/>
      <c r="E180" s="227"/>
      <c r="F180" s="228"/>
      <c r="G180" s="229">
        <v>30000</v>
      </c>
      <c r="H180" s="230"/>
      <c r="I180" s="230"/>
      <c r="J180" s="231"/>
      <c r="L180" t="s">
        <v>339</v>
      </c>
      <c r="M180" s="55">
        <v>45311</v>
      </c>
      <c r="N180" t="s">
        <v>340</v>
      </c>
    </row>
    <row r="181" spans="1:16" x14ac:dyDescent="0.25">
      <c r="A181" s="226" t="s">
        <v>244</v>
      </c>
      <c r="B181" s="227"/>
      <c r="C181" s="227"/>
      <c r="D181" s="227"/>
      <c r="E181" s="227"/>
      <c r="F181" s="228"/>
      <c r="G181" s="191" t="s">
        <v>338</v>
      </c>
      <c r="H181" s="192"/>
      <c r="I181" s="192"/>
      <c r="J181" s="193"/>
    </row>
    <row r="182" spans="1:16" ht="15" customHeight="1" x14ac:dyDescent="0.25">
      <c r="A182" s="226" t="s">
        <v>245</v>
      </c>
      <c r="B182" s="227"/>
      <c r="C182" s="227"/>
      <c r="D182" s="227"/>
      <c r="E182" s="227"/>
      <c r="F182" s="228"/>
      <c r="G182" s="191" t="s">
        <v>157</v>
      </c>
      <c r="H182" s="192"/>
      <c r="I182" s="192"/>
      <c r="J182" s="193"/>
    </row>
    <row r="183" spans="1:16" ht="15" hidden="1" customHeight="1" x14ac:dyDescent="0.25">
      <c r="A183" s="226" t="s">
        <v>250</v>
      </c>
      <c r="B183" s="227"/>
      <c r="C183" s="227"/>
      <c r="D183" s="227"/>
      <c r="E183" s="227"/>
      <c r="F183" s="228"/>
      <c r="G183" s="191" t="s">
        <v>249</v>
      </c>
      <c r="H183" s="192"/>
      <c r="I183" s="192"/>
      <c r="J183" s="193"/>
    </row>
    <row r="184" spans="1:16" ht="15" customHeight="1" x14ac:dyDescent="0.25">
      <c r="A184" s="226" t="s">
        <v>251</v>
      </c>
      <c r="B184" s="227"/>
      <c r="C184" s="227"/>
      <c r="D184" s="227"/>
      <c r="E184" s="227"/>
      <c r="F184" s="228"/>
      <c r="G184" s="191" t="s">
        <v>252</v>
      </c>
      <c r="H184" s="192"/>
      <c r="I184" s="192"/>
      <c r="J184" s="193"/>
    </row>
    <row r="185" spans="1:16" ht="15" customHeight="1" x14ac:dyDescent="0.25">
      <c r="A185" s="226" t="s">
        <v>246</v>
      </c>
      <c r="B185" s="227"/>
      <c r="C185" s="227"/>
      <c r="D185" s="227"/>
      <c r="E185" s="227"/>
      <c r="F185" s="228"/>
      <c r="G185" s="191" t="s">
        <v>154</v>
      </c>
      <c r="H185" s="192"/>
      <c r="I185" s="192"/>
      <c r="J185" s="193"/>
    </row>
    <row r="186" spans="1:16" x14ac:dyDescent="0.25">
      <c r="A186" s="87" t="s">
        <v>247</v>
      </c>
      <c r="B186" s="88"/>
      <c r="C186" s="88"/>
      <c r="D186" s="88"/>
      <c r="E186" s="88"/>
      <c r="F186" s="89"/>
      <c r="G186" s="164" t="s">
        <v>248</v>
      </c>
      <c r="H186" s="165"/>
      <c r="I186" s="165"/>
      <c r="J186" s="166"/>
    </row>
    <row r="187" spans="1:16" x14ac:dyDescent="0.25">
      <c r="A187" s="226" t="s">
        <v>105</v>
      </c>
      <c r="B187" s="227"/>
      <c r="C187" s="227"/>
      <c r="D187" s="227"/>
      <c r="E187" s="227"/>
      <c r="F187" s="228"/>
      <c r="G187" s="191" t="s">
        <v>141</v>
      </c>
      <c r="H187" s="192"/>
      <c r="I187" s="192"/>
      <c r="J187" s="193"/>
    </row>
    <row r="188" spans="1:16" s="1" customFormat="1" ht="14.45" customHeight="1" x14ac:dyDescent="0.25">
      <c r="A188" s="108" t="s">
        <v>81</v>
      </c>
      <c r="B188" s="212"/>
      <c r="C188" s="212"/>
      <c r="D188" s="212"/>
      <c r="E188" s="212"/>
      <c r="F188" s="213"/>
      <c r="G188" s="214">
        <f>G179*0.8</f>
        <v>11600</v>
      </c>
      <c r="H188" s="215"/>
      <c r="I188" s="215"/>
      <c r="J188" s="216"/>
    </row>
    <row r="189" spans="1:16" s="1" customFormat="1" x14ac:dyDescent="0.25">
      <c r="A189" s="144" t="s">
        <v>325</v>
      </c>
      <c r="B189" s="145"/>
      <c r="C189" s="145"/>
      <c r="D189" s="145"/>
      <c r="E189" s="145"/>
      <c r="F189" s="145"/>
      <c r="G189" s="145"/>
      <c r="H189" s="145"/>
      <c r="I189" s="145"/>
      <c r="J189" s="146"/>
    </row>
    <row r="190" spans="1:16" s="1" customFormat="1" x14ac:dyDescent="0.25">
      <c r="A190" s="250" t="s">
        <v>320</v>
      </c>
      <c r="B190" s="250"/>
      <c r="C190" s="250" t="s">
        <v>321</v>
      </c>
      <c r="D190" s="250"/>
      <c r="E190" s="250" t="s">
        <v>322</v>
      </c>
      <c r="F190" s="250"/>
      <c r="G190" s="250"/>
      <c r="H190" s="250" t="s">
        <v>323</v>
      </c>
      <c r="I190" s="250"/>
      <c r="J190" s="250"/>
    </row>
    <row r="191" spans="1:16" s="1" customFormat="1" ht="30" customHeight="1" x14ac:dyDescent="0.25">
      <c r="A191" s="163" t="s">
        <v>324</v>
      </c>
      <c r="B191" s="121"/>
      <c r="C191" s="121">
        <f>COUNT(D207:E212)+COUNT(F237)*2+COUNT(F239:F240)*2+COUNT(F242:F243)*2</f>
        <v>16</v>
      </c>
      <c r="D191" s="121"/>
      <c r="E191" s="251">
        <f t="shared" ref="E191" si="0">SUM(D207:E212)+SUM(F237)*2+SUM(F239:F240)*2+SUM(F242:F243)*2</f>
        <v>4614.3115199999993</v>
      </c>
      <c r="F191" s="121"/>
      <c r="G191" s="121"/>
      <c r="H191" s="251">
        <f>SUM(G207:G212)+SUM(I237)*2+SUM(I239:I240)*2+SUM(I242:I243)*2</f>
        <v>2224.789632</v>
      </c>
      <c r="I191" s="121"/>
      <c r="J191" s="121"/>
    </row>
    <row r="192" spans="1:16" s="1" customFormat="1" x14ac:dyDescent="0.25">
      <c r="A192" s="144" t="s">
        <v>326</v>
      </c>
      <c r="B192" s="145"/>
      <c r="C192" s="145"/>
      <c r="D192" s="145"/>
      <c r="E192" s="145"/>
      <c r="F192" s="145"/>
      <c r="G192" s="145"/>
      <c r="H192" s="145"/>
      <c r="I192" s="145"/>
      <c r="J192" s="146"/>
    </row>
    <row r="193" spans="1:10" s="1" customFormat="1" x14ac:dyDescent="0.25">
      <c r="A193" s="250" t="s">
        <v>320</v>
      </c>
      <c r="B193" s="250"/>
      <c r="C193" s="250" t="s">
        <v>321</v>
      </c>
      <c r="D193" s="250"/>
      <c r="E193" s="250" t="s">
        <v>322</v>
      </c>
      <c r="F193" s="250"/>
      <c r="G193" s="250"/>
      <c r="H193" s="250" t="s">
        <v>323</v>
      </c>
      <c r="I193" s="250"/>
      <c r="J193" s="250"/>
    </row>
    <row r="194" spans="1:10" s="1" customFormat="1" ht="30" customHeight="1" x14ac:dyDescent="0.25">
      <c r="A194" s="163" t="s">
        <v>324</v>
      </c>
      <c r="B194" s="121"/>
      <c r="C194" s="251">
        <f>COUNT(D213:E232)</f>
        <v>20</v>
      </c>
      <c r="D194" s="121"/>
      <c r="E194" s="251">
        <f t="shared" ref="E194" si="1">SUM(D213:E232)</f>
        <v>4917.6410400000004</v>
      </c>
      <c r="F194" s="121"/>
      <c r="G194" s="121"/>
      <c r="H194" s="251">
        <f>SUM(G213:G232)</f>
        <v>7868.2256640000005</v>
      </c>
      <c r="I194" s="121"/>
      <c r="J194" s="121"/>
    </row>
    <row r="195" spans="1:10" s="1" customFormat="1" x14ac:dyDescent="0.25">
      <c r="A195" s="144" t="s">
        <v>327</v>
      </c>
      <c r="B195" s="145"/>
      <c r="C195" s="145"/>
      <c r="D195" s="145"/>
      <c r="E195" s="145"/>
      <c r="F195" s="145"/>
      <c r="G195" s="145"/>
      <c r="H195" s="145"/>
      <c r="I195" s="145"/>
      <c r="J195" s="146"/>
    </row>
    <row r="196" spans="1:10" s="1" customFormat="1" x14ac:dyDescent="0.25">
      <c r="A196" s="250" t="s">
        <v>320</v>
      </c>
      <c r="B196" s="250"/>
      <c r="C196" s="250" t="s">
        <v>321</v>
      </c>
      <c r="D196" s="250"/>
      <c r="E196" s="250" t="s">
        <v>322</v>
      </c>
      <c r="F196" s="250"/>
      <c r="G196" s="250"/>
      <c r="H196" s="250" t="s">
        <v>323</v>
      </c>
      <c r="I196" s="250"/>
      <c r="J196" s="250"/>
    </row>
    <row r="197" spans="1:10" s="1" customFormat="1" x14ac:dyDescent="0.25">
      <c r="A197" s="256" t="s">
        <v>129</v>
      </c>
      <c r="B197" s="74" t="s">
        <v>328</v>
      </c>
      <c r="C197" s="121">
        <f>COUNT(F246:F250)*34+COUNT(F263:F265,F267)*6+COUNT(F280:F282,F284)</f>
        <v>198</v>
      </c>
      <c r="D197" s="121"/>
      <c r="E197" s="251">
        <f t="shared" ref="E197" si="2">SUM(F246:F250)*34+SUM(F263:F265,F267)*6+SUM(F280:F282,F284)</f>
        <v>63831.596400000002</v>
      </c>
      <c r="F197" s="121"/>
      <c r="G197" s="121"/>
      <c r="H197" s="251">
        <f>SUM(H246:H250)*34+SUM(H263:H265,H267)*6+SUM(H280:H282,H284)</f>
        <v>95747.3946</v>
      </c>
      <c r="I197" s="121"/>
      <c r="J197" s="121"/>
    </row>
    <row r="198" spans="1:10" s="1" customFormat="1" x14ac:dyDescent="0.25">
      <c r="A198" s="257"/>
      <c r="B198" s="74" t="s">
        <v>329</v>
      </c>
      <c r="C198" s="121">
        <f>COUNT(F252:F255)*34+COUNT(F269,F271:F272)*6+COUNT(F286,F288:F289)</f>
        <v>157</v>
      </c>
      <c r="D198" s="121"/>
      <c r="E198" s="121">
        <f t="shared" ref="E198" si="3">SUM(F252:F255)*34+SUM(F269,F271:F272)*6+SUM(F286,F288:F289)</f>
        <v>50613.942600000002</v>
      </c>
      <c r="F198" s="121"/>
      <c r="G198" s="121"/>
      <c r="H198" s="121">
        <f>SUM(H252:H255)*34+SUM(H269,H271:H272)*6+SUM(H286,H288:H289)</f>
        <v>75920.9139</v>
      </c>
      <c r="I198" s="121"/>
      <c r="J198" s="121"/>
    </row>
    <row r="199" spans="1:10" s="1" customFormat="1" x14ac:dyDescent="0.25">
      <c r="A199" s="258"/>
      <c r="B199" s="74" t="s">
        <v>330</v>
      </c>
      <c r="C199" s="121">
        <f>COUNT(F257:F261)*34+COUNT(F274,F276:F278)*6+COUNT(F291,F293:F295)</f>
        <v>198</v>
      </c>
      <c r="D199" s="121"/>
      <c r="E199" s="121">
        <f t="shared" ref="E199" si="4">SUM(F257:F261)*34+SUM(F274,F276:F278)*6+SUM(F291,F293:F295)</f>
        <v>63831.596400000002</v>
      </c>
      <c r="F199" s="121"/>
      <c r="G199" s="121"/>
      <c r="H199" s="121">
        <f>SUM(H257:H261)*34+SUM(H274,H276:H278)*6+SUM(H291,H293:H295)</f>
        <v>95747.3946</v>
      </c>
      <c r="I199" s="121"/>
      <c r="J199" s="121"/>
    </row>
    <row r="200" spans="1:10" s="1" customFormat="1" x14ac:dyDescent="0.25">
      <c r="A200" s="121"/>
      <c r="B200" s="121"/>
      <c r="C200" s="121"/>
      <c r="D200" s="121"/>
      <c r="E200" s="121"/>
      <c r="F200" s="121"/>
      <c r="G200" s="121"/>
      <c r="H200" s="121"/>
      <c r="I200" s="121"/>
      <c r="J200" s="121"/>
    </row>
    <row r="201" spans="1:10" s="1" customFormat="1" x14ac:dyDescent="0.25">
      <c r="A201" s="144" t="s">
        <v>25</v>
      </c>
      <c r="B201" s="145"/>
      <c r="C201" s="145"/>
      <c r="D201" s="145"/>
      <c r="E201" s="145"/>
      <c r="F201" s="145"/>
      <c r="G201" s="145"/>
      <c r="H201" s="145"/>
      <c r="I201" s="145"/>
      <c r="J201" s="146"/>
    </row>
    <row r="202" spans="1:10" x14ac:dyDescent="0.25">
      <c r="A202" s="144" t="s">
        <v>48</v>
      </c>
      <c r="B202" s="145"/>
      <c r="C202" s="145"/>
      <c r="D202" s="145"/>
      <c r="E202" s="145"/>
      <c r="F202" s="145"/>
      <c r="G202" s="145"/>
      <c r="H202" s="145"/>
      <c r="I202" s="145"/>
      <c r="J202" s="146"/>
    </row>
    <row r="203" spans="1:10" ht="57" x14ac:dyDescent="0.25">
      <c r="A203" s="178" t="s">
        <v>185</v>
      </c>
      <c r="B203" s="179"/>
      <c r="C203" s="32" t="s">
        <v>30</v>
      </c>
      <c r="D203" s="178" t="s">
        <v>43</v>
      </c>
      <c r="E203" s="179"/>
      <c r="F203" s="33" t="s">
        <v>31</v>
      </c>
      <c r="G203" s="32" t="s">
        <v>183</v>
      </c>
      <c r="H203" s="32" t="s">
        <v>32</v>
      </c>
      <c r="I203" s="178" t="s">
        <v>184</v>
      </c>
      <c r="J203" s="179"/>
    </row>
    <row r="204" spans="1:10" ht="15.75" customHeight="1" x14ac:dyDescent="0.25">
      <c r="A204" s="184" t="s">
        <v>129</v>
      </c>
      <c r="B204" s="185"/>
      <c r="C204" s="185"/>
      <c r="D204" s="185"/>
      <c r="E204" s="185"/>
      <c r="F204" s="185"/>
      <c r="G204" s="185"/>
      <c r="H204" s="185"/>
      <c r="I204" s="185"/>
      <c r="J204" s="186"/>
    </row>
    <row r="205" spans="1:10" ht="15.75" x14ac:dyDescent="0.25">
      <c r="A205" s="197" t="s">
        <v>332</v>
      </c>
      <c r="B205" s="198"/>
      <c r="C205" s="198"/>
      <c r="D205" s="198"/>
      <c r="E205" s="198"/>
      <c r="F205" s="198"/>
      <c r="G205" s="198"/>
      <c r="H205" s="198"/>
      <c r="I205" s="198"/>
      <c r="J205" s="199"/>
    </row>
    <row r="206" spans="1:10" ht="15.75" customHeight="1" x14ac:dyDescent="0.25">
      <c r="A206" s="200" t="s">
        <v>187</v>
      </c>
      <c r="B206" s="201"/>
      <c r="C206" s="201"/>
      <c r="D206" s="201"/>
      <c r="E206" s="201"/>
      <c r="F206" s="201"/>
      <c r="G206" s="201"/>
      <c r="H206" s="201"/>
      <c r="I206" s="201"/>
      <c r="J206" s="202"/>
    </row>
    <row r="207" spans="1:10" ht="15.75" x14ac:dyDescent="0.25">
      <c r="A207" s="35" t="s">
        <v>188</v>
      </c>
      <c r="B207" s="35" t="s">
        <v>194</v>
      </c>
      <c r="C207" s="34" t="s">
        <v>195</v>
      </c>
      <c r="D207" s="180">
        <f>20.94*10.764</f>
        <v>225.39815999999999</v>
      </c>
      <c r="E207" s="181"/>
      <c r="F207" s="34">
        <v>0</v>
      </c>
      <c r="G207" s="34">
        <f>D207*1.6+F207</f>
        <v>360.63705600000003</v>
      </c>
      <c r="H207" s="34" t="s">
        <v>186</v>
      </c>
      <c r="I207" s="180" t="s">
        <v>196</v>
      </c>
      <c r="J207" s="181"/>
    </row>
    <row r="208" spans="1:10" ht="15.75" x14ac:dyDescent="0.25">
      <c r="A208" s="35" t="s">
        <v>189</v>
      </c>
      <c r="B208" s="35" t="s">
        <v>194</v>
      </c>
      <c r="C208" s="34" t="s">
        <v>195</v>
      </c>
      <c r="D208" s="180">
        <f>20.97*10.764</f>
        <v>225.72107999999997</v>
      </c>
      <c r="E208" s="181"/>
      <c r="F208" s="34">
        <v>0</v>
      </c>
      <c r="G208" s="34">
        <f t="shared" ref="G208:G232" si="5">D208*1.6+F208</f>
        <v>361.153728</v>
      </c>
      <c r="H208" s="34" t="s">
        <v>186</v>
      </c>
      <c r="I208" s="180" t="s">
        <v>196</v>
      </c>
      <c r="J208" s="181"/>
    </row>
    <row r="209" spans="1:10" ht="15.75" x14ac:dyDescent="0.25">
      <c r="A209" s="35" t="s">
        <v>190</v>
      </c>
      <c r="B209" s="35" t="s">
        <v>194</v>
      </c>
      <c r="C209" s="34" t="s">
        <v>195</v>
      </c>
      <c r="D209" s="180">
        <f>21.64*10.764</f>
        <v>232.93295999999998</v>
      </c>
      <c r="E209" s="181"/>
      <c r="F209" s="34">
        <v>0</v>
      </c>
      <c r="G209" s="34">
        <f t="shared" si="5"/>
        <v>372.69273599999997</v>
      </c>
      <c r="H209" s="34" t="s">
        <v>186</v>
      </c>
      <c r="I209" s="180" t="s">
        <v>196</v>
      </c>
      <c r="J209" s="181"/>
    </row>
    <row r="210" spans="1:10" ht="15.75" x14ac:dyDescent="0.25">
      <c r="A210" s="35" t="s">
        <v>191</v>
      </c>
      <c r="B210" s="35" t="s">
        <v>194</v>
      </c>
      <c r="C210" s="34" t="s">
        <v>195</v>
      </c>
      <c r="D210" s="180">
        <f>21.02*10.764</f>
        <v>226.25927999999999</v>
      </c>
      <c r="E210" s="181"/>
      <c r="F210" s="34">
        <v>0</v>
      </c>
      <c r="G210" s="34">
        <f t="shared" si="5"/>
        <v>362.01484800000003</v>
      </c>
      <c r="H210" s="34" t="s">
        <v>186</v>
      </c>
      <c r="I210" s="180" t="s">
        <v>196</v>
      </c>
      <c r="J210" s="181"/>
    </row>
    <row r="211" spans="1:10" ht="15.75" customHeight="1" x14ac:dyDescent="0.25">
      <c r="A211" s="35" t="s">
        <v>192</v>
      </c>
      <c r="B211" s="35" t="s">
        <v>194</v>
      </c>
      <c r="C211" s="34" t="s">
        <v>195</v>
      </c>
      <c r="D211" s="180">
        <f>17.67*10.764</f>
        <v>190.19988000000001</v>
      </c>
      <c r="E211" s="181"/>
      <c r="F211" s="34">
        <v>0</v>
      </c>
      <c r="G211" s="34">
        <f t="shared" si="5"/>
        <v>304.31980800000002</v>
      </c>
      <c r="H211" s="34" t="s">
        <v>186</v>
      </c>
      <c r="I211" s="180" t="s">
        <v>196</v>
      </c>
      <c r="J211" s="181"/>
    </row>
    <row r="212" spans="1:10" ht="15.75" x14ac:dyDescent="0.25">
      <c r="A212" s="35" t="s">
        <v>193</v>
      </c>
      <c r="B212" s="35" t="s">
        <v>194</v>
      </c>
      <c r="C212" s="34" t="s">
        <v>195</v>
      </c>
      <c r="D212" s="180">
        <f>26.94*10.764</f>
        <v>289.98216000000002</v>
      </c>
      <c r="E212" s="181"/>
      <c r="F212" s="34">
        <v>0</v>
      </c>
      <c r="G212" s="34">
        <f t="shared" si="5"/>
        <v>463.97145600000005</v>
      </c>
      <c r="H212" s="34" t="s">
        <v>186</v>
      </c>
      <c r="I212" s="180" t="s">
        <v>196</v>
      </c>
      <c r="J212" s="181"/>
    </row>
    <row r="213" spans="1:10" ht="31.5" x14ac:dyDescent="0.25">
      <c r="A213" s="35">
        <v>1</v>
      </c>
      <c r="B213" s="35" t="s">
        <v>197</v>
      </c>
      <c r="C213" s="34" t="s">
        <v>198</v>
      </c>
      <c r="D213" s="180">
        <f>4.29*10.764</f>
        <v>46.17756</v>
      </c>
      <c r="E213" s="181"/>
      <c r="F213" s="34">
        <v>0</v>
      </c>
      <c r="G213" s="34">
        <f t="shared" si="5"/>
        <v>73.884096</v>
      </c>
      <c r="H213" s="34" t="s">
        <v>186</v>
      </c>
      <c r="I213" s="180" t="s">
        <v>196</v>
      </c>
      <c r="J213" s="181"/>
    </row>
    <row r="214" spans="1:10" ht="31.5" x14ac:dyDescent="0.25">
      <c r="A214" s="35">
        <v>2</v>
      </c>
      <c r="B214" s="35" t="s">
        <v>197</v>
      </c>
      <c r="C214" s="34" t="s">
        <v>199</v>
      </c>
      <c r="D214" s="180">
        <f>16.76*10.764</f>
        <v>180.40464</v>
      </c>
      <c r="E214" s="181"/>
      <c r="F214" s="34">
        <v>0</v>
      </c>
      <c r="G214" s="34">
        <f t="shared" si="5"/>
        <v>288.647424</v>
      </c>
      <c r="H214" s="34" t="s">
        <v>186</v>
      </c>
      <c r="I214" s="180" t="s">
        <v>196</v>
      </c>
      <c r="J214" s="181"/>
    </row>
    <row r="215" spans="1:10" ht="31.5" x14ac:dyDescent="0.25">
      <c r="A215" s="35">
        <v>3</v>
      </c>
      <c r="B215" s="35" t="s">
        <v>197</v>
      </c>
      <c r="C215" s="34" t="s">
        <v>200</v>
      </c>
      <c r="D215" s="180">
        <f>27.13*10.764</f>
        <v>292.02731999999997</v>
      </c>
      <c r="E215" s="181"/>
      <c r="F215" s="34">
        <v>0</v>
      </c>
      <c r="G215" s="34">
        <f t="shared" si="5"/>
        <v>467.24371199999996</v>
      </c>
      <c r="H215" s="34" t="s">
        <v>186</v>
      </c>
      <c r="I215" s="180" t="s">
        <v>196</v>
      </c>
      <c r="J215" s="181"/>
    </row>
    <row r="216" spans="1:10" ht="31.5" x14ac:dyDescent="0.25">
      <c r="A216" s="35">
        <v>4</v>
      </c>
      <c r="B216" s="35" t="s">
        <v>197</v>
      </c>
      <c r="C216" s="34" t="s">
        <v>201</v>
      </c>
      <c r="D216" s="180">
        <f>16.37*10.764</f>
        <v>176.20668000000001</v>
      </c>
      <c r="E216" s="181"/>
      <c r="F216" s="34">
        <v>0</v>
      </c>
      <c r="G216" s="34">
        <f t="shared" si="5"/>
        <v>281.93068800000003</v>
      </c>
      <c r="H216" s="34" t="s">
        <v>186</v>
      </c>
      <c r="I216" s="180" t="s">
        <v>196</v>
      </c>
      <c r="J216" s="181"/>
    </row>
    <row r="217" spans="1:10" ht="31.5" x14ac:dyDescent="0.25">
      <c r="A217" s="35">
        <v>5</v>
      </c>
      <c r="B217" s="35" t="s">
        <v>197</v>
      </c>
      <c r="C217" s="34" t="s">
        <v>202</v>
      </c>
      <c r="D217" s="180">
        <f>33.58*10.764</f>
        <v>361.45511999999997</v>
      </c>
      <c r="E217" s="181"/>
      <c r="F217" s="34">
        <v>0</v>
      </c>
      <c r="G217" s="34">
        <f t="shared" si="5"/>
        <v>578.32819199999994</v>
      </c>
      <c r="H217" s="34" t="s">
        <v>186</v>
      </c>
      <c r="I217" s="180" t="s">
        <v>196</v>
      </c>
      <c r="J217" s="181"/>
    </row>
    <row r="218" spans="1:10" ht="31.5" x14ac:dyDescent="0.25">
      <c r="A218" s="35">
        <v>6</v>
      </c>
      <c r="B218" s="35" t="s">
        <v>197</v>
      </c>
      <c r="C218" s="34" t="s">
        <v>203</v>
      </c>
      <c r="D218" s="180">
        <f>19.13*10.764</f>
        <v>205.91531999999998</v>
      </c>
      <c r="E218" s="181"/>
      <c r="F218" s="34">
        <v>0</v>
      </c>
      <c r="G218" s="34">
        <f t="shared" si="5"/>
        <v>329.46451200000001</v>
      </c>
      <c r="H218" s="34" t="s">
        <v>186</v>
      </c>
      <c r="I218" s="180" t="s">
        <v>196</v>
      </c>
      <c r="J218" s="181"/>
    </row>
    <row r="219" spans="1:10" ht="31.5" x14ac:dyDescent="0.25">
      <c r="A219" s="35">
        <v>7</v>
      </c>
      <c r="B219" s="35" t="s">
        <v>197</v>
      </c>
      <c r="C219" s="34" t="s">
        <v>204</v>
      </c>
      <c r="D219" s="180">
        <f>40.91*10.764</f>
        <v>440.35523999999992</v>
      </c>
      <c r="E219" s="181"/>
      <c r="F219" s="34">
        <v>0</v>
      </c>
      <c r="G219" s="34">
        <f t="shared" si="5"/>
        <v>704.56838399999992</v>
      </c>
      <c r="H219" s="34" t="s">
        <v>186</v>
      </c>
      <c r="I219" s="180" t="s">
        <v>196</v>
      </c>
      <c r="J219" s="181"/>
    </row>
    <row r="220" spans="1:10" ht="31.5" x14ac:dyDescent="0.25">
      <c r="A220" s="35">
        <v>8</v>
      </c>
      <c r="B220" s="35" t="s">
        <v>197</v>
      </c>
      <c r="C220" s="34" t="s">
        <v>205</v>
      </c>
      <c r="D220" s="180">
        <f>8.8*10.764</f>
        <v>94.723200000000006</v>
      </c>
      <c r="E220" s="181"/>
      <c r="F220" s="34">
        <v>0</v>
      </c>
      <c r="G220" s="34">
        <f t="shared" si="5"/>
        <v>151.55712000000003</v>
      </c>
      <c r="H220" s="34" t="s">
        <v>186</v>
      </c>
      <c r="I220" s="180" t="s">
        <v>196</v>
      </c>
      <c r="J220" s="181"/>
    </row>
    <row r="221" spans="1:10" ht="31.5" x14ac:dyDescent="0.25">
      <c r="A221" s="35">
        <v>9</v>
      </c>
      <c r="B221" s="35" t="s">
        <v>197</v>
      </c>
      <c r="C221" s="34" t="s">
        <v>206</v>
      </c>
      <c r="D221" s="180">
        <f>7.87*10.764</f>
        <v>84.712679999999992</v>
      </c>
      <c r="E221" s="181"/>
      <c r="F221" s="34">
        <v>0</v>
      </c>
      <c r="G221" s="34">
        <f t="shared" si="5"/>
        <v>135.540288</v>
      </c>
      <c r="H221" s="34" t="s">
        <v>186</v>
      </c>
      <c r="I221" s="180" t="s">
        <v>196</v>
      </c>
      <c r="J221" s="181"/>
    </row>
    <row r="222" spans="1:10" ht="31.5" x14ac:dyDescent="0.25">
      <c r="A222" s="35">
        <v>10</v>
      </c>
      <c r="B222" s="35" t="s">
        <v>197</v>
      </c>
      <c r="C222" s="34" t="s">
        <v>207</v>
      </c>
      <c r="D222" s="180">
        <f>80.45*10.764</f>
        <v>865.96379999999999</v>
      </c>
      <c r="E222" s="181"/>
      <c r="F222" s="34">
        <v>0</v>
      </c>
      <c r="G222" s="34">
        <f t="shared" si="5"/>
        <v>1385.5420800000002</v>
      </c>
      <c r="H222" s="34" t="s">
        <v>186</v>
      </c>
      <c r="I222" s="180" t="s">
        <v>196</v>
      </c>
      <c r="J222" s="181"/>
    </row>
    <row r="223" spans="1:10" ht="31.5" x14ac:dyDescent="0.25">
      <c r="A223" s="35">
        <v>11</v>
      </c>
      <c r="B223" s="35" t="s">
        <v>197</v>
      </c>
      <c r="C223" s="34" t="s">
        <v>208</v>
      </c>
      <c r="D223" s="180">
        <f>12.19*10.764</f>
        <v>131.21315999999999</v>
      </c>
      <c r="E223" s="181"/>
      <c r="F223" s="34">
        <v>0</v>
      </c>
      <c r="G223" s="34">
        <f t="shared" si="5"/>
        <v>209.941056</v>
      </c>
      <c r="H223" s="34" t="s">
        <v>186</v>
      </c>
      <c r="I223" s="180" t="s">
        <v>196</v>
      </c>
      <c r="J223" s="181"/>
    </row>
    <row r="224" spans="1:10" ht="31.5" x14ac:dyDescent="0.25">
      <c r="A224" s="35">
        <v>12</v>
      </c>
      <c r="B224" s="35" t="s">
        <v>197</v>
      </c>
      <c r="C224" s="34" t="s">
        <v>209</v>
      </c>
      <c r="D224" s="180">
        <f>27.88*10.764</f>
        <v>300.10031999999995</v>
      </c>
      <c r="E224" s="181"/>
      <c r="F224" s="34">
        <v>0</v>
      </c>
      <c r="G224" s="34">
        <f t="shared" si="5"/>
        <v>480.16051199999993</v>
      </c>
      <c r="H224" s="34" t="s">
        <v>186</v>
      </c>
      <c r="I224" s="180" t="s">
        <v>196</v>
      </c>
      <c r="J224" s="181"/>
    </row>
    <row r="225" spans="1:10" ht="31.5" x14ac:dyDescent="0.25">
      <c r="A225" s="35">
        <v>13</v>
      </c>
      <c r="B225" s="35" t="s">
        <v>197</v>
      </c>
      <c r="C225" s="34" t="s">
        <v>210</v>
      </c>
      <c r="D225" s="180">
        <f>3.98*10.764</f>
        <v>42.840719999999997</v>
      </c>
      <c r="E225" s="181"/>
      <c r="F225" s="34">
        <v>0</v>
      </c>
      <c r="G225" s="34">
        <f t="shared" si="5"/>
        <v>68.545152000000002</v>
      </c>
      <c r="H225" s="34" t="s">
        <v>186</v>
      </c>
      <c r="I225" s="180" t="s">
        <v>196</v>
      </c>
      <c r="J225" s="181"/>
    </row>
    <row r="226" spans="1:10" ht="31.5" x14ac:dyDescent="0.25">
      <c r="A226" s="35">
        <v>14</v>
      </c>
      <c r="B226" s="35" t="s">
        <v>197</v>
      </c>
      <c r="C226" s="34" t="s">
        <v>211</v>
      </c>
      <c r="D226" s="180">
        <f>39*10.764</f>
        <v>419.79599999999999</v>
      </c>
      <c r="E226" s="181"/>
      <c r="F226" s="34">
        <v>0</v>
      </c>
      <c r="G226" s="34">
        <f t="shared" si="5"/>
        <v>671.67360000000008</v>
      </c>
      <c r="H226" s="34" t="s">
        <v>186</v>
      </c>
      <c r="I226" s="180" t="s">
        <v>196</v>
      </c>
      <c r="J226" s="181"/>
    </row>
    <row r="227" spans="1:10" ht="31.5" x14ac:dyDescent="0.25">
      <c r="A227" s="35">
        <v>15</v>
      </c>
      <c r="B227" s="35" t="s">
        <v>197</v>
      </c>
      <c r="C227" s="34" t="s">
        <v>212</v>
      </c>
      <c r="D227" s="180">
        <f>15.67*10.764</f>
        <v>168.67187999999999</v>
      </c>
      <c r="E227" s="181"/>
      <c r="F227" s="34">
        <v>0</v>
      </c>
      <c r="G227" s="34">
        <f t="shared" si="5"/>
        <v>269.87500799999998</v>
      </c>
      <c r="H227" s="34" t="s">
        <v>186</v>
      </c>
      <c r="I227" s="180" t="s">
        <v>196</v>
      </c>
      <c r="J227" s="181"/>
    </row>
    <row r="228" spans="1:10" ht="31.5" x14ac:dyDescent="0.25">
      <c r="A228" s="35">
        <v>16</v>
      </c>
      <c r="B228" s="35" t="s">
        <v>197</v>
      </c>
      <c r="C228" s="34" t="s">
        <v>213</v>
      </c>
      <c r="D228" s="180">
        <f>29.84*10.764</f>
        <v>321.19775999999996</v>
      </c>
      <c r="E228" s="181"/>
      <c r="F228" s="34">
        <v>0</v>
      </c>
      <c r="G228" s="34">
        <f t="shared" si="5"/>
        <v>513.91641599999991</v>
      </c>
      <c r="H228" s="34" t="s">
        <v>186</v>
      </c>
      <c r="I228" s="180" t="s">
        <v>196</v>
      </c>
      <c r="J228" s="181"/>
    </row>
    <row r="229" spans="1:10" ht="31.5" x14ac:dyDescent="0.25">
      <c r="A229" s="35">
        <v>17</v>
      </c>
      <c r="B229" s="35" t="s">
        <v>197</v>
      </c>
      <c r="C229" s="34" t="s">
        <v>214</v>
      </c>
      <c r="D229" s="180">
        <f>18.42*10.764</f>
        <v>198.27288000000001</v>
      </c>
      <c r="E229" s="181"/>
      <c r="F229" s="34">
        <v>0</v>
      </c>
      <c r="G229" s="34">
        <f t="shared" si="5"/>
        <v>317.23660800000005</v>
      </c>
      <c r="H229" s="34" t="s">
        <v>186</v>
      </c>
      <c r="I229" s="180" t="s">
        <v>196</v>
      </c>
      <c r="J229" s="181"/>
    </row>
    <row r="230" spans="1:10" ht="31.5" x14ac:dyDescent="0.25">
      <c r="A230" s="35">
        <v>18</v>
      </c>
      <c r="B230" s="35" t="s">
        <v>197</v>
      </c>
      <c r="C230" s="34" t="s">
        <v>215</v>
      </c>
      <c r="D230" s="180">
        <f>4.99*10.764</f>
        <v>53.712359999999997</v>
      </c>
      <c r="E230" s="181"/>
      <c r="F230" s="34">
        <v>0</v>
      </c>
      <c r="G230" s="34">
        <f t="shared" si="5"/>
        <v>85.939775999999995</v>
      </c>
      <c r="H230" s="34" t="s">
        <v>186</v>
      </c>
      <c r="I230" s="180" t="s">
        <v>196</v>
      </c>
      <c r="J230" s="181"/>
    </row>
    <row r="231" spans="1:10" ht="31.5" x14ac:dyDescent="0.25">
      <c r="A231" s="35">
        <v>19</v>
      </c>
      <c r="B231" s="35" t="s">
        <v>197</v>
      </c>
      <c r="C231" s="34" t="s">
        <v>216</v>
      </c>
      <c r="D231" s="180">
        <f>28.92*10.764</f>
        <v>311.29487999999998</v>
      </c>
      <c r="E231" s="181"/>
      <c r="F231" s="34">
        <v>0</v>
      </c>
      <c r="G231" s="34">
        <f t="shared" si="5"/>
        <v>498.07180799999998</v>
      </c>
      <c r="H231" s="34" t="s">
        <v>186</v>
      </c>
      <c r="I231" s="180" t="s">
        <v>196</v>
      </c>
      <c r="J231" s="181"/>
    </row>
    <row r="232" spans="1:10" ht="31.5" x14ac:dyDescent="0.25">
      <c r="A232" s="35">
        <v>20</v>
      </c>
      <c r="B232" s="35" t="s">
        <v>197</v>
      </c>
      <c r="C232" s="34" t="s">
        <v>217</v>
      </c>
      <c r="D232" s="180">
        <f>20.68*10.764</f>
        <v>222.59951999999998</v>
      </c>
      <c r="E232" s="181"/>
      <c r="F232" s="34">
        <v>0</v>
      </c>
      <c r="G232" s="34">
        <f t="shared" si="5"/>
        <v>356.15923199999997</v>
      </c>
      <c r="H232" s="34" t="s">
        <v>186</v>
      </c>
      <c r="I232" s="180" t="s">
        <v>196</v>
      </c>
      <c r="J232" s="181"/>
    </row>
    <row r="233" spans="1:10" ht="15.75" x14ac:dyDescent="0.25">
      <c r="A233" s="243"/>
      <c r="B233" s="244"/>
      <c r="C233" s="244"/>
      <c r="D233" s="244"/>
      <c r="E233" s="244"/>
      <c r="F233" s="244"/>
      <c r="G233" s="244"/>
      <c r="H233" s="244"/>
      <c r="I233" s="244"/>
      <c r="J233" s="245"/>
    </row>
    <row r="234" spans="1:10" ht="47.25" x14ac:dyDescent="0.25">
      <c r="A234" s="241" t="s">
        <v>33</v>
      </c>
      <c r="B234" s="242"/>
      <c r="C234" s="6" t="s">
        <v>30</v>
      </c>
      <c r="D234" s="7" t="s">
        <v>83</v>
      </c>
      <c r="E234" s="6" t="s">
        <v>63</v>
      </c>
      <c r="F234" s="6" t="s">
        <v>43</v>
      </c>
      <c r="G234" s="6" t="s">
        <v>31</v>
      </c>
      <c r="H234" s="6" t="s">
        <v>183</v>
      </c>
      <c r="I234" s="241" t="s">
        <v>32</v>
      </c>
      <c r="J234" s="242"/>
    </row>
    <row r="235" spans="1:10" ht="15.75" x14ac:dyDescent="0.25">
      <c r="A235" s="246" t="s">
        <v>240</v>
      </c>
      <c r="B235" s="247"/>
      <c r="C235" s="247"/>
      <c r="D235" s="247"/>
      <c r="E235" s="247"/>
      <c r="F235" s="247"/>
      <c r="G235" s="247"/>
      <c r="H235" s="247"/>
      <c r="I235" s="247"/>
      <c r="J235" s="248"/>
    </row>
    <row r="236" spans="1:10" ht="15.75" customHeight="1" x14ac:dyDescent="0.25">
      <c r="A236" s="184" t="s">
        <v>228</v>
      </c>
      <c r="B236" s="185"/>
      <c r="C236" s="185"/>
      <c r="D236" s="185"/>
      <c r="E236" s="185"/>
      <c r="F236" s="185"/>
      <c r="G236" s="185"/>
      <c r="H236" s="185"/>
      <c r="I236" s="185"/>
      <c r="J236" s="186"/>
    </row>
    <row r="237" spans="1:10" ht="15.75" x14ac:dyDescent="0.25">
      <c r="A237" s="182">
        <v>1</v>
      </c>
      <c r="B237" s="183"/>
      <c r="C237" s="13" t="s">
        <v>195</v>
      </c>
      <c r="D237" s="13">
        <f>29.95*10.764</f>
        <v>322.3818</v>
      </c>
      <c r="E237" s="13">
        <v>0</v>
      </c>
      <c r="F237" s="13">
        <f>E237+D237</f>
        <v>322.3818</v>
      </c>
      <c r="G237" s="13">
        <v>0</v>
      </c>
      <c r="H237" s="13">
        <f>F237*1.5+G237</f>
        <v>483.5727</v>
      </c>
      <c r="I237" s="182" t="s">
        <v>54</v>
      </c>
      <c r="J237" s="183"/>
    </row>
    <row r="238" spans="1:10" ht="15.75" customHeight="1" x14ac:dyDescent="0.25">
      <c r="A238" s="184" t="s">
        <v>229</v>
      </c>
      <c r="B238" s="185"/>
      <c r="C238" s="185"/>
      <c r="D238" s="185"/>
      <c r="E238" s="185"/>
      <c r="F238" s="185"/>
      <c r="G238" s="185"/>
      <c r="H238" s="185"/>
      <c r="I238" s="185"/>
      <c r="J238" s="186"/>
    </row>
    <row r="239" spans="1:10" ht="15.75" x14ac:dyDescent="0.25">
      <c r="A239" s="35">
        <v>1</v>
      </c>
      <c r="B239" s="39" t="s">
        <v>194</v>
      </c>
      <c r="C239" s="13" t="s">
        <v>195</v>
      </c>
      <c r="D239" s="13">
        <f>29.95*10.764</f>
        <v>322.3818</v>
      </c>
      <c r="E239" s="13">
        <v>0</v>
      </c>
      <c r="F239" s="13">
        <f>E239+D239</f>
        <v>322.3818</v>
      </c>
      <c r="G239" s="13">
        <v>0</v>
      </c>
      <c r="H239" s="13">
        <f>F239*1.5+G239</f>
        <v>483.5727</v>
      </c>
      <c r="I239" s="182" t="s">
        <v>54</v>
      </c>
      <c r="J239" s="183"/>
    </row>
    <row r="240" spans="1:10" ht="15.75" x14ac:dyDescent="0.25">
      <c r="A240" s="35">
        <v>2</v>
      </c>
      <c r="B240" s="39" t="s">
        <v>194</v>
      </c>
      <c r="C240" s="13" t="s">
        <v>195</v>
      </c>
      <c r="D240" s="13">
        <f>29.95*10.764</f>
        <v>322.3818</v>
      </c>
      <c r="E240" s="13">
        <v>0</v>
      </c>
      <c r="F240" s="13">
        <f>E240+D240</f>
        <v>322.3818</v>
      </c>
      <c r="G240" s="13">
        <v>0</v>
      </c>
      <c r="H240" s="13">
        <f>F240*1.5+G240</f>
        <v>483.5727</v>
      </c>
      <c r="I240" s="182" t="s">
        <v>54</v>
      </c>
      <c r="J240" s="183"/>
    </row>
    <row r="241" spans="1:14" ht="15.75" customHeight="1" x14ac:dyDescent="0.25">
      <c r="A241" s="184" t="s">
        <v>230</v>
      </c>
      <c r="B241" s="185"/>
      <c r="C241" s="185"/>
      <c r="D241" s="185"/>
      <c r="E241" s="185"/>
      <c r="F241" s="185"/>
      <c r="G241" s="185"/>
      <c r="H241" s="185"/>
      <c r="I241" s="185"/>
      <c r="J241" s="186"/>
    </row>
    <row r="242" spans="1:14" ht="15.75" x14ac:dyDescent="0.25">
      <c r="A242" s="182">
        <v>1</v>
      </c>
      <c r="B242" s="183"/>
      <c r="C242" s="13" t="s">
        <v>195</v>
      </c>
      <c r="D242" s="13">
        <f>29.95*10.764</f>
        <v>322.3818</v>
      </c>
      <c r="E242" s="13">
        <v>0</v>
      </c>
      <c r="F242" s="13">
        <f>E242+D242</f>
        <v>322.3818</v>
      </c>
      <c r="G242" s="13">
        <v>0</v>
      </c>
      <c r="H242" s="13">
        <f>F242*1.5+G242</f>
        <v>483.5727</v>
      </c>
      <c r="I242" s="182" t="s">
        <v>54</v>
      </c>
      <c r="J242" s="183"/>
    </row>
    <row r="243" spans="1:14" ht="15.75" x14ac:dyDescent="0.25">
      <c r="A243" s="182">
        <v>2</v>
      </c>
      <c r="B243" s="183"/>
      <c r="C243" s="13" t="s">
        <v>195</v>
      </c>
      <c r="D243" s="13">
        <f>29.95*10.764</f>
        <v>322.3818</v>
      </c>
      <c r="E243" s="13">
        <v>0</v>
      </c>
      <c r="F243" s="13">
        <f>E243+D243</f>
        <v>322.3818</v>
      </c>
      <c r="G243" s="13">
        <v>0</v>
      </c>
      <c r="H243" s="13">
        <f>F243*1.5+G243</f>
        <v>483.5727</v>
      </c>
      <c r="I243" s="182" t="s">
        <v>54</v>
      </c>
      <c r="J243" s="183"/>
    </row>
    <row r="244" spans="1:14" ht="15.75" x14ac:dyDescent="0.25">
      <c r="A244" s="184" t="s">
        <v>218</v>
      </c>
      <c r="B244" s="185"/>
      <c r="C244" s="185"/>
      <c r="D244" s="185"/>
      <c r="E244" s="185"/>
      <c r="F244" s="185"/>
      <c r="G244" s="185"/>
      <c r="H244" s="185"/>
      <c r="I244" s="185"/>
      <c r="J244" s="186"/>
    </row>
    <row r="245" spans="1:14" ht="15.75" x14ac:dyDescent="0.25">
      <c r="A245" s="184" t="s">
        <v>219</v>
      </c>
      <c r="B245" s="185"/>
      <c r="C245" s="185"/>
      <c r="D245" s="185"/>
      <c r="E245" s="185"/>
      <c r="F245" s="185"/>
      <c r="G245" s="185"/>
      <c r="H245" s="185"/>
      <c r="I245" s="185"/>
      <c r="J245" s="186"/>
    </row>
    <row r="246" spans="1:14" ht="15.75" x14ac:dyDescent="0.25">
      <c r="A246" s="182">
        <v>1</v>
      </c>
      <c r="B246" s="183"/>
      <c r="C246" s="13" t="s">
        <v>130</v>
      </c>
      <c r="D246" s="13">
        <f>29.95*10.764</f>
        <v>322.3818</v>
      </c>
      <c r="E246" s="13">
        <v>0</v>
      </c>
      <c r="F246" s="13">
        <f>E246+D246</f>
        <v>322.3818</v>
      </c>
      <c r="G246" s="13">
        <v>0</v>
      </c>
      <c r="H246" s="13">
        <f>F246*1.5+G246</f>
        <v>483.5727</v>
      </c>
      <c r="I246" s="182" t="s">
        <v>54</v>
      </c>
      <c r="J246" s="183"/>
    </row>
    <row r="247" spans="1:14" ht="15.75" x14ac:dyDescent="0.25">
      <c r="A247" s="182">
        <v>2</v>
      </c>
      <c r="B247" s="183">
        <v>2</v>
      </c>
      <c r="C247" s="13" t="s">
        <v>130</v>
      </c>
      <c r="D247" s="13">
        <f t="shared" ref="D247:D255" si="6">29.95*10.764</f>
        <v>322.3818</v>
      </c>
      <c r="E247" s="13">
        <v>0</v>
      </c>
      <c r="F247" s="13">
        <f>E247+D247</f>
        <v>322.3818</v>
      </c>
      <c r="G247" s="13">
        <v>0</v>
      </c>
      <c r="H247" s="13">
        <f>F247*1.5+G247</f>
        <v>483.5727</v>
      </c>
      <c r="I247" s="182" t="s">
        <v>54</v>
      </c>
      <c r="J247" s="183"/>
    </row>
    <row r="248" spans="1:14" ht="15.75" x14ac:dyDescent="0.25">
      <c r="A248" s="182">
        <v>3</v>
      </c>
      <c r="B248" s="183">
        <v>3</v>
      </c>
      <c r="C248" s="13" t="s">
        <v>130</v>
      </c>
      <c r="D248" s="13">
        <f t="shared" si="6"/>
        <v>322.3818</v>
      </c>
      <c r="E248" s="13">
        <v>0</v>
      </c>
      <c r="F248" s="13">
        <f>E248+D248</f>
        <v>322.3818</v>
      </c>
      <c r="G248" s="13">
        <v>0</v>
      </c>
      <c r="H248" s="13">
        <f>F248*1.5+G248</f>
        <v>483.5727</v>
      </c>
      <c r="I248" s="182" t="s">
        <v>54</v>
      </c>
      <c r="J248" s="183"/>
    </row>
    <row r="249" spans="1:14" ht="15.75" x14ac:dyDescent="0.25">
      <c r="A249" s="182">
        <v>4</v>
      </c>
      <c r="B249" s="183">
        <v>4</v>
      </c>
      <c r="C249" s="13" t="s">
        <v>130</v>
      </c>
      <c r="D249" s="13">
        <f t="shared" si="6"/>
        <v>322.3818</v>
      </c>
      <c r="E249" s="13">
        <v>0</v>
      </c>
      <c r="F249" s="13">
        <f>E249+D249</f>
        <v>322.3818</v>
      </c>
      <c r="G249" s="13">
        <v>0</v>
      </c>
      <c r="H249" s="13">
        <f>F249*1.5+G249</f>
        <v>483.5727</v>
      </c>
      <c r="I249" s="182" t="s">
        <v>54</v>
      </c>
      <c r="J249" s="183"/>
    </row>
    <row r="250" spans="1:14" ht="15.75" x14ac:dyDescent="0.25">
      <c r="A250" s="182">
        <v>5</v>
      </c>
      <c r="B250" s="183">
        <v>5</v>
      </c>
      <c r="C250" s="13" t="s">
        <v>130</v>
      </c>
      <c r="D250" s="13">
        <f t="shared" si="6"/>
        <v>322.3818</v>
      </c>
      <c r="E250" s="13">
        <v>0</v>
      </c>
      <c r="F250" s="13">
        <f>E250+D250</f>
        <v>322.3818</v>
      </c>
      <c r="G250" s="13">
        <v>0</v>
      </c>
      <c r="H250" s="13">
        <f>F250*1.5+G250</f>
        <v>483.5727</v>
      </c>
      <c r="I250" s="182" t="s">
        <v>54</v>
      </c>
      <c r="J250" s="183"/>
      <c r="L250" s="40">
        <f>34*5</f>
        <v>170</v>
      </c>
    </row>
    <row r="251" spans="1:14" ht="15.75" x14ac:dyDescent="0.25">
      <c r="A251" s="184" t="s">
        <v>220</v>
      </c>
      <c r="B251" s="185"/>
      <c r="C251" s="185"/>
      <c r="D251" s="185"/>
      <c r="E251" s="185"/>
      <c r="F251" s="185"/>
      <c r="G251" s="185"/>
      <c r="H251" s="185"/>
      <c r="I251" s="185"/>
      <c r="J251" s="186"/>
    </row>
    <row r="252" spans="1:14" ht="15.75" x14ac:dyDescent="0.25">
      <c r="A252" s="182">
        <v>1</v>
      </c>
      <c r="B252" s="183"/>
      <c r="C252" s="13" t="s">
        <v>130</v>
      </c>
      <c r="D252" s="13">
        <f t="shared" si="6"/>
        <v>322.3818</v>
      </c>
      <c r="E252" s="13">
        <v>0</v>
      </c>
      <c r="F252" s="13">
        <f>E252+D252</f>
        <v>322.3818</v>
      </c>
      <c r="G252" s="13">
        <v>0</v>
      </c>
      <c r="H252" s="13">
        <f>F252*1.5+G252</f>
        <v>483.5727</v>
      </c>
      <c r="I252" s="182" t="s">
        <v>54</v>
      </c>
      <c r="J252" s="183"/>
      <c r="N252" s="79">
        <f>H252/F252</f>
        <v>1.5</v>
      </c>
    </row>
    <row r="253" spans="1:14" ht="15.75" x14ac:dyDescent="0.25">
      <c r="A253" s="182">
        <v>2</v>
      </c>
      <c r="B253" s="183">
        <v>2</v>
      </c>
      <c r="C253" s="13" t="s">
        <v>130</v>
      </c>
      <c r="D253" s="13">
        <f t="shared" si="6"/>
        <v>322.3818</v>
      </c>
      <c r="E253" s="13">
        <v>0</v>
      </c>
      <c r="F253" s="13">
        <f>E253+D253</f>
        <v>322.3818</v>
      </c>
      <c r="G253" s="13">
        <v>0</v>
      </c>
      <c r="H253" s="13">
        <f>F253*1.5+G253</f>
        <v>483.5727</v>
      </c>
      <c r="I253" s="182" t="s">
        <v>54</v>
      </c>
      <c r="J253" s="183"/>
    </row>
    <row r="254" spans="1:14" ht="15.75" x14ac:dyDescent="0.25">
      <c r="A254" s="182">
        <v>3</v>
      </c>
      <c r="B254" s="183">
        <v>3</v>
      </c>
      <c r="C254" s="13" t="s">
        <v>130</v>
      </c>
      <c r="D254" s="13">
        <f t="shared" si="6"/>
        <v>322.3818</v>
      </c>
      <c r="E254" s="13">
        <v>0</v>
      </c>
      <c r="F254" s="13">
        <f>E254+D254</f>
        <v>322.3818</v>
      </c>
      <c r="G254" s="13">
        <v>0</v>
      </c>
      <c r="H254" s="13">
        <f>F254*1.5+G254</f>
        <v>483.5727</v>
      </c>
      <c r="I254" s="182" t="s">
        <v>54</v>
      </c>
      <c r="J254" s="183"/>
    </row>
    <row r="255" spans="1:14" ht="15.75" x14ac:dyDescent="0.25">
      <c r="A255" s="182">
        <v>4</v>
      </c>
      <c r="B255" s="183">
        <v>4</v>
      </c>
      <c r="C255" s="13" t="s">
        <v>130</v>
      </c>
      <c r="D255" s="13">
        <f t="shared" si="6"/>
        <v>322.3818</v>
      </c>
      <c r="E255" s="13">
        <v>0</v>
      </c>
      <c r="F255" s="13">
        <f>E255+D255</f>
        <v>322.3818</v>
      </c>
      <c r="G255" s="13">
        <v>0</v>
      </c>
      <c r="H255" s="13">
        <f>F255*1.5+G255</f>
        <v>483.5727</v>
      </c>
      <c r="I255" s="182" t="s">
        <v>54</v>
      </c>
      <c r="J255" s="183"/>
      <c r="L255" s="40">
        <f>34*4</f>
        <v>136</v>
      </c>
    </row>
    <row r="256" spans="1:14" ht="15.75" x14ac:dyDescent="0.25">
      <c r="A256" s="184" t="s">
        <v>221</v>
      </c>
      <c r="B256" s="185"/>
      <c r="C256" s="185"/>
      <c r="D256" s="185"/>
      <c r="E256" s="185"/>
      <c r="F256" s="185"/>
      <c r="G256" s="185"/>
      <c r="H256" s="185"/>
      <c r="I256" s="185"/>
      <c r="J256" s="186"/>
    </row>
    <row r="257" spans="1:12" ht="15.75" x14ac:dyDescent="0.25">
      <c r="A257" s="182">
        <v>1</v>
      </c>
      <c r="B257" s="183"/>
      <c r="C257" s="13" t="s">
        <v>130</v>
      </c>
      <c r="D257" s="13">
        <f>29.95*10.764</f>
        <v>322.3818</v>
      </c>
      <c r="E257" s="13">
        <v>0</v>
      </c>
      <c r="F257" s="13">
        <f>E257+D257</f>
        <v>322.3818</v>
      </c>
      <c r="G257" s="13">
        <v>0</v>
      </c>
      <c r="H257" s="13">
        <f>F257*1.5+G257</f>
        <v>483.5727</v>
      </c>
      <c r="I257" s="182" t="s">
        <v>54</v>
      </c>
      <c r="J257" s="183"/>
    </row>
    <row r="258" spans="1:12" ht="15.75" x14ac:dyDescent="0.25">
      <c r="A258" s="182">
        <v>2</v>
      </c>
      <c r="B258" s="183">
        <v>2</v>
      </c>
      <c r="C258" s="13" t="s">
        <v>130</v>
      </c>
      <c r="D258" s="13">
        <f>29.95*10.764</f>
        <v>322.3818</v>
      </c>
      <c r="E258" s="13">
        <v>0</v>
      </c>
      <c r="F258" s="13">
        <f>E258+D258</f>
        <v>322.3818</v>
      </c>
      <c r="G258" s="13">
        <v>0</v>
      </c>
      <c r="H258" s="13">
        <f>F258*1.5+G258</f>
        <v>483.5727</v>
      </c>
      <c r="I258" s="182" t="s">
        <v>54</v>
      </c>
      <c r="J258" s="183"/>
    </row>
    <row r="259" spans="1:12" ht="15.75" x14ac:dyDescent="0.25">
      <c r="A259" s="182">
        <v>3</v>
      </c>
      <c r="B259" s="183">
        <v>3</v>
      </c>
      <c r="C259" s="13" t="s">
        <v>130</v>
      </c>
      <c r="D259" s="13">
        <f>29.95*10.764</f>
        <v>322.3818</v>
      </c>
      <c r="E259" s="13">
        <v>0</v>
      </c>
      <c r="F259" s="13">
        <f>E259+D259</f>
        <v>322.3818</v>
      </c>
      <c r="G259" s="13">
        <v>0</v>
      </c>
      <c r="H259" s="13">
        <f>F259*1.5+G259</f>
        <v>483.5727</v>
      </c>
      <c r="I259" s="182" t="s">
        <v>54</v>
      </c>
      <c r="J259" s="183"/>
    </row>
    <row r="260" spans="1:12" ht="15.75" x14ac:dyDescent="0.25">
      <c r="A260" s="182">
        <v>4</v>
      </c>
      <c r="B260" s="183">
        <v>4</v>
      </c>
      <c r="C260" s="13" t="s">
        <v>130</v>
      </c>
      <c r="D260" s="13">
        <f>29.95*10.764</f>
        <v>322.3818</v>
      </c>
      <c r="E260" s="13">
        <v>0</v>
      </c>
      <c r="F260" s="13">
        <f>E260+D260</f>
        <v>322.3818</v>
      </c>
      <c r="G260" s="13">
        <v>0</v>
      </c>
      <c r="H260" s="13">
        <f>F260*1.5+G260</f>
        <v>483.5727</v>
      </c>
      <c r="I260" s="182" t="s">
        <v>54</v>
      </c>
      <c r="J260" s="183"/>
    </row>
    <row r="261" spans="1:12" ht="15.75" x14ac:dyDescent="0.25">
      <c r="A261" s="182">
        <v>5</v>
      </c>
      <c r="B261" s="183">
        <v>5</v>
      </c>
      <c r="C261" s="13" t="s">
        <v>130</v>
      </c>
      <c r="D261" s="13">
        <f>29.95*10.764</f>
        <v>322.3818</v>
      </c>
      <c r="E261" s="13">
        <v>0</v>
      </c>
      <c r="F261" s="13">
        <f>E261+D261</f>
        <v>322.3818</v>
      </c>
      <c r="G261" s="13">
        <v>0</v>
      </c>
      <c r="H261" s="13">
        <f>F261*1.5+G261</f>
        <v>483.5727</v>
      </c>
      <c r="I261" s="182" t="s">
        <v>54</v>
      </c>
      <c r="J261" s="183"/>
      <c r="L261" s="40">
        <f>34*5</f>
        <v>170</v>
      </c>
    </row>
    <row r="262" spans="1:12" ht="15.75" x14ac:dyDescent="0.25">
      <c r="A262" s="184" t="s">
        <v>222</v>
      </c>
      <c r="B262" s="185"/>
      <c r="C262" s="185"/>
      <c r="D262" s="185"/>
      <c r="E262" s="185"/>
      <c r="F262" s="185"/>
      <c r="G262" s="185"/>
      <c r="H262" s="185"/>
      <c r="I262" s="185"/>
      <c r="J262" s="186"/>
      <c r="L262" s="40"/>
    </row>
    <row r="263" spans="1:12" ht="15.75" x14ac:dyDescent="0.25">
      <c r="A263" s="182">
        <v>1</v>
      </c>
      <c r="B263" s="183"/>
      <c r="C263" s="13" t="s">
        <v>130</v>
      </c>
      <c r="D263" s="13">
        <f>29.95*10.764</f>
        <v>322.3818</v>
      </c>
      <c r="E263" s="13">
        <v>0</v>
      </c>
      <c r="F263" s="13">
        <f>E263+D263</f>
        <v>322.3818</v>
      </c>
      <c r="G263" s="13">
        <v>0</v>
      </c>
      <c r="H263" s="13">
        <f>F263*1.5+G263</f>
        <v>483.5727</v>
      </c>
      <c r="I263" s="182" t="s">
        <v>54</v>
      </c>
      <c r="J263" s="183"/>
      <c r="L263" s="40"/>
    </row>
    <row r="264" spans="1:12" ht="15.75" x14ac:dyDescent="0.25">
      <c r="A264" s="182">
        <v>2</v>
      </c>
      <c r="B264" s="183">
        <v>2</v>
      </c>
      <c r="C264" s="13" t="s">
        <v>130</v>
      </c>
      <c r="D264" s="13">
        <f t="shared" ref="D264:D272" si="7">29.95*10.764</f>
        <v>322.3818</v>
      </c>
      <c r="E264" s="13">
        <v>0</v>
      </c>
      <c r="F264" s="13">
        <f>E264+D264</f>
        <v>322.3818</v>
      </c>
      <c r="G264" s="13">
        <v>0</v>
      </c>
      <c r="H264" s="13">
        <f>F264*1.5+G264</f>
        <v>483.5727</v>
      </c>
      <c r="I264" s="182" t="s">
        <v>54</v>
      </c>
      <c r="J264" s="183"/>
      <c r="L264" s="40"/>
    </row>
    <row r="265" spans="1:12" ht="15.75" x14ac:dyDescent="0.25">
      <c r="A265" s="182">
        <v>3</v>
      </c>
      <c r="B265" s="183">
        <v>3</v>
      </c>
      <c r="C265" s="13" t="s">
        <v>130</v>
      </c>
      <c r="D265" s="13">
        <f t="shared" si="7"/>
        <v>322.3818</v>
      </c>
      <c r="E265" s="13">
        <v>0</v>
      </c>
      <c r="F265" s="13">
        <f>E265+D265</f>
        <v>322.3818</v>
      </c>
      <c r="G265" s="13">
        <v>0</v>
      </c>
      <c r="H265" s="13">
        <f>F265*1.5+G265</f>
        <v>483.5727</v>
      </c>
      <c r="I265" s="182" t="s">
        <v>54</v>
      </c>
      <c r="J265" s="183"/>
      <c r="L265" s="40">
        <f>5*4</f>
        <v>20</v>
      </c>
    </row>
    <row r="266" spans="1:12" ht="15.75" x14ac:dyDescent="0.25">
      <c r="A266" s="182">
        <v>4</v>
      </c>
      <c r="B266" s="183">
        <v>4</v>
      </c>
      <c r="C266" s="182" t="s">
        <v>134</v>
      </c>
      <c r="D266" s="187"/>
      <c r="E266" s="187"/>
      <c r="F266" s="187"/>
      <c r="G266" s="187"/>
      <c r="H266" s="187"/>
      <c r="I266" s="187"/>
      <c r="J266" s="183"/>
    </row>
    <row r="267" spans="1:12" ht="15.75" x14ac:dyDescent="0.25">
      <c r="A267" s="182">
        <v>5</v>
      </c>
      <c r="B267" s="183">
        <v>5</v>
      </c>
      <c r="C267" s="13" t="s">
        <v>130</v>
      </c>
      <c r="D267" s="13">
        <f t="shared" si="7"/>
        <v>322.3818</v>
      </c>
      <c r="E267" s="13">
        <v>0</v>
      </c>
      <c r="F267" s="13">
        <f>E267+D267</f>
        <v>322.3818</v>
      </c>
      <c r="G267" s="13">
        <v>0</v>
      </c>
      <c r="H267" s="13">
        <f>F267*1.5+G267</f>
        <v>483.5727</v>
      </c>
      <c r="I267" s="182" t="s">
        <v>54</v>
      </c>
      <c r="J267" s="183"/>
    </row>
    <row r="268" spans="1:12" ht="15.75" x14ac:dyDescent="0.25">
      <c r="A268" s="184" t="s">
        <v>223</v>
      </c>
      <c r="B268" s="185"/>
      <c r="C268" s="185"/>
      <c r="D268" s="185"/>
      <c r="E268" s="185"/>
      <c r="F268" s="185"/>
      <c r="G268" s="185"/>
      <c r="H268" s="185"/>
      <c r="I268" s="185"/>
      <c r="J268" s="186"/>
    </row>
    <row r="269" spans="1:12" ht="15.75" x14ac:dyDescent="0.25">
      <c r="A269" s="182">
        <v>1</v>
      </c>
      <c r="B269" s="183"/>
      <c r="C269" s="13" t="s">
        <v>130</v>
      </c>
      <c r="D269" s="13">
        <f t="shared" si="7"/>
        <v>322.3818</v>
      </c>
      <c r="E269" s="13">
        <v>0</v>
      </c>
      <c r="F269" s="13">
        <f>E269+D269</f>
        <v>322.3818</v>
      </c>
      <c r="G269" s="13">
        <v>0</v>
      </c>
      <c r="H269" s="13">
        <f>F269*1.5+G269</f>
        <v>483.5727</v>
      </c>
      <c r="I269" s="182" t="s">
        <v>54</v>
      </c>
      <c r="J269" s="183"/>
    </row>
    <row r="270" spans="1:12" ht="15.75" x14ac:dyDescent="0.25">
      <c r="A270" s="182">
        <v>2</v>
      </c>
      <c r="B270" s="183">
        <v>2</v>
      </c>
      <c r="C270" s="182" t="s">
        <v>134</v>
      </c>
      <c r="D270" s="187"/>
      <c r="E270" s="187"/>
      <c r="F270" s="187"/>
      <c r="G270" s="187"/>
      <c r="H270" s="187"/>
      <c r="I270" s="187"/>
      <c r="J270" s="183"/>
    </row>
    <row r="271" spans="1:12" ht="15.75" x14ac:dyDescent="0.25">
      <c r="A271" s="182">
        <v>3</v>
      </c>
      <c r="B271" s="183">
        <v>3</v>
      </c>
      <c r="C271" s="13" t="s">
        <v>130</v>
      </c>
      <c r="D271" s="13">
        <f t="shared" si="7"/>
        <v>322.3818</v>
      </c>
      <c r="E271" s="13">
        <v>0</v>
      </c>
      <c r="F271" s="13">
        <f>E271+D271</f>
        <v>322.3818</v>
      </c>
      <c r="G271" s="13">
        <v>0</v>
      </c>
      <c r="H271" s="13">
        <f>F271*1.5+G271</f>
        <v>483.5727</v>
      </c>
      <c r="I271" s="182" t="s">
        <v>54</v>
      </c>
      <c r="J271" s="183"/>
    </row>
    <row r="272" spans="1:12" ht="15.75" x14ac:dyDescent="0.25">
      <c r="A272" s="182">
        <v>4</v>
      </c>
      <c r="B272" s="183">
        <v>4</v>
      </c>
      <c r="C272" s="13" t="s">
        <v>130</v>
      </c>
      <c r="D272" s="13">
        <f t="shared" si="7"/>
        <v>322.3818</v>
      </c>
      <c r="E272" s="13">
        <v>0</v>
      </c>
      <c r="F272" s="13">
        <f>E272+D272</f>
        <v>322.3818</v>
      </c>
      <c r="G272" s="13">
        <v>0</v>
      </c>
      <c r="H272" s="13">
        <f>F272*1.5+G272</f>
        <v>483.5727</v>
      </c>
      <c r="I272" s="182" t="s">
        <v>54</v>
      </c>
      <c r="J272" s="183"/>
      <c r="L272" s="40">
        <f>5*3</f>
        <v>15</v>
      </c>
    </row>
    <row r="273" spans="1:12" ht="15.75" x14ac:dyDescent="0.25">
      <c r="A273" s="184" t="s">
        <v>224</v>
      </c>
      <c r="B273" s="185"/>
      <c r="C273" s="185"/>
      <c r="D273" s="185"/>
      <c r="E273" s="185"/>
      <c r="F273" s="185"/>
      <c r="G273" s="185"/>
      <c r="H273" s="185"/>
      <c r="I273" s="185"/>
      <c r="J273" s="186"/>
    </row>
    <row r="274" spans="1:12" ht="15.75" x14ac:dyDescent="0.25">
      <c r="A274" s="182">
        <v>1</v>
      </c>
      <c r="B274" s="183"/>
      <c r="C274" s="13" t="s">
        <v>130</v>
      </c>
      <c r="D274" s="13">
        <f>29.95*10.764</f>
        <v>322.3818</v>
      </c>
      <c r="E274" s="13">
        <v>0</v>
      </c>
      <c r="F274" s="13">
        <f>E274+D274</f>
        <v>322.3818</v>
      </c>
      <c r="G274" s="13">
        <v>0</v>
      </c>
      <c r="H274" s="13">
        <f>F274*1.5+G274</f>
        <v>483.5727</v>
      </c>
      <c r="I274" s="182" t="s">
        <v>54</v>
      </c>
      <c r="J274" s="183"/>
    </row>
    <row r="275" spans="1:12" ht="15.75" x14ac:dyDescent="0.25">
      <c r="A275" s="182">
        <v>2</v>
      </c>
      <c r="B275" s="183">
        <v>2</v>
      </c>
      <c r="C275" s="182" t="s">
        <v>134</v>
      </c>
      <c r="D275" s="187"/>
      <c r="E275" s="187"/>
      <c r="F275" s="187"/>
      <c r="G275" s="187"/>
      <c r="H275" s="187"/>
      <c r="I275" s="187"/>
      <c r="J275" s="183"/>
    </row>
    <row r="276" spans="1:12" ht="15.75" x14ac:dyDescent="0.25">
      <c r="A276" s="182">
        <v>3</v>
      </c>
      <c r="B276" s="183">
        <v>3</v>
      </c>
      <c r="C276" s="13" t="s">
        <v>130</v>
      </c>
      <c r="D276" s="13">
        <f>29.95*10.764</f>
        <v>322.3818</v>
      </c>
      <c r="E276" s="13">
        <v>0</v>
      </c>
      <c r="F276" s="13">
        <f>E276+D276</f>
        <v>322.3818</v>
      </c>
      <c r="G276" s="13">
        <v>0</v>
      </c>
      <c r="H276" s="13">
        <f>F276*1.5+G276</f>
        <v>483.5727</v>
      </c>
      <c r="I276" s="182" t="s">
        <v>54</v>
      </c>
      <c r="J276" s="183"/>
    </row>
    <row r="277" spans="1:12" ht="15.75" x14ac:dyDescent="0.25">
      <c r="A277" s="182">
        <v>4</v>
      </c>
      <c r="B277" s="183">
        <v>4</v>
      </c>
      <c r="C277" s="13" t="s">
        <v>130</v>
      </c>
      <c r="D277" s="13">
        <f>29.95*10.764</f>
        <v>322.3818</v>
      </c>
      <c r="E277" s="13">
        <v>0</v>
      </c>
      <c r="F277" s="13">
        <f>E277+D277</f>
        <v>322.3818</v>
      </c>
      <c r="G277" s="13">
        <v>0</v>
      </c>
      <c r="H277" s="13">
        <f>F277*1.5+G277</f>
        <v>483.5727</v>
      </c>
      <c r="I277" s="182" t="s">
        <v>54</v>
      </c>
      <c r="J277" s="183"/>
    </row>
    <row r="278" spans="1:12" ht="15.75" x14ac:dyDescent="0.25">
      <c r="A278" s="182">
        <v>5</v>
      </c>
      <c r="B278" s="183">
        <v>5</v>
      </c>
      <c r="C278" s="13" t="s">
        <v>130</v>
      </c>
      <c r="D278" s="13">
        <f>29.95*10.764</f>
        <v>322.3818</v>
      </c>
      <c r="E278" s="13">
        <v>0</v>
      </c>
      <c r="F278" s="13">
        <f>E278+D278</f>
        <v>322.3818</v>
      </c>
      <c r="G278" s="13">
        <v>0</v>
      </c>
      <c r="H278" s="13">
        <f>F278*1.5+G278</f>
        <v>483.5727</v>
      </c>
      <c r="I278" s="182" t="s">
        <v>54</v>
      </c>
      <c r="J278" s="183"/>
      <c r="L278" s="40">
        <f>5*4</f>
        <v>20</v>
      </c>
    </row>
    <row r="279" spans="1:12" ht="15.75" x14ac:dyDescent="0.25">
      <c r="A279" s="184" t="s">
        <v>225</v>
      </c>
      <c r="B279" s="185"/>
      <c r="C279" s="185"/>
      <c r="D279" s="185"/>
      <c r="E279" s="185"/>
      <c r="F279" s="185"/>
      <c r="G279" s="185"/>
      <c r="H279" s="185"/>
      <c r="I279" s="185"/>
      <c r="J279" s="186"/>
    </row>
    <row r="280" spans="1:12" ht="15.75" x14ac:dyDescent="0.25">
      <c r="A280" s="182">
        <v>1</v>
      </c>
      <c r="B280" s="183"/>
      <c r="C280" s="13" t="s">
        <v>130</v>
      </c>
      <c r="D280" s="13">
        <f>29.95*10.764</f>
        <v>322.3818</v>
      </c>
      <c r="E280" s="13">
        <v>0</v>
      </c>
      <c r="F280" s="13">
        <f>E280+D280</f>
        <v>322.3818</v>
      </c>
      <c r="G280" s="13">
        <v>0</v>
      </c>
      <c r="H280" s="13">
        <f>F280*1.5+G280</f>
        <v>483.5727</v>
      </c>
      <c r="I280" s="182" t="s">
        <v>54</v>
      </c>
      <c r="J280" s="183"/>
    </row>
    <row r="281" spans="1:12" ht="15.75" x14ac:dyDescent="0.25">
      <c r="A281" s="182">
        <v>2</v>
      </c>
      <c r="B281" s="183">
        <v>2</v>
      </c>
      <c r="C281" s="13" t="s">
        <v>130</v>
      </c>
      <c r="D281" s="13">
        <f t="shared" ref="D281:D289" si="8">29.95*10.764</f>
        <v>322.3818</v>
      </c>
      <c r="E281" s="13">
        <v>0</v>
      </c>
      <c r="F281" s="13">
        <f>E281+D281</f>
        <v>322.3818</v>
      </c>
      <c r="G281" s="13">
        <v>0</v>
      </c>
      <c r="H281" s="13">
        <f>F281*1.5+G281</f>
        <v>483.5727</v>
      </c>
      <c r="I281" s="182" t="s">
        <v>54</v>
      </c>
      <c r="J281" s="183"/>
    </row>
    <row r="282" spans="1:12" ht="15.75" x14ac:dyDescent="0.25">
      <c r="A282" s="182">
        <v>3</v>
      </c>
      <c r="B282" s="183">
        <v>3</v>
      </c>
      <c r="C282" s="13" t="s">
        <v>130</v>
      </c>
      <c r="D282" s="13">
        <f t="shared" si="8"/>
        <v>322.3818</v>
      </c>
      <c r="E282" s="13">
        <v>0</v>
      </c>
      <c r="F282" s="13">
        <f>E282+D282</f>
        <v>322.3818</v>
      </c>
      <c r="G282" s="13">
        <v>0</v>
      </c>
      <c r="H282" s="13">
        <f>F282*1.5+G282</f>
        <v>483.5727</v>
      </c>
      <c r="I282" s="182" t="s">
        <v>54</v>
      </c>
      <c r="J282" s="183"/>
    </row>
    <row r="283" spans="1:12" ht="15.75" x14ac:dyDescent="0.25">
      <c r="A283" s="182">
        <v>4</v>
      </c>
      <c r="B283" s="183">
        <v>4</v>
      </c>
      <c r="C283" s="182" t="s">
        <v>134</v>
      </c>
      <c r="D283" s="187"/>
      <c r="E283" s="187"/>
      <c r="F283" s="187"/>
      <c r="G283" s="187"/>
      <c r="H283" s="187"/>
      <c r="I283" s="187"/>
      <c r="J283" s="183"/>
    </row>
    <row r="284" spans="1:12" ht="15.75" x14ac:dyDescent="0.25">
      <c r="A284" s="182">
        <v>5</v>
      </c>
      <c r="B284" s="183">
        <v>5</v>
      </c>
      <c r="C284" s="13" t="s">
        <v>130</v>
      </c>
      <c r="D284" s="13">
        <f t="shared" si="8"/>
        <v>322.3818</v>
      </c>
      <c r="E284" s="13">
        <v>0</v>
      </c>
      <c r="F284" s="13">
        <f>E284+D284</f>
        <v>322.3818</v>
      </c>
      <c r="G284" s="13">
        <v>0</v>
      </c>
      <c r="H284" s="13">
        <f>F284*1.5+G284</f>
        <v>483.5727</v>
      </c>
      <c r="I284" s="182" t="s">
        <v>54</v>
      </c>
      <c r="J284" s="183"/>
      <c r="L284" s="40">
        <f>4</f>
        <v>4</v>
      </c>
    </row>
    <row r="285" spans="1:12" ht="15.75" x14ac:dyDescent="0.25">
      <c r="A285" s="184" t="s">
        <v>226</v>
      </c>
      <c r="B285" s="185"/>
      <c r="C285" s="185"/>
      <c r="D285" s="185"/>
      <c r="E285" s="185"/>
      <c r="F285" s="185"/>
      <c r="G285" s="185"/>
      <c r="H285" s="185"/>
      <c r="I285" s="185"/>
      <c r="J285" s="186"/>
    </row>
    <row r="286" spans="1:12" ht="15.75" x14ac:dyDescent="0.25">
      <c r="A286" s="182">
        <v>1</v>
      </c>
      <c r="B286" s="183"/>
      <c r="C286" s="13" t="s">
        <v>130</v>
      </c>
      <c r="D286" s="13">
        <f t="shared" si="8"/>
        <v>322.3818</v>
      </c>
      <c r="E286" s="13">
        <v>0</v>
      </c>
      <c r="F286" s="13">
        <f>E286+D286</f>
        <v>322.3818</v>
      </c>
      <c r="G286" s="13">
        <v>0</v>
      </c>
      <c r="H286" s="13">
        <f>F286*1.5+G286</f>
        <v>483.5727</v>
      </c>
      <c r="I286" s="182" t="s">
        <v>54</v>
      </c>
      <c r="J286" s="183"/>
    </row>
    <row r="287" spans="1:12" ht="15.75" x14ac:dyDescent="0.25">
      <c r="A287" s="182">
        <v>2</v>
      </c>
      <c r="B287" s="183">
        <v>2</v>
      </c>
      <c r="C287" s="182" t="s">
        <v>134</v>
      </c>
      <c r="D287" s="187"/>
      <c r="E287" s="187"/>
      <c r="F287" s="187"/>
      <c r="G287" s="187"/>
      <c r="H287" s="187"/>
      <c r="I287" s="187"/>
      <c r="J287" s="183"/>
    </row>
    <row r="288" spans="1:12" ht="15.75" x14ac:dyDescent="0.25">
      <c r="A288" s="182">
        <v>3</v>
      </c>
      <c r="B288" s="183">
        <v>3</v>
      </c>
      <c r="C288" s="13" t="s">
        <v>130</v>
      </c>
      <c r="D288" s="13">
        <f t="shared" si="8"/>
        <v>322.3818</v>
      </c>
      <c r="E288" s="13">
        <v>0</v>
      </c>
      <c r="F288" s="13">
        <f>E288+D288</f>
        <v>322.3818</v>
      </c>
      <c r="G288" s="13">
        <v>0</v>
      </c>
      <c r="H288" s="13">
        <f>F288*1.5+G288</f>
        <v>483.5727</v>
      </c>
      <c r="I288" s="182" t="s">
        <v>54</v>
      </c>
      <c r="J288" s="183"/>
    </row>
    <row r="289" spans="1:12" ht="15.75" x14ac:dyDescent="0.25">
      <c r="A289" s="182">
        <v>4</v>
      </c>
      <c r="B289" s="183">
        <v>4</v>
      </c>
      <c r="C289" s="13" t="s">
        <v>130</v>
      </c>
      <c r="D289" s="13">
        <f t="shared" si="8"/>
        <v>322.3818</v>
      </c>
      <c r="E289" s="13">
        <v>0</v>
      </c>
      <c r="F289" s="13">
        <f>E289+D289</f>
        <v>322.3818</v>
      </c>
      <c r="G289" s="13">
        <v>0</v>
      </c>
      <c r="H289" s="13">
        <f>F289*1.5+G289</f>
        <v>483.5727</v>
      </c>
      <c r="I289" s="182" t="s">
        <v>54</v>
      </c>
      <c r="J289" s="183"/>
      <c r="L289">
        <v>3</v>
      </c>
    </row>
    <row r="290" spans="1:12" ht="15.75" x14ac:dyDescent="0.25">
      <c r="A290" s="184" t="s">
        <v>227</v>
      </c>
      <c r="B290" s="185"/>
      <c r="C290" s="185"/>
      <c r="D290" s="185"/>
      <c r="E290" s="185"/>
      <c r="F290" s="185"/>
      <c r="G290" s="185"/>
      <c r="H290" s="185"/>
      <c r="I290" s="185"/>
      <c r="J290" s="186"/>
    </row>
    <row r="291" spans="1:12" ht="15.75" x14ac:dyDescent="0.25">
      <c r="A291" s="182">
        <v>1</v>
      </c>
      <c r="B291" s="183"/>
      <c r="C291" s="13" t="s">
        <v>130</v>
      </c>
      <c r="D291" s="13">
        <f>29.95*10.764</f>
        <v>322.3818</v>
      </c>
      <c r="E291" s="13">
        <v>0</v>
      </c>
      <c r="F291" s="13">
        <f>E291+D291</f>
        <v>322.3818</v>
      </c>
      <c r="G291" s="13">
        <v>0</v>
      </c>
      <c r="H291" s="13">
        <f>F291*1.5+G291</f>
        <v>483.5727</v>
      </c>
      <c r="I291" s="182" t="s">
        <v>54</v>
      </c>
      <c r="J291" s="183"/>
    </row>
    <row r="292" spans="1:12" ht="15.75" x14ac:dyDescent="0.25">
      <c r="A292" s="182">
        <v>2</v>
      </c>
      <c r="B292" s="183">
        <v>2</v>
      </c>
      <c r="C292" s="182" t="s">
        <v>134</v>
      </c>
      <c r="D292" s="187"/>
      <c r="E292" s="187"/>
      <c r="F292" s="187"/>
      <c r="G292" s="187"/>
      <c r="H292" s="187"/>
      <c r="I292" s="187"/>
      <c r="J292" s="183"/>
    </row>
    <row r="293" spans="1:12" ht="15.75" x14ac:dyDescent="0.25">
      <c r="A293" s="182">
        <v>3</v>
      </c>
      <c r="B293" s="183">
        <v>3</v>
      </c>
      <c r="C293" s="13" t="s">
        <v>130</v>
      </c>
      <c r="D293" s="13">
        <f>29.95*10.764</f>
        <v>322.3818</v>
      </c>
      <c r="E293" s="13">
        <v>0</v>
      </c>
      <c r="F293" s="13">
        <f>E293+D293</f>
        <v>322.3818</v>
      </c>
      <c r="G293" s="13">
        <v>0</v>
      </c>
      <c r="H293" s="13">
        <f>F293*1.5+G293</f>
        <v>483.5727</v>
      </c>
      <c r="I293" s="182" t="s">
        <v>54</v>
      </c>
      <c r="J293" s="183"/>
    </row>
    <row r="294" spans="1:12" ht="15.75" x14ac:dyDescent="0.25">
      <c r="A294" s="182">
        <v>4</v>
      </c>
      <c r="B294" s="183">
        <v>4</v>
      </c>
      <c r="C294" s="13" t="s">
        <v>130</v>
      </c>
      <c r="D294" s="13">
        <f>29.95*10.764</f>
        <v>322.3818</v>
      </c>
      <c r="E294" s="13">
        <v>0</v>
      </c>
      <c r="F294" s="13">
        <f>E294+D294</f>
        <v>322.3818</v>
      </c>
      <c r="G294" s="13">
        <v>0</v>
      </c>
      <c r="H294" s="13">
        <f>F294*1.5+G294</f>
        <v>483.5727</v>
      </c>
      <c r="I294" s="182" t="s">
        <v>54</v>
      </c>
      <c r="J294" s="183"/>
    </row>
    <row r="295" spans="1:12" ht="15.75" x14ac:dyDescent="0.25">
      <c r="A295" s="182">
        <v>5</v>
      </c>
      <c r="B295" s="183">
        <v>5</v>
      </c>
      <c r="C295" s="13" t="s">
        <v>130</v>
      </c>
      <c r="D295" s="13">
        <f>29.95*10.764</f>
        <v>322.3818</v>
      </c>
      <c r="E295" s="13">
        <v>0</v>
      </c>
      <c r="F295" s="13">
        <f>E295+D295</f>
        <v>322.3818</v>
      </c>
      <c r="G295" s="13">
        <v>0</v>
      </c>
      <c r="H295" s="13">
        <f>F295*1.5+G295</f>
        <v>483.5727</v>
      </c>
      <c r="I295" s="182" t="s">
        <v>54</v>
      </c>
      <c r="J295" s="183"/>
      <c r="L295">
        <v>4</v>
      </c>
    </row>
    <row r="296" spans="1:12" ht="15.75" x14ac:dyDescent="0.25">
      <c r="A296" s="184" t="s">
        <v>135</v>
      </c>
      <c r="B296" s="185"/>
      <c r="C296" s="185"/>
      <c r="D296" s="185"/>
      <c r="E296" s="185"/>
      <c r="F296" s="185"/>
      <c r="G296" s="185"/>
      <c r="H296" s="185"/>
      <c r="I296" s="185"/>
      <c r="J296" s="186"/>
    </row>
    <row r="297" spans="1:12" ht="15.75" x14ac:dyDescent="0.25">
      <c r="A297" s="197" t="s">
        <v>236</v>
      </c>
      <c r="B297" s="198"/>
      <c r="C297" s="198"/>
      <c r="D297" s="198"/>
      <c r="E297" s="198"/>
      <c r="F297" s="198"/>
      <c r="G297" s="198"/>
      <c r="H297" s="198"/>
      <c r="I297" s="198"/>
      <c r="J297" s="199"/>
    </row>
    <row r="298" spans="1:12" ht="15.75" x14ac:dyDescent="0.25">
      <c r="A298" s="197" t="s">
        <v>136</v>
      </c>
      <c r="B298" s="198"/>
      <c r="C298" s="198"/>
      <c r="D298" s="198"/>
      <c r="E298" s="198"/>
      <c r="F298" s="198"/>
      <c r="G298" s="198"/>
      <c r="H298" s="198"/>
      <c r="I298" s="198"/>
      <c r="J298" s="199"/>
    </row>
    <row r="299" spans="1:12" ht="15.75" x14ac:dyDescent="0.25">
      <c r="A299" s="184" t="s">
        <v>231</v>
      </c>
      <c r="B299" s="185"/>
      <c r="C299" s="185"/>
      <c r="D299" s="185"/>
      <c r="E299" s="185"/>
      <c r="F299" s="185"/>
      <c r="G299" s="185"/>
      <c r="H299" s="185"/>
      <c r="I299" s="185"/>
      <c r="J299" s="186"/>
    </row>
    <row r="300" spans="1:12" ht="15.75" x14ac:dyDescent="0.25">
      <c r="A300" s="13">
        <v>1</v>
      </c>
      <c r="B300" s="38" t="s">
        <v>194</v>
      </c>
      <c r="C300" s="13" t="s">
        <v>195</v>
      </c>
      <c r="D300" s="13">
        <f>21.44*10.764</f>
        <v>230.78016</v>
      </c>
      <c r="E300" s="13">
        <v>0</v>
      </c>
      <c r="F300" s="13">
        <f>E300+D300</f>
        <v>230.78016</v>
      </c>
      <c r="G300" s="13">
        <v>0</v>
      </c>
      <c r="H300" s="13">
        <f>F300*1.6+G300</f>
        <v>369.24825600000003</v>
      </c>
      <c r="I300" s="236" t="s">
        <v>54</v>
      </c>
      <c r="J300" s="236"/>
    </row>
    <row r="301" spans="1:12" ht="15.75" x14ac:dyDescent="0.25">
      <c r="A301" s="13">
        <v>2</v>
      </c>
      <c r="B301" s="38" t="s">
        <v>194</v>
      </c>
      <c r="C301" s="13" t="s">
        <v>195</v>
      </c>
      <c r="D301" s="13">
        <f>31.44*10.764</f>
        <v>338.42016000000001</v>
      </c>
      <c r="E301" s="13">
        <v>0</v>
      </c>
      <c r="F301" s="13">
        <f>E301+D301</f>
        <v>338.42016000000001</v>
      </c>
      <c r="G301" s="13">
        <v>0</v>
      </c>
      <c r="H301" s="13">
        <f>F301*1.6+G301</f>
        <v>541.47225600000002</v>
      </c>
      <c r="I301" s="236" t="s">
        <v>54</v>
      </c>
      <c r="J301" s="236"/>
    </row>
    <row r="302" spans="1:12" ht="15.75" x14ac:dyDescent="0.25">
      <c r="A302" s="184" t="s">
        <v>131</v>
      </c>
      <c r="B302" s="185"/>
      <c r="C302" s="185"/>
      <c r="D302" s="185"/>
      <c r="E302" s="185"/>
      <c r="F302" s="185"/>
      <c r="G302" s="185"/>
      <c r="H302" s="185"/>
      <c r="I302" s="185"/>
      <c r="J302" s="186"/>
    </row>
    <row r="303" spans="1:12" ht="15.75" x14ac:dyDescent="0.25">
      <c r="A303" s="182">
        <v>1</v>
      </c>
      <c r="B303" s="183"/>
      <c r="C303" s="13" t="s">
        <v>130</v>
      </c>
      <c r="D303" s="13">
        <f>29.97*10.764</f>
        <v>322.59707999999995</v>
      </c>
      <c r="E303" s="13">
        <v>0</v>
      </c>
      <c r="F303" s="13">
        <f>E303+D303</f>
        <v>322.59707999999995</v>
      </c>
      <c r="G303" s="13">
        <v>0</v>
      </c>
      <c r="H303" s="13">
        <f>F303*1.5+G303</f>
        <v>483.89561999999989</v>
      </c>
      <c r="I303" s="236" t="s">
        <v>54</v>
      </c>
      <c r="J303" s="236"/>
    </row>
    <row r="304" spans="1:12" ht="15.75" x14ac:dyDescent="0.25">
      <c r="A304" s="182">
        <v>2</v>
      </c>
      <c r="B304" s="183">
        <v>2</v>
      </c>
      <c r="C304" s="13" t="s">
        <v>130</v>
      </c>
      <c r="D304" s="13">
        <f>29.97*10.764</f>
        <v>322.59707999999995</v>
      </c>
      <c r="E304" s="13">
        <v>0</v>
      </c>
      <c r="F304" s="13">
        <f>E304+D304</f>
        <v>322.59707999999995</v>
      </c>
      <c r="G304" s="13">
        <v>0</v>
      </c>
      <c r="H304" s="13">
        <f>F304*1.5+G304</f>
        <v>483.89561999999989</v>
      </c>
      <c r="I304" s="236" t="s">
        <v>54</v>
      </c>
      <c r="J304" s="236"/>
    </row>
    <row r="305" spans="1:12" ht="15.75" x14ac:dyDescent="0.25">
      <c r="A305" s="182">
        <v>3</v>
      </c>
      <c r="B305" s="183">
        <v>3</v>
      </c>
      <c r="C305" s="13" t="s">
        <v>130</v>
      </c>
      <c r="D305" s="13">
        <f>29.97*10.764</f>
        <v>322.59707999999995</v>
      </c>
      <c r="E305" s="13">
        <v>0</v>
      </c>
      <c r="F305" s="13">
        <f>E305+D305</f>
        <v>322.59707999999995</v>
      </c>
      <c r="G305" s="13">
        <v>0</v>
      </c>
      <c r="H305" s="13">
        <f>F305*1.5+G305</f>
        <v>483.89561999999989</v>
      </c>
      <c r="I305" s="236" t="s">
        <v>54</v>
      </c>
      <c r="J305" s="236"/>
    </row>
    <row r="306" spans="1:12" ht="15.75" x14ac:dyDescent="0.25">
      <c r="A306" s="182">
        <v>4</v>
      </c>
      <c r="B306" s="183">
        <v>4</v>
      </c>
      <c r="C306" s="13" t="s">
        <v>130</v>
      </c>
      <c r="D306" s="13">
        <f>29.97*10.764</f>
        <v>322.59707999999995</v>
      </c>
      <c r="E306" s="13">
        <v>0</v>
      </c>
      <c r="F306" s="13">
        <f>E306+D306</f>
        <v>322.59707999999995</v>
      </c>
      <c r="G306" s="13">
        <v>0</v>
      </c>
      <c r="H306" s="13">
        <f>F306*1.5+G306</f>
        <v>483.89561999999989</v>
      </c>
      <c r="I306" s="236" t="s">
        <v>54</v>
      </c>
      <c r="J306" s="236"/>
      <c r="L306">
        <v>4</v>
      </c>
    </row>
    <row r="307" spans="1:12" ht="15.75" x14ac:dyDescent="0.25">
      <c r="A307" s="184" t="s">
        <v>132</v>
      </c>
      <c r="B307" s="185"/>
      <c r="C307" s="185"/>
      <c r="D307" s="185"/>
      <c r="E307" s="185"/>
      <c r="F307" s="185"/>
      <c r="G307" s="185"/>
      <c r="H307" s="185"/>
      <c r="I307" s="185"/>
      <c r="J307" s="186"/>
    </row>
    <row r="308" spans="1:12" ht="15.75" x14ac:dyDescent="0.25">
      <c r="A308" s="182">
        <v>1</v>
      </c>
      <c r="B308" s="183"/>
      <c r="C308" s="13" t="s">
        <v>130</v>
      </c>
      <c r="D308" s="13">
        <f>29.97*10.764</f>
        <v>322.59707999999995</v>
      </c>
      <c r="E308" s="13">
        <v>0</v>
      </c>
      <c r="F308" s="13">
        <f>E308+D308</f>
        <v>322.59707999999995</v>
      </c>
      <c r="G308" s="13">
        <v>0</v>
      </c>
      <c r="H308" s="13">
        <f>F308*1.5+G308</f>
        <v>483.89561999999989</v>
      </c>
      <c r="I308" s="236" t="s">
        <v>54</v>
      </c>
      <c r="J308" s="236"/>
    </row>
    <row r="309" spans="1:12" ht="15.75" x14ac:dyDescent="0.25">
      <c r="A309" s="182">
        <v>2</v>
      </c>
      <c r="B309" s="183">
        <v>2</v>
      </c>
      <c r="C309" s="13" t="s">
        <v>130</v>
      </c>
      <c r="D309" s="13">
        <f>29.97*10.764</f>
        <v>322.59707999999995</v>
      </c>
      <c r="E309" s="13">
        <v>0</v>
      </c>
      <c r="F309" s="13">
        <f>E309+D309</f>
        <v>322.59707999999995</v>
      </c>
      <c r="G309" s="13">
        <v>0</v>
      </c>
      <c r="H309" s="13">
        <f>F309*1.5+G309</f>
        <v>483.89561999999989</v>
      </c>
      <c r="I309" s="236" t="s">
        <v>54</v>
      </c>
      <c r="J309" s="236"/>
    </row>
    <row r="310" spans="1:12" ht="15.75" x14ac:dyDescent="0.25">
      <c r="A310" s="182">
        <v>3</v>
      </c>
      <c r="B310" s="183">
        <v>3</v>
      </c>
      <c r="C310" s="13" t="s">
        <v>130</v>
      </c>
      <c r="D310" s="13">
        <f>29.97*10.764</f>
        <v>322.59707999999995</v>
      </c>
      <c r="E310" s="13">
        <v>0</v>
      </c>
      <c r="F310" s="13">
        <f>E310+D310</f>
        <v>322.59707999999995</v>
      </c>
      <c r="G310" s="13">
        <v>0</v>
      </c>
      <c r="H310" s="13">
        <f>F310*1.5+G310</f>
        <v>483.89561999999989</v>
      </c>
      <c r="I310" s="236" t="s">
        <v>54</v>
      </c>
      <c r="J310" s="236"/>
    </row>
    <row r="311" spans="1:12" ht="15.75" x14ac:dyDescent="0.25">
      <c r="A311" s="182">
        <v>4</v>
      </c>
      <c r="B311" s="183">
        <v>4</v>
      </c>
      <c r="C311" s="13" t="s">
        <v>130</v>
      </c>
      <c r="D311" s="13">
        <f>29.97*10.764</f>
        <v>322.59707999999995</v>
      </c>
      <c r="E311" s="13">
        <v>0</v>
      </c>
      <c r="F311" s="13">
        <f>E311+D311</f>
        <v>322.59707999999995</v>
      </c>
      <c r="G311" s="13">
        <v>0</v>
      </c>
      <c r="H311" s="13">
        <f>F311*1.5+G311</f>
        <v>483.89561999999989</v>
      </c>
      <c r="I311" s="236" t="s">
        <v>54</v>
      </c>
      <c r="J311" s="236"/>
      <c r="L311">
        <v>4</v>
      </c>
    </row>
    <row r="312" spans="1:12" ht="15.75" x14ac:dyDescent="0.25">
      <c r="A312" s="184" t="s">
        <v>133</v>
      </c>
      <c r="B312" s="185"/>
      <c r="C312" s="185"/>
      <c r="D312" s="185"/>
      <c r="E312" s="185"/>
      <c r="F312" s="185"/>
      <c r="G312" s="185"/>
      <c r="H312" s="185"/>
      <c r="I312" s="185"/>
      <c r="J312" s="186"/>
    </row>
    <row r="313" spans="1:12" ht="15.75" x14ac:dyDescent="0.25">
      <c r="A313" s="182">
        <v>1</v>
      </c>
      <c r="B313" s="183"/>
      <c r="C313" s="13" t="s">
        <v>130</v>
      </c>
      <c r="D313" s="13">
        <f>29.97*10.764</f>
        <v>322.59707999999995</v>
      </c>
      <c r="E313" s="13">
        <v>0</v>
      </c>
      <c r="F313" s="13">
        <f>E313+D313</f>
        <v>322.59707999999995</v>
      </c>
      <c r="G313" s="13">
        <v>0</v>
      </c>
      <c r="H313" s="13">
        <f>F313*1.5+G313</f>
        <v>483.89561999999989</v>
      </c>
      <c r="I313" s="236" t="s">
        <v>54</v>
      </c>
      <c r="J313" s="236"/>
    </row>
    <row r="314" spans="1:12" ht="15.75" x14ac:dyDescent="0.25">
      <c r="A314" s="182">
        <v>2</v>
      </c>
      <c r="B314" s="183">
        <v>2</v>
      </c>
      <c r="C314" s="13" t="s">
        <v>130</v>
      </c>
      <c r="D314" s="13">
        <f>29.97*10.764</f>
        <v>322.59707999999995</v>
      </c>
      <c r="E314" s="13">
        <v>0</v>
      </c>
      <c r="F314" s="13">
        <f>E314+D314</f>
        <v>322.59707999999995</v>
      </c>
      <c r="G314" s="13">
        <v>0</v>
      </c>
      <c r="H314" s="13">
        <f>F314*1.5+G314</f>
        <v>483.89561999999989</v>
      </c>
      <c r="I314" s="236" t="s">
        <v>54</v>
      </c>
      <c r="J314" s="236"/>
    </row>
    <row r="315" spans="1:12" ht="15.75" x14ac:dyDescent="0.25">
      <c r="A315" s="182">
        <v>3</v>
      </c>
      <c r="B315" s="183">
        <v>3</v>
      </c>
      <c r="C315" s="182" t="s">
        <v>232</v>
      </c>
      <c r="D315" s="187"/>
      <c r="E315" s="187"/>
      <c r="F315" s="187"/>
      <c r="G315" s="187"/>
      <c r="H315" s="187"/>
      <c r="I315" s="187"/>
      <c r="J315" s="183"/>
    </row>
    <row r="316" spans="1:12" ht="15.75" x14ac:dyDescent="0.25">
      <c r="A316" s="182">
        <v>4</v>
      </c>
      <c r="B316" s="183">
        <v>4</v>
      </c>
      <c r="C316" s="13" t="s">
        <v>130</v>
      </c>
      <c r="D316" s="13">
        <f>29.97*10.764</f>
        <v>322.59707999999995</v>
      </c>
      <c r="E316" s="13">
        <v>0</v>
      </c>
      <c r="F316" s="13">
        <f>E316+D316</f>
        <v>322.59707999999995</v>
      </c>
      <c r="G316" s="13">
        <v>0</v>
      </c>
      <c r="H316" s="13">
        <f>F316*1.5+G316</f>
        <v>483.89561999999989</v>
      </c>
      <c r="I316" s="236" t="s">
        <v>54</v>
      </c>
      <c r="J316" s="236"/>
      <c r="L316">
        <v>3</v>
      </c>
    </row>
    <row r="317" spans="1:12" ht="33.75" customHeight="1" x14ac:dyDescent="0.25">
      <c r="A317" s="184" t="s">
        <v>233</v>
      </c>
      <c r="B317" s="185"/>
      <c r="C317" s="185"/>
      <c r="D317" s="185"/>
      <c r="E317" s="185"/>
      <c r="F317" s="185"/>
      <c r="G317" s="185"/>
      <c r="H317" s="185"/>
      <c r="I317" s="185"/>
      <c r="J317" s="186"/>
    </row>
    <row r="318" spans="1:12" ht="15.75" x14ac:dyDescent="0.25">
      <c r="A318" s="182">
        <v>1</v>
      </c>
      <c r="B318" s="183"/>
      <c r="C318" s="13" t="s">
        <v>130</v>
      </c>
      <c r="D318" s="13">
        <f>29.97*10.764</f>
        <v>322.59707999999995</v>
      </c>
      <c r="E318" s="13">
        <v>0</v>
      </c>
      <c r="F318" s="13">
        <f>E318+D318</f>
        <v>322.59707999999995</v>
      </c>
      <c r="G318" s="13">
        <v>0</v>
      </c>
      <c r="H318" s="13">
        <f>F318*1.5+G318</f>
        <v>483.89561999999989</v>
      </c>
      <c r="I318" s="236" t="s">
        <v>54</v>
      </c>
      <c r="J318" s="236"/>
    </row>
    <row r="319" spans="1:12" ht="15.75" x14ac:dyDescent="0.25">
      <c r="A319" s="182">
        <v>2</v>
      </c>
      <c r="B319" s="183">
        <v>2</v>
      </c>
      <c r="C319" s="13" t="s">
        <v>130</v>
      </c>
      <c r="D319" s="13">
        <f>29.97*10.764</f>
        <v>322.59707999999995</v>
      </c>
      <c r="E319" s="13">
        <v>0</v>
      </c>
      <c r="F319" s="13">
        <f>E319+D319</f>
        <v>322.59707999999995</v>
      </c>
      <c r="G319" s="13">
        <v>0</v>
      </c>
      <c r="H319" s="13">
        <f>F319*1.5+G319</f>
        <v>483.89561999999989</v>
      </c>
      <c r="I319" s="236" t="s">
        <v>54</v>
      </c>
      <c r="J319" s="236"/>
    </row>
    <row r="320" spans="1:12" ht="15.75" x14ac:dyDescent="0.25">
      <c r="A320" s="182">
        <v>3</v>
      </c>
      <c r="B320" s="183">
        <v>3</v>
      </c>
      <c r="C320" s="13" t="s">
        <v>130</v>
      </c>
      <c r="D320" s="13">
        <f>29.97*10.764</f>
        <v>322.59707999999995</v>
      </c>
      <c r="E320" s="13">
        <v>0</v>
      </c>
      <c r="F320" s="13">
        <f>E320+D320</f>
        <v>322.59707999999995</v>
      </c>
      <c r="G320" s="13">
        <v>0</v>
      </c>
      <c r="H320" s="13">
        <f>F320*1.5+G320</f>
        <v>483.89561999999989</v>
      </c>
      <c r="I320" s="236" t="s">
        <v>54</v>
      </c>
      <c r="J320" s="236"/>
    </row>
    <row r="321" spans="1:13" ht="15.75" x14ac:dyDescent="0.25">
      <c r="A321" s="182">
        <v>4</v>
      </c>
      <c r="B321" s="183">
        <v>4</v>
      </c>
      <c r="C321" s="13" t="s">
        <v>130</v>
      </c>
      <c r="D321" s="13">
        <f>29.97*10.764</f>
        <v>322.59707999999995</v>
      </c>
      <c r="E321" s="13">
        <v>0</v>
      </c>
      <c r="F321" s="13">
        <f>E321+D321</f>
        <v>322.59707999999995</v>
      </c>
      <c r="G321" s="13">
        <v>0</v>
      </c>
      <c r="H321" s="13">
        <f>F321*1.5+G321</f>
        <v>483.89561999999989</v>
      </c>
      <c r="I321" s="236" t="s">
        <v>54</v>
      </c>
      <c r="J321" s="236"/>
      <c r="L321">
        <f>36*4</f>
        <v>144</v>
      </c>
      <c r="M321">
        <f>6+6+6+6+6+6</f>
        <v>36</v>
      </c>
    </row>
    <row r="322" spans="1:13" ht="33.75" customHeight="1" x14ac:dyDescent="0.25">
      <c r="A322" s="184" t="s">
        <v>234</v>
      </c>
      <c r="B322" s="185"/>
      <c r="C322" s="185"/>
      <c r="D322" s="185"/>
      <c r="E322" s="185"/>
      <c r="F322" s="185"/>
      <c r="G322" s="185"/>
      <c r="H322" s="185"/>
      <c r="I322" s="185"/>
      <c r="J322" s="186"/>
    </row>
    <row r="323" spans="1:13" ht="15.75" x14ac:dyDescent="0.25">
      <c r="A323" s="182">
        <v>1</v>
      </c>
      <c r="B323" s="183"/>
      <c r="C323" s="13" t="s">
        <v>130</v>
      </c>
      <c r="D323" s="13">
        <f>29.97*10.764</f>
        <v>322.59707999999995</v>
      </c>
      <c r="E323" s="13">
        <v>0</v>
      </c>
      <c r="F323" s="13">
        <f>E323+D323</f>
        <v>322.59707999999995</v>
      </c>
      <c r="G323" s="13">
        <v>0</v>
      </c>
      <c r="H323" s="13">
        <f>F323*1.5+G323</f>
        <v>483.89561999999989</v>
      </c>
      <c r="I323" s="236" t="s">
        <v>54</v>
      </c>
      <c r="J323" s="236"/>
    </row>
    <row r="324" spans="1:13" ht="15.75" x14ac:dyDescent="0.25">
      <c r="A324" s="182">
        <v>2</v>
      </c>
      <c r="B324" s="183">
        <v>2</v>
      </c>
      <c r="C324" s="13" t="s">
        <v>130</v>
      </c>
      <c r="D324" s="13">
        <f>29.97*10.764</f>
        <v>322.59707999999995</v>
      </c>
      <c r="E324" s="13">
        <v>0</v>
      </c>
      <c r="F324" s="13">
        <f>E324+D324</f>
        <v>322.59707999999995</v>
      </c>
      <c r="G324" s="13">
        <v>0</v>
      </c>
      <c r="H324" s="13">
        <f>F324*1.5+G324</f>
        <v>483.89561999999989</v>
      </c>
      <c r="I324" s="236" t="s">
        <v>54</v>
      </c>
      <c r="J324" s="236"/>
    </row>
    <row r="325" spans="1:13" ht="15.75" x14ac:dyDescent="0.25">
      <c r="A325" s="182">
        <v>3</v>
      </c>
      <c r="B325" s="183">
        <v>3</v>
      </c>
      <c r="C325" s="13" t="s">
        <v>130</v>
      </c>
      <c r="D325" s="13">
        <f>29.97*10.764</f>
        <v>322.59707999999995</v>
      </c>
      <c r="E325" s="13">
        <v>0</v>
      </c>
      <c r="F325" s="13">
        <f>E325+D325</f>
        <v>322.59707999999995</v>
      </c>
      <c r="G325" s="13">
        <v>0</v>
      </c>
      <c r="H325" s="13">
        <f>F325*1.5+G325</f>
        <v>483.89561999999989</v>
      </c>
      <c r="I325" s="236" t="s">
        <v>54</v>
      </c>
      <c r="J325" s="236"/>
    </row>
    <row r="326" spans="1:13" ht="15.75" x14ac:dyDescent="0.25">
      <c r="A326" s="182">
        <v>4</v>
      </c>
      <c r="B326" s="183">
        <v>4</v>
      </c>
      <c r="C326" s="13" t="s">
        <v>130</v>
      </c>
      <c r="D326" s="13">
        <f>29.97*10.764</f>
        <v>322.59707999999995</v>
      </c>
      <c r="E326" s="13">
        <v>0</v>
      </c>
      <c r="F326" s="13">
        <f>E326+D326</f>
        <v>322.59707999999995</v>
      </c>
      <c r="G326" s="13">
        <v>0</v>
      </c>
      <c r="H326" s="13">
        <f>F326*1.5+G326</f>
        <v>483.89561999999989</v>
      </c>
      <c r="I326" s="236" t="s">
        <v>54</v>
      </c>
      <c r="J326" s="236"/>
      <c r="L326">
        <f>36*4</f>
        <v>144</v>
      </c>
    </row>
    <row r="327" spans="1:13" ht="32.25" customHeight="1" x14ac:dyDescent="0.25">
      <c r="A327" s="184" t="s">
        <v>235</v>
      </c>
      <c r="B327" s="185"/>
      <c r="C327" s="185"/>
      <c r="D327" s="185"/>
      <c r="E327" s="185"/>
      <c r="F327" s="185"/>
      <c r="G327" s="185"/>
      <c r="H327" s="185"/>
      <c r="I327" s="185"/>
      <c r="J327" s="186"/>
    </row>
    <row r="328" spans="1:13" ht="15.75" x14ac:dyDescent="0.25">
      <c r="A328" s="182">
        <v>1</v>
      </c>
      <c r="B328" s="183"/>
      <c r="C328" s="13" t="s">
        <v>130</v>
      </c>
      <c r="D328" s="13">
        <f>29.97*10.764</f>
        <v>322.59707999999995</v>
      </c>
      <c r="E328" s="13">
        <v>0</v>
      </c>
      <c r="F328" s="13">
        <f>E328+D328</f>
        <v>322.59707999999995</v>
      </c>
      <c r="G328" s="13">
        <v>0</v>
      </c>
      <c r="H328" s="13">
        <f>F328*1.5+G328</f>
        <v>483.89561999999989</v>
      </c>
      <c r="I328" s="236" t="s">
        <v>54</v>
      </c>
      <c r="J328" s="236"/>
    </row>
    <row r="329" spans="1:13" ht="15.75" x14ac:dyDescent="0.25">
      <c r="A329" s="182">
        <v>2</v>
      </c>
      <c r="B329" s="183">
        <v>2</v>
      </c>
      <c r="C329" s="13" t="s">
        <v>130</v>
      </c>
      <c r="D329" s="13">
        <f>29.97*10.764</f>
        <v>322.59707999999995</v>
      </c>
      <c r="E329" s="13">
        <v>0</v>
      </c>
      <c r="F329" s="13">
        <f>E329+D329</f>
        <v>322.59707999999995</v>
      </c>
      <c r="G329" s="13">
        <v>0</v>
      </c>
      <c r="H329" s="13">
        <f>F329*1.5+G329</f>
        <v>483.89561999999989</v>
      </c>
      <c r="I329" s="236" t="s">
        <v>54</v>
      </c>
      <c r="J329" s="236"/>
    </row>
    <row r="330" spans="1:13" ht="15.75" x14ac:dyDescent="0.25">
      <c r="A330" s="182">
        <v>3</v>
      </c>
      <c r="B330" s="183">
        <v>3</v>
      </c>
      <c r="C330" s="13" t="s">
        <v>130</v>
      </c>
      <c r="D330" s="13">
        <f>29.97*10.764</f>
        <v>322.59707999999995</v>
      </c>
      <c r="E330" s="13">
        <v>0</v>
      </c>
      <c r="F330" s="13">
        <f>E330+D330</f>
        <v>322.59707999999995</v>
      </c>
      <c r="G330" s="13">
        <v>0</v>
      </c>
      <c r="H330" s="13">
        <f>F330*1.5+G330</f>
        <v>483.89561999999989</v>
      </c>
      <c r="I330" s="236" t="s">
        <v>54</v>
      </c>
      <c r="J330" s="236"/>
    </row>
    <row r="331" spans="1:13" ht="15.75" x14ac:dyDescent="0.25">
      <c r="A331" s="182">
        <v>4</v>
      </c>
      <c r="B331" s="183">
        <v>4</v>
      </c>
      <c r="C331" s="13" t="s">
        <v>130</v>
      </c>
      <c r="D331" s="13">
        <f>29.97*10.764</f>
        <v>322.59707999999995</v>
      </c>
      <c r="E331" s="13">
        <v>0</v>
      </c>
      <c r="F331" s="13">
        <f>E331+D331</f>
        <v>322.59707999999995</v>
      </c>
      <c r="G331" s="13">
        <v>0</v>
      </c>
      <c r="H331" s="13">
        <f>F331*1.5+G331</f>
        <v>483.89561999999989</v>
      </c>
      <c r="I331" s="236" t="s">
        <v>54</v>
      </c>
      <c r="J331" s="236"/>
      <c r="L331">
        <f>36*4</f>
        <v>144</v>
      </c>
    </row>
    <row r="332" spans="1:13" ht="15.75" x14ac:dyDescent="0.25">
      <c r="A332" s="184" t="s">
        <v>237</v>
      </c>
      <c r="B332" s="185"/>
      <c r="C332" s="185"/>
      <c r="D332" s="185"/>
      <c r="E332" s="185"/>
      <c r="F332" s="185"/>
      <c r="G332" s="185"/>
      <c r="H332" s="185"/>
      <c r="I332" s="185"/>
      <c r="J332" s="186"/>
    </row>
    <row r="333" spans="1:13" ht="15.75" x14ac:dyDescent="0.25">
      <c r="A333" s="182">
        <v>1</v>
      </c>
      <c r="B333" s="183"/>
      <c r="C333" s="13" t="s">
        <v>130</v>
      </c>
      <c r="D333" s="13">
        <f>29.97*10.764</f>
        <v>322.59707999999995</v>
      </c>
      <c r="E333" s="13">
        <v>0</v>
      </c>
      <c r="F333" s="13">
        <f>E333+D333</f>
        <v>322.59707999999995</v>
      </c>
      <c r="G333" s="13">
        <v>0</v>
      </c>
      <c r="H333" s="13">
        <f>F333*1.5+G333</f>
        <v>483.89561999999989</v>
      </c>
      <c r="I333" s="236" t="s">
        <v>54</v>
      </c>
      <c r="J333" s="236"/>
    </row>
    <row r="334" spans="1:13" ht="15.75" x14ac:dyDescent="0.25">
      <c r="A334" s="182">
        <v>2</v>
      </c>
      <c r="B334" s="183">
        <v>2</v>
      </c>
      <c r="C334" s="13" t="s">
        <v>130</v>
      </c>
      <c r="D334" s="13">
        <f>29.97*10.764</f>
        <v>322.59707999999995</v>
      </c>
      <c r="E334" s="13">
        <v>0</v>
      </c>
      <c r="F334" s="13">
        <f>E334+D334</f>
        <v>322.59707999999995</v>
      </c>
      <c r="G334" s="13">
        <v>0</v>
      </c>
      <c r="H334" s="13">
        <f>F334*1.5+G334</f>
        <v>483.89561999999989</v>
      </c>
      <c r="I334" s="236" t="s">
        <v>54</v>
      </c>
      <c r="J334" s="236"/>
    </row>
    <row r="335" spans="1:13" ht="15.75" x14ac:dyDescent="0.25">
      <c r="A335" s="182">
        <v>3</v>
      </c>
      <c r="B335" s="183">
        <v>3</v>
      </c>
      <c r="C335" s="13" t="s">
        <v>130</v>
      </c>
      <c r="D335" s="13">
        <f>29.97*10.764</f>
        <v>322.59707999999995</v>
      </c>
      <c r="E335" s="13">
        <v>0</v>
      </c>
      <c r="F335" s="13">
        <f>E335+D335</f>
        <v>322.59707999999995</v>
      </c>
      <c r="G335" s="13">
        <v>0</v>
      </c>
      <c r="H335" s="13">
        <f>F335*1.5+G335</f>
        <v>483.89561999999989</v>
      </c>
      <c r="I335" s="236" t="s">
        <v>54</v>
      </c>
      <c r="J335" s="236"/>
      <c r="L335">
        <f>5*3</f>
        <v>15</v>
      </c>
    </row>
    <row r="336" spans="1:13" ht="15.75" x14ac:dyDescent="0.25">
      <c r="A336" s="182">
        <v>4</v>
      </c>
      <c r="B336" s="183">
        <v>4</v>
      </c>
      <c r="C336" s="182" t="s">
        <v>134</v>
      </c>
      <c r="D336" s="187"/>
      <c r="E336" s="187"/>
      <c r="F336" s="187"/>
      <c r="G336" s="187"/>
      <c r="H336" s="187"/>
      <c r="I336" s="187"/>
      <c r="J336" s="183"/>
    </row>
    <row r="337" spans="1:12" ht="15.75" customHeight="1" x14ac:dyDescent="0.25">
      <c r="A337" s="184" t="s">
        <v>238</v>
      </c>
      <c r="B337" s="185"/>
      <c r="C337" s="185"/>
      <c r="D337" s="185"/>
      <c r="E337" s="185"/>
      <c r="F337" s="185"/>
      <c r="G337" s="185"/>
      <c r="H337" s="185"/>
      <c r="I337" s="185"/>
      <c r="J337" s="186"/>
    </row>
    <row r="338" spans="1:12" ht="15.75" x14ac:dyDescent="0.25">
      <c r="A338" s="182">
        <v>1</v>
      </c>
      <c r="B338" s="183"/>
      <c r="C338" s="182" t="s">
        <v>134</v>
      </c>
      <c r="D338" s="187"/>
      <c r="E338" s="187"/>
      <c r="F338" s="187"/>
      <c r="G338" s="187"/>
      <c r="H338" s="187"/>
      <c r="I338" s="187"/>
      <c r="J338" s="183"/>
    </row>
    <row r="339" spans="1:12" ht="15.75" x14ac:dyDescent="0.25">
      <c r="A339" s="182">
        <v>2</v>
      </c>
      <c r="B339" s="183">
        <v>2</v>
      </c>
      <c r="C339" s="13" t="s">
        <v>130</v>
      </c>
      <c r="D339" s="13">
        <f>29.97*10.764</f>
        <v>322.59707999999995</v>
      </c>
      <c r="E339" s="13">
        <v>0</v>
      </c>
      <c r="F339" s="13">
        <f>E339+D339</f>
        <v>322.59707999999995</v>
      </c>
      <c r="G339" s="13">
        <v>0</v>
      </c>
      <c r="H339" s="13">
        <f>F339*1.5+G339</f>
        <v>483.89561999999989</v>
      </c>
      <c r="I339" s="236" t="s">
        <v>54</v>
      </c>
      <c r="J339" s="236"/>
    </row>
    <row r="340" spans="1:12" ht="15.75" x14ac:dyDescent="0.25">
      <c r="A340" s="182">
        <v>3</v>
      </c>
      <c r="B340" s="183">
        <v>3</v>
      </c>
      <c r="C340" s="13" t="s">
        <v>130</v>
      </c>
      <c r="D340" s="13">
        <f>29.97*10.764</f>
        <v>322.59707999999995</v>
      </c>
      <c r="E340" s="13">
        <v>0</v>
      </c>
      <c r="F340" s="13">
        <f>E340+D340</f>
        <v>322.59707999999995</v>
      </c>
      <c r="G340" s="13">
        <v>0</v>
      </c>
      <c r="H340" s="13">
        <f>F340*1.5+G340</f>
        <v>483.89561999999989</v>
      </c>
      <c r="I340" s="236" t="s">
        <v>54</v>
      </c>
      <c r="J340" s="236"/>
    </row>
    <row r="341" spans="1:12" ht="15.75" x14ac:dyDescent="0.25">
      <c r="A341" s="182">
        <v>4</v>
      </c>
      <c r="B341" s="183">
        <v>4</v>
      </c>
      <c r="C341" s="13" t="s">
        <v>130</v>
      </c>
      <c r="D341" s="13">
        <f>29.97*10.764</f>
        <v>322.59707999999995</v>
      </c>
      <c r="E341" s="13">
        <v>0</v>
      </c>
      <c r="F341" s="13">
        <f>E341+D341</f>
        <v>322.59707999999995</v>
      </c>
      <c r="G341" s="13">
        <v>0</v>
      </c>
      <c r="H341" s="13">
        <f>F341*1.5+G341</f>
        <v>483.89561999999989</v>
      </c>
      <c r="I341" s="236" t="s">
        <v>54</v>
      </c>
      <c r="J341" s="236"/>
      <c r="L341">
        <f>5*3</f>
        <v>15</v>
      </c>
    </row>
    <row r="342" spans="1:12" ht="15.75" customHeight="1" x14ac:dyDescent="0.25">
      <c r="A342" s="184" t="s">
        <v>239</v>
      </c>
      <c r="B342" s="185"/>
      <c r="C342" s="185"/>
      <c r="D342" s="185"/>
      <c r="E342" s="185"/>
      <c r="F342" s="185"/>
      <c r="G342" s="185"/>
      <c r="H342" s="185"/>
      <c r="I342" s="185"/>
      <c r="J342" s="186"/>
    </row>
    <row r="343" spans="1:12" ht="15.75" x14ac:dyDescent="0.25">
      <c r="A343" s="182">
        <v>1</v>
      </c>
      <c r="B343" s="183"/>
      <c r="C343" s="182" t="s">
        <v>134</v>
      </c>
      <c r="D343" s="187"/>
      <c r="E343" s="187"/>
      <c r="F343" s="187"/>
      <c r="G343" s="187"/>
      <c r="H343" s="187"/>
      <c r="I343" s="187"/>
      <c r="J343" s="183"/>
    </row>
    <row r="344" spans="1:12" ht="15.75" x14ac:dyDescent="0.25">
      <c r="A344" s="182">
        <v>2</v>
      </c>
      <c r="B344" s="183">
        <v>2</v>
      </c>
      <c r="C344" s="13" t="s">
        <v>130</v>
      </c>
      <c r="D344" s="13">
        <f>29.97*10.764</f>
        <v>322.59707999999995</v>
      </c>
      <c r="E344" s="13">
        <v>0</v>
      </c>
      <c r="F344" s="13">
        <f>E344+D344</f>
        <v>322.59707999999995</v>
      </c>
      <c r="G344" s="13">
        <v>0</v>
      </c>
      <c r="H344" s="13">
        <f>F344*1.5+G344</f>
        <v>483.89561999999989</v>
      </c>
      <c r="I344" s="236" t="s">
        <v>54</v>
      </c>
      <c r="J344" s="236"/>
    </row>
    <row r="345" spans="1:12" ht="15.75" x14ac:dyDescent="0.25">
      <c r="A345" s="182">
        <v>3</v>
      </c>
      <c r="B345" s="183">
        <v>3</v>
      </c>
      <c r="C345" s="13" t="s">
        <v>130</v>
      </c>
      <c r="D345" s="13">
        <f>29.97*10.764</f>
        <v>322.59707999999995</v>
      </c>
      <c r="E345" s="13">
        <v>0</v>
      </c>
      <c r="F345" s="13">
        <f>E345+D345</f>
        <v>322.59707999999995</v>
      </c>
      <c r="G345" s="13">
        <v>0</v>
      </c>
      <c r="H345" s="13">
        <f>F345*1.5+G345</f>
        <v>483.89561999999989</v>
      </c>
      <c r="I345" s="236" t="s">
        <v>54</v>
      </c>
      <c r="J345" s="236"/>
    </row>
    <row r="346" spans="1:12" ht="15.75" x14ac:dyDescent="0.25">
      <c r="A346" s="182">
        <v>4</v>
      </c>
      <c r="B346" s="183">
        <v>4</v>
      </c>
      <c r="C346" s="13" t="s">
        <v>130</v>
      </c>
      <c r="D346" s="13">
        <f>29.97*10.764</f>
        <v>322.59707999999995</v>
      </c>
      <c r="E346" s="13">
        <v>0</v>
      </c>
      <c r="F346" s="13">
        <f>E346+D346</f>
        <v>322.59707999999995</v>
      </c>
      <c r="G346" s="13">
        <v>0</v>
      </c>
      <c r="H346" s="13">
        <f>F346*1.5+G346</f>
        <v>483.89561999999989</v>
      </c>
      <c r="I346" s="236" t="s">
        <v>54</v>
      </c>
      <c r="J346" s="236"/>
      <c r="L346">
        <f>5*3</f>
        <v>15</v>
      </c>
    </row>
    <row r="347" spans="1:12" ht="15.75" x14ac:dyDescent="0.25">
      <c r="A347" s="184" t="s">
        <v>137</v>
      </c>
      <c r="B347" s="185"/>
      <c r="C347" s="185"/>
      <c r="D347" s="185"/>
      <c r="E347" s="185"/>
      <c r="F347" s="185"/>
      <c r="G347" s="185"/>
      <c r="H347" s="185"/>
      <c r="I347" s="185"/>
      <c r="J347" s="186"/>
    </row>
    <row r="348" spans="1:12" ht="15.75" x14ac:dyDescent="0.25">
      <c r="A348" s="197" t="s">
        <v>254</v>
      </c>
      <c r="B348" s="198"/>
      <c r="C348" s="198"/>
      <c r="D348" s="198"/>
      <c r="E348" s="198"/>
      <c r="F348" s="198"/>
      <c r="G348" s="198"/>
      <c r="H348" s="198"/>
      <c r="I348" s="198"/>
      <c r="J348" s="199"/>
    </row>
    <row r="349" spans="1:12" ht="15.75" x14ac:dyDescent="0.25">
      <c r="A349" s="184" t="s">
        <v>258</v>
      </c>
      <c r="B349" s="185"/>
      <c r="C349" s="185"/>
      <c r="D349" s="185"/>
      <c r="E349" s="185"/>
      <c r="F349" s="185"/>
      <c r="G349" s="185"/>
      <c r="H349" s="185"/>
      <c r="I349" s="185"/>
      <c r="J349" s="186"/>
    </row>
    <row r="350" spans="1:12" ht="15.75" x14ac:dyDescent="0.25">
      <c r="A350" s="13">
        <v>1</v>
      </c>
      <c r="B350" s="38" t="s">
        <v>194</v>
      </c>
      <c r="C350" s="37" t="s">
        <v>255</v>
      </c>
      <c r="D350" s="13">
        <f>((2.47*5.1+1.2*0.15+1.35*1.65)+(2.47*5.1+1.2*0.15+1.35*1.65)+3*2.7)*10.764</f>
        <v>410.20527599999997</v>
      </c>
      <c r="E350" s="13">
        <v>0</v>
      </c>
      <c r="F350" s="13">
        <f>((2.47*5.1+1.2*0.15+1.35*1.65)+(2.47*5.1+1.2*0.15+1.35*1.65)+3*2.7)*10.764</f>
        <v>410.20527599999997</v>
      </c>
      <c r="G350" s="13">
        <v>0</v>
      </c>
      <c r="H350" s="13">
        <f>F350*1.6+G350</f>
        <v>656.32844160000002</v>
      </c>
      <c r="I350" s="172" t="s">
        <v>259</v>
      </c>
      <c r="J350" s="173"/>
    </row>
    <row r="351" spans="1:12" ht="15.75" x14ac:dyDescent="0.25">
      <c r="A351" s="13">
        <v>2</v>
      </c>
      <c r="B351" s="38" t="s">
        <v>194</v>
      </c>
      <c r="C351" s="37" t="s">
        <v>255</v>
      </c>
      <c r="D351" s="13">
        <f>((3.08*1.5+3.18*0.65+1.35*3+1.5*2.87)*2+3*2)*10.764</f>
        <v>388.40817600000003</v>
      </c>
      <c r="E351" s="13">
        <v>0</v>
      </c>
      <c r="F351" s="13">
        <f>((3.08*1.5+3.18*0.65+1.35*3+1.5*2.87)*2+3*2)*10.764</f>
        <v>388.40817600000003</v>
      </c>
      <c r="G351" s="13">
        <v>0</v>
      </c>
      <c r="H351" s="13">
        <f t="shared" ref="H351:H362" si="9">F351*1.6+G351</f>
        <v>621.45308160000013</v>
      </c>
      <c r="I351" s="174"/>
      <c r="J351" s="175"/>
    </row>
    <row r="352" spans="1:12" ht="15.75" x14ac:dyDescent="0.25">
      <c r="A352" s="13">
        <v>3</v>
      </c>
      <c r="B352" s="38" t="s">
        <v>194</v>
      </c>
      <c r="C352" s="37" t="s">
        <v>255</v>
      </c>
      <c r="D352" s="13">
        <f>((2.2*0.7+1.99*2.35+4.07*2.2)*2+3*2)*10.764</f>
        <v>391.17452399999996</v>
      </c>
      <c r="E352" s="13">
        <v>0</v>
      </c>
      <c r="F352" s="13">
        <f>((2.2*0.7+1.99*2.35+4.07*2.2)*2+3*2)*10.764</f>
        <v>391.17452399999996</v>
      </c>
      <c r="G352" s="13">
        <v>0</v>
      </c>
      <c r="H352" s="13">
        <f t="shared" si="9"/>
        <v>625.87923839999996</v>
      </c>
      <c r="I352" s="174"/>
      <c r="J352" s="175"/>
    </row>
    <row r="353" spans="1:12" ht="15.75" x14ac:dyDescent="0.25">
      <c r="A353" s="13">
        <v>4</v>
      </c>
      <c r="B353" s="38" t="s">
        <v>194</v>
      </c>
      <c r="C353" s="37" t="s">
        <v>255</v>
      </c>
      <c r="D353" s="13">
        <f>((2.05*3.1+4.05*2.05+0.15*1.9)*2+2*3.1)*10.764</f>
        <v>388.41893999999996</v>
      </c>
      <c r="E353" s="13">
        <v>0</v>
      </c>
      <c r="F353" s="13">
        <f>((2.05*3.1+4.05*2.05+0.15*1.9)*2+2*3.1)*10.764</f>
        <v>388.41893999999996</v>
      </c>
      <c r="G353" s="13">
        <v>0</v>
      </c>
      <c r="H353" s="13">
        <f t="shared" si="9"/>
        <v>621.47030399999994</v>
      </c>
      <c r="I353" s="174"/>
      <c r="J353" s="175"/>
    </row>
    <row r="354" spans="1:12" ht="15.75" x14ac:dyDescent="0.25">
      <c r="A354" s="13">
        <v>5</v>
      </c>
      <c r="B354" s="38" t="s">
        <v>194</v>
      </c>
      <c r="C354" s="37" t="s">
        <v>255</v>
      </c>
      <c r="D354" s="13">
        <f>((2.05*3.1+4.05*2.05+0.15*1.9)*2+2*3.1)*10.764</f>
        <v>388.41893999999996</v>
      </c>
      <c r="E354" s="13">
        <v>0</v>
      </c>
      <c r="F354" s="13">
        <f>((2.05*3.1+4.05*2.05+0.15*1.9)*2+2*3.1)*10.764</f>
        <v>388.41893999999996</v>
      </c>
      <c r="G354" s="13">
        <v>0</v>
      </c>
      <c r="H354" s="13">
        <f t="shared" si="9"/>
        <v>621.47030399999994</v>
      </c>
      <c r="I354" s="174"/>
      <c r="J354" s="175"/>
    </row>
    <row r="355" spans="1:12" ht="15.75" x14ac:dyDescent="0.25">
      <c r="A355" s="13">
        <v>6</v>
      </c>
      <c r="B355" s="38" t="s">
        <v>194</v>
      </c>
      <c r="C355" s="37" t="s">
        <v>255</v>
      </c>
      <c r="D355" s="13">
        <f>((4.07*2.2+1.99*3.05)*2+2*3.05)*10.764</f>
        <v>389.08630799999997</v>
      </c>
      <c r="E355" s="13">
        <v>0</v>
      </c>
      <c r="F355" s="13">
        <f>((4.07*2.2+1.99*3.05)*2+2*3.05)*10.764</f>
        <v>389.08630799999997</v>
      </c>
      <c r="G355" s="13">
        <v>0</v>
      </c>
      <c r="H355" s="13">
        <f t="shared" si="9"/>
        <v>622.53809279999996</v>
      </c>
      <c r="I355" s="174"/>
      <c r="J355" s="175"/>
    </row>
    <row r="356" spans="1:12" ht="15.75" x14ac:dyDescent="0.25">
      <c r="A356" s="13">
        <v>7</v>
      </c>
      <c r="B356" s="38" t="s">
        <v>194</v>
      </c>
      <c r="C356" s="37" t="s">
        <v>255</v>
      </c>
      <c r="D356" s="13">
        <f>((3.95*2.2+2.25*0.9+2.42*2.25)*2+1.7*3)*10.764</f>
        <v>402.78888000000006</v>
      </c>
      <c r="E356" s="13">
        <v>0</v>
      </c>
      <c r="F356" s="13">
        <f>((3.95*2.2+2.25*0.9+2.42*2.25)*2+1.7*3)*10.764</f>
        <v>402.78888000000006</v>
      </c>
      <c r="G356" s="13">
        <v>0</v>
      </c>
      <c r="H356" s="13">
        <f t="shared" si="9"/>
        <v>644.46220800000015</v>
      </c>
      <c r="I356" s="174"/>
      <c r="J356" s="175"/>
    </row>
    <row r="357" spans="1:12" ht="15.75" x14ac:dyDescent="0.25">
      <c r="A357" s="13">
        <v>8</v>
      </c>
      <c r="B357" s="38" t="s">
        <v>194</v>
      </c>
      <c r="C357" s="37" t="s">
        <v>255</v>
      </c>
      <c r="D357" s="13">
        <f>((4.16*2.64+1.3*0.23+1.96*1.9)*2+2*3.4)*10.764</f>
        <v>396.23145119999998</v>
      </c>
      <c r="E357" s="13">
        <v>0</v>
      </c>
      <c r="F357" s="13">
        <f>((4.16*2.64+1.3*0.23+1.96*1.9)*2+2*3.4)*10.764</f>
        <v>396.23145119999998</v>
      </c>
      <c r="G357" s="13">
        <v>0</v>
      </c>
      <c r="H357" s="13">
        <f t="shared" si="9"/>
        <v>633.97032192000006</v>
      </c>
      <c r="I357" s="174"/>
      <c r="J357" s="175"/>
    </row>
    <row r="358" spans="1:12" ht="15.75" x14ac:dyDescent="0.25">
      <c r="A358" s="13">
        <v>9</v>
      </c>
      <c r="B358" s="38" t="s">
        <v>194</v>
      </c>
      <c r="C358" s="37" t="s">
        <v>255</v>
      </c>
      <c r="D358" s="13">
        <f>((4.05*1.8+2.52*0.85+1.6*2.72)*2+4.2*3.2)*10.764</f>
        <v>441.41011200000003</v>
      </c>
      <c r="E358" s="13">
        <v>0</v>
      </c>
      <c r="F358" s="13">
        <f>((4.05*1.8+2.52*0.85+1.6*2.72)*2+4.2*3.2)*10.764</f>
        <v>441.41011200000003</v>
      </c>
      <c r="G358" s="13">
        <v>0</v>
      </c>
      <c r="H358" s="13">
        <f t="shared" si="9"/>
        <v>706.25617920000013</v>
      </c>
      <c r="I358" s="174"/>
      <c r="J358" s="175"/>
    </row>
    <row r="359" spans="1:12" ht="15.75" x14ac:dyDescent="0.25">
      <c r="A359" s="13">
        <v>10</v>
      </c>
      <c r="B359" s="38" t="s">
        <v>194</v>
      </c>
      <c r="C359" s="37" t="s">
        <v>255</v>
      </c>
      <c r="D359" s="13">
        <f>((2.35*2.56+0.66*2.56+1.2*2.82+2.9*1.23+2.91*1.37)*2+1.9*3)*10.764</f>
        <v>462.70776239999992</v>
      </c>
      <c r="E359" s="13">
        <v>0</v>
      </c>
      <c r="F359" s="13">
        <f>((2.35*2.56+0.66*2.56+1.2*2.82+2.9*1.23+2.91*1.37)*2+1.9*3)*10.764</f>
        <v>462.70776239999992</v>
      </c>
      <c r="G359" s="13">
        <v>0</v>
      </c>
      <c r="H359" s="13">
        <f t="shared" si="9"/>
        <v>740.33241983999994</v>
      </c>
      <c r="I359" s="174"/>
      <c r="J359" s="175"/>
    </row>
    <row r="360" spans="1:12" ht="15.75" x14ac:dyDescent="0.25">
      <c r="A360" s="13">
        <v>11</v>
      </c>
      <c r="B360" s="38" t="s">
        <v>194</v>
      </c>
      <c r="C360" s="37" t="s">
        <v>255</v>
      </c>
      <c r="D360" s="13">
        <f>((5.91*0.99+2.96*1.7+0.66*0.23)*2+2*3)*10.764</f>
        <v>302.13902159999998</v>
      </c>
      <c r="E360" s="13">
        <v>0</v>
      </c>
      <c r="F360" s="13">
        <f>((5.91*0.99+2.96*1.7+0.66*0.23)*2+2*3)*10.764</f>
        <v>302.13902159999998</v>
      </c>
      <c r="G360" s="13">
        <v>0</v>
      </c>
      <c r="H360" s="13">
        <f t="shared" si="9"/>
        <v>483.42243456</v>
      </c>
      <c r="I360" s="174"/>
      <c r="J360" s="175"/>
    </row>
    <row r="361" spans="1:12" ht="15.75" x14ac:dyDescent="0.25">
      <c r="A361" s="13">
        <v>12</v>
      </c>
      <c r="B361" s="38" t="s">
        <v>194</v>
      </c>
      <c r="C361" s="37" t="s">
        <v>255</v>
      </c>
      <c r="D361" s="13">
        <f>((2.05*4.18+2.05*3.1+2.1*1.9)*2+2*3)*10.764</f>
        <v>471.76459199999994</v>
      </c>
      <c r="E361" s="13">
        <v>0</v>
      </c>
      <c r="F361" s="13">
        <f>((2.05*4.18+2.05*3.1+2.1*1.9)*2+2*3)*10.764</f>
        <v>471.76459199999994</v>
      </c>
      <c r="G361" s="13">
        <v>0</v>
      </c>
      <c r="H361" s="13">
        <f t="shared" si="9"/>
        <v>754.82334719999994</v>
      </c>
      <c r="I361" s="174"/>
      <c r="J361" s="175"/>
    </row>
    <row r="362" spans="1:12" ht="15.75" x14ac:dyDescent="0.25">
      <c r="A362" s="13">
        <v>13</v>
      </c>
      <c r="B362" s="38" t="s">
        <v>194</v>
      </c>
      <c r="C362" s="37" t="s">
        <v>255</v>
      </c>
      <c r="D362" s="13">
        <f>((5.64*1.1+2.21*3.9)*2+3.4*4)*10.764</f>
        <v>465.49994399999997</v>
      </c>
      <c r="E362" s="13">
        <v>0</v>
      </c>
      <c r="F362" s="13">
        <f>((5.64*1.1+2.21*3.9)*2+3.4*4)*10.764</f>
        <v>465.49994399999997</v>
      </c>
      <c r="G362" s="13">
        <v>0</v>
      </c>
      <c r="H362" s="13">
        <f t="shared" si="9"/>
        <v>744.79991040000004</v>
      </c>
      <c r="I362" s="176"/>
      <c r="J362" s="177"/>
    </row>
    <row r="363" spans="1:12" ht="15.75" x14ac:dyDescent="0.25">
      <c r="A363" s="184" t="s">
        <v>256</v>
      </c>
      <c r="B363" s="185"/>
      <c r="C363" s="185"/>
      <c r="D363" s="185"/>
      <c r="E363" s="185"/>
      <c r="F363" s="185"/>
      <c r="G363" s="185"/>
      <c r="H363" s="185"/>
      <c r="I363" s="185"/>
      <c r="J363" s="186"/>
      <c r="L363" s="40">
        <f>36*12</f>
        <v>432</v>
      </c>
    </row>
    <row r="364" spans="1:12" ht="15.75" x14ac:dyDescent="0.25">
      <c r="A364" s="182">
        <v>1</v>
      </c>
      <c r="B364" s="183"/>
      <c r="C364" s="13" t="s">
        <v>130</v>
      </c>
      <c r="D364" s="13">
        <f>29.29*10.764</f>
        <v>315.27755999999999</v>
      </c>
      <c r="E364" s="13">
        <v>0</v>
      </c>
      <c r="F364" s="13">
        <f>E364+D364</f>
        <v>315.27755999999999</v>
      </c>
      <c r="G364" s="13">
        <v>0</v>
      </c>
      <c r="H364" s="13">
        <f t="shared" ref="H364:H375" si="10">F364*1.5+G364</f>
        <v>472.91633999999999</v>
      </c>
      <c r="I364" s="172" t="str">
        <f>A363</f>
        <v>1st to 5th, 7th to 12th, 14th to 19th, 21st to 26th, 28th to 33rd, 35th to 41st Floor</v>
      </c>
      <c r="J364" s="173"/>
      <c r="L364" s="40">
        <f>9*5</f>
        <v>45</v>
      </c>
    </row>
    <row r="365" spans="1:12" ht="15.75" x14ac:dyDescent="0.25">
      <c r="A365" s="182">
        <v>2</v>
      </c>
      <c r="B365" s="183"/>
      <c r="C365" s="13" t="s">
        <v>130</v>
      </c>
      <c r="D365" s="13">
        <f t="shared" ref="D365:D385" si="11">29.29*10.764</f>
        <v>315.27755999999999</v>
      </c>
      <c r="E365" s="13">
        <v>0</v>
      </c>
      <c r="F365" s="13">
        <f>E365+D365</f>
        <v>315.27755999999999</v>
      </c>
      <c r="G365" s="13">
        <v>0</v>
      </c>
      <c r="H365" s="13">
        <f t="shared" si="10"/>
        <v>472.91633999999999</v>
      </c>
      <c r="I365" s="174"/>
      <c r="J365" s="175"/>
    </row>
    <row r="366" spans="1:12" ht="15.75" x14ac:dyDescent="0.25">
      <c r="A366" s="182">
        <v>3</v>
      </c>
      <c r="B366" s="183"/>
      <c r="C366" s="13" t="s">
        <v>130</v>
      </c>
      <c r="D366" s="13">
        <f t="shared" si="11"/>
        <v>315.27755999999999</v>
      </c>
      <c r="E366" s="13">
        <v>0</v>
      </c>
      <c r="F366" s="13">
        <f>E366+D366</f>
        <v>315.27755999999999</v>
      </c>
      <c r="G366" s="13">
        <v>0</v>
      </c>
      <c r="H366" s="13">
        <f t="shared" si="10"/>
        <v>472.91633999999999</v>
      </c>
      <c r="I366" s="174"/>
      <c r="J366" s="175"/>
      <c r="L366">
        <f>SUM(L250:L364)</f>
        <v>1507</v>
      </c>
    </row>
    <row r="367" spans="1:12" ht="15.75" x14ac:dyDescent="0.25">
      <c r="A367" s="182">
        <v>4</v>
      </c>
      <c r="B367" s="183"/>
      <c r="C367" s="13" t="s">
        <v>130</v>
      </c>
      <c r="D367" s="13">
        <f t="shared" si="11"/>
        <v>315.27755999999999</v>
      </c>
      <c r="E367" s="13">
        <v>0</v>
      </c>
      <c r="F367" s="13">
        <f>E367+D367</f>
        <v>315.27755999999999</v>
      </c>
      <c r="G367" s="13">
        <v>0</v>
      </c>
      <c r="H367" s="13">
        <f t="shared" si="10"/>
        <v>472.91633999999999</v>
      </c>
      <c r="I367" s="174"/>
      <c r="J367" s="175"/>
    </row>
    <row r="368" spans="1:12" ht="15.75" x14ac:dyDescent="0.25">
      <c r="A368" s="182">
        <v>5</v>
      </c>
      <c r="B368" s="183"/>
      <c r="C368" s="13" t="s">
        <v>130</v>
      </c>
      <c r="D368" s="13">
        <f t="shared" si="11"/>
        <v>315.27755999999999</v>
      </c>
      <c r="E368" s="13">
        <v>0</v>
      </c>
      <c r="F368" s="13">
        <f>E368+D368</f>
        <v>315.27755999999999</v>
      </c>
      <c r="G368" s="13">
        <v>0</v>
      </c>
      <c r="H368" s="13">
        <f t="shared" si="10"/>
        <v>472.91633999999999</v>
      </c>
      <c r="I368" s="174"/>
      <c r="J368" s="175"/>
    </row>
    <row r="369" spans="1:10" ht="15.75" x14ac:dyDescent="0.25">
      <c r="A369" s="182">
        <v>6</v>
      </c>
      <c r="B369" s="183"/>
      <c r="C369" s="13" t="s">
        <v>130</v>
      </c>
      <c r="D369" s="13">
        <f t="shared" si="11"/>
        <v>315.27755999999999</v>
      </c>
      <c r="E369" s="13">
        <v>0</v>
      </c>
      <c r="F369" s="13">
        <f t="shared" ref="F369:F374" si="12">E369+D369</f>
        <v>315.27755999999999</v>
      </c>
      <c r="G369" s="13">
        <v>0</v>
      </c>
      <c r="H369" s="13">
        <f t="shared" si="10"/>
        <v>472.91633999999999</v>
      </c>
      <c r="I369" s="174"/>
      <c r="J369" s="175"/>
    </row>
    <row r="370" spans="1:10" ht="15.75" x14ac:dyDescent="0.25">
      <c r="A370" s="182">
        <v>7</v>
      </c>
      <c r="B370" s="183"/>
      <c r="C370" s="13" t="s">
        <v>130</v>
      </c>
      <c r="D370" s="13">
        <f t="shared" si="11"/>
        <v>315.27755999999999</v>
      </c>
      <c r="E370" s="13">
        <v>0</v>
      </c>
      <c r="F370" s="13">
        <f t="shared" si="12"/>
        <v>315.27755999999999</v>
      </c>
      <c r="G370" s="13">
        <v>0</v>
      </c>
      <c r="H370" s="13">
        <f t="shared" si="10"/>
        <v>472.91633999999999</v>
      </c>
      <c r="I370" s="174"/>
      <c r="J370" s="175"/>
    </row>
    <row r="371" spans="1:10" ht="15.75" x14ac:dyDescent="0.25">
      <c r="A371" s="182">
        <v>8</v>
      </c>
      <c r="B371" s="183"/>
      <c r="C371" s="13" t="s">
        <v>130</v>
      </c>
      <c r="D371" s="13">
        <f t="shared" si="11"/>
        <v>315.27755999999999</v>
      </c>
      <c r="E371" s="13">
        <v>0</v>
      </c>
      <c r="F371" s="13">
        <f t="shared" si="12"/>
        <v>315.27755999999999</v>
      </c>
      <c r="G371" s="13">
        <v>0</v>
      </c>
      <c r="H371" s="13">
        <f t="shared" si="10"/>
        <v>472.91633999999999</v>
      </c>
      <c r="I371" s="174"/>
      <c r="J371" s="175"/>
    </row>
    <row r="372" spans="1:10" ht="15.75" x14ac:dyDescent="0.25">
      <c r="A372" s="182">
        <v>9</v>
      </c>
      <c r="B372" s="183"/>
      <c r="C372" s="13" t="s">
        <v>130</v>
      </c>
      <c r="D372" s="13">
        <f t="shared" si="11"/>
        <v>315.27755999999999</v>
      </c>
      <c r="E372" s="13">
        <v>0</v>
      </c>
      <c r="F372" s="13">
        <f t="shared" si="12"/>
        <v>315.27755999999999</v>
      </c>
      <c r="G372" s="13">
        <v>0</v>
      </c>
      <c r="H372" s="13">
        <f t="shared" si="10"/>
        <v>472.91633999999999</v>
      </c>
      <c r="I372" s="174"/>
      <c r="J372" s="175"/>
    </row>
    <row r="373" spans="1:10" ht="15.75" x14ac:dyDescent="0.25">
      <c r="A373" s="182">
        <v>10</v>
      </c>
      <c r="B373" s="183"/>
      <c r="C373" s="13" t="s">
        <v>130</v>
      </c>
      <c r="D373" s="13">
        <f t="shared" si="11"/>
        <v>315.27755999999999</v>
      </c>
      <c r="E373" s="13">
        <v>0</v>
      </c>
      <c r="F373" s="13">
        <f t="shared" si="12"/>
        <v>315.27755999999999</v>
      </c>
      <c r="G373" s="13">
        <v>0</v>
      </c>
      <c r="H373" s="13">
        <f t="shared" si="10"/>
        <v>472.91633999999999</v>
      </c>
      <c r="I373" s="174"/>
      <c r="J373" s="175"/>
    </row>
    <row r="374" spans="1:10" ht="15.75" x14ac:dyDescent="0.25">
      <c r="A374" s="182">
        <v>11</v>
      </c>
      <c r="B374" s="183"/>
      <c r="C374" s="13" t="s">
        <v>130</v>
      </c>
      <c r="D374" s="13">
        <f t="shared" si="11"/>
        <v>315.27755999999999</v>
      </c>
      <c r="E374" s="13">
        <v>0</v>
      </c>
      <c r="F374" s="13">
        <f t="shared" si="12"/>
        <v>315.27755999999999</v>
      </c>
      <c r="G374" s="13">
        <v>0</v>
      </c>
      <c r="H374" s="13">
        <f t="shared" si="10"/>
        <v>472.91633999999999</v>
      </c>
      <c r="I374" s="174"/>
      <c r="J374" s="175"/>
    </row>
    <row r="375" spans="1:10" ht="15.75" x14ac:dyDescent="0.25">
      <c r="A375" s="182">
        <v>12</v>
      </c>
      <c r="B375" s="183"/>
      <c r="C375" s="13" t="s">
        <v>130</v>
      </c>
      <c r="D375" s="13">
        <f t="shared" si="11"/>
        <v>315.27755999999999</v>
      </c>
      <c r="E375" s="13">
        <v>0</v>
      </c>
      <c r="F375" s="13">
        <f>E375+D375</f>
        <v>315.27755999999999</v>
      </c>
      <c r="G375" s="13">
        <v>0</v>
      </c>
      <c r="H375" s="13">
        <f t="shared" si="10"/>
        <v>472.91633999999999</v>
      </c>
      <c r="I375" s="176"/>
      <c r="J375" s="177"/>
    </row>
    <row r="376" spans="1:10" ht="15.75" x14ac:dyDescent="0.25">
      <c r="A376" s="184" t="s">
        <v>138</v>
      </c>
      <c r="B376" s="185"/>
      <c r="C376" s="185"/>
      <c r="D376" s="185"/>
      <c r="E376" s="185"/>
      <c r="F376" s="185"/>
      <c r="G376" s="185"/>
      <c r="H376" s="185"/>
      <c r="I376" s="185"/>
      <c r="J376" s="186"/>
    </row>
    <row r="377" spans="1:10" ht="15.75" x14ac:dyDescent="0.25">
      <c r="A377" s="182">
        <v>1</v>
      </c>
      <c r="B377" s="183"/>
      <c r="C377" s="13" t="s">
        <v>130</v>
      </c>
      <c r="D377" s="13">
        <f t="shared" si="11"/>
        <v>315.27755999999999</v>
      </c>
      <c r="E377" s="13">
        <v>0</v>
      </c>
      <c r="F377" s="13">
        <f t="shared" ref="F377:F385" si="13">E377+D377</f>
        <v>315.27755999999999</v>
      </c>
      <c r="G377" s="13">
        <v>0</v>
      </c>
      <c r="H377" s="13">
        <f t="shared" ref="H377:H385" si="14">F377*1.5+G377</f>
        <v>472.91633999999999</v>
      </c>
      <c r="I377" s="172" t="str">
        <f>A376</f>
        <v>6th, 13th, 20th, 27th &amp; 34th Floor</v>
      </c>
      <c r="J377" s="173"/>
    </row>
    <row r="378" spans="1:10" ht="15.75" x14ac:dyDescent="0.25">
      <c r="A378" s="182">
        <v>2</v>
      </c>
      <c r="B378" s="183"/>
      <c r="C378" s="13" t="s">
        <v>130</v>
      </c>
      <c r="D378" s="13">
        <f t="shared" si="11"/>
        <v>315.27755999999999</v>
      </c>
      <c r="E378" s="13">
        <v>0</v>
      </c>
      <c r="F378" s="13">
        <f t="shared" si="13"/>
        <v>315.27755999999999</v>
      </c>
      <c r="G378" s="13">
        <v>0</v>
      </c>
      <c r="H378" s="13">
        <f t="shared" si="14"/>
        <v>472.91633999999999</v>
      </c>
      <c r="I378" s="174"/>
      <c r="J378" s="175"/>
    </row>
    <row r="379" spans="1:10" ht="15.75" x14ac:dyDescent="0.25">
      <c r="A379" s="182">
        <v>3</v>
      </c>
      <c r="B379" s="183"/>
      <c r="C379" s="13" t="s">
        <v>130</v>
      </c>
      <c r="D379" s="13">
        <f t="shared" si="11"/>
        <v>315.27755999999999</v>
      </c>
      <c r="E379" s="13">
        <v>0</v>
      </c>
      <c r="F379" s="13">
        <f t="shared" si="13"/>
        <v>315.27755999999999</v>
      </c>
      <c r="G379" s="13">
        <v>0</v>
      </c>
      <c r="H379" s="13">
        <f t="shared" si="14"/>
        <v>472.91633999999999</v>
      </c>
      <c r="I379" s="174"/>
      <c r="J379" s="175"/>
    </row>
    <row r="380" spans="1:10" ht="15.75" x14ac:dyDescent="0.25">
      <c r="A380" s="182">
        <v>4</v>
      </c>
      <c r="B380" s="183"/>
      <c r="C380" s="13" t="s">
        <v>130</v>
      </c>
      <c r="D380" s="13">
        <f t="shared" si="11"/>
        <v>315.27755999999999</v>
      </c>
      <c r="E380" s="13">
        <v>0</v>
      </c>
      <c r="F380" s="13">
        <f t="shared" si="13"/>
        <v>315.27755999999999</v>
      </c>
      <c r="G380" s="13">
        <v>0</v>
      </c>
      <c r="H380" s="13">
        <f t="shared" si="14"/>
        <v>472.91633999999999</v>
      </c>
      <c r="I380" s="174"/>
      <c r="J380" s="175"/>
    </row>
    <row r="381" spans="1:10" ht="15.75" x14ac:dyDescent="0.25">
      <c r="A381" s="182">
        <v>5</v>
      </c>
      <c r="B381" s="183"/>
      <c r="C381" s="13" t="s">
        <v>130</v>
      </c>
      <c r="D381" s="13">
        <f t="shared" si="11"/>
        <v>315.27755999999999</v>
      </c>
      <c r="E381" s="13">
        <v>0</v>
      </c>
      <c r="F381" s="13">
        <f t="shared" si="13"/>
        <v>315.27755999999999</v>
      </c>
      <c r="G381" s="13">
        <v>0</v>
      </c>
      <c r="H381" s="13">
        <f t="shared" si="14"/>
        <v>472.91633999999999</v>
      </c>
      <c r="I381" s="174"/>
      <c r="J381" s="175"/>
    </row>
    <row r="382" spans="1:10" ht="15.75" x14ac:dyDescent="0.25">
      <c r="A382" s="182">
        <v>6</v>
      </c>
      <c r="B382" s="183"/>
      <c r="C382" s="13" t="s">
        <v>130</v>
      </c>
      <c r="D382" s="13">
        <f t="shared" si="11"/>
        <v>315.27755999999999</v>
      </c>
      <c r="E382" s="13">
        <v>0</v>
      </c>
      <c r="F382" s="13">
        <f t="shared" si="13"/>
        <v>315.27755999999999</v>
      </c>
      <c r="G382" s="13">
        <v>0</v>
      </c>
      <c r="H382" s="13">
        <f t="shared" si="14"/>
        <v>472.91633999999999</v>
      </c>
      <c r="I382" s="174"/>
      <c r="J382" s="175"/>
    </row>
    <row r="383" spans="1:10" ht="15.75" x14ac:dyDescent="0.25">
      <c r="A383" s="182">
        <v>7</v>
      </c>
      <c r="B383" s="183"/>
      <c r="C383" s="13" t="s">
        <v>130</v>
      </c>
      <c r="D383" s="13">
        <f t="shared" si="11"/>
        <v>315.27755999999999</v>
      </c>
      <c r="E383" s="13">
        <v>0</v>
      </c>
      <c r="F383" s="13">
        <f t="shared" si="13"/>
        <v>315.27755999999999</v>
      </c>
      <c r="G383" s="13">
        <v>0</v>
      </c>
      <c r="H383" s="13">
        <f t="shared" si="14"/>
        <v>472.91633999999999</v>
      </c>
      <c r="I383" s="174"/>
      <c r="J383" s="175"/>
    </row>
    <row r="384" spans="1:10" ht="15.75" x14ac:dyDescent="0.25">
      <c r="A384" s="182">
        <v>8</v>
      </c>
      <c r="B384" s="183"/>
      <c r="C384" s="13" t="s">
        <v>130</v>
      </c>
      <c r="D384" s="13">
        <f t="shared" si="11"/>
        <v>315.27755999999999</v>
      </c>
      <c r="E384" s="13">
        <v>0</v>
      </c>
      <c r="F384" s="13">
        <f t="shared" si="13"/>
        <v>315.27755999999999</v>
      </c>
      <c r="G384" s="13">
        <v>0</v>
      </c>
      <c r="H384" s="13">
        <f t="shared" si="14"/>
        <v>472.91633999999999</v>
      </c>
      <c r="I384" s="174"/>
      <c r="J384" s="175"/>
    </row>
    <row r="385" spans="1:12" ht="15.75" x14ac:dyDescent="0.25">
      <c r="A385" s="182">
        <v>9</v>
      </c>
      <c r="B385" s="183"/>
      <c r="C385" s="13" t="s">
        <v>130</v>
      </c>
      <c r="D385" s="13">
        <f t="shared" si="11"/>
        <v>315.27755999999999</v>
      </c>
      <c r="E385" s="13">
        <v>0</v>
      </c>
      <c r="F385" s="13">
        <f t="shared" si="13"/>
        <v>315.27755999999999</v>
      </c>
      <c r="G385" s="13">
        <v>0</v>
      </c>
      <c r="H385" s="13">
        <f t="shared" si="14"/>
        <v>472.91633999999999</v>
      </c>
      <c r="I385" s="176"/>
      <c r="J385" s="177"/>
    </row>
    <row r="386" spans="1:12" ht="15.75" x14ac:dyDescent="0.25">
      <c r="A386" s="182">
        <v>10</v>
      </c>
      <c r="B386" s="183"/>
      <c r="C386" s="172" t="s">
        <v>134</v>
      </c>
      <c r="D386" s="237"/>
      <c r="E386" s="237"/>
      <c r="F386" s="237"/>
      <c r="G386" s="237"/>
      <c r="H386" s="237"/>
      <c r="I386" s="237"/>
      <c r="J386" s="173"/>
    </row>
    <row r="387" spans="1:12" ht="15.75" x14ac:dyDescent="0.25">
      <c r="A387" s="182">
        <v>11</v>
      </c>
      <c r="B387" s="183"/>
      <c r="C387" s="174"/>
      <c r="D387" s="238"/>
      <c r="E387" s="238"/>
      <c r="F387" s="238"/>
      <c r="G387" s="238"/>
      <c r="H387" s="238"/>
      <c r="I387" s="238"/>
      <c r="J387" s="175"/>
    </row>
    <row r="388" spans="1:12" ht="15.75" x14ac:dyDescent="0.25">
      <c r="A388" s="182">
        <v>12</v>
      </c>
      <c r="B388" s="183"/>
      <c r="C388" s="176"/>
      <c r="D388" s="239"/>
      <c r="E388" s="239"/>
      <c r="F388" s="239"/>
      <c r="G388" s="239"/>
      <c r="H388" s="239"/>
      <c r="I388" s="239"/>
      <c r="J388" s="177"/>
    </row>
    <row r="389" spans="1:12" ht="258.75" customHeight="1" x14ac:dyDescent="0.25">
      <c r="A389" s="169" t="s">
        <v>359</v>
      </c>
      <c r="B389" s="170"/>
      <c r="C389" s="170"/>
      <c r="D389" s="170"/>
      <c r="E389" s="170"/>
      <c r="F389" s="170"/>
      <c r="G389" s="170"/>
      <c r="H389" s="170"/>
      <c r="I389" s="170"/>
      <c r="J389" s="171"/>
      <c r="L389" s="82" t="s">
        <v>350</v>
      </c>
    </row>
    <row r="390" spans="1:12" x14ac:dyDescent="0.25">
      <c r="A390" s="168" t="s">
        <v>26</v>
      </c>
      <c r="B390" s="138"/>
      <c r="C390" s="138"/>
      <c r="D390" s="138"/>
      <c r="E390" s="138"/>
      <c r="F390" s="138"/>
      <c r="G390" s="138"/>
      <c r="H390" s="138"/>
      <c r="I390" s="138"/>
      <c r="J390" s="139"/>
    </row>
    <row r="391" spans="1:12" x14ac:dyDescent="0.25">
      <c r="A391" s="117" t="s">
        <v>34</v>
      </c>
      <c r="B391" s="106"/>
      <c r="C391" s="106"/>
      <c r="D391" s="106"/>
      <c r="E391" s="106"/>
      <c r="F391" s="106"/>
      <c r="G391" s="106"/>
      <c r="H391" s="106"/>
      <c r="I391" s="106"/>
      <c r="J391" s="107"/>
    </row>
    <row r="392" spans="1:12" x14ac:dyDescent="0.25">
      <c r="A392" s="168" t="s">
        <v>28</v>
      </c>
      <c r="B392" s="138"/>
      <c r="C392" s="138"/>
      <c r="D392" s="138"/>
      <c r="E392" s="138"/>
      <c r="F392" s="138"/>
      <c r="G392" s="138"/>
      <c r="H392" s="138"/>
      <c r="I392" s="138"/>
      <c r="J392" s="139"/>
    </row>
    <row r="393" spans="1:12" x14ac:dyDescent="0.25">
      <c r="A393" s="87" t="s">
        <v>39</v>
      </c>
      <c r="B393" s="88"/>
      <c r="C393" s="88"/>
      <c r="D393" s="88"/>
      <c r="E393" s="88"/>
      <c r="F393" s="88"/>
      <c r="G393" s="88"/>
      <c r="H393" s="88"/>
      <c r="I393" s="88"/>
      <c r="J393" s="89"/>
    </row>
    <row r="394" spans="1:12" ht="16.5" customHeight="1" x14ac:dyDescent="0.25">
      <c r="A394" s="217" t="s">
        <v>61</v>
      </c>
      <c r="B394" s="218"/>
      <c r="C394" s="218"/>
      <c r="D394" s="218"/>
      <c r="E394" s="218"/>
      <c r="F394" s="218"/>
      <c r="G394" s="218"/>
      <c r="H394" s="218"/>
      <c r="I394" s="218"/>
      <c r="J394" s="219"/>
    </row>
    <row r="395" spans="1:12" x14ac:dyDescent="0.25">
      <c r="A395" s="87" t="s">
        <v>40</v>
      </c>
      <c r="B395" s="88"/>
      <c r="C395" s="88"/>
      <c r="D395" s="88"/>
      <c r="E395" s="88"/>
      <c r="F395" s="88"/>
      <c r="G395" s="88"/>
      <c r="H395" s="88"/>
      <c r="I395" s="88"/>
      <c r="J395" s="89"/>
    </row>
    <row r="396" spans="1:12" x14ac:dyDescent="0.25">
      <c r="A396" s="87" t="s">
        <v>41</v>
      </c>
      <c r="B396" s="88"/>
      <c r="C396" s="88"/>
      <c r="D396" s="88"/>
      <c r="E396" s="88"/>
      <c r="F396" s="88"/>
      <c r="G396" s="88"/>
      <c r="H396" s="88"/>
      <c r="I396" s="88"/>
      <c r="J396" s="89"/>
    </row>
    <row r="397" spans="1:12" ht="30.75" customHeight="1" x14ac:dyDescent="0.25">
      <c r="A397" s="118" t="s">
        <v>42</v>
      </c>
      <c r="B397" s="119"/>
      <c r="C397" s="119"/>
      <c r="D397" s="119"/>
      <c r="E397" s="119"/>
      <c r="F397" s="119"/>
      <c r="G397" s="119"/>
      <c r="H397" s="119"/>
      <c r="I397" s="119"/>
      <c r="J397" s="120"/>
    </row>
    <row r="398" spans="1:12" ht="15" customHeight="1" x14ac:dyDescent="0.25">
      <c r="A398" s="203" t="s">
        <v>27</v>
      </c>
      <c r="B398" s="204"/>
      <c r="C398" s="204"/>
      <c r="D398" s="204"/>
      <c r="E398" s="204"/>
      <c r="F398" s="204"/>
      <c r="G398" s="204"/>
      <c r="H398" s="204"/>
      <c r="I398" s="204"/>
      <c r="J398" s="205"/>
    </row>
    <row r="399" spans="1:12" x14ac:dyDescent="0.25">
      <c r="A399" s="206"/>
      <c r="B399" s="207"/>
      <c r="C399" s="207"/>
      <c r="D399" s="207"/>
      <c r="E399" s="207"/>
      <c r="F399" s="207"/>
      <c r="G399" s="207"/>
      <c r="H399" s="207"/>
      <c r="I399" s="207"/>
      <c r="J399" s="208"/>
    </row>
    <row r="400" spans="1:12" x14ac:dyDescent="0.25">
      <c r="A400" s="206"/>
      <c r="B400" s="207"/>
      <c r="C400" s="207"/>
      <c r="D400" s="207"/>
      <c r="E400" s="207"/>
      <c r="F400" s="207"/>
      <c r="G400" s="207"/>
      <c r="H400" s="207"/>
      <c r="I400" s="207"/>
      <c r="J400" s="208"/>
    </row>
    <row r="401" spans="1:10" x14ac:dyDescent="0.25">
      <c r="A401" s="209"/>
      <c r="B401" s="210"/>
      <c r="C401" s="210"/>
      <c r="D401" s="210"/>
      <c r="E401" s="210"/>
      <c r="F401" s="210"/>
      <c r="G401" s="210"/>
      <c r="H401" s="210"/>
      <c r="I401" s="210"/>
      <c r="J401" s="211"/>
    </row>
    <row r="402" spans="1:10" x14ac:dyDescent="0.25">
      <c r="A402" s="14" t="s">
        <v>253</v>
      </c>
      <c r="B402" s="14"/>
      <c r="C402" s="14"/>
      <c r="D402" s="14"/>
      <c r="E402" s="14"/>
      <c r="F402" s="14" t="str">
        <f>F9</f>
        <v>Ruparel Optima (Sale Building 1, 2 &amp; 3)</v>
      </c>
      <c r="G402" s="14"/>
      <c r="H402" s="14"/>
      <c r="I402" s="14"/>
    </row>
    <row r="404" spans="1:10" x14ac:dyDescent="0.25">
      <c r="A404" s="73"/>
    </row>
    <row r="408" spans="1:10" s="14" customFormat="1" ht="13.5" x14ac:dyDescent="0.2"/>
    <row r="419" spans="4:12" ht="19.5" x14ac:dyDescent="0.3">
      <c r="L419" s="30"/>
    </row>
    <row r="421" spans="4:12" ht="23.25" x14ac:dyDescent="0.25">
      <c r="D421" s="31"/>
    </row>
    <row r="424" spans="4:12" ht="19.5" x14ac:dyDescent="0.3">
      <c r="L424" s="30"/>
    </row>
    <row r="426" spans="4:12" ht="19.5" x14ac:dyDescent="0.3">
      <c r="L426" s="30"/>
    </row>
    <row r="434" spans="1:9" ht="23.25" x14ac:dyDescent="0.25">
      <c r="B434" s="31"/>
      <c r="F434" s="240"/>
      <c r="G434" s="240"/>
      <c r="H434" s="240"/>
      <c r="I434" s="240"/>
    </row>
    <row r="445" spans="1:9" x14ac:dyDescent="0.25">
      <c r="A445" s="36" t="s">
        <v>139</v>
      </c>
      <c r="B445" s="36"/>
    </row>
  </sheetData>
  <mergeCells count="743">
    <mergeCell ref="A145:B145"/>
    <mergeCell ref="C145:J145"/>
    <mergeCell ref="A146:B146"/>
    <mergeCell ref="H146:J146"/>
    <mergeCell ref="E146:G146"/>
    <mergeCell ref="C146:D146"/>
    <mergeCell ref="A135:B135"/>
    <mergeCell ref="D135:E135"/>
    <mergeCell ref="F135:G144"/>
    <mergeCell ref="H135:J144"/>
    <mergeCell ref="A136:B136"/>
    <mergeCell ref="D136:E136"/>
    <mergeCell ref="A137:B137"/>
    <mergeCell ref="D137:E137"/>
    <mergeCell ref="A138:B138"/>
    <mergeCell ref="D138:E138"/>
    <mergeCell ref="A139:B139"/>
    <mergeCell ref="D139:E139"/>
    <mergeCell ref="A140:B140"/>
    <mergeCell ref="D140:E140"/>
    <mergeCell ref="A141:B141"/>
    <mergeCell ref="D141:E141"/>
    <mergeCell ref="A142:B142"/>
    <mergeCell ref="D142:E142"/>
    <mergeCell ref="A143:B143"/>
    <mergeCell ref="D143:E143"/>
    <mergeCell ref="A144:B144"/>
    <mergeCell ref="D144:E144"/>
    <mergeCell ref="A131:B131"/>
    <mergeCell ref="C131:J131"/>
    <mergeCell ref="E132:F132"/>
    <mergeCell ref="I132:J132"/>
    <mergeCell ref="A133:B133"/>
    <mergeCell ref="C133:J133"/>
    <mergeCell ref="A134:B134"/>
    <mergeCell ref="D134:E134"/>
    <mergeCell ref="F134:G134"/>
    <mergeCell ref="H134:J134"/>
    <mergeCell ref="A121:B121"/>
    <mergeCell ref="D121:E121"/>
    <mergeCell ref="F121:G130"/>
    <mergeCell ref="H121:J130"/>
    <mergeCell ref="A122:B122"/>
    <mergeCell ref="D122:E122"/>
    <mergeCell ref="A123:B123"/>
    <mergeCell ref="D123:E123"/>
    <mergeCell ref="A124:B124"/>
    <mergeCell ref="D124:E124"/>
    <mergeCell ref="A125:B125"/>
    <mergeCell ref="D125:E125"/>
    <mergeCell ref="A126:B126"/>
    <mergeCell ref="D126:E126"/>
    <mergeCell ref="A127:B127"/>
    <mergeCell ref="D127:E127"/>
    <mergeCell ref="A128:B128"/>
    <mergeCell ref="D128:E128"/>
    <mergeCell ref="A129:B129"/>
    <mergeCell ref="D129:E129"/>
    <mergeCell ref="A130:B130"/>
    <mergeCell ref="D130:E130"/>
    <mergeCell ref="A117:B117"/>
    <mergeCell ref="C117:J117"/>
    <mergeCell ref="E118:F118"/>
    <mergeCell ref="I118:J118"/>
    <mergeCell ref="A119:B119"/>
    <mergeCell ref="C119:J119"/>
    <mergeCell ref="A120:B120"/>
    <mergeCell ref="D120:E120"/>
    <mergeCell ref="F120:G120"/>
    <mergeCell ref="H120:J120"/>
    <mergeCell ref="A200:B200"/>
    <mergeCell ref="C200:D200"/>
    <mergeCell ref="E200:G200"/>
    <mergeCell ref="H200:J200"/>
    <mergeCell ref="A193:B193"/>
    <mergeCell ref="C193:D193"/>
    <mergeCell ref="E193:G193"/>
    <mergeCell ref="H193:J193"/>
    <mergeCell ref="A194:B194"/>
    <mergeCell ref="C194:D194"/>
    <mergeCell ref="E194:G194"/>
    <mergeCell ref="H194:J194"/>
    <mergeCell ref="A195:J195"/>
    <mergeCell ref="C198:D198"/>
    <mergeCell ref="E198:G198"/>
    <mergeCell ref="H198:J198"/>
    <mergeCell ref="A196:B196"/>
    <mergeCell ref="C196:D196"/>
    <mergeCell ref="E196:G196"/>
    <mergeCell ref="H196:J196"/>
    <mergeCell ref="C197:D197"/>
    <mergeCell ref="E197:G197"/>
    <mergeCell ref="H197:J197"/>
    <mergeCell ref="A197:A199"/>
    <mergeCell ref="A11:E11"/>
    <mergeCell ref="F11:J11"/>
    <mergeCell ref="C33:J33"/>
    <mergeCell ref="A34:B34"/>
    <mergeCell ref="C34:J34"/>
    <mergeCell ref="A96:B96"/>
    <mergeCell ref="D96:E96"/>
    <mergeCell ref="A102:B102"/>
    <mergeCell ref="E102:G102"/>
    <mergeCell ref="C102:D102"/>
    <mergeCell ref="H102:J102"/>
    <mergeCell ref="A97:B97"/>
    <mergeCell ref="D97:E97"/>
    <mergeCell ref="A98:B98"/>
    <mergeCell ref="D98:E98"/>
    <mergeCell ref="A99:B99"/>
    <mergeCell ref="D99:E99"/>
    <mergeCell ref="A100:B100"/>
    <mergeCell ref="C101:J101"/>
    <mergeCell ref="A94:B94"/>
    <mergeCell ref="D94:E94"/>
    <mergeCell ref="A95:B95"/>
    <mergeCell ref="D95:E95"/>
    <mergeCell ref="C56:J56"/>
    <mergeCell ref="C199:D199"/>
    <mergeCell ref="E199:G199"/>
    <mergeCell ref="H199:J199"/>
    <mergeCell ref="A189:J189"/>
    <mergeCell ref="A192:J192"/>
    <mergeCell ref="A190:B190"/>
    <mergeCell ref="C190:D190"/>
    <mergeCell ref="E190:G190"/>
    <mergeCell ref="H190:J190"/>
    <mergeCell ref="A191:B191"/>
    <mergeCell ref="C191:D191"/>
    <mergeCell ref="E191:G191"/>
    <mergeCell ref="H191:J191"/>
    <mergeCell ref="A114:B114"/>
    <mergeCell ref="D114:E114"/>
    <mergeCell ref="A115:B115"/>
    <mergeCell ref="D115:E115"/>
    <mergeCell ref="A116:B116"/>
    <mergeCell ref="D116:E116"/>
    <mergeCell ref="E104:F104"/>
    <mergeCell ref="I104:J104"/>
    <mergeCell ref="A105:B105"/>
    <mergeCell ref="C105:J105"/>
    <mergeCell ref="A106:B106"/>
    <mergeCell ref="D106:E106"/>
    <mergeCell ref="F106:G106"/>
    <mergeCell ref="H106:J106"/>
    <mergeCell ref="A107:B107"/>
    <mergeCell ref="D107:E107"/>
    <mergeCell ref="F107:G116"/>
    <mergeCell ref="H107:J116"/>
    <mergeCell ref="A108:B108"/>
    <mergeCell ref="D108:E108"/>
    <mergeCell ref="A109:B109"/>
    <mergeCell ref="D109:E109"/>
    <mergeCell ref="A110:B110"/>
    <mergeCell ref="D110:E110"/>
    <mergeCell ref="H90:J90"/>
    <mergeCell ref="A91:B91"/>
    <mergeCell ref="D91:E91"/>
    <mergeCell ref="F91:G100"/>
    <mergeCell ref="H91:J100"/>
    <mergeCell ref="D100:E100"/>
    <mergeCell ref="A101:B101"/>
    <mergeCell ref="A93:B93"/>
    <mergeCell ref="D93:E93"/>
    <mergeCell ref="A380:B380"/>
    <mergeCell ref="A381:B381"/>
    <mergeCell ref="A385:B385"/>
    <mergeCell ref="A373:B373"/>
    <mergeCell ref="A386:B386"/>
    <mergeCell ref="A387:B387"/>
    <mergeCell ref="A374:B374"/>
    <mergeCell ref="A375:B375"/>
    <mergeCell ref="A377:B377"/>
    <mergeCell ref="A378:B378"/>
    <mergeCell ref="A379:B379"/>
    <mergeCell ref="A384:B384"/>
    <mergeCell ref="A368:B368"/>
    <mergeCell ref="A369:B369"/>
    <mergeCell ref="A370:B370"/>
    <mergeCell ref="A371:B371"/>
    <mergeCell ref="A203:B203"/>
    <mergeCell ref="D203:E203"/>
    <mergeCell ref="D231:E231"/>
    <mergeCell ref="A364:B364"/>
    <mergeCell ref="A280:B280"/>
    <mergeCell ref="D228:E228"/>
    <mergeCell ref="A347:J347"/>
    <mergeCell ref="A349:J349"/>
    <mergeCell ref="A308:B308"/>
    <mergeCell ref="A309:B309"/>
    <mergeCell ref="A310:B310"/>
    <mergeCell ref="A311:B311"/>
    <mergeCell ref="A313:B313"/>
    <mergeCell ref="A363:J363"/>
    <mergeCell ref="I341:J341"/>
    <mergeCell ref="A342:J342"/>
    <mergeCell ref="A315:B315"/>
    <mergeCell ref="A316:B316"/>
    <mergeCell ref="A312:J312"/>
    <mergeCell ref="I313:J313"/>
    <mergeCell ref="A388:B388"/>
    <mergeCell ref="A233:J233"/>
    <mergeCell ref="A235:J235"/>
    <mergeCell ref="A263:B263"/>
    <mergeCell ref="I263:J263"/>
    <mergeCell ref="A264:B264"/>
    <mergeCell ref="I264:J264"/>
    <mergeCell ref="A265:B265"/>
    <mergeCell ref="I265:J265"/>
    <mergeCell ref="A277:B277"/>
    <mergeCell ref="A278:B278"/>
    <mergeCell ref="I278:J278"/>
    <mergeCell ref="C266:J266"/>
    <mergeCell ref="C270:J270"/>
    <mergeCell ref="C275:J275"/>
    <mergeCell ref="I277:J277"/>
    <mergeCell ref="I272:J272"/>
    <mergeCell ref="A273:J273"/>
    <mergeCell ref="A303:B303"/>
    <mergeCell ref="A304:B304"/>
    <mergeCell ref="A299:J299"/>
    <mergeCell ref="I300:J300"/>
    <mergeCell ref="A366:B366"/>
    <mergeCell ref="A367:B367"/>
    <mergeCell ref="I314:J314"/>
    <mergeCell ref="A297:J297"/>
    <mergeCell ref="A305:B305"/>
    <mergeCell ref="A306:B306"/>
    <mergeCell ref="I301:J301"/>
    <mergeCell ref="A259:B259"/>
    <mergeCell ref="A262:J262"/>
    <mergeCell ref="I303:J303"/>
    <mergeCell ref="I304:J304"/>
    <mergeCell ref="I305:J305"/>
    <mergeCell ref="I306:J306"/>
    <mergeCell ref="A283:B283"/>
    <mergeCell ref="C283:J283"/>
    <mergeCell ref="A284:B284"/>
    <mergeCell ref="I284:J284"/>
    <mergeCell ref="A285:J285"/>
    <mergeCell ref="A286:B286"/>
    <mergeCell ref="I286:J286"/>
    <mergeCell ref="A287:B287"/>
    <mergeCell ref="C287:J287"/>
    <mergeCell ref="A279:J279"/>
    <mergeCell ref="A314:B314"/>
    <mergeCell ref="I280:J280"/>
    <mergeCell ref="A281:B281"/>
    <mergeCell ref="I258:J258"/>
    <mergeCell ref="I254:J254"/>
    <mergeCell ref="D232:E232"/>
    <mergeCell ref="I232:J232"/>
    <mergeCell ref="I261:J261"/>
    <mergeCell ref="A260:B260"/>
    <mergeCell ref="I260:J260"/>
    <mergeCell ref="A261:B261"/>
    <mergeCell ref="A256:J256"/>
    <mergeCell ref="I228:J228"/>
    <mergeCell ref="D229:E229"/>
    <mergeCell ref="I229:J229"/>
    <mergeCell ref="D230:E230"/>
    <mergeCell ref="I234:J234"/>
    <mergeCell ref="A234:B234"/>
    <mergeCell ref="I230:J230"/>
    <mergeCell ref="D220:E220"/>
    <mergeCell ref="I220:J220"/>
    <mergeCell ref="D221:E221"/>
    <mergeCell ref="I221:J221"/>
    <mergeCell ref="D222:E222"/>
    <mergeCell ref="I222:J222"/>
    <mergeCell ref="D223:E223"/>
    <mergeCell ref="I223:J223"/>
    <mergeCell ref="D224:E224"/>
    <mergeCell ref="I224:J224"/>
    <mergeCell ref="D225:E225"/>
    <mergeCell ref="I225:J225"/>
    <mergeCell ref="D226:E226"/>
    <mergeCell ref="I226:J226"/>
    <mergeCell ref="D227:E227"/>
    <mergeCell ref="I227:J227"/>
    <mergeCell ref="I231:J231"/>
    <mergeCell ref="I217:J217"/>
    <mergeCell ref="D218:E218"/>
    <mergeCell ref="I218:J218"/>
    <mergeCell ref="D219:E219"/>
    <mergeCell ref="I274:J274"/>
    <mergeCell ref="F434:I434"/>
    <mergeCell ref="I240:J240"/>
    <mergeCell ref="A241:J241"/>
    <mergeCell ref="I242:J242"/>
    <mergeCell ref="I243:J243"/>
    <mergeCell ref="I257:J257"/>
    <mergeCell ref="I259:J259"/>
    <mergeCell ref="A246:B246"/>
    <mergeCell ref="A247:B247"/>
    <mergeCell ref="A248:B248"/>
    <mergeCell ref="A249:B249"/>
    <mergeCell ref="A250:B250"/>
    <mergeCell ref="A252:B252"/>
    <mergeCell ref="A251:J251"/>
    <mergeCell ref="I248:J248"/>
    <mergeCell ref="I246:J246"/>
    <mergeCell ref="I247:J247"/>
    <mergeCell ref="A257:B257"/>
    <mergeCell ref="A258:B258"/>
    <mergeCell ref="I219:J219"/>
    <mergeCell ref="E57:J57"/>
    <mergeCell ref="A57:D57"/>
    <mergeCell ref="I255:J255"/>
    <mergeCell ref="A238:J238"/>
    <mergeCell ref="I239:J239"/>
    <mergeCell ref="I212:J212"/>
    <mergeCell ref="D213:E213"/>
    <mergeCell ref="I213:J213"/>
    <mergeCell ref="D214:E214"/>
    <mergeCell ref="I249:J249"/>
    <mergeCell ref="I250:J250"/>
    <mergeCell ref="A253:B253"/>
    <mergeCell ref="A254:B254"/>
    <mergeCell ref="A255:B255"/>
    <mergeCell ref="I253:J253"/>
    <mergeCell ref="A243:B243"/>
    <mergeCell ref="A244:J244"/>
    <mergeCell ref="D65:E65"/>
    <mergeCell ref="A66:B66"/>
    <mergeCell ref="A59:B59"/>
    <mergeCell ref="C59:J59"/>
    <mergeCell ref="E60:F60"/>
    <mergeCell ref="I60:J60"/>
    <mergeCell ref="C315:J315"/>
    <mergeCell ref="A320:B320"/>
    <mergeCell ref="A333:B333"/>
    <mergeCell ref="A321:B321"/>
    <mergeCell ref="A323:B323"/>
    <mergeCell ref="A324:B324"/>
    <mergeCell ref="A325:B325"/>
    <mergeCell ref="A326:B326"/>
    <mergeCell ref="A328:B328"/>
    <mergeCell ref="I316:J316"/>
    <mergeCell ref="A345:B345"/>
    <mergeCell ref="A346:B346"/>
    <mergeCell ref="I345:J345"/>
    <mergeCell ref="A343:B343"/>
    <mergeCell ref="C338:J338"/>
    <mergeCell ref="I339:J339"/>
    <mergeCell ref="C343:J343"/>
    <mergeCell ref="I344:J344"/>
    <mergeCell ref="I324:J324"/>
    <mergeCell ref="I325:J325"/>
    <mergeCell ref="I330:J330"/>
    <mergeCell ref="I331:J331"/>
    <mergeCell ref="A332:J332"/>
    <mergeCell ref="I333:J333"/>
    <mergeCell ref="I334:J334"/>
    <mergeCell ref="C386:J388"/>
    <mergeCell ref="A307:J307"/>
    <mergeCell ref="I308:J308"/>
    <mergeCell ref="I309:J309"/>
    <mergeCell ref="I310:J310"/>
    <mergeCell ref="I311:J311"/>
    <mergeCell ref="A365:B365"/>
    <mergeCell ref="A376:J376"/>
    <mergeCell ref="A382:B382"/>
    <mergeCell ref="A383:B383"/>
    <mergeCell ref="A372:B372"/>
    <mergeCell ref="I320:J320"/>
    <mergeCell ref="I321:J321"/>
    <mergeCell ref="A322:J322"/>
    <mergeCell ref="I323:J323"/>
    <mergeCell ref="I326:J326"/>
    <mergeCell ref="A327:J327"/>
    <mergeCell ref="I328:J328"/>
    <mergeCell ref="I329:J329"/>
    <mergeCell ref="A340:B340"/>
    <mergeCell ref="A329:B329"/>
    <mergeCell ref="A318:B318"/>
    <mergeCell ref="A319:B319"/>
    <mergeCell ref="I346:J346"/>
    <mergeCell ref="A348:J348"/>
    <mergeCell ref="A317:J317"/>
    <mergeCell ref="I318:J318"/>
    <mergeCell ref="I319:J319"/>
    <mergeCell ref="A344:B344"/>
    <mergeCell ref="A298:J298"/>
    <mergeCell ref="A302:J302"/>
    <mergeCell ref="A296:J296"/>
    <mergeCell ref="I288:J288"/>
    <mergeCell ref="A289:B289"/>
    <mergeCell ref="I289:J289"/>
    <mergeCell ref="A288:B288"/>
    <mergeCell ref="I335:J335"/>
    <mergeCell ref="A334:B334"/>
    <mergeCell ref="A335:B335"/>
    <mergeCell ref="A330:B330"/>
    <mergeCell ref="A331:B331"/>
    <mergeCell ref="C336:J336"/>
    <mergeCell ref="A337:J337"/>
    <mergeCell ref="I340:J340"/>
    <mergeCell ref="A336:B336"/>
    <mergeCell ref="A338:B338"/>
    <mergeCell ref="A339:B339"/>
    <mergeCell ref="A341:B341"/>
    <mergeCell ref="I281:J281"/>
    <mergeCell ref="A282:B282"/>
    <mergeCell ref="I282:J282"/>
    <mergeCell ref="A58:J58"/>
    <mergeCell ref="A186:F186"/>
    <mergeCell ref="G186:J186"/>
    <mergeCell ref="G181:J181"/>
    <mergeCell ref="A181:F181"/>
    <mergeCell ref="D71:E71"/>
    <mergeCell ref="D155:E155"/>
    <mergeCell ref="A179:F179"/>
    <mergeCell ref="A182:F182"/>
    <mergeCell ref="A204:J204"/>
    <mergeCell ref="A63:B63"/>
    <mergeCell ref="D63:E63"/>
    <mergeCell ref="F63:G72"/>
    <mergeCell ref="H63:J72"/>
    <mergeCell ref="A64:B64"/>
    <mergeCell ref="D64:E64"/>
    <mergeCell ref="A65:B65"/>
    <mergeCell ref="A174:B174"/>
    <mergeCell ref="D174:E174"/>
    <mergeCell ref="A61:B61"/>
    <mergeCell ref="C61:J61"/>
    <mergeCell ref="A187:F187"/>
    <mergeCell ref="G187:J187"/>
    <mergeCell ref="A183:F183"/>
    <mergeCell ref="G183:J183"/>
    <mergeCell ref="A184:F184"/>
    <mergeCell ref="G184:J184"/>
    <mergeCell ref="A177:J177"/>
    <mergeCell ref="A45:B45"/>
    <mergeCell ref="F43:J43"/>
    <mergeCell ref="H53:J53"/>
    <mergeCell ref="A175:J175"/>
    <mergeCell ref="A44:J44"/>
    <mergeCell ref="A180:F180"/>
    <mergeCell ref="A167:B167"/>
    <mergeCell ref="D167:E167"/>
    <mergeCell ref="A168:B168"/>
    <mergeCell ref="D168:E168"/>
    <mergeCell ref="A169:B169"/>
    <mergeCell ref="D169:E169"/>
    <mergeCell ref="A151:B151"/>
    <mergeCell ref="A147:B147"/>
    <mergeCell ref="C147:J147"/>
    <mergeCell ref="E148:F148"/>
    <mergeCell ref="C47:J47"/>
    <mergeCell ref="A1:J1"/>
    <mergeCell ref="A53:C53"/>
    <mergeCell ref="A54:J54"/>
    <mergeCell ref="F40:J40"/>
    <mergeCell ref="A41:E41"/>
    <mergeCell ref="A43:E43"/>
    <mergeCell ref="A176:J176"/>
    <mergeCell ref="A185:F185"/>
    <mergeCell ref="G185:J185"/>
    <mergeCell ref="F42:J42"/>
    <mergeCell ref="I148:J148"/>
    <mergeCell ref="A149:B149"/>
    <mergeCell ref="C149:J149"/>
    <mergeCell ref="D157:E157"/>
    <mergeCell ref="A158:B158"/>
    <mergeCell ref="G180:J180"/>
    <mergeCell ref="A170:B170"/>
    <mergeCell ref="D170:E170"/>
    <mergeCell ref="A171:B171"/>
    <mergeCell ref="D171:E171"/>
    <mergeCell ref="A172:B172"/>
    <mergeCell ref="D172:E172"/>
    <mergeCell ref="D158:E158"/>
    <mergeCell ref="C46:J46"/>
    <mergeCell ref="A398:J401"/>
    <mergeCell ref="A188:F188"/>
    <mergeCell ref="G188:J188"/>
    <mergeCell ref="A201:J201"/>
    <mergeCell ref="A202:J202"/>
    <mergeCell ref="A394:J394"/>
    <mergeCell ref="A395:J395"/>
    <mergeCell ref="A396:J396"/>
    <mergeCell ref="A397:J397"/>
    <mergeCell ref="A245:J245"/>
    <mergeCell ref="I237:J237"/>
    <mergeCell ref="A242:B242"/>
    <mergeCell ref="A236:J236"/>
    <mergeCell ref="D209:E209"/>
    <mergeCell ref="I209:J209"/>
    <mergeCell ref="D210:E210"/>
    <mergeCell ref="I210:J210"/>
    <mergeCell ref="D211:E211"/>
    <mergeCell ref="I211:J211"/>
    <mergeCell ref="A237:B237"/>
    <mergeCell ref="I214:J214"/>
    <mergeCell ref="D215:E215"/>
    <mergeCell ref="I215:J215"/>
    <mergeCell ref="D212:E212"/>
    <mergeCell ref="A393:J393"/>
    <mergeCell ref="A390:J390"/>
    <mergeCell ref="A178:J178"/>
    <mergeCell ref="G182:J182"/>
    <mergeCell ref="G179:J179"/>
    <mergeCell ref="D216:E216"/>
    <mergeCell ref="I216:J216"/>
    <mergeCell ref="D217:E217"/>
    <mergeCell ref="A270:B270"/>
    <mergeCell ref="I252:J252"/>
    <mergeCell ref="A272:B272"/>
    <mergeCell ref="A274:B274"/>
    <mergeCell ref="A275:B275"/>
    <mergeCell ref="A276:B276"/>
    <mergeCell ref="A294:B294"/>
    <mergeCell ref="I294:J294"/>
    <mergeCell ref="A295:B295"/>
    <mergeCell ref="I295:J295"/>
    <mergeCell ref="A205:J205"/>
    <mergeCell ref="A206:J206"/>
    <mergeCell ref="D207:E207"/>
    <mergeCell ref="I207:J207"/>
    <mergeCell ref="D208:E208"/>
    <mergeCell ref="I271:J271"/>
    <mergeCell ref="A391:J391"/>
    <mergeCell ref="A392:J392"/>
    <mergeCell ref="A389:J389"/>
    <mergeCell ref="F62:G62"/>
    <mergeCell ref="I364:J375"/>
    <mergeCell ref="I377:J385"/>
    <mergeCell ref="I350:J362"/>
    <mergeCell ref="I203:J203"/>
    <mergeCell ref="I208:J208"/>
    <mergeCell ref="I267:J267"/>
    <mergeCell ref="A268:J268"/>
    <mergeCell ref="I269:J269"/>
    <mergeCell ref="A266:B266"/>
    <mergeCell ref="A267:B267"/>
    <mergeCell ref="A269:B269"/>
    <mergeCell ref="I276:J276"/>
    <mergeCell ref="A271:B271"/>
    <mergeCell ref="A290:J290"/>
    <mergeCell ref="A291:B291"/>
    <mergeCell ref="I291:J291"/>
    <mergeCell ref="A292:B292"/>
    <mergeCell ref="C292:J292"/>
    <mergeCell ref="A293:B293"/>
    <mergeCell ref="I293:J293"/>
    <mergeCell ref="H55:J55"/>
    <mergeCell ref="F55:G55"/>
    <mergeCell ref="A39:E39"/>
    <mergeCell ref="F39:J39"/>
    <mergeCell ref="C55:E55"/>
    <mergeCell ref="A40:E40"/>
    <mergeCell ref="C45:J45"/>
    <mergeCell ref="F41:J41"/>
    <mergeCell ref="D53:E53"/>
    <mergeCell ref="A42:E42"/>
    <mergeCell ref="F53:G53"/>
    <mergeCell ref="A55:B55"/>
    <mergeCell ref="C49:J49"/>
    <mergeCell ref="C51:J51"/>
    <mergeCell ref="C48:J48"/>
    <mergeCell ref="A47:B48"/>
    <mergeCell ref="C50:J50"/>
    <mergeCell ref="A49:B50"/>
    <mergeCell ref="C52:J52"/>
    <mergeCell ref="A51:B52"/>
    <mergeCell ref="I29:J29"/>
    <mergeCell ref="A28:B28"/>
    <mergeCell ref="C28:D28"/>
    <mergeCell ref="E30:F30"/>
    <mergeCell ref="G30:H30"/>
    <mergeCell ref="A35:J35"/>
    <mergeCell ref="I30:J30"/>
    <mergeCell ref="A33:B33"/>
    <mergeCell ref="A29:B29"/>
    <mergeCell ref="I28:J28"/>
    <mergeCell ref="G29:H29"/>
    <mergeCell ref="E28:F28"/>
    <mergeCell ref="G28:H28"/>
    <mergeCell ref="A38:E38"/>
    <mergeCell ref="B16:D16"/>
    <mergeCell ref="H16:J16"/>
    <mergeCell ref="G18:J18"/>
    <mergeCell ref="A12:E12"/>
    <mergeCell ref="F9:J9"/>
    <mergeCell ref="F12:J12"/>
    <mergeCell ref="B17:E17"/>
    <mergeCell ref="A14:B14"/>
    <mergeCell ref="A9:E9"/>
    <mergeCell ref="A15:B15"/>
    <mergeCell ref="C15:J15"/>
    <mergeCell ref="C14:J14"/>
    <mergeCell ref="A22:E23"/>
    <mergeCell ref="F22:J23"/>
    <mergeCell ref="G17:J17"/>
    <mergeCell ref="F19:G19"/>
    <mergeCell ref="H19:J19"/>
    <mergeCell ref="A25:E25"/>
    <mergeCell ref="B18:E18"/>
    <mergeCell ref="A19:B19"/>
    <mergeCell ref="A24:E24"/>
    <mergeCell ref="C29:D29"/>
    <mergeCell ref="E29:F29"/>
    <mergeCell ref="A2:J2"/>
    <mergeCell ref="A3:E3"/>
    <mergeCell ref="F3:J3"/>
    <mergeCell ref="A4:E4"/>
    <mergeCell ref="F4:J4"/>
    <mergeCell ref="A6:E6"/>
    <mergeCell ref="F6:J6"/>
    <mergeCell ref="A5:E5"/>
    <mergeCell ref="F5:J5"/>
    <mergeCell ref="A7:E7"/>
    <mergeCell ref="F7:J7"/>
    <mergeCell ref="A13:E13"/>
    <mergeCell ref="F13:J13"/>
    <mergeCell ref="D70:E70"/>
    <mergeCell ref="A56:B56"/>
    <mergeCell ref="A10:E10"/>
    <mergeCell ref="F10:J10"/>
    <mergeCell ref="C19:E19"/>
    <mergeCell ref="F25:J25"/>
    <mergeCell ref="A20:E21"/>
    <mergeCell ref="F20:J21"/>
    <mergeCell ref="A46:B46"/>
    <mergeCell ref="F24:J24"/>
    <mergeCell ref="A26:E26"/>
    <mergeCell ref="F38:J38"/>
    <mergeCell ref="A31:J31"/>
    <mergeCell ref="A32:J32"/>
    <mergeCell ref="A27:E27"/>
    <mergeCell ref="F26:J26"/>
    <mergeCell ref="F27:J27"/>
    <mergeCell ref="A30:B30"/>
    <mergeCell ref="C30:D30"/>
    <mergeCell ref="A36:J37"/>
    <mergeCell ref="A62:B62"/>
    <mergeCell ref="D62:E62"/>
    <mergeCell ref="H62:J62"/>
    <mergeCell ref="A71:B71"/>
    <mergeCell ref="A72:B72"/>
    <mergeCell ref="D72:E72"/>
    <mergeCell ref="D66:E66"/>
    <mergeCell ref="A67:B67"/>
    <mergeCell ref="D67:E67"/>
    <mergeCell ref="A68:B68"/>
    <mergeCell ref="D68:E68"/>
    <mergeCell ref="A69:B69"/>
    <mergeCell ref="D69:E69"/>
    <mergeCell ref="A70:B70"/>
    <mergeCell ref="A77:B77"/>
    <mergeCell ref="D77:E77"/>
    <mergeCell ref="F77:G86"/>
    <mergeCell ref="D84:E84"/>
    <mergeCell ref="A85:B85"/>
    <mergeCell ref="D85:E85"/>
    <mergeCell ref="A86:B86"/>
    <mergeCell ref="D86:E86"/>
    <mergeCell ref="A78:B78"/>
    <mergeCell ref="D78:E78"/>
    <mergeCell ref="A79:B79"/>
    <mergeCell ref="A73:B73"/>
    <mergeCell ref="C73:J73"/>
    <mergeCell ref="E74:F74"/>
    <mergeCell ref="I74:J74"/>
    <mergeCell ref="A75:B75"/>
    <mergeCell ref="C75:J75"/>
    <mergeCell ref="A76:B76"/>
    <mergeCell ref="D76:E76"/>
    <mergeCell ref="F76:G76"/>
    <mergeCell ref="H76:J76"/>
    <mergeCell ref="A164:B164"/>
    <mergeCell ref="D164:E164"/>
    <mergeCell ref="A165:B165"/>
    <mergeCell ref="C161:J161"/>
    <mergeCell ref="A83:B83"/>
    <mergeCell ref="D83:E83"/>
    <mergeCell ref="A84:B84"/>
    <mergeCell ref="A111:B111"/>
    <mergeCell ref="D111:E111"/>
    <mergeCell ref="A112:B112"/>
    <mergeCell ref="D112:E112"/>
    <mergeCell ref="A113:B113"/>
    <mergeCell ref="D113:E113"/>
    <mergeCell ref="A103:B103"/>
    <mergeCell ref="C103:J103"/>
    <mergeCell ref="A87:B87"/>
    <mergeCell ref="C87:J87"/>
    <mergeCell ref="E88:F88"/>
    <mergeCell ref="I88:J88"/>
    <mergeCell ref="A89:B89"/>
    <mergeCell ref="C89:J89"/>
    <mergeCell ref="A90:B90"/>
    <mergeCell ref="D90:E90"/>
    <mergeCell ref="F90:G90"/>
    <mergeCell ref="A8:E8"/>
    <mergeCell ref="F8:J8"/>
    <mergeCell ref="D159:E159"/>
    <mergeCell ref="A157:B157"/>
    <mergeCell ref="A159:B159"/>
    <mergeCell ref="A160:B160"/>
    <mergeCell ref="D160:E160"/>
    <mergeCell ref="D151:E151"/>
    <mergeCell ref="D79:E79"/>
    <mergeCell ref="A80:B80"/>
    <mergeCell ref="D80:E80"/>
    <mergeCell ref="A81:B81"/>
    <mergeCell ref="D81:E81"/>
    <mergeCell ref="A82:B82"/>
    <mergeCell ref="D82:E82"/>
    <mergeCell ref="H77:J86"/>
    <mergeCell ref="A92:B92"/>
    <mergeCell ref="D92:E92"/>
    <mergeCell ref="A150:B150"/>
    <mergeCell ref="D150:E150"/>
    <mergeCell ref="F150:G150"/>
    <mergeCell ref="H150:J150"/>
    <mergeCell ref="F151:G160"/>
    <mergeCell ref="H151:J160"/>
    <mergeCell ref="K11:O11"/>
    <mergeCell ref="D165:E165"/>
    <mergeCell ref="A166:B166"/>
    <mergeCell ref="D166:E166"/>
    <mergeCell ref="E162:F162"/>
    <mergeCell ref="I162:J162"/>
    <mergeCell ref="C163:J163"/>
    <mergeCell ref="F164:G164"/>
    <mergeCell ref="H164:J164"/>
    <mergeCell ref="F165:G174"/>
    <mergeCell ref="A173:B173"/>
    <mergeCell ref="H165:J174"/>
    <mergeCell ref="D173:E173"/>
    <mergeCell ref="A152:B152"/>
    <mergeCell ref="D152:E152"/>
    <mergeCell ref="A153:B153"/>
    <mergeCell ref="D153:E153"/>
    <mergeCell ref="A154:B154"/>
    <mergeCell ref="D154:E154"/>
    <mergeCell ref="A155:B155"/>
    <mergeCell ref="A156:B156"/>
    <mergeCell ref="D156:E156"/>
    <mergeCell ref="A161:B161"/>
    <mergeCell ref="A163:B163"/>
  </mergeCells>
  <phoneticPr fontId="0" type="noConversion"/>
  <hyperlinks>
    <hyperlink ref="C34" r:id="rId1"/>
  </hyperlinks>
  <printOptions horizontalCentered="1"/>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3" manualBreakCount="3">
    <brk id="72" max="9" man="1"/>
    <brk id="401" max="16383" man="1"/>
    <brk id="444"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11" t="s">
        <v>103</v>
      </c>
      <c r="E3" s="273"/>
      <c r="F3" s="273"/>
    </row>
    <row r="4" spans="3:14" x14ac:dyDescent="0.25">
      <c r="F4" s="10"/>
      <c r="G4" s="10"/>
      <c r="H4" s="10"/>
      <c r="I4" s="10"/>
      <c r="J4" s="10"/>
      <c r="K4" s="10"/>
    </row>
    <row r="5" spans="3:14" x14ac:dyDescent="0.25">
      <c r="C5" s="11" t="s">
        <v>104</v>
      </c>
      <c r="D5" s="9" t="s">
        <v>84</v>
      </c>
      <c r="E5" s="274" t="s">
        <v>85</v>
      </c>
      <c r="F5" s="274"/>
      <c r="G5" s="274"/>
      <c r="H5" s="12"/>
      <c r="I5" s="274" t="s">
        <v>86</v>
      </c>
      <c r="J5" s="274"/>
      <c r="K5" s="274"/>
      <c r="L5" s="274" t="s">
        <v>87</v>
      </c>
      <c r="M5" s="274"/>
      <c r="N5" s="274"/>
    </row>
    <row r="6" spans="3:14" x14ac:dyDescent="0.25">
      <c r="C6" s="11">
        <v>1</v>
      </c>
      <c r="D6" s="9"/>
      <c r="E6" s="9" t="s">
        <v>88</v>
      </c>
      <c r="F6" s="9" t="s">
        <v>89</v>
      </c>
      <c r="G6" s="9" t="s">
        <v>90</v>
      </c>
      <c r="H6" s="9"/>
      <c r="I6" s="9" t="s">
        <v>88</v>
      </c>
      <c r="J6" s="9" t="s">
        <v>89</v>
      </c>
      <c r="K6" s="9" t="s">
        <v>90</v>
      </c>
      <c r="L6" s="9" t="s">
        <v>88</v>
      </c>
      <c r="M6" s="9" t="s">
        <v>89</v>
      </c>
      <c r="N6" s="9" t="s">
        <v>90</v>
      </c>
    </row>
    <row r="7" spans="3:14" x14ac:dyDescent="0.25">
      <c r="D7" s="8" t="s">
        <v>91</v>
      </c>
      <c r="E7" s="8"/>
      <c r="F7" s="8"/>
      <c r="G7" s="8">
        <f>E7*F7</f>
        <v>0</v>
      </c>
      <c r="H7" s="8" t="s">
        <v>106</v>
      </c>
      <c r="I7" s="8"/>
      <c r="J7" s="8"/>
      <c r="K7" s="8">
        <f>I7*J7</f>
        <v>0</v>
      </c>
      <c r="L7" s="8"/>
      <c r="M7" s="8"/>
      <c r="N7" s="8">
        <f>L7*M7</f>
        <v>0</v>
      </c>
    </row>
    <row r="8" spans="3:14" x14ac:dyDescent="0.25">
      <c r="D8" s="8"/>
      <c r="E8" s="8"/>
      <c r="F8" s="8"/>
      <c r="G8" s="8">
        <f t="shared" ref="G8:G34" si="0">E8*F8</f>
        <v>0</v>
      </c>
      <c r="H8" s="8" t="s">
        <v>107</v>
      </c>
      <c r="I8" s="8"/>
      <c r="J8" s="8"/>
      <c r="K8" s="8">
        <f t="shared" ref="K8:K34" si="1">I8*J8</f>
        <v>0</v>
      </c>
      <c r="L8" s="8"/>
      <c r="M8" s="8"/>
      <c r="N8" s="8">
        <f t="shared" ref="N8:N34" si="2">L8*M8</f>
        <v>0</v>
      </c>
    </row>
    <row r="9" spans="3:14" x14ac:dyDescent="0.25">
      <c r="D9" s="8"/>
      <c r="E9" s="8"/>
      <c r="F9" s="8"/>
      <c r="G9" s="8">
        <f t="shared" si="0"/>
        <v>0</v>
      </c>
      <c r="H9" s="8"/>
      <c r="I9" s="8"/>
      <c r="J9" s="8"/>
      <c r="K9" s="8">
        <f t="shared" si="1"/>
        <v>0</v>
      </c>
      <c r="L9" s="8"/>
      <c r="M9" s="8"/>
      <c r="N9" s="8">
        <f t="shared" si="2"/>
        <v>0</v>
      </c>
    </row>
    <row r="10" spans="3:14" x14ac:dyDescent="0.25">
      <c r="D10" s="8" t="s">
        <v>94</v>
      </c>
      <c r="E10" s="8"/>
      <c r="F10" s="8"/>
      <c r="G10" s="8">
        <f t="shared" si="0"/>
        <v>0</v>
      </c>
      <c r="H10" s="8" t="s">
        <v>106</v>
      </c>
      <c r="I10" s="8"/>
      <c r="J10" s="8"/>
      <c r="K10" s="8">
        <f t="shared" si="1"/>
        <v>0</v>
      </c>
      <c r="L10" s="8"/>
      <c r="M10" s="8"/>
      <c r="N10" s="8">
        <f t="shared" si="2"/>
        <v>0</v>
      </c>
    </row>
    <row r="11" spans="3:14" x14ac:dyDescent="0.25">
      <c r="D11" s="8"/>
      <c r="E11" s="8"/>
      <c r="F11" s="8"/>
      <c r="G11" s="8">
        <f t="shared" si="0"/>
        <v>0</v>
      </c>
      <c r="H11" s="8" t="s">
        <v>107</v>
      </c>
      <c r="I11" s="8"/>
      <c r="J11" s="8"/>
      <c r="K11" s="8">
        <f t="shared" si="1"/>
        <v>0</v>
      </c>
      <c r="L11" s="8"/>
      <c r="M11" s="8"/>
      <c r="N11" s="8">
        <f t="shared" si="2"/>
        <v>0</v>
      </c>
    </row>
    <row r="12" spans="3:14" x14ac:dyDescent="0.25">
      <c r="D12" s="8"/>
      <c r="E12" s="8"/>
      <c r="F12" s="8"/>
      <c r="G12" s="8">
        <f t="shared" si="0"/>
        <v>0</v>
      </c>
      <c r="H12" s="8"/>
      <c r="I12" s="8"/>
      <c r="J12" s="8"/>
      <c r="K12" s="8">
        <f t="shared" si="1"/>
        <v>0</v>
      </c>
      <c r="L12" s="8"/>
      <c r="M12" s="8"/>
      <c r="N12" s="8">
        <f t="shared" si="2"/>
        <v>0</v>
      </c>
    </row>
    <row r="13" spans="3:14" x14ac:dyDescent="0.25">
      <c r="D13" s="8"/>
      <c r="E13" s="8"/>
      <c r="F13" s="8"/>
      <c r="G13" s="8">
        <f t="shared" si="0"/>
        <v>0</v>
      </c>
      <c r="H13" s="8"/>
      <c r="I13" s="8"/>
      <c r="J13" s="8"/>
      <c r="K13" s="8">
        <f t="shared" si="1"/>
        <v>0</v>
      </c>
      <c r="L13" s="8"/>
      <c r="M13" s="8"/>
      <c r="N13" s="8">
        <f t="shared" si="2"/>
        <v>0</v>
      </c>
    </row>
    <row r="14" spans="3:14" x14ac:dyDescent="0.25">
      <c r="D14" s="8" t="s">
        <v>92</v>
      </c>
      <c r="E14" s="8"/>
      <c r="F14" s="8"/>
      <c r="G14" s="8">
        <f t="shared" si="0"/>
        <v>0</v>
      </c>
      <c r="H14" s="8" t="s">
        <v>106</v>
      </c>
      <c r="I14" s="8"/>
      <c r="J14" s="8"/>
      <c r="K14" s="8">
        <f t="shared" si="1"/>
        <v>0</v>
      </c>
      <c r="L14" s="8"/>
      <c r="M14" s="8"/>
      <c r="N14" s="8">
        <f t="shared" si="2"/>
        <v>0</v>
      </c>
    </row>
    <row r="15" spans="3:14" x14ac:dyDescent="0.25">
      <c r="D15" s="8"/>
      <c r="E15" s="8"/>
      <c r="F15" s="8"/>
      <c r="G15" s="8">
        <f t="shared" si="0"/>
        <v>0</v>
      </c>
      <c r="H15" s="8" t="s">
        <v>107</v>
      </c>
      <c r="I15" s="8"/>
      <c r="J15" s="8"/>
      <c r="K15" s="8">
        <f t="shared" si="1"/>
        <v>0</v>
      </c>
      <c r="L15" s="8"/>
      <c r="M15" s="8"/>
      <c r="N15" s="8">
        <f t="shared" si="2"/>
        <v>0</v>
      </c>
    </row>
    <row r="16" spans="3:14" x14ac:dyDescent="0.25">
      <c r="D16" s="8"/>
      <c r="E16" s="8"/>
      <c r="F16" s="8"/>
      <c r="G16" s="8">
        <f t="shared" si="0"/>
        <v>0</v>
      </c>
      <c r="H16" s="8"/>
      <c r="I16" s="8"/>
      <c r="J16" s="8"/>
      <c r="K16" s="8">
        <f t="shared" si="1"/>
        <v>0</v>
      </c>
      <c r="L16" s="8"/>
      <c r="M16" s="8"/>
      <c r="N16" s="8">
        <f t="shared" si="2"/>
        <v>0</v>
      </c>
    </row>
    <row r="17" spans="4:14" x14ac:dyDescent="0.25">
      <c r="D17" s="8"/>
      <c r="E17" s="8"/>
      <c r="F17" s="8"/>
      <c r="G17" s="8">
        <f t="shared" si="0"/>
        <v>0</v>
      </c>
      <c r="H17" s="8"/>
      <c r="I17" s="8"/>
      <c r="J17" s="8"/>
      <c r="K17" s="8">
        <f t="shared" si="1"/>
        <v>0</v>
      </c>
      <c r="L17" s="8"/>
      <c r="M17" s="8"/>
      <c r="N17" s="8">
        <f t="shared" si="2"/>
        <v>0</v>
      </c>
    </row>
    <row r="18" spans="4:14" x14ac:dyDescent="0.25">
      <c r="D18" s="8" t="s">
        <v>93</v>
      </c>
      <c r="E18" s="8"/>
      <c r="F18" s="8"/>
      <c r="G18" s="8">
        <f t="shared" si="0"/>
        <v>0</v>
      </c>
      <c r="H18" s="8" t="s">
        <v>106</v>
      </c>
      <c r="I18" s="8"/>
      <c r="J18" s="8"/>
      <c r="K18" s="8">
        <f t="shared" si="1"/>
        <v>0</v>
      </c>
      <c r="L18" s="8"/>
      <c r="M18" s="8"/>
      <c r="N18" s="8">
        <f t="shared" si="2"/>
        <v>0</v>
      </c>
    </row>
    <row r="19" spans="4:14" x14ac:dyDescent="0.25">
      <c r="D19" s="8"/>
      <c r="E19" s="8"/>
      <c r="F19" s="8"/>
      <c r="G19" s="8">
        <f t="shared" si="0"/>
        <v>0</v>
      </c>
      <c r="H19" s="8" t="s">
        <v>107</v>
      </c>
      <c r="I19" s="8"/>
      <c r="J19" s="8"/>
      <c r="K19" s="8">
        <f t="shared" si="1"/>
        <v>0</v>
      </c>
      <c r="L19" s="8"/>
      <c r="M19" s="8"/>
      <c r="N19" s="8">
        <f t="shared" si="2"/>
        <v>0</v>
      </c>
    </row>
    <row r="20" spans="4:14" x14ac:dyDescent="0.25">
      <c r="D20" s="8"/>
      <c r="E20" s="8"/>
      <c r="F20" s="8"/>
      <c r="G20" s="8">
        <f t="shared" si="0"/>
        <v>0</v>
      </c>
      <c r="H20" s="8"/>
      <c r="I20" s="8"/>
      <c r="J20" s="8"/>
      <c r="K20" s="8">
        <f t="shared" si="1"/>
        <v>0</v>
      </c>
      <c r="L20" s="8"/>
      <c r="M20" s="8"/>
      <c r="N20" s="8">
        <f t="shared" si="2"/>
        <v>0</v>
      </c>
    </row>
    <row r="21" spans="4:14" x14ac:dyDescent="0.25">
      <c r="D21" s="8" t="s">
        <v>93</v>
      </c>
      <c r="E21" s="8"/>
      <c r="F21" s="8"/>
      <c r="G21" s="8">
        <f t="shared" si="0"/>
        <v>0</v>
      </c>
      <c r="H21" s="8" t="s">
        <v>106</v>
      </c>
      <c r="I21" s="8"/>
      <c r="J21" s="8"/>
      <c r="K21" s="8">
        <f t="shared" si="1"/>
        <v>0</v>
      </c>
      <c r="L21" s="8"/>
      <c r="M21" s="8"/>
      <c r="N21" s="8">
        <f t="shared" si="2"/>
        <v>0</v>
      </c>
    </row>
    <row r="22" spans="4:14" x14ac:dyDescent="0.25">
      <c r="D22" s="8"/>
      <c r="E22" s="8"/>
      <c r="F22" s="8"/>
      <c r="G22" s="8">
        <f t="shared" si="0"/>
        <v>0</v>
      </c>
      <c r="H22" s="8" t="s">
        <v>107</v>
      </c>
      <c r="I22" s="8"/>
      <c r="J22" s="8"/>
      <c r="K22" s="8">
        <f t="shared" si="1"/>
        <v>0</v>
      </c>
      <c r="L22" s="8"/>
      <c r="M22" s="8"/>
      <c r="N22" s="8">
        <f t="shared" si="2"/>
        <v>0</v>
      </c>
    </row>
    <row r="23" spans="4:14" x14ac:dyDescent="0.25">
      <c r="D23" s="8"/>
      <c r="E23" s="8"/>
      <c r="F23" s="8"/>
      <c r="G23" s="8">
        <f t="shared" si="0"/>
        <v>0</v>
      </c>
      <c r="H23" s="8"/>
      <c r="I23" s="8"/>
      <c r="J23" s="8"/>
      <c r="K23" s="8">
        <f t="shared" si="1"/>
        <v>0</v>
      </c>
      <c r="L23" s="8"/>
      <c r="M23" s="8"/>
      <c r="N23" s="8">
        <f t="shared" si="2"/>
        <v>0</v>
      </c>
    </row>
    <row r="24" spans="4:14" x14ac:dyDescent="0.25">
      <c r="D24" s="8" t="s">
        <v>99</v>
      </c>
      <c r="E24" s="8"/>
      <c r="F24" s="8"/>
      <c r="G24" s="8">
        <f t="shared" si="0"/>
        <v>0</v>
      </c>
      <c r="H24" s="8" t="s">
        <v>108</v>
      </c>
      <c r="I24" s="8"/>
      <c r="J24" s="8"/>
      <c r="K24" s="8">
        <f t="shared" si="1"/>
        <v>0</v>
      </c>
      <c r="L24" s="8"/>
      <c r="M24" s="8"/>
      <c r="N24" s="8">
        <f t="shared" si="2"/>
        <v>0</v>
      </c>
    </row>
    <row r="25" spans="4:14" x14ac:dyDescent="0.25">
      <c r="D25" s="8" t="s">
        <v>100</v>
      </c>
      <c r="E25" s="8"/>
      <c r="F25" s="8"/>
      <c r="G25" s="8">
        <f t="shared" si="0"/>
        <v>0</v>
      </c>
      <c r="H25" s="8" t="s">
        <v>108</v>
      </c>
      <c r="I25" s="8"/>
      <c r="J25" s="8"/>
      <c r="K25" s="8">
        <f t="shared" si="1"/>
        <v>0</v>
      </c>
      <c r="L25" s="8"/>
      <c r="M25" s="8"/>
      <c r="N25" s="8">
        <f t="shared" si="2"/>
        <v>0</v>
      </c>
    </row>
    <row r="26" spans="4:14" x14ac:dyDescent="0.25">
      <c r="D26" s="8" t="s">
        <v>101</v>
      </c>
      <c r="E26" s="8"/>
      <c r="F26" s="8"/>
      <c r="G26" s="8">
        <f t="shared" si="0"/>
        <v>0</v>
      </c>
      <c r="H26" s="8" t="s">
        <v>108</v>
      </c>
      <c r="I26" s="8"/>
      <c r="J26" s="8"/>
      <c r="K26" s="8">
        <f t="shared" si="1"/>
        <v>0</v>
      </c>
      <c r="L26" s="8"/>
      <c r="M26" s="8"/>
      <c r="N26" s="8">
        <f t="shared" si="2"/>
        <v>0</v>
      </c>
    </row>
    <row r="27" spans="4:14" x14ac:dyDescent="0.25">
      <c r="D27" s="8"/>
      <c r="E27" s="8"/>
      <c r="F27" s="8"/>
      <c r="G27" s="8">
        <f t="shared" si="0"/>
        <v>0</v>
      </c>
      <c r="H27" s="8"/>
      <c r="I27" s="8"/>
      <c r="J27" s="8"/>
      <c r="K27" s="8">
        <f t="shared" si="1"/>
        <v>0</v>
      </c>
      <c r="L27" s="8"/>
      <c r="M27" s="8"/>
      <c r="N27" s="8">
        <f t="shared" si="2"/>
        <v>0</v>
      </c>
    </row>
    <row r="28" spans="4:14" x14ac:dyDescent="0.25">
      <c r="D28" s="8" t="s">
        <v>95</v>
      </c>
      <c r="E28" s="8"/>
      <c r="F28" s="8"/>
      <c r="G28" s="8">
        <f t="shared" si="0"/>
        <v>0</v>
      </c>
      <c r="H28" s="8"/>
      <c r="I28" s="8"/>
      <c r="J28" s="8"/>
      <c r="K28" s="8">
        <f t="shared" si="1"/>
        <v>0</v>
      </c>
      <c r="L28" s="8"/>
      <c r="M28" s="8"/>
      <c r="N28" s="8">
        <f t="shared" si="2"/>
        <v>0</v>
      </c>
    </row>
    <row r="29" spans="4:14" x14ac:dyDescent="0.25">
      <c r="D29" s="8" t="s">
        <v>96</v>
      </c>
      <c r="E29" s="8"/>
      <c r="F29" s="8"/>
      <c r="G29" s="8">
        <f t="shared" si="0"/>
        <v>0</v>
      </c>
      <c r="H29" s="8"/>
      <c r="I29" s="8"/>
      <c r="J29" s="8"/>
      <c r="K29" s="8">
        <f t="shared" si="1"/>
        <v>0</v>
      </c>
      <c r="L29" s="8"/>
      <c r="M29" s="8"/>
      <c r="N29" s="8">
        <f t="shared" si="2"/>
        <v>0</v>
      </c>
    </row>
    <row r="30" spans="4:14" x14ac:dyDescent="0.25">
      <c r="D30" s="8" t="s">
        <v>97</v>
      </c>
      <c r="E30" s="8"/>
      <c r="F30" s="8"/>
      <c r="G30" s="8">
        <f t="shared" si="0"/>
        <v>0</v>
      </c>
      <c r="H30" s="8"/>
      <c r="I30" s="8"/>
      <c r="J30" s="8"/>
      <c r="K30" s="8">
        <f t="shared" si="1"/>
        <v>0</v>
      </c>
      <c r="L30" s="8"/>
      <c r="M30" s="8"/>
      <c r="N30" s="8">
        <f t="shared" si="2"/>
        <v>0</v>
      </c>
    </row>
    <row r="31" spans="4:14" x14ac:dyDescent="0.25">
      <c r="D31" s="8" t="s">
        <v>98</v>
      </c>
      <c r="E31" s="8"/>
      <c r="F31" s="8"/>
      <c r="G31" s="8">
        <f t="shared" si="0"/>
        <v>0</v>
      </c>
      <c r="H31" s="8"/>
      <c r="I31" s="8"/>
      <c r="J31" s="8"/>
      <c r="K31" s="8">
        <f t="shared" si="1"/>
        <v>0</v>
      </c>
      <c r="L31" s="8"/>
      <c r="M31" s="8"/>
      <c r="N31" s="8">
        <f t="shared" si="2"/>
        <v>0</v>
      </c>
    </row>
    <row r="32" spans="4:14" x14ac:dyDescent="0.25">
      <c r="D32" s="8"/>
      <c r="E32" s="8"/>
      <c r="F32" s="8"/>
      <c r="G32" s="8">
        <f t="shared" si="0"/>
        <v>0</v>
      </c>
      <c r="H32" s="8"/>
      <c r="I32" s="8"/>
      <c r="J32" s="8"/>
      <c r="K32" s="8">
        <f t="shared" si="1"/>
        <v>0</v>
      </c>
      <c r="L32" s="8"/>
      <c r="M32" s="8"/>
      <c r="N32" s="8">
        <f t="shared" si="2"/>
        <v>0</v>
      </c>
    </row>
    <row r="33" spans="4:14" x14ac:dyDescent="0.25">
      <c r="D33" s="8"/>
      <c r="E33" s="8"/>
      <c r="F33" s="8"/>
      <c r="G33" s="8">
        <f t="shared" si="0"/>
        <v>0</v>
      </c>
      <c r="H33" s="8"/>
      <c r="I33" s="8"/>
      <c r="J33" s="8"/>
      <c r="K33" s="8">
        <f t="shared" si="1"/>
        <v>0</v>
      </c>
      <c r="L33" s="8"/>
      <c r="M33" s="8"/>
      <c r="N33" s="8">
        <f t="shared" si="2"/>
        <v>0</v>
      </c>
    </row>
    <row r="34" spans="4:14" x14ac:dyDescent="0.25">
      <c r="D34" s="8"/>
      <c r="E34" s="8"/>
      <c r="F34" s="8"/>
      <c r="G34" s="8">
        <f t="shared" si="0"/>
        <v>0</v>
      </c>
      <c r="H34" s="8"/>
      <c r="I34" s="8"/>
      <c r="J34" s="8"/>
      <c r="K34" s="8">
        <f t="shared" si="1"/>
        <v>0</v>
      </c>
      <c r="L34" s="8"/>
      <c r="M34" s="8"/>
      <c r="N34" s="8">
        <f t="shared" si="2"/>
        <v>0</v>
      </c>
    </row>
    <row r="35" spans="4:14" x14ac:dyDescent="0.25">
      <c r="D35" s="8" t="s">
        <v>102</v>
      </c>
      <c r="E35" s="8"/>
      <c r="F35" s="8">
        <f>G35*10.764</f>
        <v>0</v>
      </c>
      <c r="G35" s="8">
        <f>SUM(G7:G34)</f>
        <v>0</v>
      </c>
      <c r="H35" s="8"/>
      <c r="I35" s="8"/>
      <c r="J35" s="8">
        <f>K35*10.764</f>
        <v>0</v>
      </c>
      <c r="K35" s="8">
        <f>SUM(K7:K34)</f>
        <v>0</v>
      </c>
      <c r="L35" s="8"/>
      <c r="M35" s="8">
        <f>N35*10.764</f>
        <v>0</v>
      </c>
      <c r="N35" s="8">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34" workbookViewId="0">
      <selection activeCell="J12" sqref="J12"/>
    </sheetView>
  </sheetViews>
  <sheetFormatPr defaultColWidth="8.7109375" defaultRowHeight="15" x14ac:dyDescent="0.25"/>
  <cols>
    <col min="1" max="1" width="8.7109375" style="41"/>
    <col min="2" max="2" width="22.140625" style="41" customWidth="1"/>
    <col min="3" max="3" width="37" style="41" customWidth="1"/>
    <col min="4" max="5" width="11.42578125" style="41" customWidth="1"/>
    <col min="6" max="6" width="14" style="41" customWidth="1"/>
    <col min="7" max="7" width="20" style="41" customWidth="1"/>
    <col min="8" max="8" width="16.42578125" style="41" customWidth="1"/>
    <col min="9" max="16384" width="8.7109375" style="41"/>
  </cols>
  <sheetData>
    <row r="1" spans="1:9" ht="15" customHeight="1" x14ac:dyDescent="0.25"/>
    <row r="2" spans="1:9" ht="15" customHeight="1" x14ac:dyDescent="0.25">
      <c r="A2" s="42"/>
      <c r="B2" s="42"/>
      <c r="C2" s="42"/>
      <c r="D2" s="42"/>
      <c r="E2" s="42"/>
      <c r="F2" s="42"/>
      <c r="G2" s="42"/>
      <c r="H2" s="42"/>
    </row>
    <row r="3" spans="1:9" ht="15.75" customHeight="1" x14ac:dyDescent="0.25">
      <c r="A3" s="42"/>
      <c r="B3" s="268" t="s">
        <v>262</v>
      </c>
      <c r="C3" s="268"/>
      <c r="D3" s="268"/>
      <c r="E3" s="268"/>
      <c r="F3" s="268"/>
      <c r="G3" s="268"/>
      <c r="H3" s="268"/>
    </row>
    <row r="4" spans="1:9" ht="14.25" customHeight="1" x14ac:dyDescent="0.25">
      <c r="A4" s="42"/>
      <c r="B4" s="43" t="s">
        <v>263</v>
      </c>
      <c r="C4" s="43" t="s">
        <v>264</v>
      </c>
      <c r="D4" s="43" t="s">
        <v>104</v>
      </c>
      <c r="E4" s="43" t="s">
        <v>265</v>
      </c>
      <c r="F4" s="43" t="s">
        <v>266</v>
      </c>
      <c r="G4" s="43" t="s">
        <v>267</v>
      </c>
      <c r="H4" s="43" t="s">
        <v>268</v>
      </c>
    </row>
    <row r="5" spans="1:9" ht="15" customHeight="1" x14ac:dyDescent="0.25">
      <c r="A5" s="42"/>
      <c r="B5" s="44" t="s">
        <v>269</v>
      </c>
      <c r="C5" s="45" t="s">
        <v>270</v>
      </c>
      <c r="D5" s="46" t="s">
        <v>130</v>
      </c>
      <c r="E5" s="46">
        <v>323</v>
      </c>
      <c r="F5" s="47">
        <f t="shared" ref="F5:F10" si="0">E5*1.5</f>
        <v>484.5</v>
      </c>
      <c r="G5" s="47">
        <f t="shared" ref="G5:G13" si="1">H5/F5</f>
        <v>12796.697626418989</v>
      </c>
      <c r="H5" s="48">
        <v>6200000</v>
      </c>
    </row>
    <row r="6" spans="1:9" x14ac:dyDescent="0.25">
      <c r="A6" s="42"/>
      <c r="B6" s="44" t="s">
        <v>269</v>
      </c>
      <c r="C6" s="45" t="s">
        <v>270</v>
      </c>
      <c r="D6" s="46" t="s">
        <v>130</v>
      </c>
      <c r="E6" s="46">
        <v>322</v>
      </c>
      <c r="F6" s="47">
        <f t="shared" si="0"/>
        <v>483</v>
      </c>
      <c r="G6" s="47">
        <f t="shared" si="1"/>
        <v>10766.045548654245</v>
      </c>
      <c r="H6" s="48">
        <v>5200000</v>
      </c>
    </row>
    <row r="7" spans="1:9" ht="15" customHeight="1" x14ac:dyDescent="0.25">
      <c r="A7" s="42"/>
      <c r="B7" s="44" t="s">
        <v>269</v>
      </c>
      <c r="C7" s="45" t="s">
        <v>270</v>
      </c>
      <c r="D7" s="46" t="s">
        <v>130</v>
      </c>
      <c r="E7" s="46">
        <v>322</v>
      </c>
      <c r="F7" s="47">
        <f t="shared" si="0"/>
        <v>483</v>
      </c>
      <c r="G7" s="47">
        <f t="shared" si="1"/>
        <v>14492.753623188406</v>
      </c>
      <c r="H7" s="48">
        <v>7000000</v>
      </c>
    </row>
    <row r="8" spans="1:9" ht="15" customHeight="1" x14ac:dyDescent="0.25">
      <c r="A8" s="42"/>
      <c r="B8" s="44" t="s">
        <v>271</v>
      </c>
      <c r="C8" s="45" t="s">
        <v>270</v>
      </c>
      <c r="D8" s="46" t="s">
        <v>130</v>
      </c>
      <c r="E8" s="46">
        <v>322.81</v>
      </c>
      <c r="F8" s="47">
        <f t="shared" si="0"/>
        <v>484.21500000000003</v>
      </c>
      <c r="G8" s="47">
        <f t="shared" si="1"/>
        <v>12184.670032939912</v>
      </c>
      <c r="H8" s="48">
        <v>5900000</v>
      </c>
    </row>
    <row r="9" spans="1:9" ht="15" customHeight="1" x14ac:dyDescent="0.25">
      <c r="A9" s="42"/>
      <c r="B9" s="44" t="s">
        <v>272</v>
      </c>
      <c r="C9" s="45" t="s">
        <v>270</v>
      </c>
      <c r="D9" s="46" t="s">
        <v>130</v>
      </c>
      <c r="E9" s="46">
        <v>320</v>
      </c>
      <c r="F9" s="47">
        <f t="shared" si="0"/>
        <v>480</v>
      </c>
      <c r="G9" s="47">
        <f t="shared" si="1"/>
        <v>14145.833333333334</v>
      </c>
      <c r="H9" s="48">
        <v>6790000</v>
      </c>
    </row>
    <row r="10" spans="1:9" ht="15" customHeight="1" x14ac:dyDescent="0.25">
      <c r="A10" s="42"/>
      <c r="B10" s="44" t="s">
        <v>273</v>
      </c>
      <c r="C10" s="45" t="s">
        <v>270</v>
      </c>
      <c r="D10" s="46" t="s">
        <v>130</v>
      </c>
      <c r="E10" s="46">
        <v>322</v>
      </c>
      <c r="F10" s="47">
        <f t="shared" si="0"/>
        <v>483</v>
      </c>
      <c r="G10" s="47">
        <f t="shared" si="1"/>
        <v>13099.378881987577</v>
      </c>
      <c r="H10" s="48">
        <v>6327000</v>
      </c>
    </row>
    <row r="11" spans="1:9" ht="15" customHeight="1" x14ac:dyDescent="0.25">
      <c r="A11" s="42"/>
      <c r="B11" s="44" t="s">
        <v>274</v>
      </c>
      <c r="C11" s="45" t="s">
        <v>270</v>
      </c>
      <c r="D11" s="46" t="s">
        <v>130</v>
      </c>
      <c r="E11" s="46">
        <v>0</v>
      </c>
      <c r="F11" s="47">
        <v>544</v>
      </c>
      <c r="G11" s="47">
        <f t="shared" si="1"/>
        <v>9558.823529411764</v>
      </c>
      <c r="H11" s="48">
        <v>5200000</v>
      </c>
    </row>
    <row r="12" spans="1:9" ht="15" customHeight="1" x14ac:dyDescent="0.25">
      <c r="A12" s="42"/>
      <c r="B12" s="44" t="s">
        <v>275</v>
      </c>
      <c r="C12" s="45" t="s">
        <v>270</v>
      </c>
      <c r="D12" s="46" t="s">
        <v>130</v>
      </c>
      <c r="E12" s="46">
        <v>323</v>
      </c>
      <c r="F12" s="47">
        <f>E12*1.5</f>
        <v>484.5</v>
      </c>
      <c r="G12" s="47">
        <f t="shared" si="1"/>
        <v>13067.079463364293</v>
      </c>
      <c r="H12" s="48">
        <v>6331000</v>
      </c>
    </row>
    <row r="13" spans="1:9" ht="15" customHeight="1" x14ac:dyDescent="0.25">
      <c r="A13" s="42"/>
      <c r="B13" s="44" t="s">
        <v>276</v>
      </c>
      <c r="C13" s="45" t="s">
        <v>270</v>
      </c>
      <c r="D13" s="46" t="s">
        <v>130</v>
      </c>
      <c r="E13" s="46">
        <v>322.8</v>
      </c>
      <c r="F13" s="47">
        <f>E13*1.5</f>
        <v>484.20000000000005</v>
      </c>
      <c r="G13" s="47">
        <f t="shared" si="1"/>
        <v>14929.781082197438</v>
      </c>
      <c r="H13" s="48">
        <v>7229000</v>
      </c>
    </row>
    <row r="14" spans="1:9" ht="15" customHeight="1" x14ac:dyDescent="0.25">
      <c r="A14" s="42"/>
      <c r="B14" s="49" t="s">
        <v>277</v>
      </c>
      <c r="C14" s="46"/>
      <c r="D14" s="46"/>
      <c r="E14" s="46">
        <v>0</v>
      </c>
      <c r="F14" s="47"/>
      <c r="G14" s="50">
        <f>AVERAGE(G5:G13)</f>
        <v>12782.340346832883</v>
      </c>
      <c r="H14" s="46"/>
    </row>
    <row r="15" spans="1:9" ht="15" customHeight="1" x14ac:dyDescent="0.25">
      <c r="B15" s="49" t="s">
        <v>278</v>
      </c>
      <c r="C15" s="46"/>
      <c r="D15" s="46"/>
      <c r="E15" s="46"/>
      <c r="F15" s="51"/>
      <c r="G15" s="49">
        <v>12800</v>
      </c>
      <c r="H15" s="49"/>
      <c r="I15" s="52"/>
    </row>
    <row r="16" spans="1:9" ht="15" customHeight="1" x14ac:dyDescent="0.25"/>
    <row r="17" spans="2:7" x14ac:dyDescent="0.25">
      <c r="G17" s="53"/>
    </row>
    <row r="18" spans="2:7" x14ac:dyDescent="0.25">
      <c r="G18" s="53"/>
    </row>
    <row r="19" spans="2:7" x14ac:dyDescent="0.25">
      <c r="G19" s="53"/>
    </row>
    <row r="20" spans="2:7" x14ac:dyDescent="0.25">
      <c r="G20" s="53"/>
    </row>
    <row r="25" spans="2:7" x14ac:dyDescent="0.25">
      <c r="B25" s="54"/>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Q21" sqref="Q21"/>
    </sheetView>
  </sheetViews>
  <sheetFormatPr defaultRowHeight="15" x14ac:dyDescent="0.25"/>
  <cols>
    <col min="1" max="1" width="11" customWidth="1"/>
    <col min="2" max="2" width="11.28515625" customWidth="1"/>
  </cols>
  <sheetData>
    <row r="1" spans="1:3" x14ac:dyDescent="0.25">
      <c r="A1" t="s">
        <v>261</v>
      </c>
      <c r="B1" t="s">
        <v>279</v>
      </c>
      <c r="C1" t="s">
        <v>280</v>
      </c>
    </row>
    <row r="2" spans="1:3" x14ac:dyDescent="0.25">
      <c r="C2" t="s">
        <v>281</v>
      </c>
    </row>
    <row r="4" spans="1:3" x14ac:dyDescent="0.25">
      <c r="A4" s="55">
        <v>44259</v>
      </c>
      <c r="B4" t="s">
        <v>283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F25" sqref="F25"/>
    </sheetView>
  </sheetViews>
  <sheetFormatPr defaultColWidth="9.140625" defaultRowHeight="15" x14ac:dyDescent="0.25"/>
  <cols>
    <col min="1" max="1" width="20.5703125" style="16" customWidth="1"/>
    <col min="2" max="2" width="11.7109375" style="16" customWidth="1"/>
    <col min="3" max="4" width="9.140625" style="16"/>
    <col min="5" max="5" width="10.140625" style="16" customWidth="1"/>
    <col min="6" max="6" width="10.7109375" style="16" customWidth="1"/>
    <col min="7" max="7" width="9.140625" style="16"/>
    <col min="8" max="8" width="10.28515625" style="16" customWidth="1"/>
    <col min="9" max="9" width="15.42578125" style="16" customWidth="1"/>
    <col min="10" max="16384" width="9.140625" style="16"/>
  </cols>
  <sheetData>
    <row r="2" spans="1:13" x14ac:dyDescent="0.25">
      <c r="A2" s="15" t="s">
        <v>142</v>
      </c>
      <c r="B2" s="15" t="s">
        <v>143</v>
      </c>
      <c r="C2" s="15" t="s">
        <v>144</v>
      </c>
      <c r="D2" s="269" t="s">
        <v>145</v>
      </c>
      <c r="E2" s="269"/>
    </row>
    <row r="3" spans="1:13" x14ac:dyDescent="0.25">
      <c r="A3" s="17">
        <v>0</v>
      </c>
      <c r="B3" s="17">
        <v>0</v>
      </c>
      <c r="C3" s="17">
        <v>1</v>
      </c>
      <c r="D3" s="270">
        <v>45</v>
      </c>
      <c r="E3" s="270"/>
    </row>
    <row r="5" spans="1:13" hidden="1" x14ac:dyDescent="0.25">
      <c r="A5" s="16" t="s">
        <v>146</v>
      </c>
      <c r="B5" s="18" t="s">
        <v>147</v>
      </c>
      <c r="C5" s="18">
        <f>D3</f>
        <v>45</v>
      </c>
      <c r="D5" s="19"/>
    </row>
    <row r="6" spans="1:13" x14ac:dyDescent="0.25">
      <c r="A6" s="16" t="s">
        <v>148</v>
      </c>
      <c r="B6" s="20">
        <v>10</v>
      </c>
      <c r="C6" s="21">
        <v>10</v>
      </c>
      <c r="D6" s="22">
        <f>((100/B6)*C6)/100</f>
        <v>1</v>
      </c>
    </row>
    <row r="7" spans="1:13" x14ac:dyDescent="0.25">
      <c r="A7" s="16" t="s">
        <v>149</v>
      </c>
      <c r="B7" s="20">
        <f>A3+B3+C3+D3</f>
        <v>46</v>
      </c>
      <c r="C7" s="21">
        <v>10</v>
      </c>
      <c r="D7" s="22">
        <f t="shared" ref="D7:D12" si="0">((100/B7)*C7)/100</f>
        <v>0.21739130434782608</v>
      </c>
      <c r="F7" s="271" t="s">
        <v>150</v>
      </c>
      <c r="G7" s="271"/>
      <c r="H7" s="23" t="s">
        <v>151</v>
      </c>
      <c r="J7" s="24"/>
    </row>
    <row r="8" spans="1:13" x14ac:dyDescent="0.25">
      <c r="A8" s="16" t="s">
        <v>152</v>
      </c>
      <c r="B8" s="20">
        <f>C5</f>
        <v>45</v>
      </c>
      <c r="C8" s="21">
        <f>C7-1</f>
        <v>9</v>
      </c>
      <c r="D8" s="22">
        <f t="shared" si="0"/>
        <v>0.2</v>
      </c>
      <c r="F8" s="272" t="s">
        <v>153</v>
      </c>
      <c r="G8" s="272"/>
      <c r="H8" s="20" t="s">
        <v>154</v>
      </c>
    </row>
    <row r="9" spans="1:13" x14ac:dyDescent="0.25">
      <c r="A9" s="16" t="s">
        <v>155</v>
      </c>
      <c r="B9" s="20">
        <f>C5</f>
        <v>45</v>
      </c>
      <c r="C9" s="21">
        <f>C8/2</f>
        <v>4.5</v>
      </c>
      <c r="D9" s="22">
        <f t="shared" si="0"/>
        <v>0.1</v>
      </c>
      <c r="F9" s="272" t="s">
        <v>156</v>
      </c>
      <c r="G9" s="272"/>
      <c r="H9" s="20" t="s">
        <v>157</v>
      </c>
    </row>
    <row r="10" spans="1:13" x14ac:dyDescent="0.25">
      <c r="A10" s="16" t="s">
        <v>45</v>
      </c>
      <c r="B10" s="20">
        <f>C5</f>
        <v>45</v>
      </c>
      <c r="C10" s="21">
        <v>0</v>
      </c>
      <c r="D10" s="22">
        <f t="shared" si="0"/>
        <v>0</v>
      </c>
      <c r="F10" s="272" t="s">
        <v>158</v>
      </c>
      <c r="G10" s="272"/>
      <c r="H10" s="20" t="s">
        <v>159</v>
      </c>
    </row>
    <row r="11" spans="1:13" x14ac:dyDescent="0.25">
      <c r="A11" s="25" t="s">
        <v>160</v>
      </c>
      <c r="B11" s="20">
        <f>C5</f>
        <v>45</v>
      </c>
      <c r="C11" s="21">
        <v>0</v>
      </c>
      <c r="D11" s="22">
        <f t="shared" si="0"/>
        <v>0</v>
      </c>
      <c r="F11" s="272" t="s">
        <v>161</v>
      </c>
      <c r="G11" s="272"/>
      <c r="H11" s="20" t="s">
        <v>162</v>
      </c>
    </row>
    <row r="12" spans="1:13" x14ac:dyDescent="0.25">
      <c r="A12" s="16" t="s">
        <v>46</v>
      </c>
      <c r="B12" s="20">
        <f>C5</f>
        <v>45</v>
      </c>
      <c r="C12" s="21">
        <v>0</v>
      </c>
      <c r="D12" s="22">
        <f t="shared" si="0"/>
        <v>0</v>
      </c>
      <c r="F12" s="272" t="s">
        <v>163</v>
      </c>
      <c r="G12" s="272"/>
      <c r="H12" s="20" t="s">
        <v>164</v>
      </c>
    </row>
    <row r="13" spans="1:13" x14ac:dyDescent="0.25">
      <c r="F13" s="272" t="s">
        <v>165</v>
      </c>
      <c r="G13" s="272"/>
      <c r="H13" s="20" t="s">
        <v>166</v>
      </c>
    </row>
    <row r="14" spans="1:13" hidden="1" x14ac:dyDescent="0.25">
      <c r="A14" s="15"/>
      <c r="B14" s="15" t="s">
        <v>167</v>
      </c>
      <c r="C14" s="15" t="s">
        <v>168</v>
      </c>
      <c r="G14" s="15" t="s">
        <v>148</v>
      </c>
      <c r="H14" s="15" t="s">
        <v>169</v>
      </c>
      <c r="I14" s="15" t="s">
        <v>170</v>
      </c>
      <c r="J14" s="15" t="s">
        <v>38</v>
      </c>
      <c r="K14" s="15" t="s">
        <v>45</v>
      </c>
      <c r="L14" s="15" t="s">
        <v>160</v>
      </c>
      <c r="M14" s="15" t="s">
        <v>46</v>
      </c>
    </row>
    <row r="15" spans="1:13" hidden="1" x14ac:dyDescent="0.25">
      <c r="A15" s="15" t="s">
        <v>36</v>
      </c>
      <c r="B15" s="15">
        <f>G15</f>
        <v>10</v>
      </c>
      <c r="C15" s="15">
        <f>G16</f>
        <v>30</v>
      </c>
      <c r="E15" s="269" t="s">
        <v>167</v>
      </c>
      <c r="F15" s="269"/>
      <c r="G15" s="26">
        <f>C6</f>
        <v>10</v>
      </c>
      <c r="H15" s="26">
        <f>40/B7*C7</f>
        <v>8.695652173913043</v>
      </c>
      <c r="I15" s="26">
        <f>15/B8*C8</f>
        <v>3</v>
      </c>
      <c r="J15" s="26">
        <f>10/B9*C9</f>
        <v>1</v>
      </c>
      <c r="K15" s="26">
        <f>10/B10*C10</f>
        <v>0</v>
      </c>
      <c r="L15" s="26">
        <f>5/B11*C11</f>
        <v>0</v>
      </c>
      <c r="M15" s="26">
        <f>5/B12*C12</f>
        <v>0</v>
      </c>
    </row>
    <row r="16" spans="1:13" hidden="1" x14ac:dyDescent="0.25">
      <c r="A16" s="15" t="s">
        <v>37</v>
      </c>
      <c r="B16" s="15">
        <f>H15</f>
        <v>8.695652173913043</v>
      </c>
      <c r="C16" s="15">
        <f>H16</f>
        <v>6.5217391304347831</v>
      </c>
      <c r="E16" s="269" t="s">
        <v>171</v>
      </c>
      <c r="F16" s="269"/>
      <c r="G16" s="15">
        <f>G15+20</f>
        <v>30</v>
      </c>
      <c r="H16" s="15">
        <f>30/B7*C7</f>
        <v>6.5217391304347831</v>
      </c>
      <c r="I16" s="15">
        <f>15/B8*C8</f>
        <v>3</v>
      </c>
      <c r="J16" s="15">
        <f>10/B9*C9</f>
        <v>1</v>
      </c>
      <c r="K16" s="15">
        <f>5/B10*C10</f>
        <v>0</v>
      </c>
      <c r="L16" s="15">
        <f>5/B11*C11</f>
        <v>0</v>
      </c>
      <c r="M16" s="15">
        <f>5/B12*C12</f>
        <v>0</v>
      </c>
    </row>
    <row r="17" spans="1:8" hidden="1" x14ac:dyDescent="0.25">
      <c r="A17" s="15" t="s">
        <v>170</v>
      </c>
      <c r="B17" s="15">
        <f>I15</f>
        <v>3</v>
      </c>
      <c r="C17" s="15">
        <f>I16</f>
        <v>3</v>
      </c>
    </row>
    <row r="18" spans="1:8" hidden="1" x14ac:dyDescent="0.25">
      <c r="A18" s="15" t="s">
        <v>38</v>
      </c>
      <c r="B18" s="15">
        <f>J15</f>
        <v>1</v>
      </c>
      <c r="C18" s="15">
        <f>J16</f>
        <v>1</v>
      </c>
    </row>
    <row r="19" spans="1:8" hidden="1" x14ac:dyDescent="0.25">
      <c r="A19" s="15" t="s">
        <v>45</v>
      </c>
      <c r="B19" s="15">
        <f>K15</f>
        <v>0</v>
      </c>
      <c r="C19" s="15">
        <f>K16</f>
        <v>0</v>
      </c>
    </row>
    <row r="20" spans="1:8" hidden="1" x14ac:dyDescent="0.25">
      <c r="A20" s="27" t="s">
        <v>160</v>
      </c>
      <c r="B20" s="15">
        <f>L15</f>
        <v>0</v>
      </c>
      <c r="C20" s="15">
        <f>L16</f>
        <v>0</v>
      </c>
    </row>
    <row r="21" spans="1:8" hidden="1" x14ac:dyDescent="0.25">
      <c r="A21" s="15" t="s">
        <v>46</v>
      </c>
      <c r="B21" s="15">
        <f>M15</f>
        <v>0</v>
      </c>
      <c r="C21" s="15">
        <f>M16</f>
        <v>0</v>
      </c>
    </row>
    <row r="22" spans="1:8" x14ac:dyDescent="0.25">
      <c r="A22" s="15" t="s">
        <v>172</v>
      </c>
      <c r="B22" s="28">
        <f>(B15+B16+B17+B18+B19+B20+B21)/100</f>
        <v>0.22695652173913042</v>
      </c>
      <c r="C22" s="28">
        <f>(C15+C16+C17+C18+C19+C20+C21)/100</f>
        <v>0.40521739130434781</v>
      </c>
      <c r="F22" s="272" t="s">
        <v>173</v>
      </c>
      <c r="G22" s="272"/>
      <c r="H22" s="20" t="s">
        <v>157</v>
      </c>
    </row>
    <row r="23" spans="1:8" x14ac:dyDescent="0.25">
      <c r="F23" s="272" t="s">
        <v>174</v>
      </c>
      <c r="G23" s="272"/>
      <c r="H23" s="20" t="s">
        <v>175</v>
      </c>
    </row>
    <row r="24" spans="1:8" x14ac:dyDescent="0.25">
      <c r="A24" s="16" t="s">
        <v>176</v>
      </c>
      <c r="B24" s="29">
        <v>0.01</v>
      </c>
      <c r="C24" s="29">
        <v>0.02</v>
      </c>
      <c r="F24" s="272" t="s">
        <v>177</v>
      </c>
      <c r="G24" s="272"/>
      <c r="H24" s="20" t="s">
        <v>141</v>
      </c>
    </row>
    <row r="25" spans="1:8" x14ac:dyDescent="0.25">
      <c r="A25" s="16" t="s">
        <v>178</v>
      </c>
      <c r="B25" s="29">
        <v>0.01</v>
      </c>
      <c r="C25" s="29">
        <v>0.03</v>
      </c>
    </row>
    <row r="26" spans="1:8" x14ac:dyDescent="0.25">
      <c r="A26" s="16" t="s">
        <v>179</v>
      </c>
      <c r="B26" s="29">
        <v>0.03</v>
      </c>
      <c r="C26" s="29">
        <v>0.08</v>
      </c>
    </row>
    <row r="27" spans="1:8" x14ac:dyDescent="0.25">
      <c r="A27" s="16" t="s">
        <v>180</v>
      </c>
      <c r="B27" s="29">
        <v>0.05</v>
      </c>
      <c r="C27" s="29">
        <v>0.15</v>
      </c>
    </row>
    <row r="28" spans="1:8" x14ac:dyDescent="0.25">
      <c r="A28" s="16" t="s">
        <v>181</v>
      </c>
      <c r="B28" s="29">
        <v>7.0000000000000007E-2</v>
      </c>
      <c r="C28" s="29">
        <v>0.2</v>
      </c>
    </row>
    <row r="29" spans="1:8" x14ac:dyDescent="0.25">
      <c r="A29" s="16" t="s">
        <v>182</v>
      </c>
      <c r="B29" s="29">
        <v>0.1</v>
      </c>
      <c r="C29" s="29">
        <v>0.3</v>
      </c>
    </row>
  </sheetData>
  <mergeCells count="14">
    <mergeCell ref="F22:G22"/>
    <mergeCell ref="F23:G23"/>
    <mergeCell ref="F24:G24"/>
    <mergeCell ref="F8:G8"/>
    <mergeCell ref="F9:G9"/>
    <mergeCell ref="F10:G10"/>
    <mergeCell ref="F11:G11"/>
    <mergeCell ref="F12:G12"/>
    <mergeCell ref="F13:G13"/>
    <mergeCell ref="D2:E2"/>
    <mergeCell ref="D3:E3"/>
    <mergeCell ref="F7:G7"/>
    <mergeCell ref="E15:F15"/>
    <mergeCell ref="E16:F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6" customWidth="1"/>
    <col min="2" max="2" width="11.7109375" style="16" customWidth="1"/>
    <col min="3" max="4" width="9.140625" style="16"/>
    <col min="5" max="5" width="10.140625" style="16" customWidth="1"/>
    <col min="6" max="6" width="10.7109375" style="16" customWidth="1"/>
    <col min="7" max="7" width="9.140625" style="16"/>
    <col min="8" max="8" width="10.28515625" style="16" customWidth="1"/>
    <col min="9" max="9" width="15.42578125" style="16" customWidth="1"/>
    <col min="10" max="16384" width="9.140625" style="16"/>
  </cols>
  <sheetData>
    <row r="2" spans="1:13" x14ac:dyDescent="0.25">
      <c r="A2" s="15" t="s">
        <v>142</v>
      </c>
      <c r="B2" s="15" t="s">
        <v>143</v>
      </c>
      <c r="C2" s="15" t="s">
        <v>144</v>
      </c>
      <c r="D2" s="269" t="s">
        <v>145</v>
      </c>
      <c r="E2" s="269"/>
    </row>
    <row r="3" spans="1:13" x14ac:dyDescent="0.25">
      <c r="A3" s="17">
        <v>0</v>
      </c>
      <c r="B3" s="17">
        <v>0</v>
      </c>
      <c r="C3" s="17">
        <v>1</v>
      </c>
      <c r="D3" s="270">
        <v>45</v>
      </c>
      <c r="E3" s="270"/>
    </row>
    <row r="5" spans="1:13" hidden="1" x14ac:dyDescent="0.25">
      <c r="A5" s="16" t="s">
        <v>146</v>
      </c>
      <c r="B5" s="18" t="s">
        <v>147</v>
      </c>
      <c r="C5" s="18">
        <f>D3</f>
        <v>45</v>
      </c>
      <c r="D5" s="19"/>
    </row>
    <row r="6" spans="1:13" x14ac:dyDescent="0.25">
      <c r="A6" s="16" t="s">
        <v>148</v>
      </c>
      <c r="B6" s="20">
        <v>10</v>
      </c>
      <c r="C6" s="21">
        <v>10</v>
      </c>
      <c r="D6" s="22">
        <f>((100/B6)*C6)/100</f>
        <v>1</v>
      </c>
    </row>
    <row r="7" spans="1:13" x14ac:dyDescent="0.25">
      <c r="A7" s="16" t="s">
        <v>149</v>
      </c>
      <c r="B7" s="20">
        <f>A3+B3+C3+D3</f>
        <v>46</v>
      </c>
      <c r="C7" s="21">
        <v>8</v>
      </c>
      <c r="D7" s="22">
        <f t="shared" ref="D7:D12" si="0">((100/B7)*C7)/100</f>
        <v>0.17391304347826086</v>
      </c>
      <c r="F7" s="271" t="s">
        <v>150</v>
      </c>
      <c r="G7" s="271"/>
      <c r="H7" s="23" t="s">
        <v>151</v>
      </c>
      <c r="J7" s="24"/>
    </row>
    <row r="8" spans="1:13" x14ac:dyDescent="0.25">
      <c r="A8" s="16" t="s">
        <v>152</v>
      </c>
      <c r="B8" s="20">
        <f>C5</f>
        <v>45</v>
      </c>
      <c r="C8" s="21">
        <v>7</v>
      </c>
      <c r="D8" s="22">
        <f t="shared" si="0"/>
        <v>0.15555555555555556</v>
      </c>
      <c r="F8" s="272" t="s">
        <v>153</v>
      </c>
      <c r="G8" s="272"/>
      <c r="H8" s="20" t="s">
        <v>154</v>
      </c>
    </row>
    <row r="9" spans="1:13" x14ac:dyDescent="0.25">
      <c r="A9" s="16" t="s">
        <v>155</v>
      </c>
      <c r="B9" s="20">
        <f>C5</f>
        <v>45</v>
      </c>
      <c r="C9" s="21">
        <v>0</v>
      </c>
      <c r="D9" s="22">
        <f t="shared" si="0"/>
        <v>0</v>
      </c>
      <c r="F9" s="272" t="s">
        <v>156</v>
      </c>
      <c r="G9" s="272"/>
      <c r="H9" s="20" t="s">
        <v>157</v>
      </c>
    </row>
    <row r="10" spans="1:13" x14ac:dyDescent="0.25">
      <c r="A10" s="16" t="s">
        <v>45</v>
      </c>
      <c r="B10" s="20">
        <f>C5</f>
        <v>45</v>
      </c>
      <c r="C10" s="21">
        <v>0</v>
      </c>
      <c r="D10" s="22">
        <f t="shared" si="0"/>
        <v>0</v>
      </c>
      <c r="F10" s="272" t="s">
        <v>158</v>
      </c>
      <c r="G10" s="272"/>
      <c r="H10" s="20" t="s">
        <v>159</v>
      </c>
    </row>
    <row r="11" spans="1:13" x14ac:dyDescent="0.25">
      <c r="A11" s="25" t="s">
        <v>160</v>
      </c>
      <c r="B11" s="20">
        <f>C5</f>
        <v>45</v>
      </c>
      <c r="C11" s="21">
        <v>0</v>
      </c>
      <c r="D11" s="22">
        <f t="shared" si="0"/>
        <v>0</v>
      </c>
      <c r="F11" s="272" t="s">
        <v>161</v>
      </c>
      <c r="G11" s="272"/>
      <c r="H11" s="20" t="s">
        <v>162</v>
      </c>
    </row>
    <row r="12" spans="1:13" x14ac:dyDescent="0.25">
      <c r="A12" s="16" t="s">
        <v>46</v>
      </c>
      <c r="B12" s="20">
        <f>C5</f>
        <v>45</v>
      </c>
      <c r="C12" s="21">
        <v>0</v>
      </c>
      <c r="D12" s="22">
        <f t="shared" si="0"/>
        <v>0</v>
      </c>
      <c r="F12" s="272" t="s">
        <v>163</v>
      </c>
      <c r="G12" s="272"/>
      <c r="H12" s="20" t="s">
        <v>164</v>
      </c>
    </row>
    <row r="13" spans="1:13" x14ac:dyDescent="0.25">
      <c r="F13" s="272" t="s">
        <v>165</v>
      </c>
      <c r="G13" s="272"/>
      <c r="H13" s="20" t="s">
        <v>166</v>
      </c>
    </row>
    <row r="14" spans="1:13" hidden="1" x14ac:dyDescent="0.25">
      <c r="A14" s="15"/>
      <c r="B14" s="15" t="s">
        <v>167</v>
      </c>
      <c r="C14" s="15" t="s">
        <v>168</v>
      </c>
      <c r="G14" s="15" t="s">
        <v>148</v>
      </c>
      <c r="H14" s="15" t="s">
        <v>169</v>
      </c>
      <c r="I14" s="15" t="s">
        <v>170</v>
      </c>
      <c r="J14" s="15" t="s">
        <v>38</v>
      </c>
      <c r="K14" s="15" t="s">
        <v>45</v>
      </c>
      <c r="L14" s="15" t="s">
        <v>160</v>
      </c>
      <c r="M14" s="15" t="s">
        <v>46</v>
      </c>
    </row>
    <row r="15" spans="1:13" hidden="1" x14ac:dyDescent="0.25">
      <c r="A15" s="15" t="s">
        <v>36</v>
      </c>
      <c r="B15" s="15">
        <f>G15</f>
        <v>10</v>
      </c>
      <c r="C15" s="15">
        <f>G16</f>
        <v>30</v>
      </c>
      <c r="E15" s="269" t="s">
        <v>167</v>
      </c>
      <c r="F15" s="269"/>
      <c r="G15" s="26">
        <f>C6</f>
        <v>10</v>
      </c>
      <c r="H15" s="26">
        <f>40/B7*C7</f>
        <v>6.9565217391304346</v>
      </c>
      <c r="I15" s="26">
        <f>15/B8*C8</f>
        <v>2.333333333333333</v>
      </c>
      <c r="J15" s="26">
        <f>10/B9*C9</f>
        <v>0</v>
      </c>
      <c r="K15" s="26">
        <f>10/B10*C10</f>
        <v>0</v>
      </c>
      <c r="L15" s="26">
        <f>5/B11*C11</f>
        <v>0</v>
      </c>
      <c r="M15" s="26">
        <f>5/B12*C12</f>
        <v>0</v>
      </c>
    </row>
    <row r="16" spans="1:13" hidden="1" x14ac:dyDescent="0.25">
      <c r="A16" s="15" t="s">
        <v>37</v>
      </c>
      <c r="B16" s="15">
        <f>H15</f>
        <v>6.9565217391304346</v>
      </c>
      <c r="C16" s="15">
        <f>H16</f>
        <v>5.2173913043478262</v>
      </c>
      <c r="E16" s="269" t="s">
        <v>171</v>
      </c>
      <c r="F16" s="269"/>
      <c r="G16" s="15">
        <f>G15+20</f>
        <v>30</v>
      </c>
      <c r="H16" s="15">
        <f>30/B7*C7</f>
        <v>5.2173913043478262</v>
      </c>
      <c r="I16" s="15">
        <f>15/B8*C8</f>
        <v>2.333333333333333</v>
      </c>
      <c r="J16" s="15">
        <f>10/B9*C9</f>
        <v>0</v>
      </c>
      <c r="K16" s="15">
        <f>5/B10*C10</f>
        <v>0</v>
      </c>
      <c r="L16" s="15">
        <f>5/B11*C11</f>
        <v>0</v>
      </c>
      <c r="M16" s="15">
        <f>5/B12*C12</f>
        <v>0</v>
      </c>
    </row>
    <row r="17" spans="1:8" hidden="1" x14ac:dyDescent="0.25">
      <c r="A17" s="15" t="s">
        <v>170</v>
      </c>
      <c r="B17" s="15">
        <f>I15</f>
        <v>2.333333333333333</v>
      </c>
      <c r="C17" s="15">
        <f>I16</f>
        <v>2.333333333333333</v>
      </c>
    </row>
    <row r="18" spans="1:8" hidden="1" x14ac:dyDescent="0.25">
      <c r="A18" s="15" t="s">
        <v>38</v>
      </c>
      <c r="B18" s="15">
        <f>J15</f>
        <v>0</v>
      </c>
      <c r="C18" s="15">
        <f>J16</f>
        <v>0</v>
      </c>
    </row>
    <row r="19" spans="1:8" hidden="1" x14ac:dyDescent="0.25">
      <c r="A19" s="15" t="s">
        <v>45</v>
      </c>
      <c r="B19" s="15">
        <f>K15</f>
        <v>0</v>
      </c>
      <c r="C19" s="15">
        <f>K16</f>
        <v>0</v>
      </c>
    </row>
    <row r="20" spans="1:8" hidden="1" x14ac:dyDescent="0.25">
      <c r="A20" s="27" t="s">
        <v>160</v>
      </c>
      <c r="B20" s="15">
        <f>L15</f>
        <v>0</v>
      </c>
      <c r="C20" s="15">
        <f>L16</f>
        <v>0</v>
      </c>
    </row>
    <row r="21" spans="1:8" hidden="1" x14ac:dyDescent="0.25">
      <c r="A21" s="15" t="s">
        <v>46</v>
      </c>
      <c r="B21" s="15">
        <f>M15</f>
        <v>0</v>
      </c>
      <c r="C21" s="15">
        <f>M16</f>
        <v>0</v>
      </c>
    </row>
    <row r="22" spans="1:8" x14ac:dyDescent="0.25">
      <c r="A22" s="15" t="s">
        <v>172</v>
      </c>
      <c r="B22" s="28">
        <f>(B15+B16+B17+B18+B19+B20+B21)/100</f>
        <v>0.19289855072463766</v>
      </c>
      <c r="C22" s="28">
        <f>(C15+C16+C17+C18+C19+C20+C21)/100</f>
        <v>0.37550724637681165</v>
      </c>
      <c r="F22" s="272" t="s">
        <v>173</v>
      </c>
      <c r="G22" s="272"/>
      <c r="H22" s="20" t="s">
        <v>157</v>
      </c>
    </row>
    <row r="23" spans="1:8" x14ac:dyDescent="0.25">
      <c r="F23" s="272" t="s">
        <v>174</v>
      </c>
      <c r="G23" s="272"/>
      <c r="H23" s="20" t="s">
        <v>175</v>
      </c>
    </row>
    <row r="24" spans="1:8" x14ac:dyDescent="0.25">
      <c r="A24" s="16" t="s">
        <v>176</v>
      </c>
      <c r="B24" s="29">
        <v>0.01</v>
      </c>
      <c r="C24" s="29">
        <v>0.02</v>
      </c>
      <c r="F24" s="272" t="s">
        <v>177</v>
      </c>
      <c r="G24" s="272"/>
      <c r="H24" s="20" t="s">
        <v>141</v>
      </c>
    </row>
    <row r="25" spans="1:8" x14ac:dyDescent="0.25">
      <c r="A25" s="16" t="s">
        <v>178</v>
      </c>
      <c r="B25" s="29">
        <v>0.01</v>
      </c>
      <c r="C25" s="29">
        <v>0.03</v>
      </c>
    </row>
    <row r="26" spans="1:8" x14ac:dyDescent="0.25">
      <c r="A26" s="16" t="s">
        <v>179</v>
      </c>
      <c r="B26" s="29">
        <v>0.03</v>
      </c>
      <c r="C26" s="29">
        <v>0.08</v>
      </c>
    </row>
    <row r="27" spans="1:8" x14ac:dyDescent="0.25">
      <c r="A27" s="16" t="s">
        <v>180</v>
      </c>
      <c r="B27" s="29">
        <v>0.05</v>
      </c>
      <c r="C27" s="29">
        <v>0.15</v>
      </c>
    </row>
    <row r="28" spans="1:8" x14ac:dyDescent="0.25">
      <c r="A28" s="16" t="s">
        <v>181</v>
      </c>
      <c r="B28" s="29">
        <v>7.0000000000000007E-2</v>
      </c>
      <c r="C28" s="29">
        <v>0.2</v>
      </c>
    </row>
    <row r="29" spans="1:8" x14ac:dyDescent="0.25">
      <c r="A29" s="16" t="s">
        <v>182</v>
      </c>
      <c r="B29" s="29">
        <v>0.1</v>
      </c>
      <c r="C29" s="29">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E12" zoomScale="235" zoomScaleNormal="235" workbookViewId="0">
      <selection activeCell="C9" sqref="C9"/>
    </sheetView>
  </sheetViews>
  <sheetFormatPr defaultColWidth="9.140625" defaultRowHeight="15" x14ac:dyDescent="0.25"/>
  <cols>
    <col min="1" max="1" width="20.5703125" style="16" customWidth="1"/>
    <col min="2" max="2" width="11.7109375" style="16" customWidth="1"/>
    <col min="3" max="4" width="9.140625" style="16"/>
    <col min="5" max="5" width="10.140625" style="16" customWidth="1"/>
    <col min="6" max="6" width="10.7109375" style="16" customWidth="1"/>
    <col min="7" max="7" width="9.140625" style="16"/>
    <col min="8" max="8" width="10.28515625" style="16" customWidth="1"/>
    <col min="9" max="9" width="15.42578125" style="16" customWidth="1"/>
    <col min="10" max="16384" width="9.140625" style="16"/>
  </cols>
  <sheetData>
    <row r="2" spans="1:13" x14ac:dyDescent="0.25">
      <c r="A2" s="15" t="s">
        <v>142</v>
      </c>
      <c r="B2" s="15" t="s">
        <v>143</v>
      </c>
      <c r="C2" s="15" t="s">
        <v>144</v>
      </c>
      <c r="D2" s="269" t="s">
        <v>145</v>
      </c>
      <c r="E2" s="269"/>
    </row>
    <row r="3" spans="1:13" x14ac:dyDescent="0.25">
      <c r="A3" s="17">
        <v>0</v>
      </c>
      <c r="B3" s="17">
        <v>0</v>
      </c>
      <c r="C3" s="17">
        <v>1</v>
      </c>
      <c r="D3" s="270">
        <v>45</v>
      </c>
      <c r="E3" s="270"/>
    </row>
    <row r="5" spans="1:13" hidden="1" x14ac:dyDescent="0.25">
      <c r="A5" s="16" t="s">
        <v>146</v>
      </c>
      <c r="B5" s="18" t="s">
        <v>147</v>
      </c>
      <c r="C5" s="18">
        <f>D3</f>
        <v>45</v>
      </c>
      <c r="D5" s="19"/>
    </row>
    <row r="6" spans="1:13" x14ac:dyDescent="0.25">
      <c r="A6" s="16" t="s">
        <v>148</v>
      </c>
      <c r="B6" s="20">
        <v>10</v>
      </c>
      <c r="C6" s="21">
        <v>10</v>
      </c>
      <c r="D6" s="22">
        <f>((100/B6)*C6)/100</f>
        <v>1</v>
      </c>
    </row>
    <row r="7" spans="1:13" x14ac:dyDescent="0.25">
      <c r="A7" s="16" t="s">
        <v>149</v>
      </c>
      <c r="B7" s="20">
        <f>A3+B3+C3+D3</f>
        <v>46</v>
      </c>
      <c r="C7" s="21">
        <v>8</v>
      </c>
      <c r="D7" s="22">
        <f t="shared" ref="D7:D12" si="0">((100/B7)*C7)/100</f>
        <v>0.17391304347826086</v>
      </c>
      <c r="F7" s="271" t="s">
        <v>150</v>
      </c>
      <c r="G7" s="271"/>
      <c r="H7" s="23" t="s">
        <v>151</v>
      </c>
      <c r="J7" s="24"/>
    </row>
    <row r="8" spans="1:13" x14ac:dyDescent="0.25">
      <c r="A8" s="16" t="s">
        <v>152</v>
      </c>
      <c r="B8" s="20">
        <f>C5</f>
        <v>45</v>
      </c>
      <c r="C8" s="21">
        <v>7</v>
      </c>
      <c r="D8" s="22">
        <f t="shared" si="0"/>
        <v>0.15555555555555556</v>
      </c>
      <c r="F8" s="272" t="s">
        <v>153</v>
      </c>
      <c r="G8" s="272"/>
      <c r="H8" s="20" t="s">
        <v>154</v>
      </c>
    </row>
    <row r="9" spans="1:13" x14ac:dyDescent="0.25">
      <c r="A9" s="16" t="s">
        <v>155</v>
      </c>
      <c r="B9" s="20">
        <f>C5</f>
        <v>45</v>
      </c>
      <c r="C9" s="21">
        <v>0</v>
      </c>
      <c r="D9" s="22">
        <f t="shared" si="0"/>
        <v>0</v>
      </c>
      <c r="F9" s="272" t="s">
        <v>156</v>
      </c>
      <c r="G9" s="272"/>
      <c r="H9" s="20" t="s">
        <v>157</v>
      </c>
    </row>
    <row r="10" spans="1:13" x14ac:dyDescent="0.25">
      <c r="A10" s="16" t="s">
        <v>45</v>
      </c>
      <c r="B10" s="20">
        <f>C5</f>
        <v>45</v>
      </c>
      <c r="C10" s="21">
        <v>0</v>
      </c>
      <c r="D10" s="22">
        <f t="shared" si="0"/>
        <v>0</v>
      </c>
      <c r="F10" s="272" t="s">
        <v>158</v>
      </c>
      <c r="G10" s="272"/>
      <c r="H10" s="20" t="s">
        <v>159</v>
      </c>
    </row>
    <row r="11" spans="1:13" x14ac:dyDescent="0.25">
      <c r="A11" s="25" t="s">
        <v>160</v>
      </c>
      <c r="B11" s="20">
        <f>C5</f>
        <v>45</v>
      </c>
      <c r="C11" s="21">
        <v>0</v>
      </c>
      <c r="D11" s="22">
        <f t="shared" si="0"/>
        <v>0</v>
      </c>
      <c r="F11" s="272" t="s">
        <v>161</v>
      </c>
      <c r="G11" s="272"/>
      <c r="H11" s="20" t="s">
        <v>162</v>
      </c>
    </row>
    <row r="12" spans="1:13" x14ac:dyDescent="0.25">
      <c r="A12" s="16" t="s">
        <v>46</v>
      </c>
      <c r="B12" s="20">
        <f>C5</f>
        <v>45</v>
      </c>
      <c r="C12" s="21">
        <v>0</v>
      </c>
      <c r="D12" s="22">
        <f t="shared" si="0"/>
        <v>0</v>
      </c>
      <c r="F12" s="272" t="s">
        <v>163</v>
      </c>
      <c r="G12" s="272"/>
      <c r="H12" s="20" t="s">
        <v>164</v>
      </c>
    </row>
    <row r="13" spans="1:13" x14ac:dyDescent="0.25">
      <c r="F13" s="272" t="s">
        <v>165</v>
      </c>
      <c r="G13" s="272"/>
      <c r="H13" s="20" t="s">
        <v>166</v>
      </c>
    </row>
    <row r="14" spans="1:13" hidden="1" x14ac:dyDescent="0.25">
      <c r="A14" s="15"/>
      <c r="B14" s="15" t="s">
        <v>167</v>
      </c>
      <c r="C14" s="15" t="s">
        <v>168</v>
      </c>
      <c r="G14" s="15" t="s">
        <v>148</v>
      </c>
      <c r="H14" s="15" t="s">
        <v>169</v>
      </c>
      <c r="I14" s="15" t="s">
        <v>170</v>
      </c>
      <c r="J14" s="15" t="s">
        <v>38</v>
      </c>
      <c r="K14" s="15" t="s">
        <v>45</v>
      </c>
      <c r="L14" s="15" t="s">
        <v>160</v>
      </c>
      <c r="M14" s="15" t="s">
        <v>46</v>
      </c>
    </row>
    <row r="15" spans="1:13" hidden="1" x14ac:dyDescent="0.25">
      <c r="A15" s="15" t="s">
        <v>36</v>
      </c>
      <c r="B15" s="15">
        <f>G15</f>
        <v>10</v>
      </c>
      <c r="C15" s="15">
        <f>G16</f>
        <v>30</v>
      </c>
      <c r="E15" s="269" t="s">
        <v>167</v>
      </c>
      <c r="F15" s="269"/>
      <c r="G15" s="26">
        <f>C6</f>
        <v>10</v>
      </c>
      <c r="H15" s="26">
        <f>40/B7*C7</f>
        <v>6.9565217391304346</v>
      </c>
      <c r="I15" s="26">
        <f>15/B8*C8</f>
        <v>2.333333333333333</v>
      </c>
      <c r="J15" s="26">
        <f>10/B9*C9</f>
        <v>0</v>
      </c>
      <c r="K15" s="26">
        <f>10/B10*C10</f>
        <v>0</v>
      </c>
      <c r="L15" s="26">
        <f>5/B11*C11</f>
        <v>0</v>
      </c>
      <c r="M15" s="26">
        <f>5/B12*C12</f>
        <v>0</v>
      </c>
    </row>
    <row r="16" spans="1:13" hidden="1" x14ac:dyDescent="0.25">
      <c r="A16" s="15" t="s">
        <v>37</v>
      </c>
      <c r="B16" s="15">
        <f>H15</f>
        <v>6.9565217391304346</v>
      </c>
      <c r="C16" s="15">
        <f>H16</f>
        <v>5.2173913043478262</v>
      </c>
      <c r="E16" s="269" t="s">
        <v>171</v>
      </c>
      <c r="F16" s="269"/>
      <c r="G16" s="15">
        <f>G15+20</f>
        <v>30</v>
      </c>
      <c r="H16" s="15">
        <f>30/B7*C7</f>
        <v>5.2173913043478262</v>
      </c>
      <c r="I16" s="15">
        <f>15/B8*C8</f>
        <v>2.333333333333333</v>
      </c>
      <c r="J16" s="15">
        <f>10/B9*C9</f>
        <v>0</v>
      </c>
      <c r="K16" s="15">
        <f>5/B10*C10</f>
        <v>0</v>
      </c>
      <c r="L16" s="15">
        <f>5/B11*C11</f>
        <v>0</v>
      </c>
      <c r="M16" s="15">
        <f>5/B12*C12</f>
        <v>0</v>
      </c>
    </row>
    <row r="17" spans="1:8" hidden="1" x14ac:dyDescent="0.25">
      <c r="A17" s="15" t="s">
        <v>170</v>
      </c>
      <c r="B17" s="15">
        <f>I15</f>
        <v>2.333333333333333</v>
      </c>
      <c r="C17" s="15">
        <f>I16</f>
        <v>2.333333333333333</v>
      </c>
    </row>
    <row r="18" spans="1:8" hidden="1" x14ac:dyDescent="0.25">
      <c r="A18" s="15" t="s">
        <v>38</v>
      </c>
      <c r="B18" s="15">
        <f>J15</f>
        <v>0</v>
      </c>
      <c r="C18" s="15">
        <f>J16</f>
        <v>0</v>
      </c>
    </row>
    <row r="19" spans="1:8" hidden="1" x14ac:dyDescent="0.25">
      <c r="A19" s="15" t="s">
        <v>45</v>
      </c>
      <c r="B19" s="15">
        <f>K15</f>
        <v>0</v>
      </c>
      <c r="C19" s="15">
        <f>K16</f>
        <v>0</v>
      </c>
    </row>
    <row r="20" spans="1:8" hidden="1" x14ac:dyDescent="0.25">
      <c r="A20" s="27" t="s">
        <v>160</v>
      </c>
      <c r="B20" s="15">
        <f>L15</f>
        <v>0</v>
      </c>
      <c r="C20" s="15">
        <f>L16</f>
        <v>0</v>
      </c>
    </row>
    <row r="21" spans="1:8" hidden="1" x14ac:dyDescent="0.25">
      <c r="A21" s="15" t="s">
        <v>46</v>
      </c>
      <c r="B21" s="15">
        <f>M15</f>
        <v>0</v>
      </c>
      <c r="C21" s="15">
        <f>M16</f>
        <v>0</v>
      </c>
    </row>
    <row r="22" spans="1:8" x14ac:dyDescent="0.25">
      <c r="A22" s="15" t="s">
        <v>172</v>
      </c>
      <c r="B22" s="28">
        <f>(B15+B16+B17+B18+B19+B20+B21)/100</f>
        <v>0.19289855072463766</v>
      </c>
      <c r="C22" s="28">
        <f>(C15+C16+C17+C18+C19+C20+C21)/100</f>
        <v>0.37550724637681165</v>
      </c>
      <c r="F22" s="272" t="s">
        <v>173</v>
      </c>
      <c r="G22" s="272"/>
      <c r="H22" s="20" t="s">
        <v>157</v>
      </c>
    </row>
    <row r="23" spans="1:8" x14ac:dyDescent="0.25">
      <c r="F23" s="272" t="s">
        <v>174</v>
      </c>
      <c r="G23" s="272"/>
      <c r="H23" s="20" t="s">
        <v>175</v>
      </c>
    </row>
    <row r="24" spans="1:8" x14ac:dyDescent="0.25">
      <c r="A24" s="16" t="s">
        <v>176</v>
      </c>
      <c r="B24" s="29">
        <v>0.01</v>
      </c>
      <c r="C24" s="29">
        <v>0.02</v>
      </c>
      <c r="F24" s="272" t="s">
        <v>177</v>
      </c>
      <c r="G24" s="272"/>
      <c r="H24" s="20" t="s">
        <v>141</v>
      </c>
    </row>
    <row r="25" spans="1:8" x14ac:dyDescent="0.25">
      <c r="A25" s="16" t="s">
        <v>178</v>
      </c>
      <c r="B25" s="29">
        <v>0.01</v>
      </c>
      <c r="C25" s="29">
        <v>0.03</v>
      </c>
    </row>
    <row r="26" spans="1:8" x14ac:dyDescent="0.25">
      <c r="A26" s="16" t="s">
        <v>179</v>
      </c>
      <c r="B26" s="29">
        <v>0.03</v>
      </c>
      <c r="C26" s="29">
        <v>0.08</v>
      </c>
    </row>
    <row r="27" spans="1:8" x14ac:dyDescent="0.25">
      <c r="A27" s="16" t="s">
        <v>180</v>
      </c>
      <c r="B27" s="29">
        <v>0.05</v>
      </c>
      <c r="C27" s="29">
        <v>0.15</v>
      </c>
    </row>
    <row r="28" spans="1:8" x14ac:dyDescent="0.25">
      <c r="A28" s="16" t="s">
        <v>181</v>
      </c>
      <c r="B28" s="29">
        <v>7.0000000000000007E-2</v>
      </c>
      <c r="C28" s="29">
        <v>0.2</v>
      </c>
    </row>
    <row r="29" spans="1:8" x14ac:dyDescent="0.25">
      <c r="A29" s="16" t="s">
        <v>182</v>
      </c>
      <c r="B29" s="29">
        <v>0.1</v>
      </c>
      <c r="C29" s="29">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A22" workbookViewId="0">
      <selection activeCell="C8" sqref="C8"/>
    </sheetView>
  </sheetViews>
  <sheetFormatPr defaultColWidth="9.140625" defaultRowHeight="15" x14ac:dyDescent="0.25"/>
  <cols>
    <col min="1" max="1" width="20.5703125" style="16" customWidth="1"/>
    <col min="2" max="2" width="11.7109375" style="16" customWidth="1"/>
    <col min="3" max="4" width="9.140625" style="16"/>
    <col min="5" max="5" width="10.140625" style="16" customWidth="1"/>
    <col min="6" max="6" width="10.7109375" style="16" customWidth="1"/>
    <col min="7" max="7" width="9.140625" style="16"/>
    <col min="8" max="8" width="10.28515625" style="16" customWidth="1"/>
    <col min="9" max="9" width="15.42578125" style="16" customWidth="1"/>
    <col min="10" max="16384" width="9.140625" style="16"/>
  </cols>
  <sheetData>
    <row r="2" spans="1:13" x14ac:dyDescent="0.25">
      <c r="A2" s="15" t="s">
        <v>142</v>
      </c>
      <c r="B2" s="15" t="s">
        <v>143</v>
      </c>
      <c r="C2" s="15" t="s">
        <v>144</v>
      </c>
      <c r="D2" s="269" t="s">
        <v>145</v>
      </c>
      <c r="E2" s="269"/>
    </row>
    <row r="3" spans="1:13" x14ac:dyDescent="0.25">
      <c r="A3" s="17">
        <v>1</v>
      </c>
      <c r="B3" s="17">
        <v>0</v>
      </c>
      <c r="C3" s="17">
        <v>1</v>
      </c>
      <c r="D3" s="270">
        <v>42</v>
      </c>
      <c r="E3" s="270"/>
    </row>
    <row r="5" spans="1:13" hidden="1" x14ac:dyDescent="0.25">
      <c r="A5" s="16" t="s">
        <v>146</v>
      </c>
      <c r="B5" s="18" t="s">
        <v>147</v>
      </c>
      <c r="C5" s="18">
        <f>D3</f>
        <v>42</v>
      </c>
      <c r="D5" s="19"/>
    </row>
    <row r="6" spans="1:13" x14ac:dyDescent="0.25">
      <c r="A6" s="16" t="s">
        <v>148</v>
      </c>
      <c r="B6" s="20">
        <v>10</v>
      </c>
      <c r="C6" s="21">
        <v>10</v>
      </c>
      <c r="D6" s="22">
        <f>((100/B6)*C6)/100</f>
        <v>1</v>
      </c>
    </row>
    <row r="7" spans="1:13" x14ac:dyDescent="0.25">
      <c r="A7" s="16" t="s">
        <v>149</v>
      </c>
      <c r="B7" s="20">
        <f>A3+B3+C3+D3</f>
        <v>44</v>
      </c>
      <c r="C7" s="21">
        <v>11</v>
      </c>
      <c r="D7" s="22">
        <f t="shared" ref="D7:D12" si="0">((100/B7)*C7)/100</f>
        <v>0.25000000000000006</v>
      </c>
      <c r="F7" s="271" t="s">
        <v>150</v>
      </c>
      <c r="G7" s="271"/>
      <c r="H7" s="23" t="s">
        <v>151</v>
      </c>
      <c r="J7" s="24"/>
    </row>
    <row r="8" spans="1:13" x14ac:dyDescent="0.25">
      <c r="A8" s="16" t="s">
        <v>152</v>
      </c>
      <c r="B8" s="20">
        <f>C5</f>
        <v>42</v>
      </c>
      <c r="C8" s="21">
        <f>C7-1</f>
        <v>10</v>
      </c>
      <c r="D8" s="22">
        <f t="shared" si="0"/>
        <v>0.23809523809523811</v>
      </c>
      <c r="F8" s="272" t="s">
        <v>153</v>
      </c>
      <c r="G8" s="272"/>
      <c r="H8" s="20" t="s">
        <v>154</v>
      </c>
    </row>
    <row r="9" spans="1:13" x14ac:dyDescent="0.25">
      <c r="A9" s="16" t="s">
        <v>155</v>
      </c>
      <c r="B9" s="20">
        <f>C5</f>
        <v>42</v>
      </c>
      <c r="C9" s="21">
        <f>C8/2</f>
        <v>5</v>
      </c>
      <c r="D9" s="22">
        <f t="shared" si="0"/>
        <v>0.11904761904761905</v>
      </c>
      <c r="F9" s="272" t="s">
        <v>156</v>
      </c>
      <c r="G9" s="272"/>
      <c r="H9" s="20" t="s">
        <v>157</v>
      </c>
    </row>
    <row r="10" spans="1:13" x14ac:dyDescent="0.25">
      <c r="A10" s="16" t="s">
        <v>45</v>
      </c>
      <c r="B10" s="20">
        <f>C5</f>
        <v>42</v>
      </c>
      <c r="C10" s="21">
        <v>0</v>
      </c>
      <c r="D10" s="22">
        <f t="shared" si="0"/>
        <v>0</v>
      </c>
      <c r="F10" s="272" t="s">
        <v>158</v>
      </c>
      <c r="G10" s="272"/>
      <c r="H10" s="20" t="s">
        <v>159</v>
      </c>
    </row>
    <row r="11" spans="1:13" x14ac:dyDescent="0.25">
      <c r="A11" s="25" t="s">
        <v>160</v>
      </c>
      <c r="B11" s="20">
        <f>C5</f>
        <v>42</v>
      </c>
      <c r="C11" s="21">
        <v>0</v>
      </c>
      <c r="D11" s="22">
        <f t="shared" si="0"/>
        <v>0</v>
      </c>
      <c r="F11" s="272" t="s">
        <v>161</v>
      </c>
      <c r="G11" s="272"/>
      <c r="H11" s="20" t="s">
        <v>162</v>
      </c>
    </row>
    <row r="12" spans="1:13" x14ac:dyDescent="0.25">
      <c r="A12" s="16" t="s">
        <v>46</v>
      </c>
      <c r="B12" s="20">
        <f>C5</f>
        <v>42</v>
      </c>
      <c r="C12" s="21">
        <v>0</v>
      </c>
      <c r="D12" s="22">
        <f t="shared" si="0"/>
        <v>0</v>
      </c>
      <c r="F12" s="272" t="s">
        <v>163</v>
      </c>
      <c r="G12" s="272"/>
      <c r="H12" s="20" t="s">
        <v>164</v>
      </c>
    </row>
    <row r="13" spans="1:13" x14ac:dyDescent="0.25">
      <c r="F13" s="272" t="s">
        <v>165</v>
      </c>
      <c r="G13" s="272"/>
      <c r="H13" s="20" t="s">
        <v>166</v>
      </c>
    </row>
    <row r="14" spans="1:13" hidden="1" x14ac:dyDescent="0.25">
      <c r="A14" s="15"/>
      <c r="B14" s="15" t="s">
        <v>167</v>
      </c>
      <c r="C14" s="15" t="s">
        <v>168</v>
      </c>
      <c r="G14" s="15" t="s">
        <v>148</v>
      </c>
      <c r="H14" s="15" t="s">
        <v>169</v>
      </c>
      <c r="I14" s="15" t="s">
        <v>170</v>
      </c>
      <c r="J14" s="15" t="s">
        <v>38</v>
      </c>
      <c r="K14" s="15" t="s">
        <v>45</v>
      </c>
      <c r="L14" s="15" t="s">
        <v>160</v>
      </c>
      <c r="M14" s="15" t="s">
        <v>46</v>
      </c>
    </row>
    <row r="15" spans="1:13" hidden="1" x14ac:dyDescent="0.25">
      <c r="A15" s="15" t="s">
        <v>36</v>
      </c>
      <c r="B15" s="15">
        <f>G15</f>
        <v>10</v>
      </c>
      <c r="C15" s="15">
        <f>G16</f>
        <v>30</v>
      </c>
      <c r="E15" s="269" t="s">
        <v>167</v>
      </c>
      <c r="F15" s="269"/>
      <c r="G15" s="26">
        <f>C6</f>
        <v>10</v>
      </c>
      <c r="H15" s="26">
        <f>40/B7*C7</f>
        <v>10</v>
      </c>
      <c r="I15" s="26">
        <f>15/B8*C8</f>
        <v>3.5714285714285716</v>
      </c>
      <c r="J15" s="26">
        <f>10/B9*C9</f>
        <v>1.1904761904761905</v>
      </c>
      <c r="K15" s="26">
        <f>10/B10*C10</f>
        <v>0</v>
      </c>
      <c r="L15" s="26">
        <f>5/B11*C11</f>
        <v>0</v>
      </c>
      <c r="M15" s="26">
        <f>5/B12*C12</f>
        <v>0</v>
      </c>
    </row>
    <row r="16" spans="1:13" hidden="1" x14ac:dyDescent="0.25">
      <c r="A16" s="15" t="s">
        <v>37</v>
      </c>
      <c r="B16" s="15">
        <f>H15</f>
        <v>10</v>
      </c>
      <c r="C16" s="15">
        <f>H16</f>
        <v>7.4999999999999991</v>
      </c>
      <c r="E16" s="269" t="s">
        <v>171</v>
      </c>
      <c r="F16" s="269"/>
      <c r="G16" s="15">
        <f>G15+20</f>
        <v>30</v>
      </c>
      <c r="H16" s="15">
        <f>30/B7*C7</f>
        <v>7.4999999999999991</v>
      </c>
      <c r="I16" s="15">
        <f>15/B8*C8</f>
        <v>3.5714285714285716</v>
      </c>
      <c r="J16" s="15">
        <f>10/B9*C9</f>
        <v>1.1904761904761905</v>
      </c>
      <c r="K16" s="15">
        <f>5/B10*C10</f>
        <v>0</v>
      </c>
      <c r="L16" s="15">
        <f>5/B11*C11</f>
        <v>0</v>
      </c>
      <c r="M16" s="15">
        <f>5/B12*C12</f>
        <v>0</v>
      </c>
    </row>
    <row r="17" spans="1:8" hidden="1" x14ac:dyDescent="0.25">
      <c r="A17" s="15" t="s">
        <v>170</v>
      </c>
      <c r="B17" s="15">
        <f>I15</f>
        <v>3.5714285714285716</v>
      </c>
      <c r="C17" s="15">
        <f>I16</f>
        <v>3.5714285714285716</v>
      </c>
    </row>
    <row r="18" spans="1:8" hidden="1" x14ac:dyDescent="0.25">
      <c r="A18" s="15" t="s">
        <v>38</v>
      </c>
      <c r="B18" s="15">
        <f>J15</f>
        <v>1.1904761904761905</v>
      </c>
      <c r="C18" s="15">
        <f>J16</f>
        <v>1.1904761904761905</v>
      </c>
    </row>
    <row r="19" spans="1:8" hidden="1" x14ac:dyDescent="0.25">
      <c r="A19" s="15" t="s">
        <v>45</v>
      </c>
      <c r="B19" s="15">
        <f>K15</f>
        <v>0</v>
      </c>
      <c r="C19" s="15">
        <f>K16</f>
        <v>0</v>
      </c>
    </row>
    <row r="20" spans="1:8" hidden="1" x14ac:dyDescent="0.25">
      <c r="A20" s="27" t="s">
        <v>160</v>
      </c>
      <c r="B20" s="15">
        <f>L15</f>
        <v>0</v>
      </c>
      <c r="C20" s="15">
        <f>L16</f>
        <v>0</v>
      </c>
    </row>
    <row r="21" spans="1:8" hidden="1" x14ac:dyDescent="0.25">
      <c r="A21" s="15" t="s">
        <v>46</v>
      </c>
      <c r="B21" s="15">
        <f>M15</f>
        <v>0</v>
      </c>
      <c r="C21" s="15">
        <f>M16</f>
        <v>0</v>
      </c>
    </row>
    <row r="22" spans="1:8" x14ac:dyDescent="0.25">
      <c r="A22" s="15" t="s">
        <v>172</v>
      </c>
      <c r="B22" s="28">
        <f>(B15+B16+B17+B18+B19+B20+B21)/100</f>
        <v>0.24761904761904763</v>
      </c>
      <c r="C22" s="28">
        <f>(C15+C16+C17+C18+C19+C20+C21)/100</f>
        <v>0.42261904761904762</v>
      </c>
      <c r="F22" s="272" t="s">
        <v>173</v>
      </c>
      <c r="G22" s="272"/>
      <c r="H22" s="20" t="s">
        <v>157</v>
      </c>
    </row>
    <row r="23" spans="1:8" x14ac:dyDescent="0.25">
      <c r="F23" s="272" t="s">
        <v>174</v>
      </c>
      <c r="G23" s="272"/>
      <c r="H23" s="20" t="s">
        <v>175</v>
      </c>
    </row>
    <row r="24" spans="1:8" x14ac:dyDescent="0.25">
      <c r="A24" s="16" t="s">
        <v>176</v>
      </c>
      <c r="B24" s="29">
        <v>0.01</v>
      </c>
      <c r="C24" s="29">
        <v>0.02</v>
      </c>
      <c r="F24" s="272" t="s">
        <v>177</v>
      </c>
      <c r="G24" s="272"/>
      <c r="H24" s="20" t="s">
        <v>141</v>
      </c>
    </row>
    <row r="25" spans="1:8" x14ac:dyDescent="0.25">
      <c r="A25" s="16" t="s">
        <v>178</v>
      </c>
      <c r="B25" s="29">
        <v>0.01</v>
      </c>
      <c r="C25" s="29">
        <v>0.03</v>
      </c>
    </row>
    <row r="26" spans="1:8" x14ac:dyDescent="0.25">
      <c r="A26" s="16" t="s">
        <v>179</v>
      </c>
      <c r="B26" s="29">
        <v>0.03</v>
      </c>
      <c r="C26" s="29">
        <v>0.08</v>
      </c>
    </row>
    <row r="27" spans="1:8" x14ac:dyDescent="0.25">
      <c r="A27" s="16" t="s">
        <v>180</v>
      </c>
      <c r="B27" s="29">
        <v>0.05</v>
      </c>
      <c r="C27" s="29">
        <v>0.15</v>
      </c>
    </row>
    <row r="28" spans="1:8" x14ac:dyDescent="0.25">
      <c r="A28" s="16" t="s">
        <v>181</v>
      </c>
      <c r="B28" s="29">
        <v>7.0000000000000007E-2</v>
      </c>
      <c r="C28" s="29">
        <v>0.2</v>
      </c>
    </row>
    <row r="29" spans="1:8" x14ac:dyDescent="0.25">
      <c r="A29" s="16" t="s">
        <v>182</v>
      </c>
      <c r="B29" s="29">
        <v>0.1</v>
      </c>
      <c r="C29" s="29">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x14ac:dyDescent="0.25"/>
  <cols>
    <col min="1" max="1" width="20.5703125" style="16" customWidth="1"/>
    <col min="2" max="2" width="11.7109375" style="16" customWidth="1"/>
    <col min="3" max="4" width="9.140625" style="16"/>
    <col min="5" max="5" width="10.140625" style="16" customWidth="1"/>
    <col min="6" max="6" width="10.7109375" style="16" customWidth="1"/>
    <col min="7" max="7" width="9.140625" style="16"/>
    <col min="8" max="8" width="10.28515625" style="16" customWidth="1"/>
    <col min="9" max="9" width="15.42578125" style="16" customWidth="1"/>
    <col min="10" max="16384" width="9.140625" style="16"/>
  </cols>
  <sheetData>
    <row r="2" spans="1:13" x14ac:dyDescent="0.25">
      <c r="A2" s="15" t="s">
        <v>142</v>
      </c>
      <c r="B2" s="15" t="s">
        <v>143</v>
      </c>
      <c r="C2" s="15" t="s">
        <v>144</v>
      </c>
      <c r="D2" s="269" t="s">
        <v>145</v>
      </c>
      <c r="E2" s="269"/>
    </row>
    <row r="3" spans="1:13" x14ac:dyDescent="0.25">
      <c r="A3" s="17">
        <v>1</v>
      </c>
      <c r="B3" s="17">
        <v>0</v>
      </c>
      <c r="C3" s="17">
        <v>1</v>
      </c>
      <c r="D3" s="270">
        <v>41</v>
      </c>
      <c r="E3" s="270"/>
    </row>
    <row r="5" spans="1:13" hidden="1" x14ac:dyDescent="0.25">
      <c r="A5" s="16" t="s">
        <v>146</v>
      </c>
      <c r="B5" s="18" t="s">
        <v>147</v>
      </c>
      <c r="C5" s="18">
        <f>D3</f>
        <v>41</v>
      </c>
      <c r="D5" s="19"/>
    </row>
    <row r="6" spans="1:13" x14ac:dyDescent="0.25">
      <c r="A6" s="16" t="s">
        <v>148</v>
      </c>
      <c r="B6" s="20">
        <v>10</v>
      </c>
      <c r="C6" s="21">
        <v>10</v>
      </c>
      <c r="D6" s="22">
        <f>((100/B6)*C6)/100</f>
        <v>1</v>
      </c>
    </row>
    <row r="7" spans="1:13" x14ac:dyDescent="0.25">
      <c r="A7" s="16" t="s">
        <v>149</v>
      </c>
      <c r="B7" s="20">
        <v>42</v>
      </c>
      <c r="C7" s="21">
        <v>6</v>
      </c>
      <c r="D7" s="22">
        <f t="shared" ref="D7:D12" si="0">((100/B7)*C7)/100</f>
        <v>0.14285714285714285</v>
      </c>
      <c r="F7" s="271" t="s">
        <v>150</v>
      </c>
      <c r="G7" s="271"/>
      <c r="H7" s="23" t="s">
        <v>151</v>
      </c>
      <c r="J7" s="24"/>
    </row>
    <row r="8" spans="1:13" x14ac:dyDescent="0.25">
      <c r="A8" s="16" t="s">
        <v>152</v>
      </c>
      <c r="B8" s="20">
        <f>C5</f>
        <v>41</v>
      </c>
      <c r="C8" s="21">
        <v>2</v>
      </c>
      <c r="D8" s="22">
        <f t="shared" si="0"/>
        <v>4.878048780487805E-2</v>
      </c>
      <c r="F8" s="272" t="s">
        <v>153</v>
      </c>
      <c r="G8" s="272"/>
      <c r="H8" s="20" t="s">
        <v>154</v>
      </c>
    </row>
    <row r="9" spans="1:13" x14ac:dyDescent="0.25">
      <c r="A9" s="16" t="s">
        <v>155</v>
      </c>
      <c r="B9" s="20">
        <f>C5</f>
        <v>41</v>
      </c>
      <c r="C9" s="21">
        <v>1</v>
      </c>
      <c r="D9" s="22">
        <f t="shared" si="0"/>
        <v>2.4390243902439025E-2</v>
      </c>
      <c r="F9" s="272" t="s">
        <v>156</v>
      </c>
      <c r="G9" s="272"/>
      <c r="H9" s="20" t="s">
        <v>157</v>
      </c>
    </row>
    <row r="10" spans="1:13" x14ac:dyDescent="0.25">
      <c r="A10" s="16" t="s">
        <v>45</v>
      </c>
      <c r="B10" s="20">
        <f>C5</f>
        <v>41</v>
      </c>
      <c r="C10" s="21">
        <v>0</v>
      </c>
      <c r="D10" s="22">
        <f t="shared" si="0"/>
        <v>0</v>
      </c>
      <c r="F10" s="272" t="s">
        <v>158</v>
      </c>
      <c r="G10" s="272"/>
      <c r="H10" s="20" t="s">
        <v>159</v>
      </c>
    </row>
    <row r="11" spans="1:13" x14ac:dyDescent="0.25">
      <c r="A11" s="25" t="s">
        <v>160</v>
      </c>
      <c r="B11" s="20">
        <f>C5</f>
        <v>41</v>
      </c>
      <c r="C11" s="21">
        <v>0</v>
      </c>
      <c r="D11" s="22">
        <f t="shared" si="0"/>
        <v>0</v>
      </c>
      <c r="F11" s="272" t="s">
        <v>161</v>
      </c>
      <c r="G11" s="272"/>
      <c r="H11" s="20" t="s">
        <v>162</v>
      </c>
    </row>
    <row r="12" spans="1:13" x14ac:dyDescent="0.25">
      <c r="A12" s="16" t="s">
        <v>46</v>
      </c>
      <c r="B12" s="20">
        <f>C5</f>
        <v>41</v>
      </c>
      <c r="C12" s="21">
        <v>0</v>
      </c>
      <c r="D12" s="22">
        <f t="shared" si="0"/>
        <v>0</v>
      </c>
      <c r="F12" s="272" t="s">
        <v>163</v>
      </c>
      <c r="G12" s="272"/>
      <c r="H12" s="20" t="s">
        <v>164</v>
      </c>
    </row>
    <row r="13" spans="1:13" x14ac:dyDescent="0.25">
      <c r="F13" s="272" t="s">
        <v>165</v>
      </c>
      <c r="G13" s="272"/>
      <c r="H13" s="20" t="s">
        <v>166</v>
      </c>
    </row>
    <row r="14" spans="1:13" hidden="1" x14ac:dyDescent="0.25">
      <c r="A14" s="15"/>
      <c r="B14" s="15" t="s">
        <v>167</v>
      </c>
      <c r="C14" s="15" t="s">
        <v>168</v>
      </c>
      <c r="G14" s="15" t="s">
        <v>148</v>
      </c>
      <c r="H14" s="15" t="s">
        <v>169</v>
      </c>
      <c r="I14" s="15" t="s">
        <v>170</v>
      </c>
      <c r="J14" s="15" t="s">
        <v>38</v>
      </c>
      <c r="K14" s="15" t="s">
        <v>45</v>
      </c>
      <c r="L14" s="15" t="s">
        <v>160</v>
      </c>
      <c r="M14" s="15" t="s">
        <v>46</v>
      </c>
    </row>
    <row r="15" spans="1:13" hidden="1" x14ac:dyDescent="0.25">
      <c r="A15" s="15" t="s">
        <v>36</v>
      </c>
      <c r="B15" s="15">
        <f>G15</f>
        <v>10</v>
      </c>
      <c r="C15" s="15">
        <f>G16</f>
        <v>30</v>
      </c>
      <c r="E15" s="269" t="s">
        <v>167</v>
      </c>
      <c r="F15" s="269"/>
      <c r="G15" s="26">
        <f>C6</f>
        <v>10</v>
      </c>
      <c r="H15" s="26">
        <f>40/B7*C7</f>
        <v>5.7142857142857135</v>
      </c>
      <c r="I15" s="26">
        <f>15/B8*C8</f>
        <v>0.73170731707317072</v>
      </c>
      <c r="J15" s="26">
        <f>10/B9*C9</f>
        <v>0.24390243902439024</v>
      </c>
      <c r="K15" s="26">
        <f>10/B10*C10</f>
        <v>0</v>
      </c>
      <c r="L15" s="26">
        <f>5/B11*C11</f>
        <v>0</v>
      </c>
      <c r="M15" s="26">
        <f>5/B12*C12</f>
        <v>0</v>
      </c>
    </row>
    <row r="16" spans="1:13" hidden="1" x14ac:dyDescent="0.25">
      <c r="A16" s="15" t="s">
        <v>37</v>
      </c>
      <c r="B16" s="15">
        <f>H15</f>
        <v>5.7142857142857135</v>
      </c>
      <c r="C16" s="15">
        <f>H16</f>
        <v>4.2857142857142856</v>
      </c>
      <c r="E16" s="269" t="s">
        <v>171</v>
      </c>
      <c r="F16" s="269"/>
      <c r="G16" s="15">
        <f>G15+20</f>
        <v>30</v>
      </c>
      <c r="H16" s="15">
        <f>30/B7*C7</f>
        <v>4.2857142857142856</v>
      </c>
      <c r="I16" s="15">
        <f>15/B8*C8</f>
        <v>0.73170731707317072</v>
      </c>
      <c r="J16" s="15">
        <f>10/B9*C9</f>
        <v>0.24390243902439024</v>
      </c>
      <c r="K16" s="15">
        <f>5/B10*C10</f>
        <v>0</v>
      </c>
      <c r="L16" s="15">
        <f>5/B11*C11</f>
        <v>0</v>
      </c>
      <c r="M16" s="15">
        <f>5/B12*C12</f>
        <v>0</v>
      </c>
    </row>
    <row r="17" spans="1:8" hidden="1" x14ac:dyDescent="0.25">
      <c r="A17" s="15" t="s">
        <v>170</v>
      </c>
      <c r="B17" s="15">
        <f>I15</f>
        <v>0.73170731707317072</v>
      </c>
      <c r="C17" s="15">
        <f>I16</f>
        <v>0.73170731707317072</v>
      </c>
    </row>
    <row r="18" spans="1:8" hidden="1" x14ac:dyDescent="0.25">
      <c r="A18" s="15" t="s">
        <v>38</v>
      </c>
      <c r="B18" s="15">
        <f>J15</f>
        <v>0.24390243902439024</v>
      </c>
      <c r="C18" s="15">
        <f>J16</f>
        <v>0.24390243902439024</v>
      </c>
    </row>
    <row r="19" spans="1:8" hidden="1" x14ac:dyDescent="0.25">
      <c r="A19" s="15" t="s">
        <v>45</v>
      </c>
      <c r="B19" s="15">
        <f>K15</f>
        <v>0</v>
      </c>
      <c r="C19" s="15">
        <f>K16</f>
        <v>0</v>
      </c>
    </row>
    <row r="20" spans="1:8" hidden="1" x14ac:dyDescent="0.25">
      <c r="A20" s="27" t="s">
        <v>160</v>
      </c>
      <c r="B20" s="15">
        <f>L15</f>
        <v>0</v>
      </c>
      <c r="C20" s="15">
        <f>L16</f>
        <v>0</v>
      </c>
    </row>
    <row r="21" spans="1:8" hidden="1" x14ac:dyDescent="0.25">
      <c r="A21" s="15" t="s">
        <v>46</v>
      </c>
      <c r="B21" s="15">
        <f>M15</f>
        <v>0</v>
      </c>
      <c r="C21" s="15">
        <f>M16</f>
        <v>0</v>
      </c>
    </row>
    <row r="22" spans="1:8" x14ac:dyDescent="0.25">
      <c r="A22" s="15" t="s">
        <v>172</v>
      </c>
      <c r="B22" s="28">
        <f>(B15+B16+B17+B18+B19+B20+B21)/100</f>
        <v>0.16689895470383273</v>
      </c>
      <c r="C22" s="28">
        <f>(C15+C16+C17+C18+C19+C20+C21)/100</f>
        <v>0.35261324041811848</v>
      </c>
      <c r="F22" s="272" t="s">
        <v>173</v>
      </c>
      <c r="G22" s="272"/>
      <c r="H22" s="20" t="s">
        <v>157</v>
      </c>
    </row>
    <row r="23" spans="1:8" x14ac:dyDescent="0.25">
      <c r="F23" s="272" t="s">
        <v>174</v>
      </c>
      <c r="G23" s="272"/>
      <c r="H23" s="20" t="s">
        <v>175</v>
      </c>
    </row>
    <row r="24" spans="1:8" x14ac:dyDescent="0.25">
      <c r="A24" s="16" t="s">
        <v>176</v>
      </c>
      <c r="B24" s="29">
        <v>0.01</v>
      </c>
      <c r="C24" s="29">
        <v>0.02</v>
      </c>
      <c r="F24" s="272" t="s">
        <v>177</v>
      </c>
      <c r="G24" s="272"/>
      <c r="H24" s="20" t="s">
        <v>141</v>
      </c>
    </row>
    <row r="25" spans="1:8" x14ac:dyDescent="0.25">
      <c r="A25" s="16" t="s">
        <v>178</v>
      </c>
      <c r="B25" s="29">
        <v>0.01</v>
      </c>
      <c r="C25" s="29">
        <v>0.03</v>
      </c>
    </row>
    <row r="26" spans="1:8" x14ac:dyDescent="0.25">
      <c r="A26" s="16" t="s">
        <v>179</v>
      </c>
      <c r="B26" s="29">
        <v>0.03</v>
      </c>
      <c r="C26" s="29">
        <v>0.08</v>
      </c>
    </row>
    <row r="27" spans="1:8" x14ac:dyDescent="0.25">
      <c r="A27" s="16" t="s">
        <v>180</v>
      </c>
      <c r="B27" s="29">
        <v>0.05</v>
      </c>
      <c r="C27" s="29">
        <v>0.15</v>
      </c>
    </row>
    <row r="28" spans="1:8" x14ac:dyDescent="0.25">
      <c r="A28" s="16" t="s">
        <v>181</v>
      </c>
      <c r="B28" s="29">
        <v>7.0000000000000007E-2</v>
      </c>
      <c r="C28" s="29">
        <v>0.2</v>
      </c>
    </row>
    <row r="29" spans="1:8" x14ac:dyDescent="0.25">
      <c r="A29" s="16" t="s">
        <v>182</v>
      </c>
      <c r="B29" s="29">
        <v>0.1</v>
      </c>
      <c r="C29" s="29">
        <v>0.3</v>
      </c>
    </row>
  </sheetData>
  <mergeCells count="14">
    <mergeCell ref="F10:G10"/>
    <mergeCell ref="F23:G23"/>
    <mergeCell ref="F24:G24"/>
    <mergeCell ref="F11:G11"/>
    <mergeCell ref="F12:G12"/>
    <mergeCell ref="F13:G13"/>
    <mergeCell ref="E15:F15"/>
    <mergeCell ref="E16:F16"/>
    <mergeCell ref="F22:G22"/>
    <mergeCell ref="D2:E2"/>
    <mergeCell ref="D3:E3"/>
    <mergeCell ref="F7:G7"/>
    <mergeCell ref="F8:G8"/>
    <mergeCell ref="F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topLeftCell="A16" workbookViewId="0">
      <selection activeCell="J39" sqref="J39"/>
    </sheetView>
  </sheetViews>
  <sheetFormatPr defaultRowHeight="15" x14ac:dyDescent="0.25"/>
  <sheetData>
    <row r="3" spans="2:13" x14ac:dyDescent="0.25">
      <c r="C3" s="11" t="s">
        <v>103</v>
      </c>
      <c r="D3" s="273"/>
      <c r="E3" s="273"/>
    </row>
    <row r="4" spans="2:13" x14ac:dyDescent="0.25">
      <c r="E4" s="10"/>
      <c r="F4" s="10"/>
      <c r="G4" s="10"/>
      <c r="H4" s="10"/>
      <c r="I4" s="10"/>
      <c r="J4" s="10"/>
    </row>
    <row r="5" spans="2:13" x14ac:dyDescent="0.25">
      <c r="B5" s="11" t="s">
        <v>104</v>
      </c>
      <c r="C5" s="9" t="s">
        <v>84</v>
      </c>
      <c r="D5" s="274" t="s">
        <v>85</v>
      </c>
      <c r="E5" s="274"/>
      <c r="F5" s="274"/>
      <c r="G5" s="12"/>
      <c r="H5" s="274" t="s">
        <v>86</v>
      </c>
      <c r="I5" s="274"/>
      <c r="J5" s="274"/>
      <c r="K5" s="274" t="s">
        <v>87</v>
      </c>
      <c r="L5" s="274"/>
      <c r="M5" s="274"/>
    </row>
    <row r="6" spans="2:13" x14ac:dyDescent="0.25">
      <c r="B6" s="11">
        <v>1</v>
      </c>
      <c r="C6" s="9"/>
      <c r="D6" s="9" t="s">
        <v>88</v>
      </c>
      <c r="E6" s="9" t="s">
        <v>89</v>
      </c>
      <c r="F6" s="9" t="s">
        <v>90</v>
      </c>
      <c r="G6" s="9"/>
      <c r="H6" s="9" t="s">
        <v>88</v>
      </c>
      <c r="I6" s="9" t="s">
        <v>89</v>
      </c>
      <c r="J6" s="9" t="s">
        <v>90</v>
      </c>
      <c r="K6" s="9" t="s">
        <v>88</v>
      </c>
      <c r="L6" s="9" t="s">
        <v>89</v>
      </c>
      <c r="M6" s="9" t="s">
        <v>90</v>
      </c>
    </row>
    <row r="7" spans="2:13" x14ac:dyDescent="0.25">
      <c r="C7" s="8" t="s">
        <v>91</v>
      </c>
      <c r="D7" s="8">
        <v>2.9</v>
      </c>
      <c r="E7" s="8">
        <v>4.33</v>
      </c>
      <c r="F7" s="8">
        <f>D7*E7</f>
        <v>12.557</v>
      </c>
      <c r="G7" s="8" t="s">
        <v>106</v>
      </c>
      <c r="H7" s="8"/>
      <c r="I7" s="8"/>
      <c r="J7" s="8">
        <f>H7*I7</f>
        <v>0</v>
      </c>
      <c r="K7" s="8"/>
      <c r="L7" s="8"/>
      <c r="M7" s="8">
        <f>K7*L7</f>
        <v>0</v>
      </c>
    </row>
    <row r="8" spans="2:13" x14ac:dyDescent="0.25">
      <c r="C8" s="8"/>
      <c r="D8" s="8"/>
      <c r="E8" s="8"/>
      <c r="F8" s="8">
        <f t="shared" ref="F8:F34" si="0">D8*E8</f>
        <v>0</v>
      </c>
      <c r="G8" s="8" t="s">
        <v>107</v>
      </c>
      <c r="H8" s="8"/>
      <c r="I8" s="8"/>
      <c r="J8" s="8">
        <f t="shared" ref="J8:J34" si="1">H8*I8</f>
        <v>0</v>
      </c>
      <c r="K8" s="8"/>
      <c r="L8" s="8"/>
      <c r="M8" s="8">
        <f t="shared" ref="M8:M34" si="2">K8*L8</f>
        <v>0</v>
      </c>
    </row>
    <row r="9" spans="2:13" x14ac:dyDescent="0.25">
      <c r="C9" s="8"/>
      <c r="D9" s="8"/>
      <c r="E9" s="8"/>
      <c r="F9" s="8">
        <f t="shared" si="0"/>
        <v>0</v>
      </c>
      <c r="G9" s="8"/>
      <c r="H9" s="8"/>
      <c r="I9" s="8"/>
      <c r="J9" s="8">
        <f t="shared" si="1"/>
        <v>0</v>
      </c>
      <c r="K9" s="8"/>
      <c r="L9" s="8"/>
      <c r="M9" s="8">
        <f t="shared" si="2"/>
        <v>0</v>
      </c>
    </row>
    <row r="10" spans="2:13" x14ac:dyDescent="0.25">
      <c r="C10" s="8" t="s">
        <v>94</v>
      </c>
      <c r="D10" s="8">
        <v>2.15</v>
      </c>
      <c r="E10" s="8">
        <v>2</v>
      </c>
      <c r="F10" s="8">
        <f t="shared" si="0"/>
        <v>4.3</v>
      </c>
      <c r="G10" s="8" t="s">
        <v>106</v>
      </c>
      <c r="H10" s="8"/>
      <c r="I10" s="8"/>
      <c r="J10" s="8">
        <f t="shared" si="1"/>
        <v>0</v>
      </c>
      <c r="K10" s="8"/>
      <c r="L10" s="8"/>
      <c r="M10" s="8">
        <f t="shared" si="2"/>
        <v>0</v>
      </c>
    </row>
    <row r="11" spans="2:13" x14ac:dyDescent="0.25">
      <c r="C11" s="8"/>
      <c r="D11" s="8"/>
      <c r="E11" s="8"/>
      <c r="F11" s="8">
        <f t="shared" si="0"/>
        <v>0</v>
      </c>
      <c r="G11" s="8" t="s">
        <v>107</v>
      </c>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c r="D13" s="8"/>
      <c r="E13" s="8"/>
      <c r="F13" s="8">
        <f t="shared" si="0"/>
        <v>0</v>
      </c>
      <c r="G13" s="8"/>
      <c r="H13" s="8"/>
      <c r="I13" s="8"/>
      <c r="J13" s="8">
        <f t="shared" si="1"/>
        <v>0</v>
      </c>
      <c r="K13" s="8"/>
      <c r="L13" s="8"/>
      <c r="M13" s="8">
        <f t="shared" si="2"/>
        <v>0</v>
      </c>
    </row>
    <row r="14" spans="2:13" x14ac:dyDescent="0.25">
      <c r="C14" s="8" t="s">
        <v>92</v>
      </c>
      <c r="D14" s="8">
        <v>2.75</v>
      </c>
      <c r="E14" s="8">
        <v>3.16</v>
      </c>
      <c r="F14" s="8">
        <f t="shared" si="0"/>
        <v>8.6900000000000013</v>
      </c>
      <c r="G14" s="8" t="s">
        <v>106</v>
      </c>
      <c r="H14" s="8"/>
      <c r="I14" s="8"/>
      <c r="J14" s="8">
        <f t="shared" si="1"/>
        <v>0</v>
      </c>
      <c r="K14" s="8"/>
      <c r="L14" s="8"/>
      <c r="M14" s="8">
        <f t="shared" si="2"/>
        <v>0</v>
      </c>
    </row>
    <row r="15" spans="2:13" x14ac:dyDescent="0.25">
      <c r="C15" s="8"/>
      <c r="D15" s="8"/>
      <c r="E15" s="8"/>
      <c r="F15" s="8">
        <f t="shared" si="0"/>
        <v>0</v>
      </c>
      <c r="G15" s="8" t="s">
        <v>107</v>
      </c>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c r="D17" s="8"/>
      <c r="E17" s="8"/>
      <c r="F17" s="8">
        <f t="shared" si="0"/>
        <v>0</v>
      </c>
      <c r="G17" s="8"/>
      <c r="H17" s="8"/>
      <c r="I17" s="8"/>
      <c r="J17" s="8">
        <f t="shared" si="1"/>
        <v>0</v>
      </c>
      <c r="K17" s="8"/>
      <c r="L17" s="8"/>
      <c r="M17" s="8">
        <f t="shared" si="2"/>
        <v>0</v>
      </c>
    </row>
    <row r="18" spans="3:13" x14ac:dyDescent="0.25">
      <c r="C18" s="8" t="s">
        <v>93</v>
      </c>
      <c r="D18" s="8"/>
      <c r="E18" s="8"/>
      <c r="F18" s="8">
        <f t="shared" si="0"/>
        <v>0</v>
      </c>
      <c r="G18" s="8" t="s">
        <v>106</v>
      </c>
      <c r="H18" s="8"/>
      <c r="I18" s="8"/>
      <c r="J18" s="8">
        <f t="shared" si="1"/>
        <v>0</v>
      </c>
      <c r="K18" s="8"/>
      <c r="L18" s="8"/>
      <c r="M18" s="8">
        <f t="shared" si="2"/>
        <v>0</v>
      </c>
    </row>
    <row r="19" spans="3:13" x14ac:dyDescent="0.25">
      <c r="C19" s="8"/>
      <c r="D19" s="8"/>
      <c r="E19" s="8"/>
      <c r="F19" s="8">
        <f t="shared" si="0"/>
        <v>0</v>
      </c>
      <c r="G19" s="8" t="s">
        <v>107</v>
      </c>
      <c r="H19" s="8"/>
      <c r="I19" s="8"/>
      <c r="J19" s="8">
        <f t="shared" si="1"/>
        <v>0</v>
      </c>
      <c r="K19" s="8"/>
      <c r="L19" s="8"/>
      <c r="M19" s="8">
        <f t="shared" si="2"/>
        <v>0</v>
      </c>
    </row>
    <row r="20" spans="3:13" x14ac:dyDescent="0.25">
      <c r="C20" s="8"/>
      <c r="D20" s="8"/>
      <c r="E20" s="8"/>
      <c r="F20" s="8">
        <f t="shared" si="0"/>
        <v>0</v>
      </c>
      <c r="G20" s="8"/>
      <c r="H20" s="8"/>
      <c r="I20" s="8"/>
      <c r="J20" s="8">
        <f t="shared" si="1"/>
        <v>0</v>
      </c>
      <c r="K20" s="8"/>
      <c r="L20" s="8"/>
      <c r="M20" s="8">
        <f t="shared" si="2"/>
        <v>0</v>
      </c>
    </row>
    <row r="21" spans="3:13" x14ac:dyDescent="0.25">
      <c r="C21" s="8" t="s">
        <v>93</v>
      </c>
      <c r="D21" s="8"/>
      <c r="E21" s="8"/>
      <c r="F21" s="8">
        <f t="shared" si="0"/>
        <v>0</v>
      </c>
      <c r="G21" s="8" t="s">
        <v>106</v>
      </c>
      <c r="H21" s="8"/>
      <c r="I21" s="8"/>
      <c r="J21" s="8">
        <f t="shared" si="1"/>
        <v>0</v>
      </c>
      <c r="K21" s="8"/>
      <c r="L21" s="8"/>
      <c r="M21" s="8">
        <f t="shared" si="2"/>
        <v>0</v>
      </c>
    </row>
    <row r="22" spans="3:13" x14ac:dyDescent="0.25">
      <c r="C22" s="8"/>
      <c r="D22" s="8"/>
      <c r="E22" s="8"/>
      <c r="F22" s="8">
        <f t="shared" si="0"/>
        <v>0</v>
      </c>
      <c r="G22" s="8" t="s">
        <v>107</v>
      </c>
      <c r="H22" s="8"/>
      <c r="I22" s="8"/>
      <c r="J22" s="8">
        <f t="shared" si="1"/>
        <v>0</v>
      </c>
      <c r="K22" s="8"/>
      <c r="L22" s="8"/>
      <c r="M22" s="8">
        <f t="shared" si="2"/>
        <v>0</v>
      </c>
    </row>
    <row r="23" spans="3:13" x14ac:dyDescent="0.25">
      <c r="C23" s="8"/>
      <c r="D23" s="8"/>
      <c r="E23" s="8"/>
      <c r="F23" s="8">
        <f t="shared" si="0"/>
        <v>0</v>
      </c>
      <c r="G23" s="8"/>
      <c r="H23" s="8"/>
      <c r="I23" s="8"/>
      <c r="J23" s="8">
        <f t="shared" si="1"/>
        <v>0</v>
      </c>
      <c r="K23" s="8"/>
      <c r="L23" s="8"/>
      <c r="M23" s="8">
        <f t="shared" si="2"/>
        <v>0</v>
      </c>
    </row>
    <row r="24" spans="3:13" x14ac:dyDescent="0.25">
      <c r="C24" s="8" t="s">
        <v>99</v>
      </c>
      <c r="D24" s="8">
        <v>1.2</v>
      </c>
      <c r="E24" s="8">
        <v>2.15</v>
      </c>
      <c r="F24" s="8">
        <f t="shared" si="0"/>
        <v>2.5799999999999996</v>
      </c>
      <c r="G24" s="8" t="s">
        <v>108</v>
      </c>
      <c r="H24" s="8"/>
      <c r="I24" s="8"/>
      <c r="J24" s="8">
        <f t="shared" si="1"/>
        <v>0</v>
      </c>
      <c r="K24" s="8"/>
      <c r="L24" s="8"/>
      <c r="M24" s="8">
        <f t="shared" si="2"/>
        <v>0</v>
      </c>
    </row>
    <row r="25" spans="3:13" x14ac:dyDescent="0.25">
      <c r="C25" s="8" t="s">
        <v>100</v>
      </c>
      <c r="D25" s="8"/>
      <c r="E25" s="8"/>
      <c r="F25" s="8">
        <f t="shared" si="0"/>
        <v>0</v>
      </c>
      <c r="G25" s="8" t="s">
        <v>108</v>
      </c>
      <c r="H25" s="8"/>
      <c r="I25" s="8"/>
      <c r="J25" s="8">
        <f t="shared" si="1"/>
        <v>0</v>
      </c>
      <c r="K25" s="8"/>
      <c r="L25" s="8"/>
      <c r="M25" s="8">
        <f t="shared" si="2"/>
        <v>0</v>
      </c>
    </row>
    <row r="26" spans="3:13" x14ac:dyDescent="0.25">
      <c r="C26" s="8" t="s">
        <v>101</v>
      </c>
      <c r="D26" s="8"/>
      <c r="E26" s="8"/>
      <c r="F26" s="8">
        <f t="shared" si="0"/>
        <v>0</v>
      </c>
      <c r="G26" s="8" t="s">
        <v>108</v>
      </c>
      <c r="H26" s="8"/>
      <c r="I26" s="8"/>
      <c r="J26" s="8">
        <f t="shared" si="1"/>
        <v>0</v>
      </c>
      <c r="K26" s="8"/>
      <c r="L26" s="8"/>
      <c r="M26" s="8">
        <f t="shared" si="2"/>
        <v>0</v>
      </c>
    </row>
    <row r="27" spans="3:13" x14ac:dyDescent="0.25">
      <c r="C27" s="8"/>
      <c r="D27" s="8"/>
      <c r="E27" s="8"/>
      <c r="F27" s="8">
        <f t="shared" si="0"/>
        <v>0</v>
      </c>
      <c r="G27" s="8"/>
      <c r="H27" s="8"/>
      <c r="I27" s="8"/>
      <c r="J27" s="8">
        <f t="shared" si="1"/>
        <v>0</v>
      </c>
      <c r="K27" s="8"/>
      <c r="L27" s="8"/>
      <c r="M27" s="8">
        <f t="shared" si="2"/>
        <v>0</v>
      </c>
    </row>
    <row r="28" spans="3:13" x14ac:dyDescent="0.25">
      <c r="C28" s="8" t="s">
        <v>95</v>
      </c>
      <c r="D28" s="8">
        <v>1.3</v>
      </c>
      <c r="E28" s="8">
        <v>0.9</v>
      </c>
      <c r="F28" s="8">
        <f t="shared" si="0"/>
        <v>1.1700000000000002</v>
      </c>
      <c r="G28" s="8"/>
      <c r="H28" s="8"/>
      <c r="I28" s="8"/>
      <c r="J28" s="8">
        <f t="shared" si="1"/>
        <v>0</v>
      </c>
      <c r="K28" s="8"/>
      <c r="L28" s="8"/>
      <c r="M28" s="8">
        <f t="shared" si="2"/>
        <v>0</v>
      </c>
    </row>
    <row r="29" spans="3:13" x14ac:dyDescent="0.25">
      <c r="C29" s="8" t="s">
        <v>96</v>
      </c>
      <c r="D29" s="8"/>
      <c r="E29" s="8"/>
      <c r="F29" s="8">
        <f t="shared" si="0"/>
        <v>0</v>
      </c>
      <c r="G29" s="8"/>
      <c r="H29" s="8"/>
      <c r="I29" s="8"/>
      <c r="J29" s="8">
        <f t="shared" si="1"/>
        <v>0</v>
      </c>
      <c r="K29" s="8"/>
      <c r="L29" s="8"/>
      <c r="M29" s="8">
        <f t="shared" si="2"/>
        <v>0</v>
      </c>
    </row>
    <row r="30" spans="3:13" x14ac:dyDescent="0.25">
      <c r="C30" s="8" t="s">
        <v>97</v>
      </c>
      <c r="D30" s="8"/>
      <c r="E30" s="8"/>
      <c r="F30" s="8">
        <f t="shared" si="0"/>
        <v>0</v>
      </c>
      <c r="G30" s="8"/>
      <c r="H30" s="8"/>
      <c r="I30" s="8"/>
      <c r="J30" s="8">
        <f t="shared" si="1"/>
        <v>0</v>
      </c>
      <c r="K30" s="8"/>
      <c r="L30" s="8"/>
      <c r="M30" s="8">
        <f t="shared" si="2"/>
        <v>0</v>
      </c>
    </row>
    <row r="31" spans="3:13" x14ac:dyDescent="0.25">
      <c r="C31" s="8" t="s">
        <v>98</v>
      </c>
      <c r="D31" s="8"/>
      <c r="E31" s="8"/>
      <c r="F31" s="8">
        <f t="shared" si="0"/>
        <v>0</v>
      </c>
      <c r="G31" s="8"/>
      <c r="H31" s="8"/>
      <c r="I31" s="8"/>
      <c r="J31" s="8">
        <f t="shared" si="1"/>
        <v>0</v>
      </c>
      <c r="K31" s="8"/>
      <c r="L31" s="8"/>
      <c r="M31" s="8">
        <f t="shared" si="2"/>
        <v>0</v>
      </c>
    </row>
    <row r="32" spans="3:13" x14ac:dyDescent="0.25">
      <c r="C32" s="8"/>
      <c r="D32" s="8"/>
      <c r="E32" s="8"/>
      <c r="F32" s="8">
        <f t="shared" si="0"/>
        <v>0</v>
      </c>
      <c r="G32" s="8"/>
      <c r="H32" s="8"/>
      <c r="I32" s="8"/>
      <c r="J32" s="8">
        <f t="shared" si="1"/>
        <v>0</v>
      </c>
      <c r="K32" s="8"/>
      <c r="L32" s="8"/>
      <c r="M32" s="8">
        <f t="shared" si="2"/>
        <v>0</v>
      </c>
    </row>
    <row r="33" spans="3:13" x14ac:dyDescent="0.25">
      <c r="C33" s="8"/>
      <c r="D33" s="8"/>
      <c r="E33" s="8"/>
      <c r="F33" s="8">
        <f t="shared" si="0"/>
        <v>0</v>
      </c>
      <c r="G33" s="8"/>
      <c r="H33" s="8"/>
      <c r="I33" s="8"/>
      <c r="J33" s="8">
        <f t="shared" si="1"/>
        <v>0</v>
      </c>
      <c r="K33" s="8"/>
      <c r="L33" s="8"/>
      <c r="M33" s="8">
        <f t="shared" si="2"/>
        <v>0</v>
      </c>
    </row>
    <row r="34" spans="3:13" x14ac:dyDescent="0.25">
      <c r="C34" s="8"/>
      <c r="D34" s="8"/>
      <c r="E34" s="8"/>
      <c r="F34" s="8">
        <f t="shared" si="0"/>
        <v>0</v>
      </c>
      <c r="G34" s="8"/>
      <c r="H34" s="8"/>
      <c r="I34" s="8"/>
      <c r="J34" s="8">
        <f t="shared" si="1"/>
        <v>0</v>
      </c>
      <c r="K34" s="8"/>
      <c r="L34" s="8"/>
      <c r="M34" s="8">
        <f t="shared" si="2"/>
        <v>0</v>
      </c>
    </row>
    <row r="35" spans="3:13" x14ac:dyDescent="0.25">
      <c r="C35" s="8" t="s">
        <v>102</v>
      </c>
      <c r="D35" s="8"/>
      <c r="E35" s="8">
        <f>F35*10.764</f>
        <v>315.35290800000001</v>
      </c>
      <c r="F35" s="8">
        <f>SUM(F7:F34)</f>
        <v>29.297000000000001</v>
      </c>
      <c r="G35" s="8"/>
      <c r="H35" s="8"/>
      <c r="I35" s="8">
        <f>J35*10.764</f>
        <v>0</v>
      </c>
      <c r="J35" s="8">
        <f>SUM(J7:J34)</f>
        <v>0</v>
      </c>
      <c r="K35" s="8"/>
      <c r="L35" s="8">
        <f>M35*10.764</f>
        <v>0</v>
      </c>
      <c r="M35" s="8">
        <f>SUM(M7:M34)</f>
        <v>0</v>
      </c>
    </row>
  </sheetData>
  <mergeCells count="4">
    <mergeCell ref="D3:E3"/>
    <mergeCell ref="D5:F5"/>
    <mergeCell ref="H5:J5"/>
    <mergeCell ref="K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Valutation</vt:lpstr>
      <vt:lpstr>Note</vt:lpstr>
      <vt:lpstr>1A%</vt:lpstr>
      <vt:lpstr>1B%</vt:lpstr>
      <vt:lpstr>1C%</vt:lpstr>
      <vt:lpstr>2%</vt:lpstr>
      <vt:lpstr>3%</vt:lpstr>
      <vt:lpstr>Wing B</vt:lpstr>
      <vt:lpstr>Wing C</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2025-07-15T13:59:26Z</cp:lastPrinted>
  <dcterms:created xsi:type="dcterms:W3CDTF">2013-11-23T05:32:33Z</dcterms:created>
  <dcterms:modified xsi:type="dcterms:W3CDTF">2025-07-16T11:15:03Z</dcterms:modified>
</cp:coreProperties>
</file>