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July 25\Dump\"/>
    </mc:Choice>
  </mc:AlternateContent>
  <xr:revisionPtr revIDLastSave="0" documentId="13_ncr:1_{1DA5DAC2-E2D0-4DE6-A66E-A1D28C88D742}" xr6:coauthVersionLast="36" xr6:coauthVersionMax="47" xr10:uidLastSave="{00000000-0000-0000-0000-000000000000}"/>
  <bookViews>
    <workbookView xWindow="0" yWindow="0" windowWidth="20490" windowHeight="71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I145" i="1"/>
  <c r="D209" i="1"/>
  <c r="F209" i="1" s="1"/>
  <c r="H209" i="1" s="1"/>
  <c r="D208" i="1"/>
  <c r="F208" i="1" s="1"/>
  <c r="H208" i="1" s="1"/>
  <c r="D207" i="1"/>
  <c r="F207" i="1" s="1"/>
  <c r="H207" i="1" s="1"/>
  <c r="D206" i="1"/>
  <c r="F206" i="1" s="1"/>
  <c r="H206" i="1" s="1"/>
  <c r="D205" i="1"/>
  <c r="F205" i="1" s="1"/>
  <c r="H205" i="1" s="1"/>
  <c r="D204" i="1"/>
  <c r="F204" i="1" s="1"/>
  <c r="H204" i="1" s="1"/>
  <c r="D203" i="1"/>
  <c r="F203" i="1" s="1"/>
  <c r="H203" i="1" s="1"/>
  <c r="D202" i="1"/>
  <c r="F202" i="1" s="1"/>
  <c r="H202" i="1" s="1"/>
  <c r="D201" i="1"/>
  <c r="F201" i="1" s="1"/>
  <c r="H201" i="1" s="1"/>
  <c r="D198" i="1"/>
  <c r="F198" i="1" s="1"/>
  <c r="H198" i="1" s="1"/>
  <c r="J197" i="1"/>
  <c r="D197" i="1"/>
  <c r="F197" i="1" s="1"/>
  <c r="H197" i="1" s="1"/>
  <c r="D196" i="1"/>
  <c r="F196" i="1" s="1"/>
  <c r="H196" i="1" s="1"/>
  <c r="D195" i="1"/>
  <c r="F195" i="1" s="1"/>
  <c r="H195" i="1" s="1"/>
  <c r="D194" i="1"/>
  <c r="F194" i="1" s="1"/>
  <c r="H194" i="1" s="1"/>
  <c r="D193" i="1"/>
  <c r="F193" i="1" s="1"/>
  <c r="H193" i="1" s="1"/>
  <c r="D192" i="1"/>
  <c r="F192" i="1" s="1"/>
  <c r="H192" i="1" s="1"/>
  <c r="D191" i="1"/>
  <c r="F191" i="1" s="1"/>
  <c r="H191" i="1" s="1"/>
  <c r="A191" i="1"/>
  <c r="A192" i="1" s="1"/>
  <c r="A193" i="1" s="1"/>
  <c r="A194" i="1" s="1"/>
  <c r="A195" i="1" s="1"/>
  <c r="A196" i="1" s="1"/>
  <c r="A197" i="1" s="1"/>
  <c r="A198" i="1" s="1"/>
  <c r="A199" i="1" s="1"/>
  <c r="A200" i="1" s="1"/>
  <c r="A201" i="1" s="1"/>
  <c r="A202" i="1" s="1"/>
  <c r="A203" i="1" s="1"/>
  <c r="A204" i="1" s="1"/>
  <c r="A205" i="1" s="1"/>
  <c r="A206" i="1" s="1"/>
  <c r="A207" i="1" s="1"/>
  <c r="A208" i="1" s="1"/>
  <c r="A209" i="1" s="1"/>
  <c r="A210" i="1" s="1"/>
  <c r="J190" i="1"/>
  <c r="D190" i="1"/>
  <c r="F190" i="1" s="1"/>
  <c r="H190" i="1" s="1"/>
  <c r="D186" i="1"/>
  <c r="F186" i="1" s="1"/>
  <c r="H186" i="1" s="1"/>
  <c r="D185" i="1"/>
  <c r="F185" i="1" s="1"/>
  <c r="H185" i="1" s="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6" i="1"/>
  <c r="F176" i="1" s="1"/>
  <c r="H176" i="1" s="1"/>
  <c r="J175" i="1"/>
  <c r="D175" i="1"/>
  <c r="F175" i="1" s="1"/>
  <c r="H175" i="1" s="1"/>
  <c r="D174" i="1"/>
  <c r="F174" i="1" s="1"/>
  <c r="H174" i="1" s="1"/>
  <c r="D173" i="1"/>
  <c r="F173" i="1" s="1"/>
  <c r="H173" i="1" s="1"/>
  <c r="D172" i="1"/>
  <c r="F172" i="1" s="1"/>
  <c r="H172" i="1" s="1"/>
  <c r="D171" i="1"/>
  <c r="F171" i="1" s="1"/>
  <c r="H171" i="1" s="1"/>
  <c r="D170" i="1"/>
  <c r="F170" i="1" s="1"/>
  <c r="H170" i="1" s="1"/>
  <c r="D169" i="1"/>
  <c r="F169" i="1" s="1"/>
  <c r="H169" i="1" s="1"/>
  <c r="A169" i="1"/>
  <c r="A170" i="1" s="1"/>
  <c r="A171" i="1" s="1"/>
  <c r="A172" i="1" s="1"/>
  <c r="A173" i="1" s="1"/>
  <c r="A174" i="1" s="1"/>
  <c r="A175" i="1" s="1"/>
  <c r="A176" i="1" s="1"/>
  <c r="A177" i="1" s="1"/>
  <c r="A178" i="1" s="1"/>
  <c r="A179" i="1" s="1"/>
  <c r="A180" i="1" s="1"/>
  <c r="A181" i="1" s="1"/>
  <c r="A182" i="1" s="1"/>
  <c r="A183" i="1" s="1"/>
  <c r="A184" i="1" s="1"/>
  <c r="A185" i="1" s="1"/>
  <c r="A186" i="1" s="1"/>
  <c r="A187" i="1" s="1"/>
  <c r="A188" i="1" s="1"/>
  <c r="J168" i="1"/>
  <c r="D168" i="1"/>
  <c r="F168" i="1" s="1"/>
  <c r="H168" i="1" s="1"/>
  <c r="D166" i="1"/>
  <c r="F166" i="1" s="1"/>
  <c r="H166" i="1" s="1"/>
  <c r="D165" i="1"/>
  <c r="F165" i="1" s="1"/>
  <c r="H165" i="1" s="1"/>
  <c r="D164" i="1"/>
  <c r="F164" i="1" s="1"/>
  <c r="H164" i="1" s="1"/>
  <c r="D163" i="1"/>
  <c r="F163" i="1" s="1"/>
  <c r="H163"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J153" i="1"/>
  <c r="D153" i="1"/>
  <c r="F153" i="1" s="1"/>
  <c r="H153" i="1" s="1"/>
  <c r="D152" i="1"/>
  <c r="F152" i="1" s="1"/>
  <c r="H152" i="1" s="1"/>
  <c r="D151" i="1"/>
  <c r="F151" i="1" s="1"/>
  <c r="H151" i="1" s="1"/>
  <c r="D150" i="1"/>
  <c r="F150" i="1" s="1"/>
  <c r="H150" i="1" s="1"/>
  <c r="D149" i="1"/>
  <c r="F149" i="1" s="1"/>
  <c r="H149" i="1" s="1"/>
  <c r="D148" i="1"/>
  <c r="F148" i="1" s="1"/>
  <c r="H148" i="1" s="1"/>
  <c r="D147" i="1"/>
  <c r="F147" i="1" s="1"/>
  <c r="H147" i="1" s="1"/>
  <c r="A147" i="1"/>
  <c r="A148" i="1" s="1"/>
  <c r="A149" i="1" s="1"/>
  <c r="A150" i="1" s="1"/>
  <c r="A151" i="1" s="1"/>
  <c r="A152" i="1" s="1"/>
  <c r="A153" i="1" s="1"/>
  <c r="A154" i="1" s="1"/>
  <c r="A155" i="1" s="1"/>
  <c r="A156" i="1" s="1"/>
  <c r="A157" i="1" s="1"/>
  <c r="A158" i="1" s="1"/>
  <c r="A159" i="1" s="1"/>
  <c r="A160" i="1" s="1"/>
  <c r="A161" i="1" s="1"/>
  <c r="A162" i="1" s="1"/>
  <c r="A163" i="1" s="1"/>
  <c r="A164" i="1" s="1"/>
  <c r="A165" i="1" s="1"/>
  <c r="A166" i="1" s="1"/>
  <c r="J146" i="1"/>
  <c r="D146" i="1"/>
  <c r="F146" i="1" s="1"/>
  <c r="H146" i="1" s="1"/>
  <c r="D144" i="1"/>
  <c r="F144" i="1" s="1"/>
  <c r="H144" i="1" s="1"/>
  <c r="D143" i="1"/>
  <c r="F143" i="1" s="1"/>
  <c r="H143" i="1" s="1"/>
  <c r="D142" i="1"/>
  <c r="F142" i="1" s="1"/>
  <c r="H142" i="1" s="1"/>
  <c r="D141" i="1"/>
  <c r="F141" i="1" s="1"/>
  <c r="H141" i="1" s="1"/>
  <c r="D140" i="1"/>
  <c r="F140" i="1" s="1"/>
  <c r="H140" i="1" s="1"/>
  <c r="D139" i="1"/>
  <c r="F139" i="1" s="1"/>
  <c r="H139" i="1" s="1"/>
  <c r="D138" i="1"/>
  <c r="F138" i="1" s="1"/>
  <c r="H138" i="1" s="1"/>
  <c r="D137" i="1"/>
  <c r="F137" i="1" s="1"/>
  <c r="H137" i="1" s="1"/>
  <c r="D136" i="1"/>
  <c r="F136" i="1" s="1"/>
  <c r="H136" i="1" s="1"/>
  <c r="D135" i="1"/>
  <c r="F135" i="1" s="1"/>
  <c r="H135" i="1" s="1"/>
  <c r="D134" i="1"/>
  <c r="F134" i="1" s="1"/>
  <c r="H134" i="1" s="1"/>
  <c r="D133" i="1"/>
  <c r="F133" i="1" s="1"/>
  <c r="H133" i="1" s="1"/>
  <c r="D132" i="1"/>
  <c r="F132" i="1" s="1"/>
  <c r="H132" i="1" s="1"/>
  <c r="D131" i="1"/>
  <c r="F131" i="1" s="1"/>
  <c r="H131" i="1" s="1"/>
  <c r="D130" i="1"/>
  <c r="F130" i="1" s="1"/>
  <c r="H130" i="1" s="1"/>
  <c r="D129" i="1"/>
  <c r="F129" i="1" s="1"/>
  <c r="H129" i="1" s="1"/>
  <c r="D128" i="1"/>
  <c r="D127" i="1"/>
  <c r="D126" i="1"/>
  <c r="D125" i="1"/>
  <c r="D124" i="1"/>
  <c r="J131" i="1"/>
  <c r="J124" i="1"/>
  <c r="C51" i="1"/>
  <c r="C52" i="1" s="1"/>
  <c r="G51" i="1"/>
  <c r="E43" i="1"/>
  <c r="E44" i="1" s="1"/>
  <c r="E45" i="1" s="1"/>
  <c r="C104" i="1" l="1"/>
  <c r="D63" i="1"/>
  <c r="C16" i="1" l="1"/>
  <c r="I15" i="1" l="1"/>
  <c r="F113" i="1" l="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E44" i="7" s="1"/>
  <c r="I42" i="7"/>
  <c r="H42" i="7" s="1"/>
  <c r="D42" i="7" l="1"/>
  <c r="D44" i="7"/>
  <c r="B213" i="1"/>
  <c r="F114" i="1" l="1"/>
  <c r="H114" i="1" s="1"/>
  <c r="F115" i="1"/>
  <c r="H115" i="1" s="1"/>
  <c r="F116" i="1"/>
  <c r="H116" i="1" s="1"/>
  <c r="H113" i="1"/>
  <c r="G59" i="1" l="1"/>
  <c r="C59" i="1"/>
  <c r="G57" i="1"/>
  <c r="C57" i="1"/>
  <c r="C55" i="1"/>
  <c r="S33" i="1" l="1"/>
  <c r="F11" i="5" l="1"/>
  <c r="G11" i="5" s="1"/>
  <c r="F10" i="5"/>
  <c r="G10" i="5" s="1"/>
  <c r="F9" i="5"/>
  <c r="G9" i="5" s="1"/>
  <c r="F8" i="5"/>
  <c r="G8" i="5" s="1"/>
  <c r="F7" i="5"/>
  <c r="G7" i="5" s="1"/>
  <c r="F6" i="5"/>
  <c r="G6" i="5" s="1"/>
  <c r="F5" i="5"/>
  <c r="G5" i="5" s="1"/>
  <c r="G12" i="5" s="1"/>
  <c r="D236" i="1"/>
  <c r="B214" i="1"/>
  <c r="F128" i="1"/>
  <c r="H128" i="1" s="1"/>
  <c r="F127" i="1"/>
  <c r="H127" i="1" s="1"/>
  <c r="F126" i="1"/>
  <c r="H126" i="1" s="1"/>
  <c r="F125" i="1"/>
  <c r="H125" i="1" s="1"/>
  <c r="F124" i="1"/>
  <c r="A125" i="1"/>
  <c r="A126" i="1" s="1"/>
  <c r="A127" i="1" s="1"/>
  <c r="A128" i="1" s="1"/>
  <c r="A129" i="1" s="1"/>
  <c r="A130" i="1" s="1"/>
  <c r="A131" i="1" s="1"/>
  <c r="A132" i="1" s="1"/>
  <c r="A133" i="1" s="1"/>
  <c r="A134" i="1" s="1"/>
  <c r="A135" i="1" s="1"/>
  <c r="A136" i="1" s="1"/>
  <c r="A137" i="1" s="1"/>
  <c r="A138" i="1" s="1"/>
  <c r="A139" i="1" s="1"/>
  <c r="A140" i="1" s="1"/>
  <c r="A141" i="1" s="1"/>
  <c r="A142" i="1" s="1"/>
  <c r="A143" i="1" s="1"/>
  <c r="A144" i="1" s="1"/>
  <c r="A114" i="1"/>
  <c r="A115" i="1" s="1"/>
  <c r="A116" i="1" s="1"/>
  <c r="G107" i="1"/>
  <c r="E107" i="1"/>
  <c r="C107" i="1"/>
  <c r="F101" i="1"/>
  <c r="C74" i="1"/>
  <c r="E28" i="1"/>
  <c r="E26" i="1"/>
  <c r="Z13" i="1"/>
  <c r="E8" i="1"/>
  <c r="E3" i="1"/>
  <c r="D68" i="1" s="1"/>
  <c r="H75" i="1"/>
  <c r="H124" i="1" l="1"/>
  <c r="G104" i="1" s="1"/>
  <c r="E104" i="1"/>
  <c r="J74" i="1"/>
  <c r="J77" i="1" s="1"/>
  <c r="J78" i="1"/>
  <c r="J79" i="1"/>
  <c r="J80" i="1"/>
  <c r="C79" i="1" s="1"/>
  <c r="D83" i="1"/>
  <c r="D85" i="1"/>
  <c r="D84" i="1"/>
  <c r="D88" i="1"/>
  <c r="D82" i="1"/>
  <c r="D87" i="1"/>
  <c r="D81" i="1"/>
  <c r="D86" i="1"/>
  <c r="B75" i="1"/>
  <c r="J81" i="1" s="1"/>
  <c r="D79" i="1" l="1"/>
  <c r="J85" i="1"/>
  <c r="J83" i="1"/>
  <c r="J84" i="1"/>
  <c r="J82" i="1"/>
  <c r="J87" i="1" s="1"/>
  <c r="J88" i="1" s="1"/>
  <c r="C80" i="1" s="1"/>
  <c r="J86" i="1"/>
  <c r="J75" i="1" l="1"/>
  <c r="E79" i="1"/>
  <c r="D80" i="1"/>
  <c r="I75" i="1" s="1"/>
  <c r="G79" i="1"/>
  <c r="D72" i="1" s="1"/>
  <c r="F73" i="1" l="1"/>
  <c r="D73" i="1"/>
  <c r="I77" i="1"/>
  <c r="I74" i="1" s="1"/>
  <c r="C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9"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<sst xmlns="http://schemas.openxmlformats.org/spreadsheetml/2006/main" count="670" uniqueCount="390">
  <si>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</si>
  <si>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</si>
  <si>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</si>
  <si>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</si>
  <si>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</si>
  <si>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</si>
  <si>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</si>
  <si>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</si>
  <si>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</si>
  <si>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</si>
  <si>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</si>
  <si>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</si>
  <si>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</si>
  <si>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</si>
  <si>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</si>
  <si>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</si>
  <si>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</si>
  <si>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</si>
  <si>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</si>
  <si>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</si>
  <si>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</si>
  <si>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</si>
  <si>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</si>
  <si>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</si>
  <si>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</si>
  <si>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</si>
  <si>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</si>
  <si>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</si>
  <si>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</si>
  <si>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</si>
  <si>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</si>
  <si>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</si>
  <si>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</si>
  <si>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</si>
  <si>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</si>
  <si>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</si>
  <si>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</si>
  <si>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</si>
  <si>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</si>
  <si>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</si>
  <si>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</si>
  <si>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</si>
  <si>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</si>
  <si>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</si>
  <si>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</si>
  <si>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</si>
  <si>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</si>
  <si>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</si>
  <si>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</si>
  <si>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</si>
  <si>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</si>
  <si>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</si>
  <si>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</si>
  <si>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</si>
  <si>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</si>
  <si>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</si>
  <si>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</si>
  <si>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</si>
  <si>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</si>
  <si>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</si>
  <si>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</si>
  <si>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</si>
  <si>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</si>
  <si>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</si>
  <si>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</si>
  <si>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</si>
  <si>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</si>
  <si>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</si>
  <si>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</si>
  <si>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</si>
  <si>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</si>
  <si>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</si>
  <si>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</si>
  <si>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</si>
  <si>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</si>
  <si>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</si>
  <si>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</si>
  <si>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</si>
  <si>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</si>
  <si>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</si>
  <si>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</si>
  <si>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</si>
  <si>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</si>
  <si>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</si>
  <si>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</si>
  <si>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</si>
  <si>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</si>
  <si>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</si>
  <si>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</si>
  <si>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</si>
  <si>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</si>
  <si>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</si>
  <si>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</si>
  <si>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</si>
  <si>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</si>
  <si>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</si>
  <si>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</si>
  <si>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</si>
  <si>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</si>
  <si>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</si>
  <si>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</si>
  <si>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</si>
  <si>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</si>
  <si>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</si>
  <si>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</si>
  <si>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</si>
  <si>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</si>
  <si>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</si>
  <si>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</si>
  <si>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</si>
  <si>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</si>
  <si>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</si>
  <si>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</si>
  <si>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</si>
  <si>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</si>
  <si>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</si>
  <si>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</si>
  <si>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</si>
  <si>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</si>
  <si>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</si>
  <si>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</si>
  <si>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</si>
  <si>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</si>
  <si>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</si>
  <si>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</si>
  <si>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</si>
  <si>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</si>
  <si>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</si>
  <si>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</si>
  <si>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</si>
  <si>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</si>
  <si>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</si>
  <si>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</si>
  <si>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</si>
  <si>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</si>
  <si>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</si>
  <si>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</si>
  <si>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</si>
  <si>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</si>
  <si>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</si>
  <si>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</si>
  <si>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</si>
  <si>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</si>
  <si>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</si>
  <si>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</si>
  <si>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</si>
  <si>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</si>
  <si>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</si>
  <si>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</si>
  <si>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</si>
  <si>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</si>
  <si>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</si>
  <si>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</si>
  <si>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</si>
  <si>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</si>
  <si>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</si>
  <si>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</si>
  <si>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</si>
  <si>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</si>
  <si>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</si>
  <si>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</si>
  <si>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</si>
  <si>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</si>
  <si>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</si>
  <si>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</si>
  <si>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</si>
  <si>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</si>
  <si>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</si>
  <si>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</si>
  <si>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</si>
  <si>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</si>
  <si>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</si>
  <si>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</si>
  <si>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</si>
  <si>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</si>
  <si>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</si>
  <si>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</si>
  <si>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</si>
  <si>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</si>
  <si>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</si>
  <si>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</si>
  <si>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</si>
  <si>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</si>
  <si>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</si>
  <si>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</si>
  <si>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</si>
  <si>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</si>
  <si>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</si>
  <si>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</si>
  <si>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</si>
  <si>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</si>
  <si>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</si>
  <si>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</si>
  <si>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</si>
  <si>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</si>
  <si>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</si>
  <si>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</si>
  <si>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</si>
  <si>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</si>
  <si>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</si>
  <si>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</si>
  <si>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</si>
  <si>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</si>
  <si>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</si>
  <si>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</si>
  <si>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</si>
  <si>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</si>
  <si>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</si>
  <si>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</si>
  <si>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</si>
  <si>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</si>
  <si>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</si>
  <si>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</si>
  <si>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</si>
  <si>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</si>
  <si>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</si>
  <si>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</si>
  <si>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</si>
  <si>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</si>
  <si>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</si>
  <si>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</si>
  <si>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</si>
  <si>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</si>
  <si>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</si>
  <si>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</si>
  <si>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</si>
  <si>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</si>
  <si>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</si>
  <si>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</si>
  <si>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</si>
  <si>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</si>
  <si>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</si>
  <si>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</si>
  <si>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</si>
  <si>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</si>
  <si>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</si>
  <si>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</si>
  <si>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</si>
  <si>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</si>
  <si>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</si>
  <si>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</si>
  <si>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</si>
  <si>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</si>
  <si>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</si>
  <si>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</si>
  <si>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</si>
  <si>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</si>
  <si>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</si>
  <si>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</si>
  <si>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</si>
  <si>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</si>
  <si>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</si>
  <si>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</si>
  <si>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</si>
  <si>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</si>
  <si>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</si>
  <si>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</si>
  <si>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</si>
  <si>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</si>
  <si>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</si>
  <si>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</si>
  <si>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</si>
  <si>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</si>
  <si>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</si>
  <si>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</si>
  <si>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</si>
  <si>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</si>
  <si>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</si>
  <si>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</si>
  <si>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</si>
  <si>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</si>
  <si>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</si>
  <si>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</si>
  <si>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</si>
  <si>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</si>
  <si>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</si>
  <si>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</si>
  <si>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</si>
  <si>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</si>
  <si>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</si>
  <si>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</si>
  <si>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</si>
  <si>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</si>
  <si>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</si>
  <si>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</si>
  <si>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</si>
  <si>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</si>
  <si>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</si>
  <si>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</si>
  <si>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</si>
  <si>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</si>
  <si>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</si>
  <si>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</si>
  <si>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</si>
  <si>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</si>
  <si>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</si>
  <si>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</si>
  <si>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</si>
  <si>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</si>
  <si>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</si>
  <si>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</si>
  <si>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</si>
  <si>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</si>
  <si>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</si>
  <si>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</si>
  <si>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</si>
  <si>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</si>
  <si>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</si>
  <si>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</si>
  <si>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</si>
  <si>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</si>
  <si>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</si>
  <si>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</si>
  <si>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</si>
  <si>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</si>
  <si>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</si>
  <si>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</si>
  <si>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</si>
  <si>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</si>
  <si>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</si>
  <si>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</si>
  <si>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</si>
  <si>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</si>
  <si>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Building Details Floor Wise</t>
  </si>
  <si>
    <t>Validity of CC is expired on 31/01/2021. Please provide latest approved CC.</t>
  </si>
  <si>
    <t>Primrose MHADA 2</t>
  </si>
  <si>
    <t>Mr. Kunal Kate 9967393445</t>
  </si>
  <si>
    <t>P51700053843</t>
  </si>
  <si>
    <t>6.1 KM from Dombivli Railway Station</t>
  </si>
  <si>
    <t>EWS LIG Building No.2</t>
  </si>
  <si>
    <t>, CC, Sale Plans, Builder Saleable Area, Cost Sheet, Airport Noc, Railway Noc, OC</t>
  </si>
  <si>
    <t>Survey No</t>
  </si>
  <si>
    <t>Usarghar</t>
  </si>
  <si>
    <t>Bhadra Nagar</t>
  </si>
  <si>
    <t>Open Plot</t>
  </si>
  <si>
    <r>
      <t xml:space="preserve">Proposed Amenities :                                                                                                                                                                                                                         </t>
    </r>
    <r>
      <rPr>
        <b/>
        <sz val="12"/>
        <color theme="1"/>
        <rFont val="Times New Roman"/>
        <family val="1"/>
      </rPr>
      <t xml:space="preserve">                                               </t>
    </r>
  </si>
  <si>
    <t>Swimming Pool, Sun Deck, Multipurpose Hall, Indoor Games,
Jogging Track, Landscape Garden, Decorative Entrance Lobby, Etc.</t>
  </si>
  <si>
    <t>Runwal Garden</t>
  </si>
  <si>
    <t>(labour found)
Construction work was not active at the time of Visit. (labour Not found)
All work completed. Wait for OC / OC received.
Work not yet Started.</t>
  </si>
  <si>
    <t>Dombivli East</t>
  </si>
  <si>
    <t>Runwal Gardens Phase I</t>
  </si>
  <si>
    <t>50 (Pt)</t>
  </si>
  <si>
    <t>M/s. Runwal Residency Private Limited</t>
  </si>
  <si>
    <t>EWS LIG Bldg. No.2 = Gr/St + 1st to 23rd Floor</t>
  </si>
  <si>
    <t>Runwal Garden City</t>
  </si>
  <si>
    <t>SROT/Growth Center/2401/BP/ITP-Usarghar-Gharivali-01/Amended CC Phase 8 B. No.43, 44 &amp; 45/Vol-46/527/2024</t>
  </si>
  <si>
    <t xml:space="preserve">Commencement-CC No.
Valid Up to: </t>
  </si>
  <si>
    <t>EWS LIG Building No.2 = Gr/St + 1st to 23rd Floor
Total No.of Tenement = 474</t>
  </si>
  <si>
    <t>We have taken latest approved CC from RERA site on 24/07/2024</t>
  </si>
  <si>
    <t>Other Plot</t>
  </si>
  <si>
    <t>Other Plot/Bus Station</t>
  </si>
  <si>
    <t>EWS Building 1</t>
  </si>
  <si>
    <t>30.00 Wide Road</t>
  </si>
  <si>
    <t>19.182903,73.080267</t>
  </si>
  <si>
    <t>https://maps.app.goo.gl/yv8rmqk3mjGuaLhX7</t>
  </si>
  <si>
    <t>SROT/Growth Center/2401/BP/ITP-Usarghar-Gharivali-01/Part OC B.No.2 (Flat 4 &amp; 5) &amp; EWS LIG B.No. 2 (Stilt + 4 Floor)/ VOL-44/1368/2023</t>
  </si>
  <si>
    <t>Approved Floor plan No.  5th to 23rd Floor</t>
  </si>
  <si>
    <t>SROT/Growth Center/2401/BP/ITP-Usarghar-Gharivali-01/Part OC B.No.2 (Flat 4 &amp; 5) &amp; EWS LIG B.No. 2 (Stilt + 4 Floor)/ VOL-44/1368/2023
EWS LIG Building No.2 = Gr/St + 1st to 4th Floor</t>
  </si>
  <si>
    <t xml:space="preserve">Details of Residential in Building   </t>
  </si>
  <si>
    <t>Ground Floor For Meter Room, Entrance Lobby, Society Office &amp; Parking</t>
  </si>
  <si>
    <t>1st to 4th Floor</t>
  </si>
  <si>
    <t>2BHK</t>
  </si>
  <si>
    <t>1BHK</t>
  </si>
  <si>
    <t>5th to 7th, 9th to 13th, 15th to 18th, 20th to 23rd Floor</t>
  </si>
  <si>
    <t>8th Floor (Part Refuge Area)</t>
  </si>
  <si>
    <t>Refuge Area</t>
  </si>
  <si>
    <t>14th &amp; 19th Floor (Part Refuge Area)</t>
  </si>
  <si>
    <t>We considered Gross carpet area = Net carpet.</t>
  </si>
  <si>
    <t>EWS LIG Building No. 2</t>
  </si>
  <si>
    <t>Sub Plot - 3</t>
  </si>
  <si>
    <t>EWS Building 1/Open Plot</t>
  </si>
  <si>
    <t>Internal Road/Open Plot</t>
  </si>
  <si>
    <t>Flats - 474</t>
  </si>
  <si>
    <t>Approved Floor Plans, CC &amp; OC</t>
  </si>
  <si>
    <t>Kalyan Shilphata Road</t>
  </si>
  <si>
    <t>OC Approved Floor plan No. Gr + 1st to 4th Floor</t>
  </si>
  <si>
    <t xml:space="preserve">Part O. Certificate No.: 
Valid For : </t>
  </si>
  <si>
    <t>We have updated approved plans &amp; Part OC (on 21/08/2024).</t>
  </si>
  <si>
    <t>Building Common Area Maintenace Charges (BCAM)</t>
  </si>
  <si>
    <t>Complex Common Area Maintenace Charges (CCAM)</t>
  </si>
  <si>
    <t>Application entrance fees of the society</t>
  </si>
  <si>
    <t>Formation &amp; Registration of the society</t>
  </si>
  <si>
    <t>Charges towards Water, electricity connection charges</t>
  </si>
  <si>
    <t>Gangaram</t>
  </si>
  <si>
    <t>Miss. Arati : 7400066832</t>
  </si>
  <si>
    <t>Completed</t>
  </si>
  <si>
    <t>Mr. Krishna 9372619071</t>
  </si>
  <si>
    <t>Gaurav Panchal</t>
  </si>
  <si>
    <t>All work Completed. Part OC received. Please provide Full OC.</t>
  </si>
  <si>
    <t>Mr. Ankit 9137940152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</si>
</sst>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7" fillId="0" borderId="0" xfId="0" applyFont="1" applyAlignment="1">
      <alignment horizontal="center" vertical="center"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6"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8" xfId="1" applyNumberFormat="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2"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37" xfId="1" applyFont="1" applyBorder="1" applyAlignment="1" applyProtection="1">
      <alignment horizontal="center" vertical="top" wrapText="1"/>
      <protection locked="0"/>
    </xf>
    <xf numFmtId="0" fontId="7" fillId="0" borderId="16" xfId="1" applyFont="1" applyBorder="1" applyAlignment="1" applyProtection="1">
      <alignment horizontal="center" vertical="top" wrapText="1"/>
      <protection locked="0"/>
    </xf>
    <xf numFmtId="0" fontId="13" fillId="0" borderId="6"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16" xfId="1" applyFont="1" applyBorder="1" applyAlignment="1" applyProtection="1">
      <alignment horizontal="center" vertical="top" wrapText="1"/>
      <protection locked="0"/>
    </xf>
    <xf numFmtId="0" fontId="12" fillId="0" borderId="38" xfId="1" applyFont="1" applyBorder="1" applyAlignment="1" applyProtection="1">
      <alignment horizontal="center" vertical="top" wrapText="1"/>
      <protection locked="0"/>
    </xf>
    <xf numFmtId="2" fontId="6" fillId="0" borderId="0" xfId="1" applyNumberFormat="1" applyFont="1" applyAlignment="1" applyProtection="1">
      <alignment horizontal="left" vertical="top" wrapText="1"/>
      <protection locked="0"/>
    </xf>
    <xf numFmtId="164" fontId="6" fillId="0" borderId="0" xfId="1" applyNumberFormat="1" applyFont="1" applyAlignment="1" applyProtection="1">
      <alignment horizontal="left" vertical="top"/>
      <protection locked="0"/>
    </xf>
    <xf numFmtId="2" fontId="6" fillId="0" borderId="0" xfId="1" applyNumberFormat="1" applyFont="1" applyAlignment="1" applyProtection="1">
      <alignment horizontal="left" vertical="top"/>
      <protection locked="0"/>
    </xf>
    <xf numFmtId="0" fontId="15" fillId="0" borderId="0" xfId="1" applyFont="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39"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13" fillId="0" borderId="35" xfId="1" applyFont="1" applyBorder="1" applyAlignment="1" applyProtection="1">
      <alignment horizontal="center" vertical="top"/>
      <protection locked="0"/>
    </xf>
    <xf numFmtId="9" fontId="13" fillId="0" borderId="8" xfId="1" applyNumberFormat="1" applyFont="1" applyBorder="1" applyAlignment="1" applyProtection="1">
      <alignment horizontal="center" vertical="top"/>
      <protection locked="0"/>
    </xf>
    <xf numFmtId="0" fontId="13" fillId="0" borderId="36" xfId="1" applyFont="1" applyBorder="1" applyAlignment="1" applyProtection="1">
      <alignment horizontal="center"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59</xdr:col>
      <xdr:colOff>545432</xdr:colOff>
      <xdr:row>243</xdr:row>
      <xdr:rowOff>141195</xdr:rowOff>
    </xdr:from>
    <xdr:to>
      <xdr:col>62</xdr:col>
      <xdr:colOff>348952</xdr:colOff>
      <xdr:row>254</xdr:row>
      <xdr:rowOff>99237</xdr:rowOff>
    </xdr:to>
    <xdr:pic>
      <xdr:nvPicPr>
        <xdr:cNvPr id="2" name="Picture 1" descr="https://vsjcllp.vsjadon.com/upload/insp-186763-86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0131332" y="22543995"/>
          <a:ext cx="1632320" cy="20535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589429</xdr:colOff>
      <xdr:row>243</xdr:row>
      <xdr:rowOff>141195</xdr:rowOff>
    </xdr:from>
    <xdr:to>
      <xdr:col>59</xdr:col>
      <xdr:colOff>395190</xdr:colOff>
      <xdr:row>254</xdr:row>
      <xdr:rowOff>99237</xdr:rowOff>
    </xdr:to>
    <xdr:pic>
      <xdr:nvPicPr>
        <xdr:cNvPr id="3" name="Picture 2" descr="https://vsjcllp.vsjadon.com/upload/insp-186763-862.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8346529" y="22543995"/>
          <a:ext cx="1634561" cy="20535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163</xdr:colOff>
      <xdr:row>320</xdr:row>
      <xdr:rowOff>108243</xdr:rowOff>
    </xdr:from>
    <xdr:to>
      <xdr:col>6</xdr:col>
      <xdr:colOff>463364</xdr:colOff>
      <xdr:row>337</xdr:row>
      <xdr:rowOff>11207</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62163" y="55638993"/>
          <a:ext cx="4549426" cy="3303388"/>
        </a:xfrm>
        <a:prstGeom prst="rect">
          <a:avLst/>
        </a:prstGeom>
        <a:ln>
          <a:solidFill>
            <a:sysClr val="windowText" lastClr="000000"/>
          </a:solidFill>
        </a:ln>
      </xdr:spPr>
    </xdr:pic>
    <xdr:clientData/>
  </xdr:twoCellAnchor>
  <xdr:twoCellAnchor editAs="oneCell">
    <xdr:from>
      <xdr:col>44</xdr:col>
      <xdr:colOff>199197</xdr:colOff>
      <xdr:row>6</xdr:row>
      <xdr:rowOff>127138</xdr:rowOff>
    </xdr:from>
    <xdr:to>
      <xdr:col>50</xdr:col>
      <xdr:colOff>338869</xdr:colOff>
      <xdr:row>20</xdr:row>
      <xdr:rowOff>28262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30641097" y="1727338"/>
          <a:ext cx="3797272" cy="3086956"/>
        </a:xfrm>
        <a:prstGeom prst="rect">
          <a:avLst/>
        </a:prstGeom>
      </xdr:spPr>
    </xdr:pic>
    <xdr:clientData/>
  </xdr:twoCellAnchor>
  <xdr:twoCellAnchor>
    <xdr:from>
      <xdr:col>0</xdr:col>
      <xdr:colOff>342901</xdr:colOff>
      <xdr:row>337</xdr:row>
      <xdr:rowOff>123825</xdr:rowOff>
    </xdr:from>
    <xdr:to>
      <xdr:col>7</xdr:col>
      <xdr:colOff>230259</xdr:colOff>
      <xdr:row>359</xdr:row>
      <xdr:rowOff>162624</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342901" y="67427475"/>
          <a:ext cx="5440433" cy="4439349"/>
          <a:chOff x="371476" y="59035950"/>
          <a:chExt cx="5469008" cy="4439349"/>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71476" y="59035950"/>
            <a:ext cx="5469008" cy="4439349"/>
          </a:xfrm>
          <a:prstGeom prst="rect">
            <a:avLst/>
          </a:prstGeom>
          <a:ln>
            <a:solidFill>
              <a:schemeClr val="tx1"/>
            </a:solidFill>
          </a:ln>
        </xdr:spPr>
      </xdr:pic>
      <xdr:sp macro="" textlink="">
        <xdr:nvSpPr>
          <xdr:cNvPr id="5" name="L-Shape 4">
            <a:extLst>
              <a:ext uri="{FF2B5EF4-FFF2-40B4-BE49-F238E27FC236}">
                <a16:creationId xmlns:a16="http://schemas.microsoft.com/office/drawing/2014/main" id="{00000000-0008-0000-0000-000005000000}"/>
              </a:ext>
            </a:extLst>
          </xdr:cNvPr>
          <xdr:cNvSpPr/>
        </xdr:nvSpPr>
        <xdr:spPr>
          <a:xfrm rot="19500217">
            <a:off x="1518498" y="60568309"/>
            <a:ext cx="877780" cy="1021504"/>
          </a:xfrm>
          <a:prstGeom prst="corner">
            <a:avLst>
              <a:gd name="adj1" fmla="val 37464"/>
              <a:gd name="adj2" fmla="val 36309"/>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328110</xdr:colOff>
      <xdr:row>17</xdr:row>
      <xdr:rowOff>168136</xdr:rowOff>
    </xdr:from>
    <xdr:to>
      <xdr:col>16</xdr:col>
      <xdr:colOff>492480</xdr:colOff>
      <xdr:row>22</xdr:row>
      <xdr:rowOff>78263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6643185" y="4178161"/>
          <a:ext cx="6936645" cy="1138852"/>
        </a:xfrm>
        <a:prstGeom prst="rect">
          <a:avLst/>
        </a:prstGeom>
      </xdr:spPr>
    </xdr:pic>
    <xdr:clientData/>
  </xdr:twoCellAnchor>
  <xdr:twoCellAnchor editAs="oneCell">
    <xdr:from>
      <xdr:col>8</xdr:col>
      <xdr:colOff>234468</xdr:colOff>
      <xdr:row>51</xdr:row>
      <xdr:rowOff>835717</xdr:rowOff>
    </xdr:from>
    <xdr:to>
      <xdr:col>12</xdr:col>
      <xdr:colOff>281643</xdr:colOff>
      <xdr:row>52</xdr:row>
      <xdr:rowOff>692867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549543" y="13542067"/>
          <a:ext cx="3600000" cy="733450"/>
        </a:xfrm>
        <a:prstGeom prst="rect">
          <a:avLst/>
        </a:prstGeom>
        <a:ln>
          <a:solidFill>
            <a:schemeClr val="tx1"/>
          </a:solidFill>
        </a:ln>
      </xdr:spPr>
    </xdr:pic>
    <xdr:clientData/>
  </xdr:twoCellAnchor>
  <xdr:twoCellAnchor editAs="oneCell">
    <xdr:from>
      <xdr:col>8</xdr:col>
      <xdr:colOff>182095</xdr:colOff>
      <xdr:row>52</xdr:row>
      <xdr:rowOff>646580</xdr:rowOff>
    </xdr:from>
    <xdr:to>
      <xdr:col>12</xdr:col>
      <xdr:colOff>229270</xdr:colOff>
      <xdr:row>60</xdr:row>
      <xdr:rowOff>241655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497170" y="14229230"/>
          <a:ext cx="3600000" cy="900000"/>
        </a:xfrm>
        <a:prstGeom prst="rect">
          <a:avLst/>
        </a:prstGeom>
        <a:ln>
          <a:solidFill>
            <a:schemeClr val="tx1"/>
          </a:solidFill>
        </a:ln>
      </xdr:spPr>
    </xdr:pic>
    <xdr:clientData/>
  </xdr:twoCellAnchor>
  <xdr:twoCellAnchor>
    <xdr:from>
      <xdr:col>0</xdr:col>
      <xdr:colOff>285750</xdr:colOff>
      <xdr:row>279</xdr:row>
      <xdr:rowOff>57150</xdr:rowOff>
    </xdr:from>
    <xdr:to>
      <xdr:col>7</xdr:col>
      <xdr:colOff>464100</xdr:colOff>
      <xdr:row>316</xdr:row>
      <xdr:rowOff>97801</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85750" y="55759350"/>
          <a:ext cx="5731425" cy="7441576"/>
          <a:chOff x="261937" y="1310595"/>
          <a:chExt cx="5760000" cy="7441576"/>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a:stretch>
            <a:fillRect/>
          </a:stretch>
        </xdr:blipFill>
        <xdr:spPr>
          <a:xfrm>
            <a:off x="261937" y="5284108"/>
            <a:ext cx="5760000" cy="3468063"/>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0"/>
          <a:stretch>
            <a:fillRect/>
          </a:stretch>
        </xdr:blipFill>
        <xdr:spPr>
          <a:xfrm>
            <a:off x="621937" y="1310595"/>
            <a:ext cx="5040000" cy="3827368"/>
          </a:xfrm>
          <a:prstGeom prst="rect">
            <a:avLst/>
          </a:prstGeom>
          <a:ln>
            <a:solidFill>
              <a:schemeClr val="tx1"/>
            </a:solidFill>
          </a:ln>
        </xdr:spPr>
      </xdr:pic>
      <xdr:sp macro="" textlink="">
        <xdr:nvSpPr>
          <xdr:cNvPr id="22" name="TextBox 4">
            <a:extLst>
              <a:ext uri="{FF2B5EF4-FFF2-40B4-BE49-F238E27FC236}">
                <a16:creationId xmlns:a16="http://schemas.microsoft.com/office/drawing/2014/main" id="{00000000-0008-0000-0000-000016000000}"/>
              </a:ext>
            </a:extLst>
          </xdr:cNvPr>
          <xdr:cNvSpPr txBox="1"/>
        </xdr:nvSpPr>
        <xdr:spPr>
          <a:xfrm>
            <a:off x="1959429" y="3788228"/>
            <a:ext cx="1881349"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0000"/>
                </a:solidFill>
              </a:rPr>
              <a:t>EWS LIG Building No. 2</a:t>
            </a:r>
          </a:p>
        </xdr:txBody>
      </xdr:sp>
      <xdr:sp macro="" textlink="">
        <xdr:nvSpPr>
          <xdr:cNvPr id="23" name="TextBox 5">
            <a:extLst>
              <a:ext uri="{FF2B5EF4-FFF2-40B4-BE49-F238E27FC236}">
                <a16:creationId xmlns:a16="http://schemas.microsoft.com/office/drawing/2014/main" id="{00000000-0008-0000-0000-000017000000}"/>
              </a:ext>
            </a:extLst>
          </xdr:cNvPr>
          <xdr:cNvSpPr txBox="1"/>
        </xdr:nvSpPr>
        <xdr:spPr>
          <a:xfrm>
            <a:off x="762001" y="6419749"/>
            <a:ext cx="1881349"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0000"/>
                </a:solidFill>
              </a:rPr>
              <a:t>EWS LIG Building No. 2</a:t>
            </a:r>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a:off x="1132115" y="6873671"/>
            <a:ext cx="725714" cy="66765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1019175</xdr:colOff>
      <xdr:row>102</xdr:row>
      <xdr:rowOff>19050</xdr:rowOff>
    </xdr:from>
    <xdr:to>
      <xdr:col>14</xdr:col>
      <xdr:colOff>161384</xdr:colOff>
      <xdr:row>118</xdr:row>
      <xdr:rowOff>180780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stretch>
          <a:fillRect/>
        </a:stretch>
      </xdr:blipFill>
      <xdr:spPr>
        <a:xfrm>
          <a:off x="7334250" y="23250525"/>
          <a:ext cx="4323809" cy="1561905"/>
        </a:xfrm>
        <a:prstGeom prst="rect">
          <a:avLst/>
        </a:prstGeom>
        <a:ln>
          <a:solidFill>
            <a:schemeClr val="tx1"/>
          </a:solidFill>
        </a:ln>
      </xdr:spPr>
    </xdr:pic>
    <xdr:clientData/>
  </xdr:twoCellAnchor>
  <xdr:twoCellAnchor editAs="oneCell">
    <xdr:from>
      <xdr:col>8</xdr:col>
      <xdr:colOff>581025</xdr:colOff>
      <xdr:row>49</xdr:row>
      <xdr:rowOff>695325</xdr:rowOff>
    </xdr:from>
    <xdr:to>
      <xdr:col>11</xdr:col>
      <xdr:colOff>112125</xdr:colOff>
      <xdr:row>51</xdr:row>
      <xdr:rowOff>699242</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2"/>
        <a:stretch>
          <a:fillRect/>
        </a:stretch>
      </xdr:blipFill>
      <xdr:spPr>
        <a:xfrm>
          <a:off x="6896100" y="11715750"/>
          <a:ext cx="2160000" cy="1689842"/>
        </a:xfrm>
        <a:prstGeom prst="rect">
          <a:avLst/>
        </a:prstGeom>
        <a:ln>
          <a:solidFill>
            <a:schemeClr val="tx1"/>
          </a:solidFill>
        </a:ln>
      </xdr:spPr>
    </xdr:pic>
    <xdr:clientData/>
  </xdr:twoCellAnchor>
  <xdr:twoCellAnchor editAs="oneCell">
    <xdr:from>
      <xdr:col>11</xdr:col>
      <xdr:colOff>171450</xdr:colOff>
      <xdr:row>48</xdr:row>
      <xdr:rowOff>104775</xdr:rowOff>
    </xdr:from>
    <xdr:to>
      <xdr:col>16</xdr:col>
      <xdr:colOff>589980</xdr:colOff>
      <xdr:row>51</xdr:row>
      <xdr:rowOff>590225</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a:stretch>
          <a:fillRect/>
        </a:stretch>
      </xdr:blipFill>
      <xdr:spPr>
        <a:xfrm>
          <a:off x="9115425" y="10696575"/>
          <a:ext cx="4561905" cy="2600000"/>
        </a:xfrm>
        <a:prstGeom prst="rect">
          <a:avLst/>
        </a:prstGeom>
        <a:ln>
          <a:solidFill>
            <a:sysClr val="windowText" lastClr="000000"/>
          </a:solidFill>
        </a:ln>
      </xdr:spPr>
    </xdr:pic>
    <xdr:clientData/>
  </xdr:twoCellAnchor>
  <xdr:twoCellAnchor>
    <xdr:from>
      <xdr:col>8</xdr:col>
      <xdr:colOff>612775</xdr:colOff>
      <xdr:row>238</xdr:row>
      <xdr:rowOff>133350</xdr:rowOff>
    </xdr:from>
    <xdr:to>
      <xdr:col>15</xdr:col>
      <xdr:colOff>402990</xdr:colOff>
      <xdr:row>270</xdr:row>
      <xdr:rowOff>62478</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6899275" y="47644050"/>
          <a:ext cx="5781440" cy="6320403"/>
          <a:chOff x="241300" y="49091850"/>
          <a:chExt cx="6057665" cy="6221978"/>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920781" y="53153828"/>
            <a:ext cx="1618313"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28322" y="53153828"/>
            <a:ext cx="2868608"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332058" y="49091850"/>
            <a:ext cx="2966907" cy="39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41300" y="49091850"/>
            <a:ext cx="2966907" cy="3960000"/>
          </a:xfrm>
          <a:prstGeom prst="rect">
            <a:avLst/>
          </a:prstGeom>
          <a:ln>
            <a:solidFill>
              <a:schemeClr val="tx1"/>
            </a:solidFill>
          </a:ln>
        </xdr:spPr>
      </xdr:pic>
    </xdr:grpSp>
    <xdr:clientData/>
  </xdr:twoCellAnchor>
  <xdr:twoCellAnchor>
    <xdr:from>
      <xdr:col>8</xdr:col>
      <xdr:colOff>666750</xdr:colOff>
      <xdr:row>238</xdr:row>
      <xdr:rowOff>180975</xdr:rowOff>
    </xdr:from>
    <xdr:to>
      <xdr:col>14</xdr:col>
      <xdr:colOff>707391</xdr:colOff>
      <xdr:row>266</xdr:row>
      <xdr:rowOff>156388</xdr:rowOff>
    </xdr:to>
    <xdr:grpSp>
      <xdr:nvGrpSpPr>
        <xdr:cNvPr id="26" name="Group 25">
          <a:extLst>
            <a:ext uri="{FF2B5EF4-FFF2-40B4-BE49-F238E27FC236}">
              <a16:creationId xmlns:a16="http://schemas.microsoft.com/office/drawing/2014/main" id="{936A7131-1520-4A16-9D58-D5720DCCDAB4}"/>
            </a:ext>
          </a:extLst>
        </xdr:cNvPr>
        <xdr:cNvGrpSpPr/>
      </xdr:nvGrpSpPr>
      <xdr:grpSpPr>
        <a:xfrm>
          <a:off x="6953250" y="47691675"/>
          <a:ext cx="5222241" cy="5566588"/>
          <a:chOff x="705944" y="502023"/>
          <a:chExt cx="5222241" cy="5566588"/>
        </a:xfrm>
      </xdr:grpSpPr>
      <xdr:pic>
        <xdr:nvPicPr>
          <xdr:cNvPr id="27" name="Picture 26">
            <a:extLst>
              <a:ext uri="{FF2B5EF4-FFF2-40B4-BE49-F238E27FC236}">
                <a16:creationId xmlns:a16="http://schemas.microsoft.com/office/drawing/2014/main" id="{FDDD9DD8-0082-43DD-A040-AAD3DA02614A}"/>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11307" y="502023"/>
            <a:ext cx="2427469" cy="3240000"/>
          </a:xfrm>
          <a:prstGeom prst="rect">
            <a:avLst/>
          </a:prstGeom>
          <a:ln>
            <a:solidFill>
              <a:schemeClr val="tx1"/>
            </a:solidFill>
          </a:ln>
        </xdr:spPr>
      </xdr:pic>
      <xdr:pic>
        <xdr:nvPicPr>
          <xdr:cNvPr id="28" name="Picture 27">
            <a:extLst>
              <a:ext uri="{FF2B5EF4-FFF2-40B4-BE49-F238E27FC236}">
                <a16:creationId xmlns:a16="http://schemas.microsoft.com/office/drawing/2014/main" id="{1F2D799C-5BAC-43D5-8940-C0E76E66505B}"/>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429000" y="502023"/>
            <a:ext cx="2427469" cy="3240000"/>
          </a:xfrm>
          <a:prstGeom prst="rect">
            <a:avLst/>
          </a:prstGeom>
          <a:ln>
            <a:solidFill>
              <a:schemeClr val="tx1"/>
            </a:solidFill>
          </a:ln>
        </xdr:spPr>
      </xdr:pic>
      <xdr:pic>
        <xdr:nvPicPr>
          <xdr:cNvPr id="29" name="Picture 28">
            <a:extLst>
              <a:ext uri="{FF2B5EF4-FFF2-40B4-BE49-F238E27FC236}">
                <a16:creationId xmlns:a16="http://schemas.microsoft.com/office/drawing/2014/main" id="{F69409A8-BBC1-413B-8071-FD60142683C1}"/>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05944" y="3908611"/>
            <a:ext cx="1618312"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4D1DE341-A60E-4E90-9038-78C4938EC90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504533" y="3908611"/>
            <a:ext cx="1625063"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D76BEB19-F6A9-4FD4-A5EF-4A319A24C9C6}"/>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309873" y="3908611"/>
            <a:ext cx="1618312" cy="2160000"/>
          </a:xfrm>
          <a:prstGeom prst="rect">
            <a:avLst/>
          </a:prstGeom>
          <a:ln>
            <a:solidFill>
              <a:schemeClr val="tx1"/>
            </a:solidFill>
          </a:ln>
        </xdr:spPr>
      </xdr:pic>
    </xdr:grpSp>
    <xdr:clientData/>
  </xdr:twoCellAnchor>
  <xdr:twoCellAnchor>
    <xdr:from>
      <xdr:col>0</xdr:col>
      <xdr:colOff>304800</xdr:colOff>
      <xdr:row>236</xdr:row>
      <xdr:rowOff>180975</xdr:rowOff>
    </xdr:from>
    <xdr:to>
      <xdr:col>7</xdr:col>
      <xdr:colOff>454417</xdr:colOff>
      <xdr:row>264</xdr:row>
      <xdr:rowOff>170148</xdr:rowOff>
    </xdr:to>
    <xdr:grpSp>
      <xdr:nvGrpSpPr>
        <xdr:cNvPr id="37" name="Group 36">
          <a:extLst>
            <a:ext uri="{FF2B5EF4-FFF2-40B4-BE49-F238E27FC236}">
              <a16:creationId xmlns:a16="http://schemas.microsoft.com/office/drawing/2014/main" id="{9245176C-280E-49DB-85FC-8763FA1A7DFE}"/>
            </a:ext>
          </a:extLst>
        </xdr:cNvPr>
        <xdr:cNvGrpSpPr/>
      </xdr:nvGrpSpPr>
      <xdr:grpSpPr>
        <a:xfrm>
          <a:off x="304800" y="47291625"/>
          <a:ext cx="5702692" cy="5580348"/>
          <a:chOff x="341860" y="583200"/>
          <a:chExt cx="5702692" cy="5580348"/>
        </a:xfrm>
      </xdr:grpSpPr>
      <xdr:pic>
        <xdr:nvPicPr>
          <xdr:cNvPr id="38" name="Picture 37">
            <a:extLst>
              <a:ext uri="{FF2B5EF4-FFF2-40B4-BE49-F238E27FC236}">
                <a16:creationId xmlns:a16="http://schemas.microsoft.com/office/drawing/2014/main" id="{52045E7D-4E9C-4EC7-AE95-8F0AB71F536D}"/>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1860" y="583200"/>
            <a:ext cx="2746481" cy="3600000"/>
          </a:xfrm>
          <a:prstGeom prst="rect">
            <a:avLst/>
          </a:prstGeom>
          <a:ln>
            <a:solidFill>
              <a:schemeClr val="tx1"/>
            </a:solidFill>
          </a:ln>
        </xdr:spPr>
      </xdr:pic>
      <xdr:pic>
        <xdr:nvPicPr>
          <xdr:cNvPr id="39" name="Picture 38">
            <a:extLst>
              <a:ext uri="{FF2B5EF4-FFF2-40B4-BE49-F238E27FC236}">
                <a16:creationId xmlns:a16="http://schemas.microsoft.com/office/drawing/2014/main" id="{117BFCB6-A618-4FCB-AB56-1757F5E522C3}"/>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298072" y="583200"/>
            <a:ext cx="2746480" cy="3600000"/>
          </a:xfrm>
          <a:prstGeom prst="rect">
            <a:avLst/>
          </a:prstGeom>
          <a:ln>
            <a:solidFill>
              <a:schemeClr val="tx1"/>
            </a:solidFill>
          </a:ln>
        </xdr:spPr>
      </xdr:pic>
      <xdr:pic>
        <xdr:nvPicPr>
          <xdr:cNvPr id="40" name="Picture 39">
            <a:extLst>
              <a:ext uri="{FF2B5EF4-FFF2-40B4-BE49-F238E27FC236}">
                <a16:creationId xmlns:a16="http://schemas.microsoft.com/office/drawing/2014/main" id="{E82F8619-B6C4-4BA1-9598-2D2B2C821865}"/>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147778" y="4363548"/>
            <a:ext cx="2390506"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D09073F1-16B1-48C8-A9D7-AD1D66A05302}"/>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3748015" y="4363548"/>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v8rmqk3mjGuaLhX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0"/>
  <sheetViews>
    <sheetView tabSelected="1" view="pageBreakPreview" topLeftCell="A4" zoomScaleNormal="100" zoomScaleSheetLayoutView="100" zoomScalePageLayoutView="85" workbookViewId="0">
      <selection activeCell="I17" sqref="I17"/>
    </sheetView>
  </sheetViews>
  <sheetFormatPr defaultColWidth="9.140625" defaultRowHeight="15.75" x14ac:dyDescent="0.25"/>
  <cols>
    <col min="1" max="1" width="11.42578125" style="37" customWidth="1"/>
    <col min="2" max="2" width="12" style="37" customWidth="1"/>
    <col min="3" max="3" width="12.5703125" style="37" customWidth="1"/>
    <col min="4" max="4" width="13.5703125" style="37" customWidth="1"/>
    <col min="5" max="5" width="11.570312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5703125" style="18" customWidth="1"/>
    <col min="17" max="18" width="9.140625" style="18"/>
    <col min="19" max="19" width="10.85546875" style="18" bestFit="1" customWidth="1"/>
    <col min="20" max="20" width="10.5703125" style="18" customWidth="1"/>
    <col min="21" max="247" width="9.140625" style="18"/>
    <col min="248" max="248" width="8.5703125" style="18" customWidth="1"/>
    <col min="249" max="249" width="9.85546875" style="18" customWidth="1"/>
    <col min="250" max="250" width="14.42578125" style="18" customWidth="1"/>
    <col min="251" max="251" width="7.425781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5703125" style="18" customWidth="1"/>
    <col min="505" max="505" width="9.85546875" style="18" customWidth="1"/>
    <col min="506" max="506" width="14.42578125" style="18" customWidth="1"/>
    <col min="507" max="507" width="7.425781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5703125" style="18" customWidth="1"/>
    <col min="761" max="761" width="9.85546875" style="18" customWidth="1"/>
    <col min="762" max="762" width="14.42578125" style="18" customWidth="1"/>
    <col min="763" max="763" width="7.425781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5703125" style="18" customWidth="1"/>
    <col min="1017" max="1017" width="9.85546875" style="18" customWidth="1"/>
    <col min="1018" max="1018" width="14.42578125" style="18" customWidth="1"/>
    <col min="1019" max="1019" width="7.425781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5703125" style="18" customWidth="1"/>
    <col min="1273" max="1273" width="9.85546875" style="18" customWidth="1"/>
    <col min="1274" max="1274" width="14.42578125" style="18" customWidth="1"/>
    <col min="1275" max="1275" width="7.425781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5703125" style="18" customWidth="1"/>
    <col min="1529" max="1529" width="9.85546875" style="18" customWidth="1"/>
    <col min="1530" max="1530" width="14.42578125" style="18" customWidth="1"/>
    <col min="1531" max="1531" width="7.425781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5703125" style="18" customWidth="1"/>
    <col min="1785" max="1785" width="9.85546875" style="18" customWidth="1"/>
    <col min="1786" max="1786" width="14.42578125" style="18" customWidth="1"/>
    <col min="1787" max="1787" width="7.425781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5703125" style="18" customWidth="1"/>
    <col min="2041" max="2041" width="9.85546875" style="18" customWidth="1"/>
    <col min="2042" max="2042" width="14.42578125" style="18" customWidth="1"/>
    <col min="2043" max="2043" width="7.425781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5703125" style="18" customWidth="1"/>
    <col min="2297" max="2297" width="9.85546875" style="18" customWidth="1"/>
    <col min="2298" max="2298" width="14.42578125" style="18" customWidth="1"/>
    <col min="2299" max="2299" width="7.425781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5703125" style="18" customWidth="1"/>
    <col min="2553" max="2553" width="9.85546875" style="18" customWidth="1"/>
    <col min="2554" max="2554" width="14.42578125" style="18" customWidth="1"/>
    <col min="2555" max="2555" width="7.425781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5703125" style="18" customWidth="1"/>
    <col min="2809" max="2809" width="9.85546875" style="18" customWidth="1"/>
    <col min="2810" max="2810" width="14.42578125" style="18" customWidth="1"/>
    <col min="2811" max="2811" width="7.425781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5703125" style="18" customWidth="1"/>
    <col min="3065" max="3065" width="9.85546875" style="18" customWidth="1"/>
    <col min="3066" max="3066" width="14.42578125" style="18" customWidth="1"/>
    <col min="3067" max="3067" width="7.425781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5703125" style="18" customWidth="1"/>
    <col min="3321" max="3321" width="9.85546875" style="18" customWidth="1"/>
    <col min="3322" max="3322" width="14.42578125" style="18" customWidth="1"/>
    <col min="3323" max="3323" width="7.425781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5703125" style="18" customWidth="1"/>
    <col min="3577" max="3577" width="9.85546875" style="18" customWidth="1"/>
    <col min="3578" max="3578" width="14.42578125" style="18" customWidth="1"/>
    <col min="3579" max="3579" width="7.425781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5703125" style="18" customWidth="1"/>
    <col min="3833" max="3833" width="9.85546875" style="18" customWidth="1"/>
    <col min="3834" max="3834" width="14.42578125" style="18" customWidth="1"/>
    <col min="3835" max="3835" width="7.425781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5703125" style="18" customWidth="1"/>
    <col min="4089" max="4089" width="9.85546875" style="18" customWidth="1"/>
    <col min="4090" max="4090" width="14.42578125" style="18" customWidth="1"/>
    <col min="4091" max="4091" width="7.425781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5703125" style="18" customWidth="1"/>
    <col min="4345" max="4345" width="9.85546875" style="18" customWidth="1"/>
    <col min="4346" max="4346" width="14.42578125" style="18" customWidth="1"/>
    <col min="4347" max="4347" width="7.425781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5703125" style="18" customWidth="1"/>
    <col min="4601" max="4601" width="9.85546875" style="18" customWidth="1"/>
    <col min="4602" max="4602" width="14.42578125" style="18" customWidth="1"/>
    <col min="4603" max="4603" width="7.425781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5703125" style="18" customWidth="1"/>
    <col min="4857" max="4857" width="9.85546875" style="18" customWidth="1"/>
    <col min="4858" max="4858" width="14.42578125" style="18" customWidth="1"/>
    <col min="4859" max="4859" width="7.425781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5703125" style="18" customWidth="1"/>
    <col min="5113" max="5113" width="9.85546875" style="18" customWidth="1"/>
    <col min="5114" max="5114" width="14.42578125" style="18" customWidth="1"/>
    <col min="5115" max="5115" width="7.425781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5703125" style="18" customWidth="1"/>
    <col min="5369" max="5369" width="9.85546875" style="18" customWidth="1"/>
    <col min="5370" max="5370" width="14.42578125" style="18" customWidth="1"/>
    <col min="5371" max="5371" width="7.425781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5703125" style="18" customWidth="1"/>
    <col min="5625" max="5625" width="9.85546875" style="18" customWidth="1"/>
    <col min="5626" max="5626" width="14.42578125" style="18" customWidth="1"/>
    <col min="5627" max="5627" width="7.425781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5703125" style="18" customWidth="1"/>
    <col min="5881" max="5881" width="9.85546875" style="18" customWidth="1"/>
    <col min="5882" max="5882" width="14.42578125" style="18" customWidth="1"/>
    <col min="5883" max="5883" width="7.425781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5703125" style="18" customWidth="1"/>
    <col min="6137" max="6137" width="9.85546875" style="18" customWidth="1"/>
    <col min="6138" max="6138" width="14.42578125" style="18" customWidth="1"/>
    <col min="6139" max="6139" width="7.425781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5703125" style="18" customWidth="1"/>
    <col min="6393" max="6393" width="9.85546875" style="18" customWidth="1"/>
    <col min="6394" max="6394" width="14.42578125" style="18" customWidth="1"/>
    <col min="6395" max="6395" width="7.425781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5703125" style="18" customWidth="1"/>
    <col min="6649" max="6649" width="9.85546875" style="18" customWidth="1"/>
    <col min="6650" max="6650" width="14.42578125" style="18" customWidth="1"/>
    <col min="6651" max="6651" width="7.425781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5703125" style="18" customWidth="1"/>
    <col min="6905" max="6905" width="9.85546875" style="18" customWidth="1"/>
    <col min="6906" max="6906" width="14.42578125" style="18" customWidth="1"/>
    <col min="6907" max="6907" width="7.425781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5703125" style="18" customWidth="1"/>
    <col min="7161" max="7161" width="9.85546875" style="18" customWidth="1"/>
    <col min="7162" max="7162" width="14.42578125" style="18" customWidth="1"/>
    <col min="7163" max="7163" width="7.425781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5703125" style="18" customWidth="1"/>
    <col min="7417" max="7417" width="9.85546875" style="18" customWidth="1"/>
    <col min="7418" max="7418" width="14.42578125" style="18" customWidth="1"/>
    <col min="7419" max="7419" width="7.425781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5703125" style="18" customWidth="1"/>
    <col min="7673" max="7673" width="9.85546875" style="18" customWidth="1"/>
    <col min="7674" max="7674" width="14.42578125" style="18" customWidth="1"/>
    <col min="7675" max="7675" width="7.425781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5703125" style="18" customWidth="1"/>
    <col min="7929" max="7929" width="9.85546875" style="18" customWidth="1"/>
    <col min="7930" max="7930" width="14.42578125" style="18" customWidth="1"/>
    <col min="7931" max="7931" width="7.425781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5703125" style="18" customWidth="1"/>
    <col min="8185" max="8185" width="9.85546875" style="18" customWidth="1"/>
    <col min="8186" max="8186" width="14.42578125" style="18" customWidth="1"/>
    <col min="8187" max="8187" width="7.425781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5703125" style="18" customWidth="1"/>
    <col min="8441" max="8441" width="9.85546875" style="18" customWidth="1"/>
    <col min="8442" max="8442" width="14.42578125" style="18" customWidth="1"/>
    <col min="8443" max="8443" width="7.425781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5703125" style="18" customWidth="1"/>
    <col min="8697" max="8697" width="9.85546875" style="18" customWidth="1"/>
    <col min="8698" max="8698" width="14.42578125" style="18" customWidth="1"/>
    <col min="8699" max="8699" width="7.425781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5703125" style="18" customWidth="1"/>
    <col min="8953" max="8953" width="9.85546875" style="18" customWidth="1"/>
    <col min="8954" max="8954" width="14.42578125" style="18" customWidth="1"/>
    <col min="8955" max="8955" width="7.425781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5703125" style="18" customWidth="1"/>
    <col min="9209" max="9209" width="9.85546875" style="18" customWidth="1"/>
    <col min="9210" max="9210" width="14.42578125" style="18" customWidth="1"/>
    <col min="9211" max="9211" width="7.425781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5703125" style="18" customWidth="1"/>
    <col min="9465" max="9465" width="9.85546875" style="18" customWidth="1"/>
    <col min="9466" max="9466" width="14.42578125" style="18" customWidth="1"/>
    <col min="9467" max="9467" width="7.425781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5703125" style="18" customWidth="1"/>
    <col min="9721" max="9721" width="9.85546875" style="18" customWidth="1"/>
    <col min="9722" max="9722" width="14.42578125" style="18" customWidth="1"/>
    <col min="9723" max="9723" width="7.425781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5703125" style="18" customWidth="1"/>
    <col min="9977" max="9977" width="9.85546875" style="18" customWidth="1"/>
    <col min="9978" max="9978" width="14.42578125" style="18" customWidth="1"/>
    <col min="9979" max="9979" width="7.425781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5703125" style="18" customWidth="1"/>
    <col min="10233" max="10233" width="9.85546875" style="18" customWidth="1"/>
    <col min="10234" max="10234" width="14.42578125" style="18" customWidth="1"/>
    <col min="10235" max="10235" width="7.425781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5703125" style="18" customWidth="1"/>
    <col min="10489" max="10489" width="9.85546875" style="18" customWidth="1"/>
    <col min="10490" max="10490" width="14.42578125" style="18" customWidth="1"/>
    <col min="10491" max="10491" width="7.425781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5703125" style="18" customWidth="1"/>
    <col min="10745" max="10745" width="9.85546875" style="18" customWidth="1"/>
    <col min="10746" max="10746" width="14.42578125" style="18" customWidth="1"/>
    <col min="10747" max="10747" width="7.425781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5703125" style="18" customWidth="1"/>
    <col min="11001" max="11001" width="9.85546875" style="18" customWidth="1"/>
    <col min="11002" max="11002" width="14.42578125" style="18" customWidth="1"/>
    <col min="11003" max="11003" width="7.425781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5703125" style="18" customWidth="1"/>
    <col min="11257" max="11257" width="9.85546875" style="18" customWidth="1"/>
    <col min="11258" max="11258" width="14.42578125" style="18" customWidth="1"/>
    <col min="11259" max="11259" width="7.425781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5703125" style="18" customWidth="1"/>
    <col min="11513" max="11513" width="9.85546875" style="18" customWidth="1"/>
    <col min="11514" max="11514" width="14.42578125" style="18" customWidth="1"/>
    <col min="11515" max="11515" width="7.425781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5703125" style="18" customWidth="1"/>
    <col min="11769" max="11769" width="9.85546875" style="18" customWidth="1"/>
    <col min="11770" max="11770" width="14.42578125" style="18" customWidth="1"/>
    <col min="11771" max="11771" width="7.425781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5703125" style="18" customWidth="1"/>
    <col min="12025" max="12025" width="9.85546875" style="18" customWidth="1"/>
    <col min="12026" max="12026" width="14.42578125" style="18" customWidth="1"/>
    <col min="12027" max="12027" width="7.425781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5703125" style="18" customWidth="1"/>
    <col min="12281" max="12281" width="9.85546875" style="18" customWidth="1"/>
    <col min="12282" max="12282" width="14.42578125" style="18" customWidth="1"/>
    <col min="12283" max="12283" width="7.425781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5703125" style="18" customWidth="1"/>
    <col min="12537" max="12537" width="9.85546875" style="18" customWidth="1"/>
    <col min="12538" max="12538" width="14.42578125" style="18" customWidth="1"/>
    <col min="12539" max="12539" width="7.425781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5703125" style="18" customWidth="1"/>
    <col min="12793" max="12793" width="9.85546875" style="18" customWidth="1"/>
    <col min="12794" max="12794" width="14.42578125" style="18" customWidth="1"/>
    <col min="12795" max="12795" width="7.425781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5703125" style="18" customWidth="1"/>
    <col min="13049" max="13049" width="9.85546875" style="18" customWidth="1"/>
    <col min="13050" max="13050" width="14.42578125" style="18" customWidth="1"/>
    <col min="13051" max="13051" width="7.425781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5703125" style="18" customWidth="1"/>
    <col min="13305" max="13305" width="9.85546875" style="18" customWidth="1"/>
    <col min="13306" max="13306" width="14.42578125" style="18" customWidth="1"/>
    <col min="13307" max="13307" width="7.425781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5703125" style="18" customWidth="1"/>
    <col min="13561" max="13561" width="9.85546875" style="18" customWidth="1"/>
    <col min="13562" max="13562" width="14.42578125" style="18" customWidth="1"/>
    <col min="13563" max="13563" width="7.425781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5703125" style="18" customWidth="1"/>
    <col min="13817" max="13817" width="9.85546875" style="18" customWidth="1"/>
    <col min="13818" max="13818" width="14.42578125" style="18" customWidth="1"/>
    <col min="13819" max="13819" width="7.425781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5703125" style="18" customWidth="1"/>
    <col min="14073" max="14073" width="9.85546875" style="18" customWidth="1"/>
    <col min="14074" max="14074" width="14.42578125" style="18" customWidth="1"/>
    <col min="14075" max="14075" width="7.425781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5703125" style="18" customWidth="1"/>
    <col min="14329" max="14329" width="9.85546875" style="18" customWidth="1"/>
    <col min="14330" max="14330" width="14.42578125" style="18" customWidth="1"/>
    <col min="14331" max="14331" width="7.425781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5703125" style="18" customWidth="1"/>
    <col min="14585" max="14585" width="9.85546875" style="18" customWidth="1"/>
    <col min="14586" max="14586" width="14.42578125" style="18" customWidth="1"/>
    <col min="14587" max="14587" width="7.425781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5703125" style="18" customWidth="1"/>
    <col min="14841" max="14841" width="9.85546875" style="18" customWidth="1"/>
    <col min="14842" max="14842" width="14.42578125" style="18" customWidth="1"/>
    <col min="14843" max="14843" width="7.425781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5703125" style="18" customWidth="1"/>
    <col min="15097" max="15097" width="9.85546875" style="18" customWidth="1"/>
    <col min="15098" max="15098" width="14.42578125" style="18" customWidth="1"/>
    <col min="15099" max="15099" width="7.425781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5703125" style="18" customWidth="1"/>
    <col min="15353" max="15353" width="9.85546875" style="18" customWidth="1"/>
    <col min="15354" max="15354" width="14.42578125" style="18" customWidth="1"/>
    <col min="15355" max="15355" width="7.425781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5703125" style="18" customWidth="1"/>
    <col min="15609" max="15609" width="9.85546875" style="18" customWidth="1"/>
    <col min="15610" max="15610" width="14.42578125" style="18" customWidth="1"/>
    <col min="15611" max="15611" width="7.425781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5703125" style="18" customWidth="1"/>
    <col min="15865" max="15865" width="9.85546875" style="18" customWidth="1"/>
    <col min="15866" max="15866" width="14.42578125" style="18" customWidth="1"/>
    <col min="15867" max="15867" width="7.425781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5703125" style="18" customWidth="1"/>
    <col min="16121" max="16121" width="9.85546875" style="18" customWidth="1"/>
    <col min="16122" max="16122" width="14.42578125" style="18" customWidth="1"/>
    <col min="16123" max="16123" width="7.425781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54" t="s">
        <v>153</v>
      </c>
      <c r="B1" s="154"/>
      <c r="C1" s="154"/>
      <c r="D1" s="154"/>
      <c r="E1" s="154"/>
      <c r="F1" s="154"/>
      <c r="G1" s="154"/>
      <c r="H1" s="154"/>
    </row>
    <row r="2" spans="1:26" ht="16.5" customHeight="1" x14ac:dyDescent="0.25">
      <c r="A2" s="155" t="s">
        <v>0</v>
      </c>
      <c r="B2" s="155"/>
      <c r="C2" s="155"/>
      <c r="D2" s="155"/>
      <c r="E2" s="155"/>
      <c r="F2" s="155"/>
      <c r="G2" s="155"/>
      <c r="H2" s="155"/>
    </row>
    <row r="3" spans="1:26" x14ac:dyDescent="0.25">
      <c r="A3" s="76" t="s">
        <v>1</v>
      </c>
      <c r="B3" s="76"/>
      <c r="C3" s="76"/>
      <c r="D3" s="76"/>
      <c r="E3" s="76" t="str">
        <f ca="1">TEXT(TODAY(),"DD/MM/YYYY")</f>
        <v>16/07/2025</v>
      </c>
      <c r="F3" s="76"/>
      <c r="G3" s="76"/>
      <c r="H3" s="76"/>
      <c r="K3" s="50" t="s">
        <v>225</v>
      </c>
      <c r="L3" s="48" t="s">
        <v>223</v>
      </c>
      <c r="M3" s="48" t="s">
        <v>228</v>
      </c>
      <c r="N3" s="48" t="s">
        <v>226</v>
      </c>
      <c r="O3" s="48" t="s">
        <v>227</v>
      </c>
      <c r="P3" s="48" t="s">
        <v>229</v>
      </c>
    </row>
    <row r="4" spans="1:26" ht="15" customHeight="1" x14ac:dyDescent="0.25">
      <c r="A4" s="76" t="s">
        <v>222</v>
      </c>
      <c r="B4" s="76"/>
      <c r="C4" s="76"/>
      <c r="D4" s="76"/>
      <c r="E4" s="76" t="s">
        <v>223</v>
      </c>
      <c r="F4" s="76"/>
      <c r="G4" s="76"/>
      <c r="H4" s="76"/>
      <c r="K4" s="47" t="s">
        <v>224</v>
      </c>
      <c r="L4" s="48" t="s">
        <v>159</v>
      </c>
      <c r="M4" s="48" t="s">
        <v>233</v>
      </c>
      <c r="N4" s="48" t="s">
        <v>235</v>
      </c>
      <c r="O4" s="48" t="s">
        <v>237</v>
      </c>
      <c r="P4" s="48"/>
    </row>
    <row r="5" spans="1:26" ht="15" customHeight="1" x14ac:dyDescent="0.25">
      <c r="A5" s="76" t="s">
        <v>2</v>
      </c>
      <c r="B5" s="76"/>
      <c r="C5" s="76"/>
      <c r="D5" s="76"/>
      <c r="E5" s="76" t="s">
        <v>232</v>
      </c>
      <c r="F5" s="76"/>
      <c r="G5" s="76"/>
      <c r="H5" s="76"/>
      <c r="K5" s="47"/>
      <c r="L5" s="48" t="s">
        <v>230</v>
      </c>
      <c r="M5" s="48" t="s">
        <v>234</v>
      </c>
      <c r="N5" s="48" t="s">
        <v>236</v>
      </c>
      <c r="O5" s="48" t="s">
        <v>238</v>
      </c>
      <c r="P5" s="48"/>
    </row>
    <row r="6" spans="1:26" x14ac:dyDescent="0.25">
      <c r="A6" s="76" t="s">
        <v>3</v>
      </c>
      <c r="B6" s="76"/>
      <c r="C6" s="76"/>
      <c r="D6" s="76"/>
      <c r="E6" s="157">
        <v>45846</v>
      </c>
      <c r="F6" s="76"/>
      <c r="G6" s="76"/>
      <c r="H6" s="76"/>
      <c r="K6" s="47"/>
      <c r="L6" s="48" t="s">
        <v>231</v>
      </c>
      <c r="M6" s="48"/>
      <c r="N6" s="48"/>
      <c r="O6" s="48" t="s">
        <v>239</v>
      </c>
      <c r="P6" s="48"/>
    </row>
    <row r="7" spans="1:26" ht="16.5" customHeight="1" x14ac:dyDescent="0.25">
      <c r="A7" s="76" t="s">
        <v>4</v>
      </c>
      <c r="B7" s="76"/>
      <c r="C7" s="76"/>
      <c r="D7" s="76"/>
      <c r="E7" s="76" t="s">
        <v>342</v>
      </c>
      <c r="F7" s="76"/>
      <c r="G7" s="76"/>
      <c r="H7" s="76"/>
      <c r="K7" s="47"/>
      <c r="L7" s="48" t="s">
        <v>232</v>
      </c>
      <c r="M7" s="48"/>
      <c r="N7" s="48"/>
      <c r="O7" s="48" t="s">
        <v>239</v>
      </c>
      <c r="P7" s="48"/>
    </row>
    <row r="8" spans="1:26" ht="15" customHeight="1" x14ac:dyDescent="0.25">
      <c r="A8" s="76" t="s">
        <v>5</v>
      </c>
      <c r="B8" s="76"/>
      <c r="C8" s="76"/>
      <c r="D8" s="76"/>
      <c r="E8" s="76" t="str">
        <f>E7</f>
        <v>M/s. Runwal Residency Private Limited</v>
      </c>
      <c r="F8" s="76"/>
      <c r="G8" s="76"/>
      <c r="H8" s="76"/>
      <c r="K8" s="47"/>
      <c r="L8" s="48"/>
      <c r="M8" s="48"/>
      <c r="N8" s="48"/>
      <c r="O8" s="48" t="s">
        <v>240</v>
      </c>
      <c r="P8" s="48"/>
    </row>
    <row r="9" spans="1:26" x14ac:dyDescent="0.25">
      <c r="A9" s="76" t="s">
        <v>6</v>
      </c>
      <c r="B9" s="76"/>
      <c r="C9" s="76"/>
      <c r="D9" s="76"/>
      <c r="E9" s="156" t="s">
        <v>325</v>
      </c>
      <c r="F9" s="156"/>
      <c r="G9" s="156"/>
      <c r="H9" s="156"/>
      <c r="K9" s="47"/>
      <c r="L9" s="48"/>
      <c r="M9" s="48"/>
      <c r="N9" s="48"/>
      <c r="O9" s="48" t="s">
        <v>241</v>
      </c>
      <c r="P9" s="48"/>
    </row>
    <row r="10" spans="1:26" x14ac:dyDescent="0.25">
      <c r="A10" s="76" t="s">
        <v>156</v>
      </c>
      <c r="B10" s="76"/>
      <c r="C10" s="76"/>
      <c r="D10" s="76"/>
      <c r="E10" s="76" t="s">
        <v>326</v>
      </c>
      <c r="F10" s="76"/>
      <c r="G10" s="76"/>
      <c r="H10" s="76"/>
      <c r="K10" s="47"/>
      <c r="L10" s="48"/>
      <c r="M10" s="48"/>
      <c r="N10" s="48"/>
      <c r="O10" s="48"/>
      <c r="P10" s="48"/>
    </row>
    <row r="11" spans="1:26" x14ac:dyDescent="0.25">
      <c r="A11" s="76" t="s">
        <v>157</v>
      </c>
      <c r="B11" s="76"/>
      <c r="C11" s="76"/>
      <c r="D11" s="76"/>
      <c r="E11" s="76" t="s">
        <v>389</v>
      </c>
      <c r="F11" s="76"/>
      <c r="G11" s="76"/>
      <c r="H11" s="76"/>
      <c r="I11" s="76" t="s">
        <v>384</v>
      </c>
      <c r="J11" s="76"/>
      <c r="K11" s="76"/>
      <c r="L11" s="76"/>
    </row>
    <row r="12" spans="1:26" x14ac:dyDescent="0.25">
      <c r="A12" s="76" t="s">
        <v>7</v>
      </c>
      <c r="B12" s="76"/>
      <c r="C12" s="76"/>
      <c r="D12" s="76"/>
      <c r="E12" s="76" t="s">
        <v>329</v>
      </c>
      <c r="F12" s="76"/>
      <c r="G12" s="76"/>
      <c r="H12" s="76"/>
      <c r="I12" s="76" t="s">
        <v>386</v>
      </c>
      <c r="J12" s="76"/>
      <c r="K12" s="76"/>
      <c r="L12" s="76"/>
    </row>
    <row r="13" spans="1:26" x14ac:dyDescent="0.25">
      <c r="A13" s="76" t="s">
        <v>160</v>
      </c>
      <c r="B13" s="76"/>
      <c r="C13" s="76"/>
      <c r="D13" s="76"/>
      <c r="E13" s="76" t="s">
        <v>28</v>
      </c>
      <c r="F13" s="76"/>
      <c r="G13" s="76"/>
      <c r="H13" s="76"/>
      <c r="S13" s="48" t="s">
        <v>167</v>
      </c>
      <c r="T13" s="48" t="s">
        <v>176</v>
      </c>
      <c r="U13" s="48" t="s">
        <v>161</v>
      </c>
      <c r="V13" s="48" t="s">
        <v>181</v>
      </c>
      <c r="W13" s="48" t="s">
        <v>199</v>
      </c>
      <c r="X13"/>
      <c r="Y13" t="s">
        <v>181</v>
      </c>
      <c r="Z13" t="e">
        <f ca="1">OFFSET($S$13,1,MATCH($G20,$S$13:$W$13,0)-1,15,1)</f>
        <v>#VALUE!</v>
      </c>
    </row>
    <row r="14" spans="1:26" ht="17.25" customHeight="1" x14ac:dyDescent="0.25">
      <c r="A14" s="81" t="s">
        <v>268</v>
      </c>
      <c r="B14" s="81"/>
      <c r="C14" s="81"/>
      <c r="D14" s="81"/>
      <c r="E14" s="158" t="s">
        <v>373</v>
      </c>
      <c r="F14" s="158"/>
      <c r="G14" s="158"/>
      <c r="H14" s="158"/>
      <c r="I14" s="18" t="s">
        <v>330</v>
      </c>
      <c r="S14" s="48" t="s">
        <v>167</v>
      </c>
      <c r="T14" s="48" t="s">
        <v>174</v>
      </c>
      <c r="U14" s="48" t="s">
        <v>196</v>
      </c>
      <c r="V14" s="48" t="s">
        <v>182</v>
      </c>
      <c r="W14" s="48" t="s">
        <v>200</v>
      </c>
      <c r="X14"/>
      <c r="Y14"/>
      <c r="Z14"/>
    </row>
    <row r="15" spans="1:26" x14ac:dyDescent="0.25">
      <c r="A15" s="81" t="s">
        <v>8</v>
      </c>
      <c r="B15" s="81"/>
      <c r="C15" s="81"/>
      <c r="D15" s="81"/>
      <c r="E15" s="158" t="s">
        <v>327</v>
      </c>
      <c r="F15" s="76"/>
      <c r="G15" s="76"/>
      <c r="H15" s="76"/>
      <c r="I15" s="77" t="e">
        <f ca="1">OFFSET($D$5,1,MATCH($J13,$D$5:$H$5,0)-1,15,1)</f>
        <v>#N/A</v>
      </c>
      <c r="J15" s="78"/>
      <c r="K15" s="78"/>
      <c r="L15" s="78"/>
      <c r="M15" s="78"/>
      <c r="N15" s="78"/>
      <c r="O15" s="78"/>
      <c r="P15" s="78"/>
      <c r="S15" s="48" t="s">
        <v>168</v>
      </c>
      <c r="T15" s="48" t="s">
        <v>175</v>
      </c>
      <c r="U15" s="48" t="s">
        <v>197</v>
      </c>
      <c r="V15" s="48" t="s">
        <v>183</v>
      </c>
      <c r="W15" s="48" t="s">
        <v>213</v>
      </c>
      <c r="X15"/>
      <c r="Y15"/>
      <c r="Z15"/>
    </row>
    <row r="16" spans="1:26" ht="50.25" customHeight="1" x14ac:dyDescent="0.25">
      <c r="A16" s="89" t="s">
        <v>9</v>
      </c>
      <c r="B16" s="89"/>
      <c r="C16" s="89" t="str">
        <f>CONCATENATE((IF(OR(E9="",E9="NA"),"",E9)),", ",(IF(OR(A17="",A17="NA"),"",A17)),".",(IF(OR(C17="",C17="NA"),"",C17)),", near ",(IF(OR(C22="",C22="NA"),"",C22)),", ",(IF(OR(C19="",C19="NA"),"",C19)),", ",(IF(OR(C18="",C18="NA"),"",C18)),", ",(IF(OR(G19="",G19="NA"),"",G19)),", ",(IF(OR(C20="",C20="NA"),"",C20)),", ",(IF(OR(C21="",C21="NA"),"",C21)),", ",(IF(OR(G20="",G20="NA"),"",G20))," - ",(IF(OR(G21="",G21="NA"),"",G21)),".")</f>
        <v>Primrose MHADA 2, Survey No.50 (Pt), near Runwal Garden City, Kalyan Shilphata Road, Bhadra Nagar, Usarghar, Dombivli East, Kalyan, Thane - 400612.</v>
      </c>
      <c r="D16" s="89"/>
      <c r="E16" s="89"/>
      <c r="F16" s="89"/>
      <c r="G16" s="89"/>
      <c r="H16" s="89"/>
      <c r="S16" s="48" t="s">
        <v>169</v>
      </c>
      <c r="T16" s="48" t="s">
        <v>177</v>
      </c>
      <c r="U16" s="48" t="s">
        <v>198</v>
      </c>
      <c r="V16" s="48" t="s">
        <v>184</v>
      </c>
      <c r="W16" s="48" t="s">
        <v>201</v>
      </c>
      <c r="X16"/>
      <c r="Y16"/>
      <c r="Z16"/>
    </row>
    <row r="17" spans="1:26" x14ac:dyDescent="0.25">
      <c r="A17" s="158" t="s">
        <v>331</v>
      </c>
      <c r="B17" s="158"/>
      <c r="C17" s="158" t="s">
        <v>341</v>
      </c>
      <c r="D17" s="158"/>
      <c r="E17" s="158"/>
      <c r="F17" s="158"/>
      <c r="G17" s="158"/>
      <c r="H17" s="158"/>
      <c r="S17" s="48" t="s">
        <v>170</v>
      </c>
      <c r="T17" s="48" t="s">
        <v>178</v>
      </c>
      <c r="U17" s="48" t="s">
        <v>161</v>
      </c>
      <c r="V17" s="48" t="s">
        <v>185</v>
      </c>
      <c r="W17" s="48" t="s">
        <v>202</v>
      </c>
      <c r="X17"/>
      <c r="Y17"/>
      <c r="Z17"/>
    </row>
    <row r="18" spans="1:26" ht="15.75" customHeight="1" x14ac:dyDescent="0.25">
      <c r="A18" s="158" t="s">
        <v>151</v>
      </c>
      <c r="B18" s="158"/>
      <c r="C18" s="158" t="s">
        <v>333</v>
      </c>
      <c r="D18" s="158"/>
      <c r="E18" s="158"/>
      <c r="F18" s="158"/>
      <c r="G18" s="158"/>
      <c r="H18" s="158"/>
      <c r="I18" s="18" t="s">
        <v>340</v>
      </c>
      <c r="S18" s="48" t="s">
        <v>171</v>
      </c>
      <c r="T18" s="48" t="s">
        <v>176</v>
      </c>
      <c r="U18" s="48"/>
      <c r="V18" s="48" t="s">
        <v>186</v>
      </c>
      <c r="W18" s="48" t="s">
        <v>203</v>
      </c>
      <c r="X18"/>
      <c r="Y18"/>
      <c r="Z18"/>
    </row>
    <row r="19" spans="1:26" ht="15.75" customHeight="1" x14ac:dyDescent="0.25">
      <c r="A19" s="89" t="s">
        <v>10</v>
      </c>
      <c r="B19" s="89"/>
      <c r="C19" s="76" t="s">
        <v>374</v>
      </c>
      <c r="D19" s="76"/>
      <c r="E19" s="158" t="s">
        <v>67</v>
      </c>
      <c r="F19" s="158"/>
      <c r="G19" s="158" t="s">
        <v>332</v>
      </c>
      <c r="H19" s="158"/>
      <c r="S19" s="48" t="s">
        <v>172</v>
      </c>
      <c r="T19" s="48" t="s">
        <v>179</v>
      </c>
      <c r="U19" s="48"/>
      <c r="V19" s="48" t="s">
        <v>187</v>
      </c>
      <c r="W19" s="48" t="s">
        <v>204</v>
      </c>
      <c r="X19"/>
      <c r="Y19"/>
      <c r="Z19"/>
    </row>
    <row r="20" spans="1:26" x14ac:dyDescent="0.25">
      <c r="A20" s="81" t="s">
        <v>12</v>
      </c>
      <c r="B20" s="81"/>
      <c r="C20" s="158" t="s">
        <v>339</v>
      </c>
      <c r="D20" s="158"/>
      <c r="E20" s="158" t="s">
        <v>11</v>
      </c>
      <c r="F20" s="158"/>
      <c r="G20" s="159" t="s">
        <v>167</v>
      </c>
      <c r="H20" s="159"/>
      <c r="S20" s="48" t="s">
        <v>173</v>
      </c>
      <c r="T20" s="48" t="s">
        <v>180</v>
      </c>
      <c r="U20" s="48"/>
      <c r="V20" s="48" t="s">
        <v>188</v>
      </c>
      <c r="W20" s="48" t="s">
        <v>205</v>
      </c>
      <c r="X20"/>
      <c r="Y20"/>
      <c r="Z20"/>
    </row>
    <row r="21" spans="1:26" x14ac:dyDescent="0.25">
      <c r="A21" s="81" t="s">
        <v>68</v>
      </c>
      <c r="B21" s="81"/>
      <c r="C21" s="158" t="s">
        <v>169</v>
      </c>
      <c r="D21" s="158"/>
      <c r="E21" s="158" t="s">
        <v>13</v>
      </c>
      <c r="F21" s="158"/>
      <c r="G21" s="158">
        <v>400612</v>
      </c>
      <c r="H21" s="158"/>
      <c r="S21" s="48"/>
      <c r="T21" s="48"/>
      <c r="U21" s="48"/>
      <c r="V21" s="48" t="s">
        <v>189</v>
      </c>
      <c r="W21" s="48" t="s">
        <v>206</v>
      </c>
      <c r="X21"/>
      <c r="Y21"/>
      <c r="Z21"/>
    </row>
    <row r="22" spans="1:26" ht="33.75" customHeight="1" x14ac:dyDescent="0.25">
      <c r="A22" s="81" t="s">
        <v>111</v>
      </c>
      <c r="B22" s="81"/>
      <c r="C22" s="158" t="s">
        <v>344</v>
      </c>
      <c r="D22" s="158"/>
      <c r="E22" s="158" t="s">
        <v>14</v>
      </c>
      <c r="F22" s="158"/>
      <c r="G22" s="158" t="s">
        <v>328</v>
      </c>
      <c r="H22" s="158"/>
      <c r="S22" s="48"/>
      <c r="T22" s="48"/>
      <c r="U22" s="48"/>
      <c r="V22" s="48" t="s">
        <v>190</v>
      </c>
      <c r="W22" s="48" t="s">
        <v>207</v>
      </c>
      <c r="X22"/>
      <c r="Y22"/>
      <c r="Z22"/>
    </row>
    <row r="23" spans="1:26" ht="15" customHeight="1" x14ac:dyDescent="0.25">
      <c r="A23" s="89" t="s">
        <v>69</v>
      </c>
      <c r="B23" s="89"/>
      <c r="C23" s="89"/>
      <c r="D23" s="89"/>
      <c r="E23" s="76" t="s">
        <v>15</v>
      </c>
      <c r="F23" s="76"/>
      <c r="G23" s="76"/>
      <c r="H23" s="76"/>
      <c r="S23" s="48"/>
      <c r="T23" s="48"/>
      <c r="U23" s="48"/>
      <c r="V23" s="48" t="s">
        <v>191</v>
      </c>
      <c r="W23" s="48" t="s">
        <v>208</v>
      </c>
      <c r="X23"/>
      <c r="Y23"/>
      <c r="Z23"/>
    </row>
    <row r="24" spans="1:26" ht="18.75" customHeight="1" x14ac:dyDescent="0.25">
      <c r="A24" s="89"/>
      <c r="B24" s="89"/>
      <c r="C24" s="89"/>
      <c r="D24" s="89"/>
      <c r="E24" s="76"/>
      <c r="F24" s="76"/>
      <c r="G24" s="76"/>
      <c r="H24" s="76"/>
      <c r="S24" s="48"/>
      <c r="T24" s="48"/>
      <c r="U24" s="48"/>
      <c r="V24" s="48" t="s">
        <v>192</v>
      </c>
      <c r="W24" s="48" t="s">
        <v>209</v>
      </c>
      <c r="X24"/>
      <c r="Y24"/>
      <c r="Z24"/>
    </row>
    <row r="25" spans="1:26" ht="15" customHeight="1" x14ac:dyDescent="0.25">
      <c r="A25" s="89" t="s">
        <v>16</v>
      </c>
      <c r="B25" s="89"/>
      <c r="C25" s="89"/>
      <c r="D25" s="89"/>
      <c r="E25" s="158" t="s">
        <v>17</v>
      </c>
      <c r="F25" s="158"/>
      <c r="G25" s="158"/>
      <c r="H25" s="158"/>
      <c r="S25" s="48"/>
      <c r="T25" s="48"/>
      <c r="U25" s="48"/>
      <c r="V25" s="48" t="s">
        <v>193</v>
      </c>
      <c r="W25" s="48" t="s">
        <v>210</v>
      </c>
      <c r="X25"/>
      <c r="Y25"/>
      <c r="Z25"/>
    </row>
    <row r="26" spans="1:26" ht="15" customHeight="1" x14ac:dyDescent="0.25">
      <c r="A26" s="81" t="s">
        <v>18</v>
      </c>
      <c r="B26" s="81"/>
      <c r="C26" s="81"/>
      <c r="D26" s="81"/>
      <c r="E26" s="158" t="str">
        <f>IF(AND(G20="Mumbai"),"Upper Class","Middle Class")</f>
        <v>Middle Class</v>
      </c>
      <c r="F26" s="158"/>
      <c r="G26" s="158"/>
      <c r="H26" s="158"/>
      <c r="S26" s="48"/>
      <c r="T26" s="48"/>
      <c r="U26" s="48"/>
      <c r="V26" s="48" t="s">
        <v>194</v>
      </c>
      <c r="W26" s="48" t="s">
        <v>211</v>
      </c>
      <c r="X26"/>
      <c r="Y26"/>
      <c r="Z26"/>
    </row>
    <row r="27" spans="1:26" x14ac:dyDescent="0.25">
      <c r="A27" s="81" t="s">
        <v>19</v>
      </c>
      <c r="B27" s="81"/>
      <c r="C27" s="81"/>
      <c r="D27" s="81"/>
      <c r="E27" s="158" t="s">
        <v>20</v>
      </c>
      <c r="F27" s="158"/>
      <c r="G27" s="158"/>
      <c r="H27" s="158"/>
      <c r="S27" s="48"/>
      <c r="T27" s="48"/>
      <c r="U27" s="48"/>
      <c r="V27" s="48" t="s">
        <v>195</v>
      </c>
      <c r="W27" s="48" t="s">
        <v>212</v>
      </c>
      <c r="X27"/>
      <c r="Y27"/>
      <c r="Z27"/>
    </row>
    <row r="28" spans="1:26" ht="15.75" customHeight="1" x14ac:dyDescent="0.25">
      <c r="A28" s="81" t="s">
        <v>21</v>
      </c>
      <c r="B28" s="81"/>
      <c r="C28" s="81"/>
      <c r="D28" s="81"/>
      <c r="E28" s="158" t="str">
        <f>IF(AND(G20="Mumbai"),"Developed","Developing")</f>
        <v>Developing</v>
      </c>
      <c r="F28" s="158"/>
      <c r="G28" s="158"/>
      <c r="H28" s="158"/>
    </row>
    <row r="29" spans="1:26" x14ac:dyDescent="0.25">
      <c r="A29" s="81" t="s">
        <v>22</v>
      </c>
      <c r="B29" s="81"/>
      <c r="C29" s="81"/>
      <c r="D29" s="81"/>
      <c r="E29" s="158" t="s">
        <v>23</v>
      </c>
      <c r="F29" s="158"/>
      <c r="G29" s="158"/>
      <c r="H29" s="158"/>
    </row>
    <row r="30" spans="1:26" ht="15.75" customHeight="1" x14ac:dyDescent="0.25">
      <c r="A30" s="81" t="s">
        <v>74</v>
      </c>
      <c r="B30" s="81"/>
      <c r="C30" s="81"/>
      <c r="D30" s="81"/>
      <c r="E30" s="158" t="s">
        <v>75</v>
      </c>
      <c r="F30" s="158"/>
      <c r="G30" s="158"/>
      <c r="H30" s="158"/>
    </row>
    <row r="31" spans="1:26" ht="15" customHeight="1" x14ac:dyDescent="0.25">
      <c r="A31" s="81" t="s">
        <v>30</v>
      </c>
      <c r="B31" s="81"/>
      <c r="C31" s="81"/>
      <c r="D31" s="81"/>
      <c r="E31" s="158"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58"/>
      <c r="G31" s="158"/>
      <c r="H31" s="158"/>
    </row>
    <row r="32" spans="1:26" ht="15.75" customHeight="1" x14ac:dyDescent="0.25">
      <c r="A32" s="81" t="s">
        <v>86</v>
      </c>
      <c r="B32" s="81"/>
      <c r="C32" s="81"/>
      <c r="D32" s="81"/>
      <c r="E32" s="158" t="s">
        <v>31</v>
      </c>
      <c r="F32" s="158"/>
      <c r="G32" s="158"/>
      <c r="H32" s="158"/>
    </row>
    <row r="33" spans="1:19" s="19" customFormat="1" x14ac:dyDescent="0.25">
      <c r="A33" s="167" t="s">
        <v>87</v>
      </c>
      <c r="B33" s="167"/>
      <c r="C33" s="164" t="s">
        <v>162</v>
      </c>
      <c r="D33" s="165"/>
      <c r="E33" s="166"/>
      <c r="F33" s="164" t="s">
        <v>29</v>
      </c>
      <c r="G33" s="165"/>
      <c r="H33" s="166"/>
      <c r="S33" s="19" t="e">
        <f ca="1">OFFSET($S$13,1,MATCH($G20,$S$13:$W$13,0)-1,15,1)</f>
        <v>#VALUE!</v>
      </c>
    </row>
    <row r="34" spans="1:19" s="19" customFormat="1" x14ac:dyDescent="0.25">
      <c r="A34" s="160" t="s">
        <v>24</v>
      </c>
      <c r="B34" s="160" t="s">
        <v>28</v>
      </c>
      <c r="C34" s="161" t="s">
        <v>351</v>
      </c>
      <c r="D34" s="162"/>
      <c r="E34" s="163"/>
      <c r="F34" s="161" t="s">
        <v>370</v>
      </c>
      <c r="G34" s="162"/>
      <c r="H34" s="163"/>
    </row>
    <row r="35" spans="1:19" x14ac:dyDescent="0.25">
      <c r="A35" s="160" t="s">
        <v>25</v>
      </c>
      <c r="B35" s="160" t="s">
        <v>28</v>
      </c>
      <c r="C35" s="161" t="s">
        <v>352</v>
      </c>
      <c r="D35" s="162"/>
      <c r="E35" s="163"/>
      <c r="F35" s="161" t="s">
        <v>371</v>
      </c>
      <c r="G35" s="162"/>
      <c r="H35" s="163"/>
    </row>
    <row r="36" spans="1:19" s="19" customFormat="1" x14ac:dyDescent="0.25">
      <c r="A36" s="160" t="s">
        <v>27</v>
      </c>
      <c r="B36" s="160" t="s">
        <v>28</v>
      </c>
      <c r="C36" s="161" t="s">
        <v>349</v>
      </c>
      <c r="D36" s="162"/>
      <c r="E36" s="163"/>
      <c r="F36" s="161" t="s">
        <v>334</v>
      </c>
      <c r="G36" s="162"/>
      <c r="H36" s="163"/>
    </row>
    <row r="37" spans="1:19" x14ac:dyDescent="0.25">
      <c r="A37" s="160" t="s">
        <v>26</v>
      </c>
      <c r="B37" s="160" t="s">
        <v>28</v>
      </c>
      <c r="C37" s="161" t="s">
        <v>350</v>
      </c>
      <c r="D37" s="162"/>
      <c r="E37" s="163"/>
      <c r="F37" s="161" t="s">
        <v>334</v>
      </c>
      <c r="G37" s="162"/>
      <c r="H37" s="163"/>
    </row>
    <row r="38" spans="1:19" x14ac:dyDescent="0.25">
      <c r="A38" s="81" t="s">
        <v>269</v>
      </c>
      <c r="B38" s="81"/>
      <c r="C38" s="81"/>
      <c r="D38" s="81"/>
      <c r="E38" s="81"/>
      <c r="F38" s="81"/>
      <c r="G38" s="81"/>
      <c r="H38" s="81"/>
    </row>
    <row r="39" spans="1:19" ht="15.75" customHeight="1" x14ac:dyDescent="0.25">
      <c r="A39" s="81" t="s">
        <v>154</v>
      </c>
      <c r="B39" s="81"/>
      <c r="C39" s="145" t="s">
        <v>353</v>
      </c>
      <c r="D39" s="145"/>
      <c r="E39" s="145"/>
      <c r="F39" s="145"/>
      <c r="G39" s="145"/>
      <c r="H39" s="145"/>
    </row>
    <row r="40" spans="1:19" x14ac:dyDescent="0.25">
      <c r="A40" s="81" t="s">
        <v>150</v>
      </c>
      <c r="B40" s="81"/>
      <c r="C40" s="203" t="s">
        <v>354</v>
      </c>
      <c r="D40" s="158"/>
      <c r="E40" s="158"/>
      <c r="F40" s="158"/>
      <c r="G40" s="158"/>
      <c r="H40" s="158"/>
    </row>
    <row r="41" spans="1:19" x14ac:dyDescent="0.25">
      <c r="A41" s="145" t="s">
        <v>32</v>
      </c>
      <c r="B41" s="145"/>
      <c r="C41" s="145"/>
      <c r="D41" s="145"/>
      <c r="E41" s="145"/>
      <c r="F41" s="145"/>
      <c r="G41" s="145"/>
      <c r="H41" s="170"/>
    </row>
    <row r="42" spans="1:19" x14ac:dyDescent="0.25">
      <c r="A42" s="81" t="s">
        <v>33</v>
      </c>
      <c r="B42" s="81"/>
      <c r="C42" s="81"/>
      <c r="D42" s="81"/>
      <c r="E42" s="168">
        <v>465228</v>
      </c>
      <c r="F42" s="168"/>
      <c r="G42" s="168"/>
      <c r="H42" s="169"/>
      <c r="I42" s="207"/>
      <c r="J42" s="207"/>
      <c r="K42" s="207"/>
      <c r="L42" s="207"/>
    </row>
    <row r="43" spans="1:19" x14ac:dyDescent="0.25">
      <c r="A43" s="81" t="s">
        <v>34</v>
      </c>
      <c r="B43" s="81"/>
      <c r="C43" s="81"/>
      <c r="D43" s="81"/>
      <c r="E43" s="87">
        <f>465228/E42</f>
        <v>1</v>
      </c>
      <c r="F43" s="87"/>
      <c r="G43" s="87"/>
      <c r="H43" s="91"/>
      <c r="I43" s="208"/>
      <c r="J43" s="208"/>
      <c r="K43" s="208"/>
      <c r="L43" s="208"/>
    </row>
    <row r="44" spans="1:19" x14ac:dyDescent="0.25">
      <c r="A44" s="81" t="s">
        <v>35</v>
      </c>
      <c r="B44" s="81"/>
      <c r="C44" s="81"/>
      <c r="D44" s="81"/>
      <c r="E44" s="87">
        <f>E46/E42-E43</f>
        <v>1.2004448356504769</v>
      </c>
      <c r="F44" s="87"/>
      <c r="G44" s="87"/>
      <c r="H44" s="91"/>
      <c r="I44" s="208"/>
      <c r="J44" s="208"/>
      <c r="K44" s="208"/>
      <c r="L44" s="208"/>
    </row>
    <row r="45" spans="1:19" x14ac:dyDescent="0.25">
      <c r="A45" s="81" t="s">
        <v>36</v>
      </c>
      <c r="B45" s="81"/>
      <c r="C45" s="81"/>
      <c r="D45" s="81"/>
      <c r="E45" s="87">
        <f>E43+E44</f>
        <v>2.2004448356504769</v>
      </c>
      <c r="F45" s="87"/>
      <c r="G45" s="87"/>
      <c r="H45" s="91"/>
      <c r="I45" s="208"/>
      <c r="J45" s="208"/>
      <c r="K45" s="208"/>
      <c r="L45" s="208"/>
    </row>
    <row r="46" spans="1:19" x14ac:dyDescent="0.25">
      <c r="A46" s="81" t="s">
        <v>85</v>
      </c>
      <c r="B46" s="81"/>
      <c r="C46" s="81"/>
      <c r="D46" s="81"/>
      <c r="E46" s="87">
        <v>1023708.55</v>
      </c>
      <c r="F46" s="87"/>
      <c r="G46" s="87"/>
      <c r="H46" s="91"/>
      <c r="I46" s="209"/>
      <c r="J46" s="209"/>
      <c r="K46" s="209"/>
      <c r="L46" s="209"/>
    </row>
    <row r="47" spans="1:19" x14ac:dyDescent="0.25">
      <c r="A47" s="76" t="s">
        <v>37</v>
      </c>
      <c r="B47" s="76"/>
      <c r="C47" s="76"/>
      <c r="D47" s="76"/>
      <c r="E47" s="76" t="s">
        <v>110</v>
      </c>
      <c r="F47" s="76"/>
      <c r="G47" s="76"/>
      <c r="H47" s="173"/>
      <c r="I47" s="210"/>
      <c r="J47" s="210"/>
      <c r="K47" s="210"/>
      <c r="L47" s="210"/>
    </row>
    <row r="48" spans="1:19" x14ac:dyDescent="0.25">
      <c r="A48" s="145" t="s">
        <v>38</v>
      </c>
      <c r="B48" s="145"/>
      <c r="C48" s="145"/>
      <c r="D48" s="145"/>
      <c r="E48" s="145"/>
      <c r="F48" s="145"/>
      <c r="G48" s="145"/>
      <c r="H48" s="145"/>
    </row>
    <row r="49" spans="1:24" ht="33.75" customHeight="1" x14ac:dyDescent="0.25">
      <c r="A49" s="94" t="s">
        <v>140</v>
      </c>
      <c r="B49" s="95"/>
      <c r="C49" s="211" t="s">
        <v>246</v>
      </c>
      <c r="D49" s="212"/>
      <c r="E49" s="212"/>
      <c r="F49" s="212"/>
      <c r="G49" s="212"/>
      <c r="H49" s="213"/>
      <c r="R49" t="s">
        <v>242</v>
      </c>
      <c r="S49" t="s">
        <v>161</v>
      </c>
      <c r="T49" t="s">
        <v>166</v>
      </c>
      <c r="U49" t="s">
        <v>181</v>
      </c>
      <c r="V49" t="s">
        <v>176</v>
      </c>
    </row>
    <row r="50" spans="1:24" ht="63.75" customHeight="1" x14ac:dyDescent="0.25">
      <c r="A50" s="94" t="s">
        <v>39</v>
      </c>
      <c r="B50" s="95"/>
      <c r="C50" s="94" t="s">
        <v>355</v>
      </c>
      <c r="D50" s="105"/>
      <c r="E50" s="95"/>
      <c r="F50" s="17" t="s">
        <v>40</v>
      </c>
      <c r="G50" s="100">
        <v>45208</v>
      </c>
      <c r="H50" s="95"/>
      <c r="R50"/>
      <c r="S50" t="s">
        <v>243</v>
      </c>
      <c r="T50" t="s">
        <v>248</v>
      </c>
      <c r="U50" t="s">
        <v>259</v>
      </c>
      <c r="V50" t="s">
        <v>264</v>
      </c>
    </row>
    <row r="51" spans="1:24" ht="69" customHeight="1" x14ac:dyDescent="0.25">
      <c r="A51" s="94" t="s">
        <v>375</v>
      </c>
      <c r="B51" s="95"/>
      <c r="C51" s="94" t="str">
        <f>C50</f>
        <v>SROT/Growth Center/2401/BP/ITP-Usarghar-Gharivali-01/Part OC B.No.2 (Flat 4 &amp; 5) &amp; EWS LIG B.No. 2 (Stilt + 4 Floor)/ VOL-44/1368/2023</v>
      </c>
      <c r="D51" s="105"/>
      <c r="E51" s="95"/>
      <c r="F51" s="17" t="s">
        <v>40</v>
      </c>
      <c r="G51" s="100">
        <f>G50</f>
        <v>45208</v>
      </c>
      <c r="H51" s="95"/>
      <c r="P51" s="22">
        <v>45208</v>
      </c>
      <c r="R51"/>
      <c r="S51" t="s">
        <v>244</v>
      </c>
      <c r="T51" t="s">
        <v>249</v>
      </c>
      <c r="U51" t="s">
        <v>257</v>
      </c>
      <c r="V51" t="s">
        <v>265</v>
      </c>
    </row>
    <row r="52" spans="1:24" ht="69" customHeight="1" x14ac:dyDescent="0.25">
      <c r="A52" s="94" t="s">
        <v>356</v>
      </c>
      <c r="B52" s="95"/>
      <c r="C52" s="94" t="str">
        <f>C51</f>
        <v>SROT/Growth Center/2401/BP/ITP-Usarghar-Gharivali-01/Part OC B.No.2 (Flat 4 &amp; 5) &amp; EWS LIG B.No. 2 (Stilt + 4 Floor)/ VOL-44/1368/2023</v>
      </c>
      <c r="D52" s="105"/>
      <c r="E52" s="95"/>
      <c r="F52" s="17" t="s">
        <v>40</v>
      </c>
      <c r="G52" s="201">
        <v>44399</v>
      </c>
      <c r="H52" s="202"/>
      <c r="P52" s="22">
        <v>45208</v>
      </c>
      <c r="R52"/>
      <c r="S52" t="s">
        <v>244</v>
      </c>
      <c r="T52" t="s">
        <v>249</v>
      </c>
      <c r="U52" t="s">
        <v>257</v>
      </c>
      <c r="V52" t="s">
        <v>265</v>
      </c>
    </row>
    <row r="53" spans="1:24" s="20" customFormat="1" ht="70.5" customHeight="1" x14ac:dyDescent="0.25">
      <c r="A53" s="101" t="s">
        <v>346</v>
      </c>
      <c r="B53" s="102"/>
      <c r="C53" s="94" t="s">
        <v>345</v>
      </c>
      <c r="D53" s="105"/>
      <c r="E53" s="95"/>
      <c r="F53" s="17" t="s">
        <v>40</v>
      </c>
      <c r="G53" s="100">
        <v>45426</v>
      </c>
      <c r="H53" s="95"/>
      <c r="R53"/>
      <c r="S53" t="s">
        <v>245</v>
      </c>
      <c r="T53" t="s">
        <v>250</v>
      </c>
      <c r="U53" t="s">
        <v>247</v>
      </c>
      <c r="V53" t="s">
        <v>266</v>
      </c>
    </row>
    <row r="54" spans="1:24" s="20" customFormat="1" ht="32.25" customHeight="1" x14ac:dyDescent="0.25">
      <c r="A54" s="103"/>
      <c r="B54" s="104"/>
      <c r="C54" s="94" t="s">
        <v>347</v>
      </c>
      <c r="D54" s="105"/>
      <c r="E54" s="105"/>
      <c r="F54" s="105"/>
      <c r="G54" s="105"/>
      <c r="H54" s="95"/>
      <c r="R54"/>
      <c r="S54" t="s">
        <v>246</v>
      </c>
      <c r="T54" t="s">
        <v>253</v>
      </c>
      <c r="U54" t="s">
        <v>260</v>
      </c>
    </row>
    <row r="55" spans="1:24" s="20" customFormat="1" hidden="1" x14ac:dyDescent="0.25">
      <c r="A55" s="96" t="s">
        <v>270</v>
      </c>
      <c r="B55" s="97"/>
      <c r="C55" s="94" t="str">
        <f>C54</f>
        <v>EWS LIG Building No.2 = Gr/St + 1st to 23rd Floor
Total No.of Tenement = 474</v>
      </c>
      <c r="D55" s="105"/>
      <c r="E55" s="95"/>
      <c r="F55" s="17" t="s">
        <v>40</v>
      </c>
      <c r="G55" s="94"/>
      <c r="H55" s="95"/>
      <c r="R55"/>
      <c r="S55" t="s">
        <v>245</v>
      </c>
      <c r="T55" t="s">
        <v>250</v>
      </c>
      <c r="U55" t="s">
        <v>247</v>
      </c>
      <c r="V55" t="s">
        <v>266</v>
      </c>
    </row>
    <row r="56" spans="1:24" s="20" customFormat="1" ht="32.25" hidden="1" customHeight="1" x14ac:dyDescent="0.25">
      <c r="A56" s="98"/>
      <c r="B56" s="99"/>
      <c r="C56" s="194"/>
      <c r="D56" s="195"/>
      <c r="E56" s="195"/>
      <c r="F56" s="195"/>
      <c r="G56" s="195"/>
      <c r="H56" s="196"/>
      <c r="R56"/>
      <c r="S56" t="s">
        <v>247</v>
      </c>
      <c r="T56" t="s">
        <v>251</v>
      </c>
      <c r="U56" t="s">
        <v>261</v>
      </c>
      <c r="V56" s="18"/>
      <c r="W56" s="18"/>
      <c r="X56" s="18"/>
    </row>
    <row r="57" spans="1:24" s="20" customFormat="1" ht="34.5" hidden="1" customHeight="1" x14ac:dyDescent="0.25">
      <c r="A57" s="96" t="s">
        <v>271</v>
      </c>
      <c r="B57" s="97"/>
      <c r="C57" s="94">
        <f>C56</f>
        <v>0</v>
      </c>
      <c r="D57" s="105"/>
      <c r="E57" s="95"/>
      <c r="F57" s="17" t="s">
        <v>40</v>
      </c>
      <c r="G57" s="94">
        <f>G56</f>
        <v>0</v>
      </c>
      <c r="H57" s="95"/>
      <c r="R57"/>
      <c r="S57" s="18"/>
      <c r="T57" t="s">
        <v>252</v>
      </c>
      <c r="U57" t="s">
        <v>262</v>
      </c>
      <c r="V57" s="18"/>
      <c r="W57" s="18"/>
      <c r="X57" s="18"/>
    </row>
    <row r="58" spans="1:24" s="20" customFormat="1" ht="41.25" hidden="1" customHeight="1" x14ac:dyDescent="0.25">
      <c r="A58" s="98"/>
      <c r="B58" s="99"/>
      <c r="C58" s="94"/>
      <c r="D58" s="105"/>
      <c r="E58" s="105"/>
      <c r="F58" s="105"/>
      <c r="G58" s="105"/>
      <c r="H58" s="95"/>
      <c r="R58"/>
      <c r="S58" s="18"/>
      <c r="T58" t="s">
        <v>254</v>
      </c>
      <c r="U58" t="s">
        <v>263</v>
      </c>
      <c r="V58" s="18"/>
      <c r="W58" s="18"/>
      <c r="X58" s="18"/>
    </row>
    <row r="59" spans="1:24" s="20" customFormat="1" ht="15.75" hidden="1" customHeight="1" x14ac:dyDescent="0.25">
      <c r="A59" s="96" t="s">
        <v>272</v>
      </c>
      <c r="B59" s="97"/>
      <c r="C59" s="94">
        <f>C58</f>
        <v>0</v>
      </c>
      <c r="D59" s="105"/>
      <c r="E59" s="95"/>
      <c r="F59" s="17" t="s">
        <v>40</v>
      </c>
      <c r="G59" s="94">
        <f>G58</f>
        <v>0</v>
      </c>
      <c r="H59" s="95"/>
      <c r="R59"/>
      <c r="S59" s="18"/>
      <c r="T59" t="s">
        <v>255</v>
      </c>
      <c r="U59" s="18" t="s">
        <v>285</v>
      </c>
      <c r="V59" s="18"/>
      <c r="W59" s="18"/>
      <c r="X59" s="18"/>
    </row>
    <row r="60" spans="1:24" s="20" customFormat="1" ht="33.75" hidden="1" customHeight="1" x14ac:dyDescent="0.25">
      <c r="A60" s="98"/>
      <c r="B60" s="99"/>
      <c r="C60" s="94"/>
      <c r="D60" s="105"/>
      <c r="E60" s="105"/>
      <c r="F60" s="105"/>
      <c r="G60" s="105"/>
      <c r="H60" s="95"/>
      <c r="R60"/>
      <c r="S60" s="18"/>
      <c r="T60" t="s">
        <v>256</v>
      </c>
      <c r="U60" s="18"/>
      <c r="V60" s="18"/>
      <c r="W60" s="18"/>
      <c r="X60" s="18"/>
    </row>
    <row r="61" spans="1:24" ht="99" customHeight="1" x14ac:dyDescent="0.25">
      <c r="A61" s="84" t="s">
        <v>376</v>
      </c>
      <c r="B61" s="85"/>
      <c r="C61" s="84" t="s">
        <v>357</v>
      </c>
      <c r="D61" s="86"/>
      <c r="E61" s="85"/>
      <c r="F61" s="40" t="s">
        <v>40</v>
      </c>
      <c r="G61" s="215">
        <v>45208</v>
      </c>
      <c r="H61" s="216"/>
      <c r="R61"/>
      <c r="T61" t="s">
        <v>258</v>
      </c>
    </row>
    <row r="62" spans="1:24" x14ac:dyDescent="0.25">
      <c r="A62" s="148" t="s">
        <v>42</v>
      </c>
      <c r="B62" s="148"/>
      <c r="C62" s="148"/>
      <c r="D62" s="148"/>
      <c r="E62" s="148"/>
      <c r="F62" s="148"/>
      <c r="G62" s="148"/>
      <c r="H62" s="148"/>
      <c r="T62" t="s">
        <v>267</v>
      </c>
    </row>
    <row r="63" spans="1:24" x14ac:dyDescent="0.25">
      <c r="A63" s="89" t="s">
        <v>84</v>
      </c>
      <c r="B63" s="89"/>
      <c r="C63" s="89"/>
      <c r="D63" s="87">
        <f>E46</f>
        <v>1023708.55</v>
      </c>
      <c r="E63" s="81"/>
      <c r="F63" s="81"/>
      <c r="G63" s="81"/>
      <c r="H63" s="81"/>
      <c r="R63"/>
      <c r="T63" s="18" t="s">
        <v>246</v>
      </c>
    </row>
    <row r="64" spans="1:24" x14ac:dyDescent="0.25">
      <c r="A64" s="158" t="s">
        <v>43</v>
      </c>
      <c r="B64" s="76"/>
      <c r="C64" s="76"/>
      <c r="D64" s="76" t="s">
        <v>372</v>
      </c>
      <c r="E64" s="76"/>
      <c r="F64" s="76"/>
      <c r="G64" s="76"/>
      <c r="H64" s="76"/>
      <c r="I64" s="21"/>
      <c r="R64"/>
    </row>
    <row r="65" spans="1:19" x14ac:dyDescent="0.25">
      <c r="A65" s="174" t="s">
        <v>44</v>
      </c>
      <c r="B65" s="175"/>
      <c r="C65" s="184"/>
      <c r="D65" s="182" t="s">
        <v>343</v>
      </c>
      <c r="E65" s="183"/>
      <c r="F65" s="183"/>
      <c r="G65" s="183"/>
      <c r="H65" s="183"/>
      <c r="R65"/>
    </row>
    <row r="66" spans="1:19" ht="15.75" customHeight="1" x14ac:dyDescent="0.25">
      <c r="A66" s="174" t="s">
        <v>82</v>
      </c>
      <c r="B66" s="175"/>
      <c r="C66" s="175"/>
      <c r="D66" s="176" t="s">
        <v>343</v>
      </c>
      <c r="E66" s="177"/>
      <c r="F66" s="177"/>
      <c r="G66" s="177"/>
      <c r="H66" s="177"/>
      <c r="R66"/>
    </row>
    <row r="67" spans="1:19" ht="15.75" customHeight="1" x14ac:dyDescent="0.25">
      <c r="A67" s="81" t="s">
        <v>41</v>
      </c>
      <c r="B67" s="81"/>
      <c r="C67" s="81"/>
      <c r="D67" s="171" t="s">
        <v>385</v>
      </c>
      <c r="E67" s="171"/>
      <c r="F67" s="171"/>
      <c r="G67" s="171"/>
      <c r="H67" s="171"/>
      <c r="J67" s="22"/>
      <c r="K67" s="21"/>
      <c r="N67" s="21"/>
      <c r="S67"/>
    </row>
    <row r="68" spans="1:19" ht="15.75" customHeight="1" x14ac:dyDescent="0.25">
      <c r="A68" s="81" t="s">
        <v>80</v>
      </c>
      <c r="B68" s="81"/>
      <c r="C68" s="81"/>
      <c r="D68" s="172" t="str">
        <f ca="1">(IF(G61="NA","60 Years After Completion",IF(G61&lt;&gt;"NA",""&amp;60-ROUNDDOWN((E3-G61)/360,0)&amp;" Years"," ")))</f>
        <v>59 Years</v>
      </c>
      <c r="E68" s="172"/>
      <c r="F68" s="172"/>
      <c r="G68" s="172"/>
      <c r="H68" s="172"/>
      <c r="N68" s="21"/>
      <c r="S68"/>
    </row>
    <row r="69" spans="1:19" ht="15.75" customHeight="1" x14ac:dyDescent="0.25">
      <c r="A69" s="81" t="s">
        <v>81</v>
      </c>
      <c r="B69" s="81"/>
      <c r="C69" s="81"/>
      <c r="D69" s="89" t="s">
        <v>23</v>
      </c>
      <c r="E69" s="89"/>
      <c r="F69" s="89"/>
      <c r="G69" s="89"/>
      <c r="H69" s="89"/>
      <c r="J69" s="23"/>
      <c r="K69" s="23"/>
      <c r="S69"/>
    </row>
    <row r="70" spans="1:19" ht="48" customHeight="1" x14ac:dyDescent="0.25">
      <c r="A70" s="177" t="s">
        <v>335</v>
      </c>
      <c r="B70" s="177"/>
      <c r="C70" s="177"/>
      <c r="D70" s="176" t="s">
        <v>336</v>
      </c>
      <c r="E70" s="176"/>
      <c r="F70" s="176"/>
      <c r="G70" s="176"/>
      <c r="H70" s="176"/>
      <c r="I70" s="18" t="s">
        <v>337</v>
      </c>
      <c r="S70"/>
    </row>
    <row r="71" spans="1:19" x14ac:dyDescent="0.25">
      <c r="A71" s="89" t="s">
        <v>137</v>
      </c>
      <c r="B71" s="89"/>
      <c r="C71" s="89"/>
      <c r="D71" s="89" t="s">
        <v>28</v>
      </c>
      <c r="E71" s="89"/>
      <c r="F71" s="89"/>
      <c r="G71" s="89"/>
      <c r="H71" s="89"/>
      <c r="I71" s="24"/>
      <c r="J71" s="24"/>
      <c r="K71" s="24"/>
      <c r="L71" s="24"/>
      <c r="M71" s="24"/>
      <c r="N71" s="24"/>
    </row>
    <row r="72" spans="1:19" ht="15.75" customHeight="1" x14ac:dyDescent="0.25">
      <c r="A72" s="90" t="s">
        <v>79</v>
      </c>
      <c r="B72" s="90"/>
      <c r="C72" s="90"/>
      <c r="D72" s="204" t="str">
        <f ca="1">(IF(G79&gt;95%,"Nothing",IF(G79&gt;0%,"Cement, Aggregate, Steel, etc",IF(G79=0%,"Work not yet Started"))))</f>
        <v>Nothing</v>
      </c>
      <c r="E72" s="204"/>
      <c r="F72" s="204"/>
      <c r="G72" s="204"/>
      <c r="H72" s="204"/>
      <c r="J72" s="23"/>
      <c r="S72"/>
    </row>
    <row r="73" spans="1:19" ht="33.75" customHeight="1" thickBot="1" x14ac:dyDescent="0.3">
      <c r="A73" s="226" t="s">
        <v>106</v>
      </c>
      <c r="B73" s="226"/>
      <c r="C73" s="226"/>
      <c r="D73" s="204" t="str">
        <f ca="1">(IF(D72="Nothing","Yes",IF(D72="Cement, Aggregate, Steel, etc","Under Construction",IF(D72="Work not yet Started","Work not yet Started"))))</f>
        <v>Yes</v>
      </c>
      <c r="E73" s="204"/>
      <c r="F73" s="204" t="str">
        <f ca="1">(IF(D72="Nothing","Yes",IF(D72="Cement, Aggregate, Steel, etc","Under Construction",IF(D72="Work not yet Started","Work not yet Started"))))</f>
        <v>Yes</v>
      </c>
      <c r="G73" s="204"/>
      <c r="H73" s="204"/>
      <c r="S73"/>
    </row>
    <row r="74" spans="1:19" ht="15.75" customHeight="1" x14ac:dyDescent="0.25">
      <c r="A74" s="219" t="s">
        <v>129</v>
      </c>
      <c r="B74" s="220"/>
      <c r="C74" s="221" t="str">
        <f>D66</f>
        <v>EWS LIG Bldg. No.2 = Gr/St + 1st to 23rd Floor</v>
      </c>
      <c r="D74" s="222"/>
      <c r="E74" s="222"/>
      <c r="F74" s="222"/>
      <c r="G74" s="222"/>
      <c r="H74" s="223"/>
      <c r="I74" s="42" t="str">
        <f ca="1">IF(D88=100%,"All work Completed. Possession granted to the Building.",IF(D87=100%,"All work Completed, Waiting for OC",I75&amp;""&amp;I77&amp;""&amp;J75&amp;""&amp;J74&amp;" "&amp;J77))</f>
        <v>All work Completed. Possession granted to the Building.</v>
      </c>
      <c r="J74" s="43" t="str">
        <f ca="1">(IF(C81=(D75+F75+H75),"",IF(C81&gt;0,", RCC upto "&amp;C81&amp;" Slab","")))&amp;(IF(C82=H75,"",IF(C82&gt;0,", Brickwork upto "&amp;C82&amp;" Floor","")))&amp;(IF(C83=H75,"",IF(C83&gt;0,", Internal Plaster upto "&amp;C83&amp;" Floor","")))&amp;(IF(C84=H75,"",IF(C84&gt;0,", External Plaster upto "&amp;C84&amp;" Floor","")))&amp;(IF(C85=H75,"",IF(C85&gt;0,", Flooring upto "&amp;C85&amp;" Floor","")))&amp;(IF(C86=H75,"",IF(C86&gt;0,", Painting upto "&amp;C86&amp;" Floor","")))&amp;(IF(C87=H75,"",IF(C87&gt;0,", Finishing upto "&amp;C87&amp;" Floor","")))&amp;(IF(C88=H75,"",IF(C88&gt;0,", Possession upto "&amp;C88&amp;" Floor","")))</f>
        <v/>
      </c>
      <c r="S74"/>
    </row>
    <row r="75" spans="1:19" x14ac:dyDescent="0.25">
      <c r="A75" s="15" t="s">
        <v>131</v>
      </c>
      <c r="B75" s="46">
        <f>IF(AND(ISNUMBER(SEARCH("1B",C74))),1,IF(AND(ISNUMBER(SEARCH("2B",C74))),2,IF(AND(ISNUMBER(SEARCH("3B",C74))),3,IF(AND(ISNUMBER(SEARCH("4B",C74))),4,IF(ISNUMBER(SEARCH("5B",C74)),5,0)))))</f>
        <v>0</v>
      </c>
      <c r="C75" s="46" t="s">
        <v>66</v>
      </c>
      <c r="D75" s="46">
        <v>1</v>
      </c>
      <c r="E75" s="46" t="s">
        <v>65</v>
      </c>
      <c r="F75" s="46">
        <v>0</v>
      </c>
      <c r="G75" s="46" t="s">
        <v>73</v>
      </c>
      <c r="H75" s="16">
        <f ca="1">--TRIM(RIGHT(SUBSTITUTE(LEFT(C74,_xlfn.AGGREGATE(16,6,FIND({0,1,2,3,4,5,6,7,8,9},C74,ROW(INDIRECT("1:"&amp;LEN(C74)))),1))," ",REPT(" ",LEN(C74))),LEN(C74)))</f>
        <v>23</v>
      </c>
      <c r="I75" s="44"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 Painting, Building common Amenities</v>
      </c>
      <c r="J75"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5"/>
    </row>
    <row r="76" spans="1:19" x14ac:dyDescent="0.25">
      <c r="A76" s="233" t="s">
        <v>78</v>
      </c>
      <c r="B76" s="166"/>
      <c r="C76" s="234">
        <v>1</v>
      </c>
      <c r="D76" s="166"/>
      <c r="E76" s="164" t="s">
        <v>77</v>
      </c>
      <c r="F76" s="166"/>
      <c r="G76" s="234">
        <v>1</v>
      </c>
      <c r="H76" s="235"/>
      <c r="I76" s="44"/>
      <c r="J76" s="45"/>
      <c r="S76"/>
    </row>
    <row r="77" spans="1:19" ht="16.5" thickBot="1" x14ac:dyDescent="0.3">
      <c r="A77" s="199" t="s">
        <v>83</v>
      </c>
      <c r="B77" s="200"/>
      <c r="C77" s="224" t="str">
        <f ca="1">I74</f>
        <v>All work Completed. Possession granted to the Building.</v>
      </c>
      <c r="D77" s="224"/>
      <c r="E77" s="224"/>
      <c r="F77" s="224"/>
      <c r="G77" s="224"/>
      <c r="H77" s="225"/>
      <c r="I77" s="44" t="str">
        <f ca="1">IF(I75&lt;&gt;""," Completed","")</f>
        <v xml:space="preserve"> Completed</v>
      </c>
      <c r="J77" s="45" t="str">
        <f ca="1">IF(J74&lt;&gt;"","Completed","")</f>
        <v/>
      </c>
      <c r="S77"/>
    </row>
    <row r="78" spans="1:19" ht="15.75" hidden="1" customHeight="1" x14ac:dyDescent="0.25">
      <c r="A78" s="197" t="s">
        <v>45</v>
      </c>
      <c r="B78" s="198"/>
      <c r="C78" s="75" t="s">
        <v>128</v>
      </c>
      <c r="D78" s="75" t="s">
        <v>76</v>
      </c>
      <c r="E78" s="205" t="s">
        <v>78</v>
      </c>
      <c r="F78" s="205"/>
      <c r="G78" s="205" t="s">
        <v>77</v>
      </c>
      <c r="H78" s="206"/>
      <c r="I78" s="13" t="s">
        <v>130</v>
      </c>
      <c r="J78" s="25">
        <f ca="1">H75*25%</f>
        <v>5.75</v>
      </c>
      <c r="S78"/>
    </row>
    <row r="79" spans="1:19" hidden="1" x14ac:dyDescent="0.25">
      <c r="A79" s="92" t="s">
        <v>117</v>
      </c>
      <c r="B79" s="93"/>
      <c r="C79" s="69">
        <f ca="1">J80</f>
        <v>23</v>
      </c>
      <c r="D79" s="70">
        <f ca="1">((100/H75)*C79)/100</f>
        <v>1</v>
      </c>
      <c r="E79" s="185">
        <f ca="1">(((C80/H75*10)+(40/(D75+F75+H75)*C81)+(7.5/(H75)*C82)+(7.5/(H75)*C83)+(10/H75*C84)+(10/H75*C85)+(5/H75*C86)+(5/H75*C87)+(5/H75*C88))/100)</f>
        <v>1</v>
      </c>
      <c r="F79" s="186"/>
      <c r="G79" s="185">
        <f ca="1">((((C79/H75)*20)+((C80/H75)*25)+(30/(H75+F75+D75)*C81)+(5/H75*C82)+(5/H75*C83)+(5/H75*C84)+(5/H75*C85)+(0/H75*C86)+(0/H75*C87)+(5/H75*C88))/100)</f>
        <v>1</v>
      </c>
      <c r="H79" s="191"/>
      <c r="I79" s="13" t="s">
        <v>89</v>
      </c>
      <c r="J79" s="26">
        <f ca="1">H75*50%</f>
        <v>11.5</v>
      </c>
    </row>
    <row r="80" spans="1:19" hidden="1" x14ac:dyDescent="0.25">
      <c r="A80" s="92" t="s">
        <v>46</v>
      </c>
      <c r="B80" s="93"/>
      <c r="C80" s="69">
        <f ca="1">J88</f>
        <v>23</v>
      </c>
      <c r="D80" s="70">
        <f ca="1">((100/H75)*C80)/100</f>
        <v>1</v>
      </c>
      <c r="E80" s="187"/>
      <c r="F80" s="188"/>
      <c r="G80" s="187"/>
      <c r="H80" s="192"/>
      <c r="I80" s="13" t="s">
        <v>90</v>
      </c>
      <c r="J80" s="26">
        <f ca="1">H75</f>
        <v>23</v>
      </c>
      <c r="S80"/>
    </row>
    <row r="81" spans="1:22" ht="15.75" hidden="1" customHeight="1" x14ac:dyDescent="0.25">
      <c r="A81" s="92" t="s">
        <v>118</v>
      </c>
      <c r="B81" s="93"/>
      <c r="C81" s="69">
        <v>24</v>
      </c>
      <c r="D81" s="70">
        <f ca="1">((100/(D75+F75+H75))*C81)/100</f>
        <v>1</v>
      </c>
      <c r="E81" s="187"/>
      <c r="F81" s="188"/>
      <c r="G81" s="187"/>
      <c r="H81" s="192"/>
      <c r="I81" s="13" t="s">
        <v>91</v>
      </c>
      <c r="J81" s="27">
        <f ca="1">(IF(B75&gt;1,(H75/(B75+2)),H75/4))</f>
        <v>5.75</v>
      </c>
      <c r="S81"/>
    </row>
    <row r="82" spans="1:22" ht="15.75" hidden="1" customHeight="1" x14ac:dyDescent="0.25">
      <c r="A82" s="92" t="s">
        <v>125</v>
      </c>
      <c r="B82" s="93" t="s">
        <v>119</v>
      </c>
      <c r="C82" s="69">
        <v>23</v>
      </c>
      <c r="D82" s="70">
        <f ca="1">((100/H75)*C82)/100</f>
        <v>1</v>
      </c>
      <c r="E82" s="187"/>
      <c r="F82" s="188"/>
      <c r="G82" s="187"/>
      <c r="H82" s="192"/>
      <c r="I82" s="13" t="s">
        <v>92</v>
      </c>
      <c r="J82" s="27">
        <f ca="1">(IF(B75&gt;1,(H75/(B75+2)+J81),H75/4+J81))</f>
        <v>11.5</v>
      </c>
    </row>
    <row r="83" spans="1:22" ht="15.75" hidden="1" customHeight="1" x14ac:dyDescent="0.25">
      <c r="A83" s="92" t="s">
        <v>126</v>
      </c>
      <c r="B83" s="93" t="s">
        <v>119</v>
      </c>
      <c r="C83" s="69">
        <v>23</v>
      </c>
      <c r="D83" s="70">
        <f ca="1">((100/H75)*C83)/100</f>
        <v>1</v>
      </c>
      <c r="E83" s="187"/>
      <c r="F83" s="188"/>
      <c r="G83" s="187"/>
      <c r="H83" s="192"/>
      <c r="I83" s="13" t="s">
        <v>135</v>
      </c>
      <c r="J83" s="27">
        <f>(IF(B75&gt;1,(H75/(B75+2)+J82),0))</f>
        <v>0</v>
      </c>
    </row>
    <row r="84" spans="1:22" ht="15" hidden="1" customHeight="1" x14ac:dyDescent="0.25">
      <c r="A84" s="92" t="s">
        <v>124</v>
      </c>
      <c r="B84" s="93" t="s">
        <v>121</v>
      </c>
      <c r="C84" s="69">
        <v>23</v>
      </c>
      <c r="D84" s="70">
        <f ca="1">((100/(H75))*C84)/100</f>
        <v>1</v>
      </c>
      <c r="E84" s="187"/>
      <c r="F84" s="188"/>
      <c r="G84" s="187"/>
      <c r="H84" s="192"/>
      <c r="I84" s="13" t="s">
        <v>132</v>
      </c>
      <c r="J84" s="27">
        <f>(IF(B75&gt;2,(H75/(B75+2)+J83),0))</f>
        <v>0</v>
      </c>
    </row>
    <row r="85" spans="1:22" ht="15.75" hidden="1" customHeight="1" x14ac:dyDescent="0.25">
      <c r="A85" s="92" t="s">
        <v>120</v>
      </c>
      <c r="B85" s="93" t="s">
        <v>120</v>
      </c>
      <c r="C85" s="74">
        <v>23</v>
      </c>
      <c r="D85" s="70">
        <f ca="1">((100/H75)*C85)/100</f>
        <v>1</v>
      </c>
      <c r="E85" s="187"/>
      <c r="F85" s="188"/>
      <c r="G85" s="187"/>
      <c r="H85" s="192"/>
      <c r="I85" s="13" t="s">
        <v>133</v>
      </c>
      <c r="J85" s="28">
        <f>(IF(B75&gt;3,(H75/(B75+2)+J84),0))</f>
        <v>0</v>
      </c>
    </row>
    <row r="86" spans="1:22" ht="15.75" hidden="1" customHeight="1" x14ac:dyDescent="0.25">
      <c r="A86" s="92" t="s">
        <v>127</v>
      </c>
      <c r="B86" s="93"/>
      <c r="C86" s="74">
        <v>23</v>
      </c>
      <c r="D86" s="70">
        <f ca="1">((100/H75)*C86)/100</f>
        <v>1</v>
      </c>
      <c r="E86" s="187"/>
      <c r="F86" s="188"/>
      <c r="G86" s="187"/>
      <c r="H86" s="192"/>
      <c r="I86" s="13" t="s">
        <v>134</v>
      </c>
      <c r="J86" s="27">
        <f>(IF(B75&gt;4,(H75/(B75+2)+J85),0))</f>
        <v>0</v>
      </c>
    </row>
    <row r="87" spans="1:22" ht="15.75" hidden="1" customHeight="1" x14ac:dyDescent="0.25">
      <c r="A87" s="92" t="s">
        <v>122</v>
      </c>
      <c r="B87" s="93" t="s">
        <v>122</v>
      </c>
      <c r="C87" s="74">
        <v>23</v>
      </c>
      <c r="D87" s="70">
        <f ca="1">((100/(H75))*C87)/100</f>
        <v>1</v>
      </c>
      <c r="E87" s="187"/>
      <c r="F87" s="188"/>
      <c r="G87" s="187"/>
      <c r="H87" s="192"/>
      <c r="I87" s="13" t="s">
        <v>136</v>
      </c>
      <c r="J87" s="27">
        <f ca="1">(IF(B75=1,(H75/(B75+3)+J82),IF(B75=0,(H75/4+J82),IF(B75&gt;1,0))))</f>
        <v>17.25</v>
      </c>
    </row>
    <row r="88" spans="1:22" ht="16.5" hidden="1" thickBot="1" x14ac:dyDescent="0.3">
      <c r="A88" s="217" t="s">
        <v>123</v>
      </c>
      <c r="B88" s="218"/>
      <c r="C88" s="71">
        <v>23</v>
      </c>
      <c r="D88" s="72">
        <f ca="1">((100/(H75))*C88)/100</f>
        <v>1</v>
      </c>
      <c r="E88" s="189"/>
      <c r="F88" s="190"/>
      <c r="G88" s="189"/>
      <c r="H88" s="193"/>
      <c r="I88" s="14" t="s">
        <v>93</v>
      </c>
      <c r="J88" s="29">
        <f ca="1">(IF(B75&gt;1.5,(H75/(B75+2)+J82+MAX(0,J83-J82)+MAX(0,J84-J83)+MAX(0,J85-J84)+MAX(0,J86-J85)+MAX(0,J87-J86)),IF(B75=1,(H75/(B75+3)+J87),IF(B75=0,H75/4+J87))))</f>
        <v>23</v>
      </c>
    </row>
    <row r="89" spans="1:22" x14ac:dyDescent="0.25">
      <c r="A89" s="214" t="s">
        <v>145</v>
      </c>
      <c r="B89" s="214"/>
      <c r="C89" s="214"/>
      <c r="D89" s="214"/>
      <c r="E89" s="214"/>
      <c r="F89" s="151" t="s">
        <v>149</v>
      </c>
      <c r="G89" s="151"/>
      <c r="H89" s="151"/>
      <c r="R89" t="s">
        <v>242</v>
      </c>
      <c r="S89" t="s">
        <v>161</v>
      </c>
      <c r="T89" t="s">
        <v>166</v>
      </c>
      <c r="U89" t="s">
        <v>181</v>
      </c>
      <c r="V89" t="s">
        <v>176</v>
      </c>
    </row>
    <row r="90" spans="1:22" x14ac:dyDescent="0.25">
      <c r="A90" s="81" t="s">
        <v>147</v>
      </c>
      <c r="B90" s="81"/>
      <c r="C90" s="81"/>
      <c r="D90" s="81"/>
      <c r="E90" s="81"/>
      <c r="F90" s="79">
        <v>3000</v>
      </c>
      <c r="G90" s="79"/>
      <c r="H90" s="79"/>
      <c r="R90"/>
      <c r="S90">
        <v>800000</v>
      </c>
      <c r="T90">
        <v>150000</v>
      </c>
      <c r="U90">
        <v>100000</v>
      </c>
      <c r="V90">
        <v>100000</v>
      </c>
    </row>
    <row r="91" spans="1:22" hidden="1" x14ac:dyDescent="0.25">
      <c r="A91" s="81" t="s">
        <v>146</v>
      </c>
      <c r="B91" s="81"/>
      <c r="C91" s="81"/>
      <c r="D91" s="81"/>
      <c r="E91" s="81"/>
      <c r="F91" s="79"/>
      <c r="G91" s="79"/>
      <c r="H91" s="79"/>
      <c r="R91"/>
      <c r="S91">
        <v>900000</v>
      </c>
      <c r="T91">
        <v>200000</v>
      </c>
      <c r="U91">
        <v>150000</v>
      </c>
      <c r="V91">
        <v>150000</v>
      </c>
    </row>
    <row r="92" spans="1:22" hidden="1" x14ac:dyDescent="0.25">
      <c r="A92" s="81" t="s">
        <v>148</v>
      </c>
      <c r="B92" s="81"/>
      <c r="C92" s="81"/>
      <c r="D92" s="81"/>
      <c r="E92" s="81"/>
      <c r="F92" s="79"/>
      <c r="G92" s="79"/>
      <c r="H92" s="79"/>
      <c r="R92"/>
      <c r="S92">
        <v>1000000</v>
      </c>
      <c r="T92">
        <v>250000</v>
      </c>
      <c r="U92">
        <v>200000</v>
      </c>
      <c r="V92">
        <v>200000</v>
      </c>
    </row>
    <row r="93" spans="1:22" s="30" customFormat="1" hidden="1" x14ac:dyDescent="0.25">
      <c r="A93" s="81" t="s">
        <v>163</v>
      </c>
      <c r="B93" s="81"/>
      <c r="C93" s="81"/>
      <c r="D93" s="81"/>
      <c r="E93" s="81"/>
      <c r="F93" s="79"/>
      <c r="G93" s="79"/>
      <c r="H93" s="79"/>
      <c r="R93"/>
      <c r="S93">
        <v>1100000</v>
      </c>
      <c r="T93">
        <v>300000</v>
      </c>
      <c r="U93">
        <v>250000</v>
      </c>
      <c r="V93" s="20">
        <v>250000</v>
      </c>
    </row>
    <row r="94" spans="1:22" s="30" customFormat="1" x14ac:dyDescent="0.25">
      <c r="A94" s="81" t="s">
        <v>378</v>
      </c>
      <c r="B94" s="81"/>
      <c r="C94" s="81"/>
      <c r="D94" s="81"/>
      <c r="E94" s="81"/>
      <c r="F94" s="79">
        <v>25000</v>
      </c>
      <c r="G94" s="79"/>
      <c r="H94" s="79"/>
      <c r="R94"/>
      <c r="S94">
        <v>1200000</v>
      </c>
      <c r="T94">
        <v>350000</v>
      </c>
      <c r="U94">
        <v>300000</v>
      </c>
      <c r="V94">
        <v>300000</v>
      </c>
    </row>
    <row r="95" spans="1:22" s="30" customFormat="1" x14ac:dyDescent="0.25">
      <c r="A95" s="81" t="s">
        <v>379</v>
      </c>
      <c r="B95" s="81"/>
      <c r="C95" s="81"/>
      <c r="D95" s="81"/>
      <c r="E95" s="81"/>
      <c r="F95" s="79">
        <v>35000</v>
      </c>
      <c r="G95" s="79"/>
      <c r="H95" s="79"/>
      <c r="R95"/>
      <c r="S95">
        <v>1300000</v>
      </c>
      <c r="T95">
        <v>400000</v>
      </c>
      <c r="U95">
        <v>350000</v>
      </c>
      <c r="V95" s="20">
        <v>400000</v>
      </c>
    </row>
    <row r="96" spans="1:22" s="30" customFormat="1" x14ac:dyDescent="0.25">
      <c r="A96" s="81" t="s">
        <v>380</v>
      </c>
      <c r="B96" s="81"/>
      <c r="C96" s="81"/>
      <c r="D96" s="81"/>
      <c r="E96" s="81"/>
      <c r="F96" s="79">
        <v>651</v>
      </c>
      <c r="G96" s="79"/>
      <c r="H96" s="79"/>
      <c r="R96"/>
      <c r="S96">
        <v>1400000</v>
      </c>
      <c r="T96">
        <v>500000</v>
      </c>
      <c r="U96">
        <v>400000</v>
      </c>
      <c r="V96"/>
    </row>
    <row r="97" spans="1:22" s="30" customFormat="1" x14ac:dyDescent="0.25">
      <c r="A97" s="81" t="s">
        <v>381</v>
      </c>
      <c r="B97" s="81"/>
      <c r="C97" s="81"/>
      <c r="D97" s="81"/>
      <c r="E97" s="81"/>
      <c r="F97" s="79">
        <v>20000</v>
      </c>
      <c r="G97" s="79"/>
      <c r="H97" s="79"/>
      <c r="R97"/>
      <c r="S97">
        <v>1500000</v>
      </c>
      <c r="T97">
        <v>600000</v>
      </c>
      <c r="U97">
        <v>500000</v>
      </c>
      <c r="V97" s="20"/>
    </row>
    <row r="98" spans="1:22" s="30" customFormat="1" x14ac:dyDescent="0.25">
      <c r="A98" s="81" t="s">
        <v>382</v>
      </c>
      <c r="B98" s="81"/>
      <c r="C98" s="81"/>
      <c r="D98" s="81"/>
      <c r="E98" s="81"/>
      <c r="F98" s="79">
        <v>20000</v>
      </c>
      <c r="G98" s="79"/>
      <c r="H98" s="79"/>
      <c r="R98"/>
      <c r="S98">
        <v>1600000</v>
      </c>
      <c r="T98">
        <v>700000</v>
      </c>
      <c r="U98">
        <v>600000</v>
      </c>
      <c r="V98"/>
    </row>
    <row r="99" spans="1:22" s="30" customFormat="1" hidden="1" x14ac:dyDescent="0.25">
      <c r="A99" s="81" t="s">
        <v>88</v>
      </c>
      <c r="B99" s="81"/>
      <c r="C99" s="81"/>
      <c r="D99" s="81"/>
      <c r="E99" s="81"/>
      <c r="F99" s="79"/>
      <c r="G99" s="79"/>
      <c r="H99" s="79"/>
      <c r="R99"/>
      <c r="S99">
        <v>1700000</v>
      </c>
      <c r="T99">
        <v>800000</v>
      </c>
      <c r="U99"/>
      <c r="V99" s="20"/>
    </row>
    <row r="100" spans="1:22" x14ac:dyDescent="0.25">
      <c r="A100" s="81" t="s">
        <v>47</v>
      </c>
      <c r="B100" s="81"/>
      <c r="C100" s="81"/>
      <c r="D100" s="81"/>
      <c r="E100" s="81"/>
      <c r="F100" s="79">
        <v>200000</v>
      </c>
      <c r="G100" s="79"/>
      <c r="H100" s="79"/>
      <c r="R100"/>
      <c r="S100">
        <v>1800000</v>
      </c>
      <c r="T100">
        <v>900000</v>
      </c>
      <c r="U100"/>
    </row>
    <row r="101" spans="1:22" s="31" customFormat="1" x14ac:dyDescent="0.25">
      <c r="A101" s="145" t="s">
        <v>48</v>
      </c>
      <c r="B101" s="145"/>
      <c r="C101" s="145"/>
      <c r="D101" s="145"/>
      <c r="E101" s="145"/>
      <c r="F101" s="79">
        <f>F90*0.8</f>
        <v>2400</v>
      </c>
      <c r="G101" s="79"/>
      <c r="H101" s="79"/>
      <c r="R101" s="18"/>
      <c r="S101" s="18"/>
      <c r="T101">
        <v>1000000</v>
      </c>
      <c r="U101"/>
      <c r="V101" s="18"/>
    </row>
    <row r="102" spans="1:22" s="32" customFormat="1" x14ac:dyDescent="0.25">
      <c r="A102" s="147" t="s">
        <v>64</v>
      </c>
      <c r="B102" s="147"/>
      <c r="C102" s="147"/>
      <c r="D102" s="147"/>
      <c r="E102" s="147"/>
      <c r="F102" s="147"/>
      <c r="G102" s="147"/>
      <c r="H102" s="147"/>
      <c r="T102"/>
    </row>
    <row r="103" spans="1:22" s="32" customFormat="1" ht="15.75" customHeight="1" x14ac:dyDescent="0.25">
      <c r="A103" s="108" t="s">
        <v>49</v>
      </c>
      <c r="B103" s="108"/>
      <c r="C103" s="88" t="s">
        <v>71</v>
      </c>
      <c r="D103" s="88"/>
      <c r="E103" s="150" t="s">
        <v>50</v>
      </c>
      <c r="F103" s="150"/>
      <c r="G103" s="108" t="s">
        <v>51</v>
      </c>
      <c r="H103" s="108"/>
      <c r="T103"/>
    </row>
    <row r="104" spans="1:22" s="32" customFormat="1" x14ac:dyDescent="0.25">
      <c r="A104" s="136" t="s">
        <v>368</v>
      </c>
      <c r="B104" s="136"/>
      <c r="C104" s="181">
        <f>COUNT(D124:D144)*4+COUNT(D146:D166)*16+COUNT(D168:D176,D178:D186)+COUNT(D190:D198,D201:D209)*2</f>
        <v>474</v>
      </c>
      <c r="D104" s="181"/>
      <c r="E104" s="181">
        <f t="shared" ref="E104" si="0">SUM(F124:F144)*4+SUM(F146:F166)*16+SUM(F168:F176,F178:F186)+SUM(F190:F198,F201:F209)*2</f>
        <v>195393.72528000004</v>
      </c>
      <c r="F104" s="181"/>
      <c r="G104" s="181">
        <f t="shared" ref="G104" si="1">SUM(H124:H144)*4+SUM(H146:H166)*16+SUM(H168:H176,H178:H186)+SUM(H190:H198,H201:H209)*2</f>
        <v>283320.90165599994</v>
      </c>
      <c r="H104" s="181"/>
      <c r="T104"/>
    </row>
    <row r="105" spans="1:22" s="32" customFormat="1" hidden="1" x14ac:dyDescent="0.25">
      <c r="A105" s="136"/>
      <c r="B105" s="136"/>
      <c r="C105" s="137"/>
      <c r="D105" s="137"/>
      <c r="E105" s="138"/>
      <c r="F105" s="138"/>
      <c r="G105" s="139"/>
      <c r="H105" s="139"/>
      <c r="T105"/>
    </row>
    <row r="106" spans="1:22" s="32" customFormat="1" ht="16.5" hidden="1" thickBot="1" x14ac:dyDescent="0.3">
      <c r="A106" s="133" t="s">
        <v>139</v>
      </c>
      <c r="B106" s="133"/>
      <c r="C106" s="113"/>
      <c r="D106" s="113"/>
      <c r="E106" s="134"/>
      <c r="F106" s="134"/>
      <c r="G106" s="135"/>
      <c r="H106" s="135"/>
      <c r="T106"/>
    </row>
    <row r="107" spans="1:22" s="32" customFormat="1" ht="16.5" hidden="1" thickBot="1" x14ac:dyDescent="0.3">
      <c r="A107" s="117" t="s">
        <v>155</v>
      </c>
      <c r="B107" s="118"/>
      <c r="C107" s="127" t="e">
        <f>#REF!+C106</f>
        <v>#REF!</v>
      </c>
      <c r="D107" s="127"/>
      <c r="E107" s="128" t="e">
        <f>#REF!+E106</f>
        <v>#REF!</v>
      </c>
      <c r="F107" s="128"/>
      <c r="G107" s="178" t="e">
        <f>#REF!+G106</f>
        <v>#REF!</v>
      </c>
      <c r="H107" s="179"/>
      <c r="T107"/>
    </row>
    <row r="108" spans="1:22" s="31" customFormat="1" x14ac:dyDescent="0.25">
      <c r="A108" s="151" t="s">
        <v>323</v>
      </c>
      <c r="B108" s="151"/>
      <c r="C108" s="151"/>
      <c r="D108" s="151"/>
      <c r="E108" s="151"/>
      <c r="F108" s="151"/>
      <c r="G108" s="151"/>
      <c r="H108" s="151"/>
      <c r="T108" s="32"/>
    </row>
    <row r="109" spans="1:22" x14ac:dyDescent="0.25">
      <c r="A109" s="80" t="s">
        <v>358</v>
      </c>
      <c r="B109" s="80"/>
      <c r="C109" s="80"/>
      <c r="D109" s="80"/>
      <c r="E109" s="80"/>
      <c r="F109" s="80"/>
      <c r="G109" s="80"/>
      <c r="H109" s="80"/>
      <c r="T109" s="32"/>
    </row>
    <row r="110" spans="1:22" ht="47.25" hidden="1" customHeight="1" x14ac:dyDescent="0.25">
      <c r="A110" s="111" t="s">
        <v>108</v>
      </c>
      <c r="B110" s="111" t="s">
        <v>164</v>
      </c>
      <c r="C110" s="111" t="s">
        <v>52</v>
      </c>
      <c r="D110" s="140" t="s">
        <v>220</v>
      </c>
      <c r="E110" s="125" t="s">
        <v>144</v>
      </c>
      <c r="F110" s="111" t="s">
        <v>53</v>
      </c>
      <c r="G110" s="125" t="s">
        <v>54</v>
      </c>
      <c r="H110" s="58" t="s">
        <v>138</v>
      </c>
      <c r="T110" s="32"/>
    </row>
    <row r="111" spans="1:22" s="34" customFormat="1" hidden="1" x14ac:dyDescent="0.25">
      <c r="A111" s="112"/>
      <c r="B111" s="112"/>
      <c r="C111" s="112"/>
      <c r="D111" s="141"/>
      <c r="E111" s="126"/>
      <c r="F111" s="112"/>
      <c r="G111" s="126"/>
      <c r="H111" s="49">
        <v>0.45</v>
      </c>
      <c r="T111" s="32"/>
    </row>
    <row r="112" spans="1:22" s="34" customFormat="1" hidden="1" x14ac:dyDescent="0.25">
      <c r="A112" s="114" t="s">
        <v>107</v>
      </c>
      <c r="B112" s="115"/>
      <c r="C112" s="115"/>
      <c r="D112" s="115"/>
      <c r="E112" s="115"/>
      <c r="F112" s="115"/>
      <c r="G112" s="115"/>
      <c r="H112" s="116"/>
      <c r="J112" s="33"/>
      <c r="T112" s="32"/>
    </row>
    <row r="113" spans="1:20" s="34" customFormat="1" ht="15.75" hidden="1" customHeight="1" x14ac:dyDescent="0.25">
      <c r="A113" s="82">
        <v>1</v>
      </c>
      <c r="B113" s="83"/>
      <c r="C113" s="39"/>
      <c r="D113" s="39">
        <v>0</v>
      </c>
      <c r="E113" s="39">
        <v>0</v>
      </c>
      <c r="F113" s="39">
        <f>D113+(IF(E113&lt;201,E113,IF(E113&lt;301,E113/2,E113/3)))</f>
        <v>0</v>
      </c>
      <c r="G113" s="39">
        <v>0</v>
      </c>
      <c r="H113" s="39">
        <f>(F113+(IF(G113&lt;101,G113,IF(G113&lt;201,G113/2,IF(G113&lt;=301,G113/3,G113/4)))))*(($H$111)+1)</f>
        <v>0</v>
      </c>
      <c r="I113" s="33"/>
      <c r="L113" s="180"/>
      <c r="M113" s="180"/>
      <c r="N113" s="33"/>
      <c r="T113" s="32"/>
    </row>
    <row r="114" spans="1:20" s="34" customFormat="1" ht="15.75" hidden="1" customHeight="1" x14ac:dyDescent="0.25">
      <c r="A114" s="82">
        <f>A113+1</f>
        <v>2</v>
      </c>
      <c r="B114" s="83"/>
      <c r="C114" s="39"/>
      <c r="D114" s="39"/>
      <c r="E114" s="39">
        <v>0</v>
      </c>
      <c r="F114" s="39">
        <f t="shared" ref="F114:F116" si="2">D114+(IF(E114&lt;201,E114,IF(E114&lt;301,E114/2,E114/3)))</f>
        <v>0</v>
      </c>
      <c r="G114" s="39">
        <v>0</v>
      </c>
      <c r="H114" s="39">
        <f t="shared" ref="H114:H116" si="3">(F114+(IF(G114&lt;101,G114,IF(G114&lt;201,G114/2,IF(G114&lt;=301,G114/3,G114/4)))))*(($H$111)+1)</f>
        <v>0</v>
      </c>
      <c r="I114" s="33"/>
      <c r="L114" s="180"/>
      <c r="M114" s="180"/>
      <c r="N114" s="33"/>
      <c r="T114" s="31"/>
    </row>
    <row r="115" spans="1:20" s="34" customFormat="1" ht="15.75" hidden="1" customHeight="1" x14ac:dyDescent="0.25">
      <c r="A115" s="82">
        <f>A114+1</f>
        <v>3</v>
      </c>
      <c r="B115" s="83"/>
      <c r="C115" s="39"/>
      <c r="D115" s="39"/>
      <c r="E115" s="39">
        <v>0</v>
      </c>
      <c r="F115" s="39">
        <f t="shared" si="2"/>
        <v>0</v>
      </c>
      <c r="G115" s="39">
        <v>0</v>
      </c>
      <c r="H115" s="39">
        <f t="shared" si="3"/>
        <v>0</v>
      </c>
      <c r="I115" s="33"/>
      <c r="L115" s="180"/>
      <c r="M115" s="180"/>
      <c r="N115" s="33"/>
      <c r="T115" s="18"/>
    </row>
    <row r="116" spans="1:20" s="34" customFormat="1" ht="15.75" hidden="1" customHeight="1" x14ac:dyDescent="0.25">
      <c r="A116" s="82">
        <f>A115+1</f>
        <v>4</v>
      </c>
      <c r="B116" s="83"/>
      <c r="C116" s="39"/>
      <c r="D116" s="39"/>
      <c r="E116" s="39">
        <v>0</v>
      </c>
      <c r="F116" s="39">
        <f t="shared" si="2"/>
        <v>0</v>
      </c>
      <c r="G116" s="39">
        <v>0</v>
      </c>
      <c r="H116" s="39">
        <f t="shared" si="3"/>
        <v>0</v>
      </c>
      <c r="I116" s="33"/>
      <c r="L116" s="180"/>
      <c r="M116" s="180"/>
      <c r="N116" s="33"/>
      <c r="T116" s="18"/>
    </row>
    <row r="117" spans="1:20" s="34" customFormat="1" hidden="1" x14ac:dyDescent="0.25">
      <c r="A117" s="82"/>
      <c r="B117" s="149"/>
      <c r="C117" s="149"/>
      <c r="D117" s="149"/>
      <c r="E117" s="149"/>
      <c r="F117" s="149"/>
      <c r="G117" s="149"/>
      <c r="H117" s="83"/>
      <c r="I117" s="33"/>
      <c r="N117" s="33"/>
    </row>
    <row r="118" spans="1:20" ht="47.25" customHeight="1" x14ac:dyDescent="0.25">
      <c r="A118" s="152" t="s">
        <v>109</v>
      </c>
      <c r="B118" s="111" t="s">
        <v>165</v>
      </c>
      <c r="C118" s="111" t="s">
        <v>52</v>
      </c>
      <c r="D118" s="109" t="s">
        <v>220</v>
      </c>
      <c r="E118" s="111" t="s">
        <v>219</v>
      </c>
      <c r="F118" s="111" t="s">
        <v>53</v>
      </c>
      <c r="G118" s="125" t="s">
        <v>54</v>
      </c>
      <c r="H118" s="57" t="s">
        <v>138</v>
      </c>
      <c r="I118" s="33"/>
      <c r="T118" s="34"/>
    </row>
    <row r="119" spans="1:20" s="34" customFormat="1" x14ac:dyDescent="0.25">
      <c r="A119" s="153"/>
      <c r="B119" s="112"/>
      <c r="C119" s="112"/>
      <c r="D119" s="110"/>
      <c r="E119" s="112"/>
      <c r="F119" s="112"/>
      <c r="G119" s="126"/>
      <c r="H119" s="73">
        <v>0.45</v>
      </c>
      <c r="I119" s="33"/>
    </row>
    <row r="120" spans="1:20" s="34" customFormat="1" x14ac:dyDescent="0.25">
      <c r="A120" s="114" t="s">
        <v>369</v>
      </c>
      <c r="B120" s="115"/>
      <c r="C120" s="115"/>
      <c r="D120" s="115"/>
      <c r="E120" s="115"/>
      <c r="F120" s="115"/>
      <c r="G120" s="115"/>
      <c r="H120" s="116"/>
      <c r="J120" s="33"/>
    </row>
    <row r="121" spans="1:20" s="34" customFormat="1" x14ac:dyDescent="0.25">
      <c r="A121" s="114" t="s">
        <v>368</v>
      </c>
      <c r="B121" s="115"/>
      <c r="C121" s="115"/>
      <c r="D121" s="115"/>
      <c r="E121" s="115"/>
      <c r="F121" s="115"/>
      <c r="G121" s="115"/>
      <c r="H121" s="116"/>
      <c r="J121" s="33"/>
    </row>
    <row r="122" spans="1:20" s="34" customFormat="1" x14ac:dyDescent="0.25">
      <c r="A122" s="114" t="s">
        <v>359</v>
      </c>
      <c r="B122" s="115"/>
      <c r="C122" s="115"/>
      <c r="D122" s="115"/>
      <c r="E122" s="115"/>
      <c r="F122" s="115"/>
      <c r="G122" s="115"/>
      <c r="H122" s="116"/>
      <c r="J122" s="33"/>
    </row>
    <row r="123" spans="1:20" s="34" customFormat="1" x14ac:dyDescent="0.25">
      <c r="A123" s="146" t="s">
        <v>360</v>
      </c>
      <c r="B123" s="146"/>
      <c r="C123" s="146"/>
      <c r="D123" s="146"/>
      <c r="E123" s="146"/>
      <c r="F123" s="146"/>
      <c r="G123" s="146"/>
      <c r="H123" s="146"/>
      <c r="I123" s="33">
        <v>4</v>
      </c>
      <c r="L123" s="180"/>
      <c r="M123" s="180"/>
    </row>
    <row r="124" spans="1:20" s="34" customFormat="1" x14ac:dyDescent="0.25">
      <c r="A124" s="107">
        <v>1</v>
      </c>
      <c r="B124" s="107"/>
      <c r="C124" s="39" t="s">
        <v>361</v>
      </c>
      <c r="D124" s="39">
        <f t="shared" ref="D124:D130" si="4">(43.74)*10.764</f>
        <v>470.81736000000001</v>
      </c>
      <c r="E124" s="39">
        <v>0</v>
      </c>
      <c r="F124" s="39">
        <f>D124+E124</f>
        <v>470.81736000000001</v>
      </c>
      <c r="G124" s="39">
        <v>0</v>
      </c>
      <c r="H124" s="39">
        <f>F124*(($H$119)+1)+(IF(G124&lt;101,G124,IF(G124&lt;201,G124/2,IF(G124&lt;=301,G124/3,G124/4))))</f>
        <v>682.68517199999997</v>
      </c>
      <c r="I124" s="33"/>
      <c r="J124" s="33">
        <f>2.05*3.25+2.05*2.75+1.8*2.45+3.4*2.75+3.05*3.25+1.2*1.95+0.9*1.45+1.2*1.2+0.9*0.9</f>
        <v>41.8675</v>
      </c>
      <c r="N124" s="33"/>
    </row>
    <row r="125" spans="1:20" s="34" customFormat="1" x14ac:dyDescent="0.25">
      <c r="A125" s="107">
        <f>A124+1</f>
        <v>2</v>
      </c>
      <c r="B125" s="107"/>
      <c r="C125" s="39" t="s">
        <v>361</v>
      </c>
      <c r="D125" s="39">
        <f t="shared" si="4"/>
        <v>470.81736000000001</v>
      </c>
      <c r="E125" s="39">
        <v>0</v>
      </c>
      <c r="F125" s="39">
        <f>D125+E125</f>
        <v>470.81736000000001</v>
      </c>
      <c r="G125" s="39">
        <v>0</v>
      </c>
      <c r="H125" s="39">
        <f>F125*(($H$119)+1)+(IF(G125&lt;101,G125,IF(G125&lt;201,G125/2,IF(G125&lt;=301,G125/3,G125/4))))</f>
        <v>682.68517199999997</v>
      </c>
      <c r="I125" s="33"/>
      <c r="N125" s="33"/>
    </row>
    <row r="126" spans="1:20" s="34" customFormat="1" x14ac:dyDescent="0.25">
      <c r="A126" s="107">
        <f>A125+1</f>
        <v>3</v>
      </c>
      <c r="B126" s="107"/>
      <c r="C126" s="39" t="s">
        <v>361</v>
      </c>
      <c r="D126" s="39">
        <f t="shared" si="4"/>
        <v>470.81736000000001</v>
      </c>
      <c r="E126" s="39">
        <v>0</v>
      </c>
      <c r="F126" s="39">
        <f>D126+E126</f>
        <v>470.81736000000001</v>
      </c>
      <c r="G126" s="39">
        <v>0</v>
      </c>
      <c r="H126" s="39">
        <f>F126*(($H$119)+1)+(IF(G126&lt;101,G126,IF(G126&lt;201,G126/2,IF(G126&lt;=301,G126/3,G126/4))))</f>
        <v>682.68517199999997</v>
      </c>
      <c r="I126" s="33"/>
      <c r="N126" s="33"/>
    </row>
    <row r="127" spans="1:20" s="34" customFormat="1" x14ac:dyDescent="0.25">
      <c r="A127" s="107">
        <f>A126+1</f>
        <v>4</v>
      </c>
      <c r="B127" s="107"/>
      <c r="C127" s="39" t="s">
        <v>361</v>
      </c>
      <c r="D127" s="39">
        <f t="shared" si="4"/>
        <v>470.81736000000001</v>
      </c>
      <c r="E127" s="39">
        <v>0</v>
      </c>
      <c r="F127" s="39">
        <f>D127+E127</f>
        <v>470.81736000000001</v>
      </c>
      <c r="G127" s="39">
        <v>0</v>
      </c>
      <c r="H127" s="39">
        <f>F127*(($H$119)+1)+(IF(G127&lt;101,G127,IF(G127&lt;201,G127/2,IF(G127&lt;=301,G127/3,G127/4))))</f>
        <v>682.68517199999997</v>
      </c>
      <c r="I127" s="33"/>
      <c r="N127" s="33"/>
    </row>
    <row r="128" spans="1:20" s="34" customFormat="1" x14ac:dyDescent="0.25">
      <c r="A128" s="107">
        <f>A127+1</f>
        <v>5</v>
      </c>
      <c r="B128" s="107"/>
      <c r="C128" s="39" t="s">
        <v>361</v>
      </c>
      <c r="D128" s="39">
        <f t="shared" si="4"/>
        <v>470.81736000000001</v>
      </c>
      <c r="E128" s="39">
        <v>0</v>
      </c>
      <c r="F128" s="39">
        <f>D128+E128</f>
        <v>470.81736000000001</v>
      </c>
      <c r="G128" s="39">
        <v>0</v>
      </c>
      <c r="H128" s="39">
        <f>F128*(($H$119)+1)+(IF(G128&lt;101,G128,IF(G128&lt;201,G128/2,IF(G128&lt;=301,G128/3,G128/4))))</f>
        <v>682.68517199999997</v>
      </c>
      <c r="I128" s="33"/>
      <c r="N128" s="33"/>
      <c r="O128" s="39">
        <v>10.763999999999999</v>
      </c>
    </row>
    <row r="129" spans="1:14" s="34" customFormat="1" x14ac:dyDescent="0.25">
      <c r="A129" s="107">
        <f t="shared" ref="A129:A144" si="5">A128+1</f>
        <v>6</v>
      </c>
      <c r="B129" s="107"/>
      <c r="C129" s="39" t="s">
        <v>361</v>
      </c>
      <c r="D129" s="39">
        <f t="shared" si="4"/>
        <v>470.81736000000001</v>
      </c>
      <c r="E129" s="39">
        <v>0</v>
      </c>
      <c r="F129" s="39">
        <f t="shared" ref="F129:F144" si="6">D129+E129</f>
        <v>470.81736000000001</v>
      </c>
      <c r="G129" s="39">
        <v>0</v>
      </c>
      <c r="H129" s="39">
        <f t="shared" ref="H129:H144" si="7">F129*(($H$119)+1)+(IF(G129&lt;101,G129,IF(G129&lt;201,G129/2,IF(G129&lt;=301,G129/3,G129/4))))</f>
        <v>682.68517199999997</v>
      </c>
      <c r="I129" s="33"/>
      <c r="N129" s="33"/>
    </row>
    <row r="130" spans="1:14" s="34" customFormat="1" x14ac:dyDescent="0.25">
      <c r="A130" s="107">
        <f t="shared" si="5"/>
        <v>7</v>
      </c>
      <c r="B130" s="107"/>
      <c r="C130" s="39" t="s">
        <v>361</v>
      </c>
      <c r="D130" s="39">
        <f t="shared" si="4"/>
        <v>470.81736000000001</v>
      </c>
      <c r="E130" s="39">
        <v>0</v>
      </c>
      <c r="F130" s="39">
        <f t="shared" si="6"/>
        <v>470.81736000000001</v>
      </c>
      <c r="G130" s="39">
        <v>0</v>
      </c>
      <c r="H130" s="39">
        <f t="shared" si="7"/>
        <v>682.68517199999997</v>
      </c>
      <c r="I130" s="33"/>
      <c r="N130" s="33"/>
    </row>
    <row r="131" spans="1:14" s="34" customFormat="1" x14ac:dyDescent="0.25">
      <c r="A131" s="107">
        <f t="shared" si="5"/>
        <v>8</v>
      </c>
      <c r="B131" s="107"/>
      <c r="C131" s="39" t="s">
        <v>362</v>
      </c>
      <c r="D131" s="39">
        <f>(27.2)*10.764</f>
        <v>292.7808</v>
      </c>
      <c r="E131" s="39">
        <v>0</v>
      </c>
      <c r="F131" s="39">
        <f t="shared" si="6"/>
        <v>292.7808</v>
      </c>
      <c r="G131" s="39">
        <v>0</v>
      </c>
      <c r="H131" s="39">
        <f t="shared" si="7"/>
        <v>424.53215999999998</v>
      </c>
      <c r="I131" s="33"/>
      <c r="J131" s="33">
        <f>2.75*3.5+2.2*1.8+2.75*3.3+1.2*0.9+1.2*1.15+0.9*0.9</f>
        <v>25.93</v>
      </c>
      <c r="N131" s="33"/>
    </row>
    <row r="132" spans="1:14" s="34" customFormat="1" x14ac:dyDescent="0.25">
      <c r="A132" s="107">
        <f t="shared" si="5"/>
        <v>9</v>
      </c>
      <c r="B132" s="107"/>
      <c r="C132" s="39" t="s">
        <v>362</v>
      </c>
      <c r="D132" s="39">
        <f>(27.2)*10.764</f>
        <v>292.7808</v>
      </c>
      <c r="E132" s="39">
        <v>0</v>
      </c>
      <c r="F132" s="39">
        <f t="shared" si="6"/>
        <v>292.7808</v>
      </c>
      <c r="G132" s="39">
        <v>0</v>
      </c>
      <c r="H132" s="39">
        <f t="shared" si="7"/>
        <v>424.53215999999998</v>
      </c>
      <c r="I132" s="33"/>
      <c r="N132" s="33"/>
    </row>
    <row r="133" spans="1:14" s="34" customFormat="1" x14ac:dyDescent="0.25">
      <c r="A133" s="107">
        <f t="shared" si="5"/>
        <v>10</v>
      </c>
      <c r="B133" s="107"/>
      <c r="C133" s="39" t="s">
        <v>362</v>
      </c>
      <c r="D133" s="39">
        <f>(27.2)*10.764</f>
        <v>292.7808</v>
      </c>
      <c r="E133" s="39">
        <v>0</v>
      </c>
      <c r="F133" s="39">
        <f t="shared" si="6"/>
        <v>292.7808</v>
      </c>
      <c r="G133" s="39">
        <v>0</v>
      </c>
      <c r="H133" s="39">
        <f t="shared" si="7"/>
        <v>424.53215999999998</v>
      </c>
      <c r="I133" s="33"/>
      <c r="N133" s="33"/>
    </row>
    <row r="134" spans="1:14" s="34" customFormat="1" x14ac:dyDescent="0.25">
      <c r="A134" s="107">
        <f t="shared" si="5"/>
        <v>11</v>
      </c>
      <c r="B134" s="107"/>
      <c r="C134" s="39" t="s">
        <v>362</v>
      </c>
      <c r="D134" s="39">
        <f>(27.2)*10.764</f>
        <v>292.7808</v>
      </c>
      <c r="E134" s="39">
        <v>0</v>
      </c>
      <c r="F134" s="39">
        <f t="shared" si="6"/>
        <v>292.7808</v>
      </c>
      <c r="G134" s="39">
        <v>0</v>
      </c>
      <c r="H134" s="39">
        <f t="shared" si="7"/>
        <v>424.53215999999998</v>
      </c>
      <c r="I134" s="33"/>
      <c r="N134" s="33"/>
    </row>
    <row r="135" spans="1:14" s="34" customFormat="1" x14ac:dyDescent="0.25">
      <c r="A135" s="107">
        <f t="shared" si="5"/>
        <v>12</v>
      </c>
      <c r="B135" s="107"/>
      <c r="C135" s="39" t="s">
        <v>361</v>
      </c>
      <c r="D135" s="39">
        <f>(43.74)*10.764</f>
        <v>470.81736000000001</v>
      </c>
      <c r="E135" s="39">
        <v>0</v>
      </c>
      <c r="F135" s="39">
        <f t="shared" si="6"/>
        <v>470.81736000000001</v>
      </c>
      <c r="G135" s="39">
        <v>0</v>
      </c>
      <c r="H135" s="39">
        <f t="shared" si="7"/>
        <v>682.68517199999997</v>
      </c>
      <c r="I135" s="33"/>
      <c r="N135" s="33"/>
    </row>
    <row r="136" spans="1:14" s="34" customFormat="1" x14ac:dyDescent="0.25">
      <c r="A136" s="107">
        <f t="shared" si="5"/>
        <v>13</v>
      </c>
      <c r="B136" s="107"/>
      <c r="C136" s="39" t="s">
        <v>361</v>
      </c>
      <c r="D136" s="39">
        <f>(43.74)*10.764</f>
        <v>470.81736000000001</v>
      </c>
      <c r="E136" s="39">
        <v>0</v>
      </c>
      <c r="F136" s="39">
        <f t="shared" si="6"/>
        <v>470.81736000000001</v>
      </c>
      <c r="G136" s="39">
        <v>0</v>
      </c>
      <c r="H136" s="39">
        <f t="shared" si="7"/>
        <v>682.68517199999997</v>
      </c>
      <c r="I136" s="33"/>
      <c r="N136" s="33"/>
    </row>
    <row r="137" spans="1:14" s="34" customFormat="1" x14ac:dyDescent="0.25">
      <c r="A137" s="107">
        <f t="shared" si="5"/>
        <v>14</v>
      </c>
      <c r="B137" s="107"/>
      <c r="C137" s="39" t="s">
        <v>362</v>
      </c>
      <c r="D137" s="39">
        <f>(27.2)*10.764</f>
        <v>292.7808</v>
      </c>
      <c r="E137" s="39">
        <v>0</v>
      </c>
      <c r="F137" s="39">
        <f t="shared" si="6"/>
        <v>292.7808</v>
      </c>
      <c r="G137" s="39">
        <v>0</v>
      </c>
      <c r="H137" s="39">
        <f t="shared" si="7"/>
        <v>424.53215999999998</v>
      </c>
      <c r="I137" s="33"/>
      <c r="N137" s="33"/>
    </row>
    <row r="138" spans="1:14" s="34" customFormat="1" x14ac:dyDescent="0.25">
      <c r="A138" s="107">
        <f t="shared" si="5"/>
        <v>15</v>
      </c>
      <c r="B138" s="107"/>
      <c r="C138" s="39" t="s">
        <v>362</v>
      </c>
      <c r="D138" s="39">
        <f>(27.2)*10.764</f>
        <v>292.7808</v>
      </c>
      <c r="E138" s="39">
        <v>0</v>
      </c>
      <c r="F138" s="39">
        <f t="shared" si="6"/>
        <v>292.7808</v>
      </c>
      <c r="G138" s="39">
        <v>0</v>
      </c>
      <c r="H138" s="39">
        <f t="shared" si="7"/>
        <v>424.53215999999998</v>
      </c>
      <c r="I138" s="33"/>
      <c r="N138" s="33"/>
    </row>
    <row r="139" spans="1:14" s="34" customFormat="1" x14ac:dyDescent="0.25">
      <c r="A139" s="107">
        <f t="shared" si="5"/>
        <v>16</v>
      </c>
      <c r="B139" s="107"/>
      <c r="C139" s="39" t="s">
        <v>362</v>
      </c>
      <c r="D139" s="39">
        <f>(27.2)*10.764</f>
        <v>292.7808</v>
      </c>
      <c r="E139" s="39">
        <v>0</v>
      </c>
      <c r="F139" s="39">
        <f t="shared" si="6"/>
        <v>292.7808</v>
      </c>
      <c r="G139" s="39">
        <v>0</v>
      </c>
      <c r="H139" s="39">
        <f t="shared" si="7"/>
        <v>424.53215999999998</v>
      </c>
      <c r="I139" s="33"/>
      <c r="N139" s="33"/>
    </row>
    <row r="140" spans="1:14" s="34" customFormat="1" x14ac:dyDescent="0.25">
      <c r="A140" s="107">
        <f t="shared" si="5"/>
        <v>17</v>
      </c>
      <c r="B140" s="107"/>
      <c r="C140" s="39" t="s">
        <v>361</v>
      </c>
      <c r="D140" s="39">
        <f>(43.74)*10.764</f>
        <v>470.81736000000001</v>
      </c>
      <c r="E140" s="39">
        <v>0</v>
      </c>
      <c r="F140" s="39">
        <f t="shared" si="6"/>
        <v>470.81736000000001</v>
      </c>
      <c r="G140" s="39">
        <v>0</v>
      </c>
      <c r="H140" s="39">
        <f t="shared" si="7"/>
        <v>682.68517199999997</v>
      </c>
      <c r="I140" s="33"/>
      <c r="N140" s="33"/>
    </row>
    <row r="141" spans="1:14" s="34" customFormat="1" x14ac:dyDescent="0.25">
      <c r="A141" s="107">
        <f t="shared" si="5"/>
        <v>18</v>
      </c>
      <c r="B141" s="107"/>
      <c r="C141" s="39" t="s">
        <v>361</v>
      </c>
      <c r="D141" s="39">
        <f>(43.74)*10.764</f>
        <v>470.81736000000001</v>
      </c>
      <c r="E141" s="39">
        <v>0</v>
      </c>
      <c r="F141" s="39">
        <f t="shared" si="6"/>
        <v>470.81736000000001</v>
      </c>
      <c r="G141" s="39">
        <v>0</v>
      </c>
      <c r="H141" s="39">
        <f t="shared" si="7"/>
        <v>682.68517199999997</v>
      </c>
      <c r="I141" s="33"/>
      <c r="N141" s="33"/>
    </row>
    <row r="142" spans="1:14" s="34" customFormat="1" x14ac:dyDescent="0.25">
      <c r="A142" s="107">
        <f t="shared" si="5"/>
        <v>19</v>
      </c>
      <c r="B142" s="107"/>
      <c r="C142" s="39" t="s">
        <v>361</v>
      </c>
      <c r="D142" s="39">
        <f>(43.74)*10.764</f>
        <v>470.81736000000001</v>
      </c>
      <c r="E142" s="39">
        <v>0</v>
      </c>
      <c r="F142" s="39">
        <f t="shared" si="6"/>
        <v>470.81736000000001</v>
      </c>
      <c r="G142" s="39">
        <v>0</v>
      </c>
      <c r="H142" s="39">
        <f t="shared" si="7"/>
        <v>682.68517199999997</v>
      </c>
      <c r="I142" s="33"/>
      <c r="N142" s="33"/>
    </row>
    <row r="143" spans="1:14" s="34" customFormat="1" x14ac:dyDescent="0.25">
      <c r="A143" s="107">
        <f t="shared" si="5"/>
        <v>20</v>
      </c>
      <c r="B143" s="107"/>
      <c r="C143" s="39" t="s">
        <v>361</v>
      </c>
      <c r="D143" s="39">
        <f>(43.74)*10.764</f>
        <v>470.81736000000001</v>
      </c>
      <c r="E143" s="39">
        <v>0</v>
      </c>
      <c r="F143" s="39">
        <f t="shared" si="6"/>
        <v>470.81736000000001</v>
      </c>
      <c r="G143" s="39">
        <v>0</v>
      </c>
      <c r="H143" s="39">
        <f t="shared" si="7"/>
        <v>682.68517199999997</v>
      </c>
      <c r="I143" s="33"/>
      <c r="N143" s="33"/>
    </row>
    <row r="144" spans="1:14" s="34" customFormat="1" x14ac:dyDescent="0.25">
      <c r="A144" s="107">
        <f t="shared" si="5"/>
        <v>21</v>
      </c>
      <c r="B144" s="107"/>
      <c r="C144" s="39" t="s">
        <v>361</v>
      </c>
      <c r="D144" s="39">
        <f>(43.74)*10.764</f>
        <v>470.81736000000001</v>
      </c>
      <c r="E144" s="39">
        <v>0</v>
      </c>
      <c r="F144" s="39">
        <f t="shared" si="6"/>
        <v>470.81736000000001</v>
      </c>
      <c r="G144" s="39">
        <v>0</v>
      </c>
      <c r="H144" s="39">
        <f t="shared" si="7"/>
        <v>682.68517199999997</v>
      </c>
      <c r="I144" s="33"/>
      <c r="N144" s="33"/>
    </row>
    <row r="145" spans="1:15" s="34" customFormat="1" x14ac:dyDescent="0.25">
      <c r="A145" s="146" t="s">
        <v>363</v>
      </c>
      <c r="B145" s="146"/>
      <c r="C145" s="146"/>
      <c r="D145" s="146"/>
      <c r="E145" s="146"/>
      <c r="F145" s="146"/>
      <c r="G145" s="146"/>
      <c r="H145" s="146"/>
      <c r="I145" s="33">
        <f>3+5+4+4</f>
        <v>16</v>
      </c>
      <c r="L145" s="180"/>
      <c r="M145" s="180"/>
    </row>
    <row r="146" spans="1:15" s="34" customFormat="1" x14ac:dyDescent="0.25">
      <c r="A146" s="107">
        <v>1</v>
      </c>
      <c r="B146" s="107"/>
      <c r="C146" s="39" t="s">
        <v>361</v>
      </c>
      <c r="D146" s="39">
        <f t="shared" ref="D146:D152" si="8">(43.74)*10.764</f>
        <v>470.81736000000001</v>
      </c>
      <c r="E146" s="39">
        <v>0</v>
      </c>
      <c r="F146" s="39">
        <f>D146+E146</f>
        <v>470.81736000000001</v>
      </c>
      <c r="G146" s="39">
        <v>0</v>
      </c>
      <c r="H146" s="39">
        <f>F146*(($H$119)+1)+(IF(G146&lt;101,G146,IF(G146&lt;201,G146/2,IF(G146&lt;=301,G146/3,G146/4))))</f>
        <v>682.68517199999997</v>
      </c>
      <c r="I146" s="33"/>
      <c r="J146" s="33">
        <f>2.05*3.25+2.05*2.75+1.8*2.45+3.4*2.75+3.05*3.25+1.2*1.95+0.9*1.45+1.2*1.2+0.9*0.9</f>
        <v>41.8675</v>
      </c>
      <c r="N146" s="33"/>
    </row>
    <row r="147" spans="1:15" s="34" customFormat="1" x14ac:dyDescent="0.25">
      <c r="A147" s="107">
        <f>A146+1</f>
        <v>2</v>
      </c>
      <c r="B147" s="107"/>
      <c r="C147" s="39" t="s">
        <v>361</v>
      </c>
      <c r="D147" s="39">
        <f t="shared" si="8"/>
        <v>470.81736000000001</v>
      </c>
      <c r="E147" s="39">
        <v>0</v>
      </c>
      <c r="F147" s="39">
        <f>D147+E147</f>
        <v>470.81736000000001</v>
      </c>
      <c r="G147" s="39">
        <v>0</v>
      </c>
      <c r="H147" s="39">
        <f>F147*(($H$119)+1)+(IF(G147&lt;101,G147,IF(G147&lt;201,G147/2,IF(G147&lt;=301,G147/3,G147/4))))</f>
        <v>682.68517199999997</v>
      </c>
      <c r="I147" s="33"/>
      <c r="N147" s="33"/>
    </row>
    <row r="148" spans="1:15" s="34" customFormat="1" x14ac:dyDescent="0.25">
      <c r="A148" s="107">
        <f>A147+1</f>
        <v>3</v>
      </c>
      <c r="B148" s="107"/>
      <c r="C148" s="39" t="s">
        <v>361</v>
      </c>
      <c r="D148" s="39">
        <f t="shared" si="8"/>
        <v>470.81736000000001</v>
      </c>
      <c r="E148" s="39">
        <v>0</v>
      </c>
      <c r="F148" s="39">
        <f>D148+E148</f>
        <v>470.81736000000001</v>
      </c>
      <c r="G148" s="39">
        <v>0</v>
      </c>
      <c r="H148" s="39">
        <f>F148*(($H$119)+1)+(IF(G148&lt;101,G148,IF(G148&lt;201,G148/2,IF(G148&lt;=301,G148/3,G148/4))))</f>
        <v>682.68517199999997</v>
      </c>
      <c r="I148" s="33"/>
      <c r="N148" s="33"/>
    </row>
    <row r="149" spans="1:15" s="34" customFormat="1" x14ac:dyDescent="0.25">
      <c r="A149" s="107">
        <f>A148+1</f>
        <v>4</v>
      </c>
      <c r="B149" s="107"/>
      <c r="C149" s="39" t="s">
        <v>361</v>
      </c>
      <c r="D149" s="39">
        <f t="shared" si="8"/>
        <v>470.81736000000001</v>
      </c>
      <c r="E149" s="39">
        <v>0</v>
      </c>
      <c r="F149" s="39">
        <f>D149+E149</f>
        <v>470.81736000000001</v>
      </c>
      <c r="G149" s="39">
        <v>0</v>
      </c>
      <c r="H149" s="39">
        <f>F149*(($H$119)+1)+(IF(G149&lt;101,G149,IF(G149&lt;201,G149/2,IF(G149&lt;=301,G149/3,G149/4))))</f>
        <v>682.68517199999997</v>
      </c>
      <c r="I149" s="33"/>
      <c r="N149" s="33"/>
    </row>
    <row r="150" spans="1:15" s="34" customFormat="1" x14ac:dyDescent="0.25">
      <c r="A150" s="107">
        <f>A149+1</f>
        <v>5</v>
      </c>
      <c r="B150" s="107"/>
      <c r="C150" s="39" t="s">
        <v>361</v>
      </c>
      <c r="D150" s="39">
        <f t="shared" si="8"/>
        <v>470.81736000000001</v>
      </c>
      <c r="E150" s="39">
        <v>0</v>
      </c>
      <c r="F150" s="39">
        <f>D150+E150</f>
        <v>470.81736000000001</v>
      </c>
      <c r="G150" s="39">
        <v>0</v>
      </c>
      <c r="H150" s="39">
        <f>F150*(($H$119)+1)+(IF(G150&lt;101,G150,IF(G150&lt;201,G150/2,IF(G150&lt;=301,G150/3,G150/4))))</f>
        <v>682.68517199999997</v>
      </c>
      <c r="I150" s="33"/>
      <c r="N150" s="33"/>
      <c r="O150" s="39">
        <v>10.763999999999999</v>
      </c>
    </row>
    <row r="151" spans="1:15" s="34" customFormat="1" x14ac:dyDescent="0.25">
      <c r="A151" s="107">
        <f t="shared" ref="A151:A166" si="9">A150+1</f>
        <v>6</v>
      </c>
      <c r="B151" s="107"/>
      <c r="C151" s="39" t="s">
        <v>361</v>
      </c>
      <c r="D151" s="39">
        <f t="shared" si="8"/>
        <v>470.81736000000001</v>
      </c>
      <c r="E151" s="39">
        <v>0</v>
      </c>
      <c r="F151" s="39">
        <f t="shared" ref="F151:F166" si="10">D151+E151</f>
        <v>470.81736000000001</v>
      </c>
      <c r="G151" s="39">
        <v>0</v>
      </c>
      <c r="H151" s="39">
        <f t="shared" ref="H151:H166" si="11">F151*(($H$119)+1)+(IF(G151&lt;101,G151,IF(G151&lt;201,G151/2,IF(G151&lt;=301,G151/3,G151/4))))</f>
        <v>682.68517199999997</v>
      </c>
      <c r="I151" s="33"/>
      <c r="N151" s="33"/>
    </row>
    <row r="152" spans="1:15" s="34" customFormat="1" x14ac:dyDescent="0.25">
      <c r="A152" s="107">
        <f t="shared" si="9"/>
        <v>7</v>
      </c>
      <c r="B152" s="107"/>
      <c r="C152" s="39" t="s">
        <v>361</v>
      </c>
      <c r="D152" s="39">
        <f t="shared" si="8"/>
        <v>470.81736000000001</v>
      </c>
      <c r="E152" s="39">
        <v>0</v>
      </c>
      <c r="F152" s="39">
        <f t="shared" si="10"/>
        <v>470.81736000000001</v>
      </c>
      <c r="G152" s="39">
        <v>0</v>
      </c>
      <c r="H152" s="39">
        <f t="shared" si="11"/>
        <v>682.68517199999997</v>
      </c>
      <c r="I152" s="33"/>
      <c r="N152" s="33"/>
    </row>
    <row r="153" spans="1:15" s="34" customFormat="1" x14ac:dyDescent="0.25">
      <c r="A153" s="107">
        <f t="shared" si="9"/>
        <v>8</v>
      </c>
      <c r="B153" s="107"/>
      <c r="C153" s="39" t="s">
        <v>362</v>
      </c>
      <c r="D153" s="39">
        <f>(27.2)*10.764</f>
        <v>292.7808</v>
      </c>
      <c r="E153" s="39">
        <v>0</v>
      </c>
      <c r="F153" s="39">
        <f t="shared" si="10"/>
        <v>292.7808</v>
      </c>
      <c r="G153" s="39">
        <v>0</v>
      </c>
      <c r="H153" s="39">
        <f t="shared" si="11"/>
        <v>424.53215999999998</v>
      </c>
      <c r="I153" s="33"/>
      <c r="J153" s="33">
        <f>2.75*3.5+2.2*1.8+2.75*3.3+1.2*0.9+1.2*1.15+0.9*0.9</f>
        <v>25.93</v>
      </c>
      <c r="N153" s="33"/>
    </row>
    <row r="154" spans="1:15" s="34" customFormat="1" x14ac:dyDescent="0.25">
      <c r="A154" s="107">
        <f t="shared" si="9"/>
        <v>9</v>
      </c>
      <c r="B154" s="107"/>
      <c r="C154" s="39" t="s">
        <v>362</v>
      </c>
      <c r="D154" s="39">
        <f>(27.2)*10.764</f>
        <v>292.7808</v>
      </c>
      <c r="E154" s="39">
        <v>0</v>
      </c>
      <c r="F154" s="39">
        <f t="shared" si="10"/>
        <v>292.7808</v>
      </c>
      <c r="G154" s="39">
        <v>0</v>
      </c>
      <c r="H154" s="39">
        <f t="shared" si="11"/>
        <v>424.53215999999998</v>
      </c>
      <c r="I154" s="33"/>
      <c r="N154" s="33"/>
    </row>
    <row r="155" spans="1:15" s="34" customFormat="1" x14ac:dyDescent="0.25">
      <c r="A155" s="107">
        <f t="shared" si="9"/>
        <v>10</v>
      </c>
      <c r="B155" s="107"/>
      <c r="C155" s="39" t="s">
        <v>362</v>
      </c>
      <c r="D155" s="39">
        <f>(27.2)*10.764</f>
        <v>292.7808</v>
      </c>
      <c r="E155" s="39">
        <v>0</v>
      </c>
      <c r="F155" s="39">
        <f t="shared" si="10"/>
        <v>292.7808</v>
      </c>
      <c r="G155" s="39">
        <v>0</v>
      </c>
      <c r="H155" s="39">
        <f t="shared" si="11"/>
        <v>424.53215999999998</v>
      </c>
      <c r="I155" s="33"/>
      <c r="N155" s="33"/>
    </row>
    <row r="156" spans="1:15" s="34" customFormat="1" x14ac:dyDescent="0.25">
      <c r="A156" s="107">
        <f t="shared" si="9"/>
        <v>11</v>
      </c>
      <c r="B156" s="107"/>
      <c r="C156" s="39" t="s">
        <v>362</v>
      </c>
      <c r="D156" s="39">
        <f>(27.2)*10.764</f>
        <v>292.7808</v>
      </c>
      <c r="E156" s="39">
        <v>0</v>
      </c>
      <c r="F156" s="39">
        <f t="shared" si="10"/>
        <v>292.7808</v>
      </c>
      <c r="G156" s="39">
        <v>0</v>
      </c>
      <c r="H156" s="39">
        <f t="shared" si="11"/>
        <v>424.53215999999998</v>
      </c>
      <c r="I156" s="33"/>
      <c r="N156" s="33"/>
    </row>
    <row r="157" spans="1:15" s="34" customFormat="1" x14ac:dyDescent="0.25">
      <c r="A157" s="107">
        <f t="shared" si="9"/>
        <v>12</v>
      </c>
      <c r="B157" s="107"/>
      <c r="C157" s="39" t="s">
        <v>361</v>
      </c>
      <c r="D157" s="39">
        <f>(43.74)*10.764</f>
        <v>470.81736000000001</v>
      </c>
      <c r="E157" s="39">
        <v>0</v>
      </c>
      <c r="F157" s="39">
        <f t="shared" si="10"/>
        <v>470.81736000000001</v>
      </c>
      <c r="G157" s="39">
        <v>0</v>
      </c>
      <c r="H157" s="39">
        <f t="shared" si="11"/>
        <v>682.68517199999997</v>
      </c>
      <c r="I157" s="33"/>
      <c r="N157" s="33"/>
    </row>
    <row r="158" spans="1:15" s="34" customFormat="1" x14ac:dyDescent="0.25">
      <c r="A158" s="107">
        <f t="shared" si="9"/>
        <v>13</v>
      </c>
      <c r="B158" s="107"/>
      <c r="C158" s="39" t="s">
        <v>361</v>
      </c>
      <c r="D158" s="39">
        <f>(43.74)*10.764</f>
        <v>470.81736000000001</v>
      </c>
      <c r="E158" s="39">
        <v>0</v>
      </c>
      <c r="F158" s="39">
        <f t="shared" si="10"/>
        <v>470.81736000000001</v>
      </c>
      <c r="G158" s="39">
        <v>0</v>
      </c>
      <c r="H158" s="39">
        <f t="shared" si="11"/>
        <v>682.68517199999997</v>
      </c>
      <c r="I158" s="33"/>
      <c r="N158" s="33"/>
    </row>
    <row r="159" spans="1:15" s="34" customFormat="1" x14ac:dyDescent="0.25">
      <c r="A159" s="107">
        <f t="shared" si="9"/>
        <v>14</v>
      </c>
      <c r="B159" s="107"/>
      <c r="C159" s="39" t="s">
        <v>362</v>
      </c>
      <c r="D159" s="39">
        <f>(27.2)*10.764</f>
        <v>292.7808</v>
      </c>
      <c r="E159" s="39">
        <v>0</v>
      </c>
      <c r="F159" s="39">
        <f t="shared" si="10"/>
        <v>292.7808</v>
      </c>
      <c r="G159" s="39">
        <v>0</v>
      </c>
      <c r="H159" s="39">
        <f t="shared" si="11"/>
        <v>424.53215999999998</v>
      </c>
      <c r="I159" s="33"/>
      <c r="N159" s="33"/>
    </row>
    <row r="160" spans="1:15" s="34" customFormat="1" x14ac:dyDescent="0.25">
      <c r="A160" s="107">
        <f t="shared" si="9"/>
        <v>15</v>
      </c>
      <c r="B160" s="107"/>
      <c r="C160" s="39" t="s">
        <v>362</v>
      </c>
      <c r="D160" s="39">
        <f>(27.2)*10.764</f>
        <v>292.7808</v>
      </c>
      <c r="E160" s="39">
        <v>0</v>
      </c>
      <c r="F160" s="39">
        <f t="shared" si="10"/>
        <v>292.7808</v>
      </c>
      <c r="G160" s="39">
        <v>0</v>
      </c>
      <c r="H160" s="39">
        <f t="shared" si="11"/>
        <v>424.53215999999998</v>
      </c>
      <c r="I160" s="33"/>
      <c r="N160" s="33"/>
    </row>
    <row r="161" spans="1:15" s="34" customFormat="1" x14ac:dyDescent="0.25">
      <c r="A161" s="107">
        <f t="shared" si="9"/>
        <v>16</v>
      </c>
      <c r="B161" s="107"/>
      <c r="C161" s="39" t="s">
        <v>362</v>
      </c>
      <c r="D161" s="39">
        <f>(27.2)*10.764</f>
        <v>292.7808</v>
      </c>
      <c r="E161" s="39">
        <v>0</v>
      </c>
      <c r="F161" s="39">
        <f t="shared" si="10"/>
        <v>292.7808</v>
      </c>
      <c r="G161" s="39">
        <v>0</v>
      </c>
      <c r="H161" s="39">
        <f t="shared" si="11"/>
        <v>424.53215999999998</v>
      </c>
      <c r="I161" s="33"/>
      <c r="N161" s="33"/>
    </row>
    <row r="162" spans="1:15" s="34" customFormat="1" x14ac:dyDescent="0.25">
      <c r="A162" s="107">
        <f t="shared" si="9"/>
        <v>17</v>
      </c>
      <c r="B162" s="107"/>
      <c r="C162" s="39" t="s">
        <v>361</v>
      </c>
      <c r="D162" s="39">
        <f>(43.74)*10.764</f>
        <v>470.81736000000001</v>
      </c>
      <c r="E162" s="39">
        <v>0</v>
      </c>
      <c r="F162" s="39">
        <f t="shared" si="10"/>
        <v>470.81736000000001</v>
      </c>
      <c r="G162" s="39">
        <v>0</v>
      </c>
      <c r="H162" s="39">
        <f t="shared" si="11"/>
        <v>682.68517199999997</v>
      </c>
      <c r="I162" s="33"/>
      <c r="N162" s="33"/>
    </row>
    <row r="163" spans="1:15" s="34" customFormat="1" x14ac:dyDescent="0.25">
      <c r="A163" s="107">
        <f t="shared" si="9"/>
        <v>18</v>
      </c>
      <c r="B163" s="107"/>
      <c r="C163" s="39" t="s">
        <v>361</v>
      </c>
      <c r="D163" s="39">
        <f>(43.74)*10.764</f>
        <v>470.81736000000001</v>
      </c>
      <c r="E163" s="39">
        <v>0</v>
      </c>
      <c r="F163" s="39">
        <f t="shared" si="10"/>
        <v>470.81736000000001</v>
      </c>
      <c r="G163" s="39">
        <v>0</v>
      </c>
      <c r="H163" s="39">
        <f t="shared" si="11"/>
        <v>682.68517199999997</v>
      </c>
      <c r="I163" s="33"/>
      <c r="N163" s="33"/>
    </row>
    <row r="164" spans="1:15" s="34" customFormat="1" x14ac:dyDescent="0.25">
      <c r="A164" s="107">
        <f t="shared" si="9"/>
        <v>19</v>
      </c>
      <c r="B164" s="107"/>
      <c r="C164" s="39" t="s">
        <v>361</v>
      </c>
      <c r="D164" s="39">
        <f>(43.74)*10.764</f>
        <v>470.81736000000001</v>
      </c>
      <c r="E164" s="39">
        <v>0</v>
      </c>
      <c r="F164" s="39">
        <f t="shared" si="10"/>
        <v>470.81736000000001</v>
      </c>
      <c r="G164" s="39">
        <v>0</v>
      </c>
      <c r="H164" s="39">
        <f t="shared" si="11"/>
        <v>682.68517199999997</v>
      </c>
      <c r="I164" s="33"/>
      <c r="N164" s="33"/>
    </row>
    <row r="165" spans="1:15" s="34" customFormat="1" x14ac:dyDescent="0.25">
      <c r="A165" s="107">
        <f t="shared" si="9"/>
        <v>20</v>
      </c>
      <c r="B165" s="107"/>
      <c r="C165" s="39" t="s">
        <v>361</v>
      </c>
      <c r="D165" s="39">
        <f>(43.74)*10.764</f>
        <v>470.81736000000001</v>
      </c>
      <c r="E165" s="39">
        <v>0</v>
      </c>
      <c r="F165" s="39">
        <f t="shared" si="10"/>
        <v>470.81736000000001</v>
      </c>
      <c r="G165" s="39">
        <v>0</v>
      </c>
      <c r="H165" s="39">
        <f t="shared" si="11"/>
        <v>682.68517199999997</v>
      </c>
      <c r="I165" s="33"/>
      <c r="N165" s="33"/>
    </row>
    <row r="166" spans="1:15" s="34" customFormat="1" x14ac:dyDescent="0.25">
      <c r="A166" s="107">
        <f t="shared" si="9"/>
        <v>21</v>
      </c>
      <c r="B166" s="107"/>
      <c r="C166" s="39" t="s">
        <v>361</v>
      </c>
      <c r="D166" s="39">
        <f>(43.74)*10.764</f>
        <v>470.81736000000001</v>
      </c>
      <c r="E166" s="39">
        <v>0</v>
      </c>
      <c r="F166" s="39">
        <f t="shared" si="10"/>
        <v>470.81736000000001</v>
      </c>
      <c r="G166" s="39">
        <v>0</v>
      </c>
      <c r="H166" s="39">
        <f t="shared" si="11"/>
        <v>682.68517199999997</v>
      </c>
      <c r="I166" s="33"/>
      <c r="N166" s="33"/>
    </row>
    <row r="167" spans="1:15" s="34" customFormat="1" x14ac:dyDescent="0.25">
      <c r="A167" s="146" t="s">
        <v>364</v>
      </c>
      <c r="B167" s="146"/>
      <c r="C167" s="146"/>
      <c r="D167" s="146"/>
      <c r="E167" s="146"/>
      <c r="F167" s="146"/>
      <c r="G167" s="146"/>
      <c r="H167" s="146"/>
      <c r="I167" s="33">
        <v>1</v>
      </c>
      <c r="L167" s="180"/>
      <c r="M167" s="180"/>
    </row>
    <row r="168" spans="1:15" s="34" customFormat="1" x14ac:dyDescent="0.25">
      <c r="A168" s="107">
        <v>1</v>
      </c>
      <c r="B168" s="107"/>
      <c r="C168" s="39" t="s">
        <v>361</v>
      </c>
      <c r="D168" s="39">
        <f t="shared" ref="D168:D174" si="12">(43.74)*10.764</f>
        <v>470.81736000000001</v>
      </c>
      <c r="E168" s="39">
        <v>0</v>
      </c>
      <c r="F168" s="39">
        <f>D168+E168</f>
        <v>470.81736000000001</v>
      </c>
      <c r="G168" s="39">
        <v>0</v>
      </c>
      <c r="H168" s="39">
        <f>F168*(($H$119)+1)+(IF(G168&lt;101,G168,IF(G168&lt;201,G168/2,IF(G168&lt;=301,G168/3,G168/4))))</f>
        <v>682.68517199999997</v>
      </c>
      <c r="I168" s="33"/>
      <c r="J168" s="33">
        <f>2.05*3.25+2.05*2.75+1.8*2.45+3.4*2.75+3.05*3.25+1.2*1.95+0.9*1.45+1.2*1.2+0.9*0.9</f>
        <v>41.8675</v>
      </c>
      <c r="N168" s="33"/>
    </row>
    <row r="169" spans="1:15" s="34" customFormat="1" x14ac:dyDescent="0.25">
      <c r="A169" s="107">
        <f>A168+1</f>
        <v>2</v>
      </c>
      <c r="B169" s="107"/>
      <c r="C169" s="39" t="s">
        <v>361</v>
      </c>
      <c r="D169" s="39">
        <f t="shared" si="12"/>
        <v>470.81736000000001</v>
      </c>
      <c r="E169" s="39">
        <v>0</v>
      </c>
      <c r="F169" s="39">
        <f>D169+E169</f>
        <v>470.81736000000001</v>
      </c>
      <c r="G169" s="39">
        <v>0</v>
      </c>
      <c r="H169" s="39">
        <f>F169*(($H$119)+1)+(IF(G169&lt;101,G169,IF(G169&lt;201,G169/2,IF(G169&lt;=301,G169/3,G169/4))))</f>
        <v>682.68517199999997</v>
      </c>
      <c r="I169" s="33"/>
      <c r="N169" s="33"/>
    </row>
    <row r="170" spans="1:15" s="34" customFormat="1" x14ac:dyDescent="0.25">
      <c r="A170" s="107">
        <f>A169+1</f>
        <v>3</v>
      </c>
      <c r="B170" s="107"/>
      <c r="C170" s="39" t="s">
        <v>361</v>
      </c>
      <c r="D170" s="39">
        <f t="shared" si="12"/>
        <v>470.81736000000001</v>
      </c>
      <c r="E170" s="39">
        <v>0</v>
      </c>
      <c r="F170" s="39">
        <f>D170+E170</f>
        <v>470.81736000000001</v>
      </c>
      <c r="G170" s="39">
        <v>0</v>
      </c>
      <c r="H170" s="39">
        <f>F170*(($H$119)+1)+(IF(G170&lt;101,G170,IF(G170&lt;201,G170/2,IF(G170&lt;=301,G170/3,G170/4))))</f>
        <v>682.68517199999997</v>
      </c>
      <c r="I170" s="33"/>
      <c r="N170" s="33"/>
    </row>
    <row r="171" spans="1:15" s="34" customFormat="1" x14ac:dyDescent="0.25">
      <c r="A171" s="107">
        <f>A170+1</f>
        <v>4</v>
      </c>
      <c r="B171" s="107"/>
      <c r="C171" s="39" t="s">
        <v>361</v>
      </c>
      <c r="D171" s="39">
        <f t="shared" si="12"/>
        <v>470.81736000000001</v>
      </c>
      <c r="E171" s="39">
        <v>0</v>
      </c>
      <c r="F171" s="39">
        <f>D171+E171</f>
        <v>470.81736000000001</v>
      </c>
      <c r="G171" s="39">
        <v>0</v>
      </c>
      <c r="H171" s="39">
        <f>F171*(($H$119)+1)+(IF(G171&lt;101,G171,IF(G171&lt;201,G171/2,IF(G171&lt;=301,G171/3,G171/4))))</f>
        <v>682.68517199999997</v>
      </c>
      <c r="I171" s="33"/>
      <c r="N171" s="33"/>
    </row>
    <row r="172" spans="1:15" s="34" customFormat="1" x14ac:dyDescent="0.25">
      <c r="A172" s="107">
        <f>A171+1</f>
        <v>5</v>
      </c>
      <c r="B172" s="107"/>
      <c r="C172" s="39" t="s">
        <v>361</v>
      </c>
      <c r="D172" s="39">
        <f t="shared" si="12"/>
        <v>470.81736000000001</v>
      </c>
      <c r="E172" s="39">
        <v>0</v>
      </c>
      <c r="F172" s="39">
        <f>D172+E172</f>
        <v>470.81736000000001</v>
      </c>
      <c r="G172" s="39">
        <v>0</v>
      </c>
      <c r="H172" s="39">
        <f>F172*(($H$119)+1)+(IF(G172&lt;101,G172,IF(G172&lt;201,G172/2,IF(G172&lt;=301,G172/3,G172/4))))</f>
        <v>682.68517199999997</v>
      </c>
      <c r="I172" s="33"/>
      <c r="N172" s="33"/>
      <c r="O172" s="39">
        <v>10.763999999999999</v>
      </c>
    </row>
    <row r="173" spans="1:15" s="34" customFormat="1" x14ac:dyDescent="0.25">
      <c r="A173" s="107">
        <f t="shared" ref="A173:A188" si="13">A172+1</f>
        <v>6</v>
      </c>
      <c r="B173" s="107"/>
      <c r="C173" s="39" t="s">
        <v>361</v>
      </c>
      <c r="D173" s="39">
        <f t="shared" si="12"/>
        <v>470.81736000000001</v>
      </c>
      <c r="E173" s="39">
        <v>0</v>
      </c>
      <c r="F173" s="39">
        <f t="shared" ref="F173:F186" si="14">D173+E173</f>
        <v>470.81736000000001</v>
      </c>
      <c r="G173" s="39">
        <v>0</v>
      </c>
      <c r="H173" s="39">
        <f t="shared" ref="H173:H186" si="15">F173*(($H$119)+1)+(IF(G173&lt;101,G173,IF(G173&lt;201,G173/2,IF(G173&lt;=301,G173/3,G173/4))))</f>
        <v>682.68517199999997</v>
      </c>
      <c r="I173" s="33"/>
      <c r="N173" s="33"/>
    </row>
    <row r="174" spans="1:15" s="34" customFormat="1" x14ac:dyDescent="0.25">
      <c r="A174" s="107">
        <f t="shared" si="13"/>
        <v>7</v>
      </c>
      <c r="B174" s="107"/>
      <c r="C174" s="39" t="s">
        <v>361</v>
      </c>
      <c r="D174" s="39">
        <f t="shared" si="12"/>
        <v>470.81736000000001</v>
      </c>
      <c r="E174" s="39">
        <v>0</v>
      </c>
      <c r="F174" s="39">
        <f t="shared" si="14"/>
        <v>470.81736000000001</v>
      </c>
      <c r="G174" s="39">
        <v>0</v>
      </c>
      <c r="H174" s="39">
        <f t="shared" si="15"/>
        <v>682.68517199999997</v>
      </c>
      <c r="I174" s="33"/>
      <c r="N174" s="33"/>
    </row>
    <row r="175" spans="1:15" s="34" customFormat="1" x14ac:dyDescent="0.25">
      <c r="A175" s="107">
        <f t="shared" si="13"/>
        <v>8</v>
      </c>
      <c r="B175" s="107"/>
      <c r="C175" s="39" t="s">
        <v>362</v>
      </c>
      <c r="D175" s="39">
        <f>(27.2)*10.764</f>
        <v>292.7808</v>
      </c>
      <c r="E175" s="39">
        <v>0</v>
      </c>
      <c r="F175" s="39">
        <f t="shared" si="14"/>
        <v>292.7808</v>
      </c>
      <c r="G175" s="39">
        <v>0</v>
      </c>
      <c r="H175" s="39">
        <f t="shared" si="15"/>
        <v>424.53215999999998</v>
      </c>
      <c r="I175" s="33"/>
      <c r="J175" s="33">
        <f>2.75*3.5+2.2*1.8+2.75*3.3+1.2*0.9+1.2*1.15+0.9*0.9</f>
        <v>25.93</v>
      </c>
      <c r="N175" s="33"/>
    </row>
    <row r="176" spans="1:15" s="34" customFormat="1" x14ac:dyDescent="0.25">
      <c r="A176" s="107">
        <f t="shared" si="13"/>
        <v>9</v>
      </c>
      <c r="B176" s="107"/>
      <c r="C176" s="39" t="s">
        <v>362</v>
      </c>
      <c r="D176" s="39">
        <f>(27.2)*10.764</f>
        <v>292.7808</v>
      </c>
      <c r="E176" s="39">
        <v>0</v>
      </c>
      <c r="F176" s="39">
        <f t="shared" si="14"/>
        <v>292.7808</v>
      </c>
      <c r="G176" s="39">
        <v>0</v>
      </c>
      <c r="H176" s="39">
        <f t="shared" si="15"/>
        <v>424.53215999999998</v>
      </c>
      <c r="I176" s="33"/>
      <c r="N176" s="33"/>
    </row>
    <row r="177" spans="1:14" s="34" customFormat="1" x14ac:dyDescent="0.25">
      <c r="A177" s="107">
        <f t="shared" si="13"/>
        <v>10</v>
      </c>
      <c r="B177" s="107"/>
      <c r="C177" s="82" t="s">
        <v>365</v>
      </c>
      <c r="D177" s="149"/>
      <c r="E177" s="149"/>
      <c r="F177" s="149"/>
      <c r="G177" s="149"/>
      <c r="H177" s="83"/>
      <c r="I177" s="33"/>
      <c r="N177" s="33"/>
    </row>
    <row r="178" spans="1:14" s="34" customFormat="1" x14ac:dyDescent="0.25">
      <c r="A178" s="107">
        <f t="shared" si="13"/>
        <v>11</v>
      </c>
      <c r="B178" s="107"/>
      <c r="C178" s="39" t="s">
        <v>362</v>
      </c>
      <c r="D178" s="39">
        <f>(27.2)*10.764</f>
        <v>292.7808</v>
      </c>
      <c r="E178" s="39">
        <v>0</v>
      </c>
      <c r="F178" s="39">
        <f t="shared" si="14"/>
        <v>292.7808</v>
      </c>
      <c r="G178" s="39">
        <v>0</v>
      </c>
      <c r="H178" s="39">
        <f t="shared" si="15"/>
        <v>424.53215999999998</v>
      </c>
      <c r="I178" s="33"/>
      <c r="N178" s="33"/>
    </row>
    <row r="179" spans="1:14" s="34" customFormat="1" x14ac:dyDescent="0.25">
      <c r="A179" s="107">
        <f t="shared" si="13"/>
        <v>12</v>
      </c>
      <c r="B179" s="107"/>
      <c r="C179" s="39" t="s">
        <v>361</v>
      </c>
      <c r="D179" s="39">
        <f>(43.74)*10.764</f>
        <v>470.81736000000001</v>
      </c>
      <c r="E179" s="39">
        <v>0</v>
      </c>
      <c r="F179" s="39">
        <f t="shared" si="14"/>
        <v>470.81736000000001</v>
      </c>
      <c r="G179" s="39">
        <v>0</v>
      </c>
      <c r="H179" s="39">
        <f t="shared" si="15"/>
        <v>682.68517199999997</v>
      </c>
      <c r="I179" s="33"/>
      <c r="N179" s="33"/>
    </row>
    <row r="180" spans="1:14" s="34" customFormat="1" x14ac:dyDescent="0.25">
      <c r="A180" s="107">
        <f t="shared" si="13"/>
        <v>13</v>
      </c>
      <c r="B180" s="107"/>
      <c r="C180" s="39" t="s">
        <v>361</v>
      </c>
      <c r="D180" s="39">
        <f>(43.74)*10.764</f>
        <v>470.81736000000001</v>
      </c>
      <c r="E180" s="39">
        <v>0</v>
      </c>
      <c r="F180" s="39">
        <f t="shared" si="14"/>
        <v>470.81736000000001</v>
      </c>
      <c r="G180" s="39">
        <v>0</v>
      </c>
      <c r="H180" s="39">
        <f t="shared" si="15"/>
        <v>682.68517199999997</v>
      </c>
      <c r="I180" s="33"/>
      <c r="N180" s="33"/>
    </row>
    <row r="181" spans="1:14" s="34" customFormat="1" x14ac:dyDescent="0.25">
      <c r="A181" s="107">
        <f t="shared" si="13"/>
        <v>14</v>
      </c>
      <c r="B181" s="107"/>
      <c r="C181" s="39" t="s">
        <v>362</v>
      </c>
      <c r="D181" s="39">
        <f>(27.2)*10.764</f>
        <v>292.7808</v>
      </c>
      <c r="E181" s="39">
        <v>0</v>
      </c>
      <c r="F181" s="39">
        <f t="shared" si="14"/>
        <v>292.7808</v>
      </c>
      <c r="G181" s="39">
        <v>0</v>
      </c>
      <c r="H181" s="39">
        <f t="shared" si="15"/>
        <v>424.53215999999998</v>
      </c>
      <c r="I181" s="33"/>
      <c r="N181" s="33"/>
    </row>
    <row r="182" spans="1:14" s="34" customFormat="1" x14ac:dyDescent="0.25">
      <c r="A182" s="107">
        <f t="shared" si="13"/>
        <v>15</v>
      </c>
      <c r="B182" s="107"/>
      <c r="C182" s="39" t="s">
        <v>362</v>
      </c>
      <c r="D182" s="39">
        <f>(27.2)*10.764</f>
        <v>292.7808</v>
      </c>
      <c r="E182" s="39">
        <v>0</v>
      </c>
      <c r="F182" s="39">
        <f t="shared" si="14"/>
        <v>292.7808</v>
      </c>
      <c r="G182" s="39">
        <v>0</v>
      </c>
      <c r="H182" s="39">
        <f t="shared" si="15"/>
        <v>424.53215999999998</v>
      </c>
      <c r="I182" s="33"/>
      <c r="N182" s="33"/>
    </row>
    <row r="183" spans="1:14" s="34" customFormat="1" x14ac:dyDescent="0.25">
      <c r="A183" s="107">
        <f t="shared" si="13"/>
        <v>16</v>
      </c>
      <c r="B183" s="107"/>
      <c r="C183" s="39" t="s">
        <v>362</v>
      </c>
      <c r="D183" s="39">
        <f>(27.2)*10.764</f>
        <v>292.7808</v>
      </c>
      <c r="E183" s="39">
        <v>0</v>
      </c>
      <c r="F183" s="39">
        <f t="shared" si="14"/>
        <v>292.7808</v>
      </c>
      <c r="G183" s="39">
        <v>0</v>
      </c>
      <c r="H183" s="39">
        <f t="shared" si="15"/>
        <v>424.53215999999998</v>
      </c>
      <c r="I183" s="33"/>
      <c r="N183" s="33"/>
    </row>
    <row r="184" spans="1:14" s="34" customFormat="1" x14ac:dyDescent="0.25">
      <c r="A184" s="107">
        <f t="shared" si="13"/>
        <v>17</v>
      </c>
      <c r="B184" s="107"/>
      <c r="C184" s="39" t="s">
        <v>361</v>
      </c>
      <c r="D184" s="39">
        <f>(43.74)*10.764</f>
        <v>470.81736000000001</v>
      </c>
      <c r="E184" s="39">
        <v>0</v>
      </c>
      <c r="F184" s="39">
        <f t="shared" si="14"/>
        <v>470.81736000000001</v>
      </c>
      <c r="G184" s="39">
        <v>0</v>
      </c>
      <c r="H184" s="39">
        <f t="shared" si="15"/>
        <v>682.68517199999997</v>
      </c>
      <c r="I184" s="33"/>
      <c r="N184" s="33"/>
    </row>
    <row r="185" spans="1:14" s="34" customFormat="1" x14ac:dyDescent="0.25">
      <c r="A185" s="107">
        <f t="shared" si="13"/>
        <v>18</v>
      </c>
      <c r="B185" s="107"/>
      <c r="C185" s="39" t="s">
        <v>361</v>
      </c>
      <c r="D185" s="39">
        <f>(43.74)*10.764</f>
        <v>470.81736000000001</v>
      </c>
      <c r="E185" s="39">
        <v>0</v>
      </c>
      <c r="F185" s="39">
        <f t="shared" si="14"/>
        <v>470.81736000000001</v>
      </c>
      <c r="G185" s="39">
        <v>0</v>
      </c>
      <c r="H185" s="39">
        <f t="shared" si="15"/>
        <v>682.68517199999997</v>
      </c>
      <c r="I185" s="33"/>
      <c r="N185" s="33"/>
    </row>
    <row r="186" spans="1:14" s="34" customFormat="1" x14ac:dyDescent="0.25">
      <c r="A186" s="107">
        <f t="shared" si="13"/>
        <v>19</v>
      </c>
      <c r="B186" s="107"/>
      <c r="C186" s="39" t="s">
        <v>361</v>
      </c>
      <c r="D186" s="39">
        <f>(43.74)*10.764</f>
        <v>470.81736000000001</v>
      </c>
      <c r="E186" s="39">
        <v>0</v>
      </c>
      <c r="F186" s="39">
        <f t="shared" si="14"/>
        <v>470.81736000000001</v>
      </c>
      <c r="G186" s="39">
        <v>0</v>
      </c>
      <c r="H186" s="39">
        <f t="shared" si="15"/>
        <v>682.68517199999997</v>
      </c>
      <c r="I186" s="33"/>
      <c r="N186" s="33"/>
    </row>
    <row r="187" spans="1:14" s="34" customFormat="1" x14ac:dyDescent="0.25">
      <c r="A187" s="107">
        <f t="shared" si="13"/>
        <v>20</v>
      </c>
      <c r="B187" s="107"/>
      <c r="C187" s="227" t="s">
        <v>365</v>
      </c>
      <c r="D187" s="228"/>
      <c r="E187" s="228"/>
      <c r="F187" s="228"/>
      <c r="G187" s="228"/>
      <c r="H187" s="229"/>
      <c r="I187" s="33"/>
      <c r="N187" s="33"/>
    </row>
    <row r="188" spans="1:14" s="34" customFormat="1" x14ac:dyDescent="0.25">
      <c r="A188" s="107">
        <f t="shared" si="13"/>
        <v>21</v>
      </c>
      <c r="B188" s="107"/>
      <c r="C188" s="230"/>
      <c r="D188" s="231"/>
      <c r="E188" s="231"/>
      <c r="F188" s="231"/>
      <c r="G188" s="231"/>
      <c r="H188" s="232"/>
      <c r="I188" s="33"/>
      <c r="N188" s="33"/>
    </row>
    <row r="189" spans="1:14" s="34" customFormat="1" x14ac:dyDescent="0.25">
      <c r="A189" s="146" t="s">
        <v>366</v>
      </c>
      <c r="B189" s="146"/>
      <c r="C189" s="146"/>
      <c r="D189" s="146"/>
      <c r="E189" s="146"/>
      <c r="F189" s="146"/>
      <c r="G189" s="146"/>
      <c r="H189" s="146"/>
      <c r="I189" s="33">
        <v>2</v>
      </c>
      <c r="L189" s="180"/>
      <c r="M189" s="180"/>
    </row>
    <row r="190" spans="1:14" s="34" customFormat="1" x14ac:dyDescent="0.25">
      <c r="A190" s="107">
        <v>1</v>
      </c>
      <c r="B190" s="107"/>
      <c r="C190" s="39" t="s">
        <v>361</v>
      </c>
      <c r="D190" s="39">
        <f t="shared" ref="D190:D196" si="16">(43.74)*10.764</f>
        <v>470.81736000000001</v>
      </c>
      <c r="E190" s="39">
        <v>0</v>
      </c>
      <c r="F190" s="39">
        <f>D190+E190</f>
        <v>470.81736000000001</v>
      </c>
      <c r="G190" s="39">
        <v>0</v>
      </c>
      <c r="H190" s="39">
        <f>F190*(($H$119)+1)+(IF(G190&lt;101,G190,IF(G190&lt;201,G190/2,IF(G190&lt;=301,G190/3,G190/4))))</f>
        <v>682.68517199999997</v>
      </c>
      <c r="I190" s="33"/>
      <c r="J190" s="33">
        <f>2.05*3.25+2.05*2.75+1.8*2.45+3.4*2.75+3.05*3.25+1.2*1.95+0.9*1.45+1.2*1.2+0.9*0.9</f>
        <v>41.8675</v>
      </c>
      <c r="N190" s="33"/>
    </row>
    <row r="191" spans="1:14" s="34" customFormat="1" x14ac:dyDescent="0.25">
      <c r="A191" s="107">
        <f>A190+1</f>
        <v>2</v>
      </c>
      <c r="B191" s="107"/>
      <c r="C191" s="39" t="s">
        <v>361</v>
      </c>
      <c r="D191" s="39">
        <f t="shared" si="16"/>
        <v>470.81736000000001</v>
      </c>
      <c r="E191" s="39">
        <v>0</v>
      </c>
      <c r="F191" s="39">
        <f>D191+E191</f>
        <v>470.81736000000001</v>
      </c>
      <c r="G191" s="39">
        <v>0</v>
      </c>
      <c r="H191" s="39">
        <f>F191*(($H$119)+1)+(IF(G191&lt;101,G191,IF(G191&lt;201,G191/2,IF(G191&lt;=301,G191/3,G191/4))))</f>
        <v>682.68517199999997</v>
      </c>
      <c r="I191" s="33"/>
      <c r="N191" s="33"/>
    </row>
    <row r="192" spans="1:14" s="34" customFormat="1" x14ac:dyDescent="0.25">
      <c r="A192" s="107">
        <f>A191+1</f>
        <v>3</v>
      </c>
      <c r="B192" s="107"/>
      <c r="C192" s="39" t="s">
        <v>361</v>
      </c>
      <c r="D192" s="39">
        <f t="shared" si="16"/>
        <v>470.81736000000001</v>
      </c>
      <c r="E192" s="39">
        <v>0</v>
      </c>
      <c r="F192" s="39">
        <f>D192+E192</f>
        <v>470.81736000000001</v>
      </c>
      <c r="G192" s="39">
        <v>0</v>
      </c>
      <c r="H192" s="39">
        <f>F192*(($H$119)+1)+(IF(G192&lt;101,G192,IF(G192&lt;201,G192/2,IF(G192&lt;=301,G192/3,G192/4))))</f>
        <v>682.68517199999997</v>
      </c>
      <c r="I192" s="33"/>
      <c r="N192" s="33"/>
    </row>
    <row r="193" spans="1:15" s="34" customFormat="1" x14ac:dyDescent="0.25">
      <c r="A193" s="107">
        <f>A192+1</f>
        <v>4</v>
      </c>
      <c r="B193" s="107"/>
      <c r="C193" s="39" t="s">
        <v>361</v>
      </c>
      <c r="D193" s="39">
        <f t="shared" si="16"/>
        <v>470.81736000000001</v>
      </c>
      <c r="E193" s="39">
        <v>0</v>
      </c>
      <c r="F193" s="39">
        <f>D193+E193</f>
        <v>470.81736000000001</v>
      </c>
      <c r="G193" s="39">
        <v>0</v>
      </c>
      <c r="H193" s="39">
        <f>F193*(($H$119)+1)+(IF(G193&lt;101,G193,IF(G193&lt;201,G193/2,IF(G193&lt;=301,G193/3,G193/4))))</f>
        <v>682.68517199999997</v>
      </c>
      <c r="I193" s="33"/>
      <c r="N193" s="33"/>
    </row>
    <row r="194" spans="1:15" s="34" customFormat="1" x14ac:dyDescent="0.25">
      <c r="A194" s="107">
        <f>A193+1</f>
        <v>5</v>
      </c>
      <c r="B194" s="107"/>
      <c r="C194" s="39" t="s">
        <v>361</v>
      </c>
      <c r="D194" s="39">
        <f t="shared" si="16"/>
        <v>470.81736000000001</v>
      </c>
      <c r="E194" s="39">
        <v>0</v>
      </c>
      <c r="F194" s="39">
        <f>D194+E194</f>
        <v>470.81736000000001</v>
      </c>
      <c r="G194" s="39">
        <v>0</v>
      </c>
      <c r="H194" s="39">
        <f>F194*(($H$119)+1)+(IF(G194&lt;101,G194,IF(G194&lt;201,G194/2,IF(G194&lt;=301,G194/3,G194/4))))</f>
        <v>682.68517199999997</v>
      </c>
      <c r="I194" s="33"/>
      <c r="N194" s="33"/>
      <c r="O194" s="39">
        <v>10.763999999999999</v>
      </c>
    </row>
    <row r="195" spans="1:15" s="34" customFormat="1" x14ac:dyDescent="0.25">
      <c r="A195" s="107">
        <f t="shared" ref="A195:A210" si="17">A194+1</f>
        <v>6</v>
      </c>
      <c r="B195" s="107"/>
      <c r="C195" s="39" t="s">
        <v>361</v>
      </c>
      <c r="D195" s="39">
        <f t="shared" si="16"/>
        <v>470.81736000000001</v>
      </c>
      <c r="E195" s="39">
        <v>0</v>
      </c>
      <c r="F195" s="39">
        <f t="shared" ref="F195:F209" si="18">D195+E195</f>
        <v>470.81736000000001</v>
      </c>
      <c r="G195" s="39">
        <v>0</v>
      </c>
      <c r="H195" s="39">
        <f t="shared" ref="H195:H209" si="19">F195*(($H$119)+1)+(IF(G195&lt;101,G195,IF(G195&lt;201,G195/2,IF(G195&lt;=301,G195/3,G195/4))))</f>
        <v>682.68517199999997</v>
      </c>
      <c r="I195" s="33"/>
      <c r="N195" s="33"/>
    </row>
    <row r="196" spans="1:15" s="34" customFormat="1" x14ac:dyDescent="0.25">
      <c r="A196" s="107">
        <f t="shared" si="17"/>
        <v>7</v>
      </c>
      <c r="B196" s="107"/>
      <c r="C196" s="39" t="s">
        <v>361</v>
      </c>
      <c r="D196" s="39">
        <f t="shared" si="16"/>
        <v>470.81736000000001</v>
      </c>
      <c r="E196" s="39">
        <v>0</v>
      </c>
      <c r="F196" s="39">
        <f t="shared" si="18"/>
        <v>470.81736000000001</v>
      </c>
      <c r="G196" s="39">
        <v>0</v>
      </c>
      <c r="H196" s="39">
        <f t="shared" si="19"/>
        <v>682.68517199999997</v>
      </c>
      <c r="I196" s="33"/>
      <c r="N196" s="33"/>
    </row>
    <row r="197" spans="1:15" s="34" customFormat="1" x14ac:dyDescent="0.25">
      <c r="A197" s="107">
        <f t="shared" si="17"/>
        <v>8</v>
      </c>
      <c r="B197" s="107"/>
      <c r="C197" s="39" t="s">
        <v>362</v>
      </c>
      <c r="D197" s="39">
        <f>(27.2)*10.764</f>
        <v>292.7808</v>
      </c>
      <c r="E197" s="39">
        <v>0</v>
      </c>
      <c r="F197" s="39">
        <f t="shared" si="18"/>
        <v>292.7808</v>
      </c>
      <c r="G197" s="39">
        <v>0</v>
      </c>
      <c r="H197" s="39">
        <f t="shared" si="19"/>
        <v>424.53215999999998</v>
      </c>
      <c r="I197" s="33"/>
      <c r="J197" s="33">
        <f>2.75*3.5+2.2*1.8+2.75*3.3+1.2*0.9+1.2*1.15+0.9*0.9</f>
        <v>25.93</v>
      </c>
      <c r="N197" s="33"/>
    </row>
    <row r="198" spans="1:15" s="34" customFormat="1" x14ac:dyDescent="0.25">
      <c r="A198" s="107">
        <f t="shared" si="17"/>
        <v>9</v>
      </c>
      <c r="B198" s="107"/>
      <c r="C198" s="39" t="s">
        <v>362</v>
      </c>
      <c r="D198" s="39">
        <f>(27.2)*10.764</f>
        <v>292.7808</v>
      </c>
      <c r="E198" s="39">
        <v>0</v>
      </c>
      <c r="F198" s="39">
        <f t="shared" si="18"/>
        <v>292.7808</v>
      </c>
      <c r="G198" s="39">
        <v>0</v>
      </c>
      <c r="H198" s="39">
        <f t="shared" si="19"/>
        <v>424.53215999999998</v>
      </c>
      <c r="I198" s="33"/>
      <c r="N198" s="33"/>
    </row>
    <row r="199" spans="1:15" s="34" customFormat="1" x14ac:dyDescent="0.25">
      <c r="A199" s="107">
        <f t="shared" si="17"/>
        <v>10</v>
      </c>
      <c r="B199" s="107"/>
      <c r="C199" s="227" t="s">
        <v>365</v>
      </c>
      <c r="D199" s="228"/>
      <c r="E199" s="228"/>
      <c r="F199" s="228"/>
      <c r="G199" s="228"/>
      <c r="H199" s="229"/>
      <c r="I199" s="33"/>
      <c r="N199" s="33"/>
    </row>
    <row r="200" spans="1:15" s="34" customFormat="1" x14ac:dyDescent="0.25">
      <c r="A200" s="107">
        <f t="shared" si="17"/>
        <v>11</v>
      </c>
      <c r="B200" s="107"/>
      <c r="C200" s="230"/>
      <c r="D200" s="231"/>
      <c r="E200" s="231"/>
      <c r="F200" s="231"/>
      <c r="G200" s="231"/>
      <c r="H200" s="232"/>
      <c r="I200" s="33"/>
      <c r="N200" s="33"/>
    </row>
    <row r="201" spans="1:15" s="34" customFormat="1" x14ac:dyDescent="0.25">
      <c r="A201" s="107">
        <f t="shared" si="17"/>
        <v>12</v>
      </c>
      <c r="B201" s="107"/>
      <c r="C201" s="39" t="s">
        <v>361</v>
      </c>
      <c r="D201" s="39">
        <f>(43.74)*10.764</f>
        <v>470.81736000000001</v>
      </c>
      <c r="E201" s="39">
        <v>0</v>
      </c>
      <c r="F201" s="39">
        <f t="shared" si="18"/>
        <v>470.81736000000001</v>
      </c>
      <c r="G201" s="39">
        <v>0</v>
      </c>
      <c r="H201" s="39">
        <f t="shared" si="19"/>
        <v>682.68517199999997</v>
      </c>
      <c r="I201" s="33"/>
      <c r="N201" s="33"/>
    </row>
    <row r="202" spans="1:15" s="34" customFormat="1" x14ac:dyDescent="0.25">
      <c r="A202" s="107">
        <f t="shared" si="17"/>
        <v>13</v>
      </c>
      <c r="B202" s="107"/>
      <c r="C202" s="39" t="s">
        <v>361</v>
      </c>
      <c r="D202" s="39">
        <f>(43.74)*10.764</f>
        <v>470.81736000000001</v>
      </c>
      <c r="E202" s="39">
        <v>0</v>
      </c>
      <c r="F202" s="39">
        <f t="shared" si="18"/>
        <v>470.81736000000001</v>
      </c>
      <c r="G202" s="39">
        <v>0</v>
      </c>
      <c r="H202" s="39">
        <f t="shared" si="19"/>
        <v>682.68517199999997</v>
      </c>
      <c r="I202" s="33"/>
      <c r="N202" s="33"/>
    </row>
    <row r="203" spans="1:15" s="34" customFormat="1" x14ac:dyDescent="0.25">
      <c r="A203" s="107">
        <f t="shared" si="17"/>
        <v>14</v>
      </c>
      <c r="B203" s="107"/>
      <c r="C203" s="39" t="s">
        <v>362</v>
      </c>
      <c r="D203" s="39">
        <f>(27.2)*10.764</f>
        <v>292.7808</v>
      </c>
      <c r="E203" s="39">
        <v>0</v>
      </c>
      <c r="F203" s="39">
        <f t="shared" si="18"/>
        <v>292.7808</v>
      </c>
      <c r="G203" s="39">
        <v>0</v>
      </c>
      <c r="H203" s="39">
        <f t="shared" si="19"/>
        <v>424.53215999999998</v>
      </c>
      <c r="I203" s="33"/>
      <c r="N203" s="33"/>
    </row>
    <row r="204" spans="1:15" s="34" customFormat="1" x14ac:dyDescent="0.25">
      <c r="A204" s="107">
        <f t="shared" si="17"/>
        <v>15</v>
      </c>
      <c r="B204" s="107"/>
      <c r="C204" s="39" t="s">
        <v>362</v>
      </c>
      <c r="D204" s="39">
        <f>(27.2)*10.764</f>
        <v>292.7808</v>
      </c>
      <c r="E204" s="39">
        <v>0</v>
      </c>
      <c r="F204" s="39">
        <f t="shared" si="18"/>
        <v>292.7808</v>
      </c>
      <c r="G204" s="39">
        <v>0</v>
      </c>
      <c r="H204" s="39">
        <f t="shared" si="19"/>
        <v>424.53215999999998</v>
      </c>
      <c r="I204" s="33"/>
      <c r="N204" s="33"/>
    </row>
    <row r="205" spans="1:15" s="34" customFormat="1" x14ac:dyDescent="0.25">
      <c r="A205" s="107">
        <f t="shared" si="17"/>
        <v>16</v>
      </c>
      <c r="B205" s="107"/>
      <c r="C205" s="39" t="s">
        <v>362</v>
      </c>
      <c r="D205" s="39">
        <f>(27.2)*10.764</f>
        <v>292.7808</v>
      </c>
      <c r="E205" s="39">
        <v>0</v>
      </c>
      <c r="F205" s="39">
        <f t="shared" si="18"/>
        <v>292.7808</v>
      </c>
      <c r="G205" s="39">
        <v>0</v>
      </c>
      <c r="H205" s="39">
        <f t="shared" si="19"/>
        <v>424.53215999999998</v>
      </c>
      <c r="I205" s="33"/>
      <c r="N205" s="33"/>
    </row>
    <row r="206" spans="1:15" s="34" customFormat="1" x14ac:dyDescent="0.25">
      <c r="A206" s="107">
        <f t="shared" si="17"/>
        <v>17</v>
      </c>
      <c r="B206" s="107"/>
      <c r="C206" s="39" t="s">
        <v>361</v>
      </c>
      <c r="D206" s="39">
        <f>(43.74)*10.764</f>
        <v>470.81736000000001</v>
      </c>
      <c r="E206" s="39">
        <v>0</v>
      </c>
      <c r="F206" s="39">
        <f t="shared" si="18"/>
        <v>470.81736000000001</v>
      </c>
      <c r="G206" s="39">
        <v>0</v>
      </c>
      <c r="H206" s="39">
        <f t="shared" si="19"/>
        <v>682.68517199999997</v>
      </c>
      <c r="I206" s="33"/>
      <c r="N206" s="33"/>
    </row>
    <row r="207" spans="1:15" s="34" customFormat="1" x14ac:dyDescent="0.25">
      <c r="A207" s="107">
        <f t="shared" si="17"/>
        <v>18</v>
      </c>
      <c r="B207" s="107"/>
      <c r="C207" s="39" t="s">
        <v>361</v>
      </c>
      <c r="D207" s="39">
        <f>(43.74)*10.764</f>
        <v>470.81736000000001</v>
      </c>
      <c r="E207" s="39">
        <v>0</v>
      </c>
      <c r="F207" s="39">
        <f t="shared" si="18"/>
        <v>470.81736000000001</v>
      </c>
      <c r="G207" s="39">
        <v>0</v>
      </c>
      <c r="H207" s="39">
        <f t="shared" si="19"/>
        <v>682.68517199999997</v>
      </c>
      <c r="I207" s="33"/>
      <c r="N207" s="33"/>
    </row>
    <row r="208" spans="1:15" s="34" customFormat="1" x14ac:dyDescent="0.25">
      <c r="A208" s="107">
        <f t="shared" si="17"/>
        <v>19</v>
      </c>
      <c r="B208" s="107"/>
      <c r="C208" s="39" t="s">
        <v>361</v>
      </c>
      <c r="D208" s="39">
        <f>(43.74)*10.764</f>
        <v>470.81736000000001</v>
      </c>
      <c r="E208" s="39">
        <v>0</v>
      </c>
      <c r="F208" s="39">
        <f t="shared" si="18"/>
        <v>470.81736000000001</v>
      </c>
      <c r="G208" s="39">
        <v>0</v>
      </c>
      <c r="H208" s="39">
        <f t="shared" si="19"/>
        <v>682.68517199999997</v>
      </c>
      <c r="I208" s="33"/>
      <c r="N208" s="33"/>
    </row>
    <row r="209" spans="1:20" s="34" customFormat="1" x14ac:dyDescent="0.25">
      <c r="A209" s="107">
        <f t="shared" si="17"/>
        <v>20</v>
      </c>
      <c r="B209" s="107"/>
      <c r="C209" s="39" t="s">
        <v>361</v>
      </c>
      <c r="D209" s="39">
        <f>(43.74)*10.764</f>
        <v>470.81736000000001</v>
      </c>
      <c r="E209" s="39">
        <v>0</v>
      </c>
      <c r="F209" s="39">
        <f t="shared" si="18"/>
        <v>470.81736000000001</v>
      </c>
      <c r="G209" s="39">
        <v>0</v>
      </c>
      <c r="H209" s="39">
        <f t="shared" si="19"/>
        <v>682.68517199999997</v>
      </c>
      <c r="I209" s="33"/>
      <c r="N209" s="33"/>
    </row>
    <row r="210" spans="1:20" s="34" customFormat="1" x14ac:dyDescent="0.25">
      <c r="A210" s="107">
        <f t="shared" si="17"/>
        <v>21</v>
      </c>
      <c r="B210" s="107"/>
      <c r="C210" s="82" t="s">
        <v>365</v>
      </c>
      <c r="D210" s="149"/>
      <c r="E210" s="149"/>
      <c r="F210" s="149"/>
      <c r="G210" s="149"/>
      <c r="H210" s="83"/>
      <c r="I210" s="33"/>
      <c r="N210" s="33"/>
    </row>
    <row r="211" spans="1:20" s="32" customFormat="1" x14ac:dyDescent="0.25">
      <c r="A211" s="132" t="s">
        <v>62</v>
      </c>
      <c r="B211" s="132"/>
      <c r="C211" s="132"/>
      <c r="D211" s="132"/>
      <c r="E211" s="132"/>
      <c r="F211" s="132"/>
      <c r="G211" s="132"/>
      <c r="H211" s="132"/>
      <c r="T211" s="34"/>
    </row>
    <row r="212" spans="1:20" s="32" customFormat="1" ht="15" customHeight="1" x14ac:dyDescent="0.25">
      <c r="A212" s="41" t="s">
        <v>142</v>
      </c>
      <c r="B212" s="119" t="s">
        <v>388</v>
      </c>
      <c r="C212" s="120"/>
      <c r="D212" s="120"/>
      <c r="E212" s="120"/>
      <c r="F212" s="120"/>
      <c r="G212" s="120"/>
      <c r="H212" s="121"/>
      <c r="I212" s="68" t="s">
        <v>338</v>
      </c>
      <c r="T212" s="34"/>
    </row>
    <row r="213" spans="1:20" s="32" customFormat="1" x14ac:dyDescent="0.25">
      <c r="A213" s="41" t="s">
        <v>142</v>
      </c>
      <c r="B213" s="119" t="str">
        <f>(IF(H118="Saleable area Loading :","We have considered Saleable area of Flats as per our Calculation.","We considered Saleable area of Flat as per Builder area Sheet."))</f>
        <v>We have considered Saleable area of Flats as per our Calculation.</v>
      </c>
      <c r="C213" s="120"/>
      <c r="D213" s="120"/>
      <c r="E213" s="120"/>
      <c r="F213" s="120"/>
      <c r="G213" s="120"/>
      <c r="H213" s="121"/>
      <c r="T213" s="34"/>
    </row>
    <row r="214" spans="1:20" s="32" customFormat="1" hidden="1" x14ac:dyDescent="0.25">
      <c r="A214" s="41" t="s">
        <v>142</v>
      </c>
      <c r="B214" s="119" t="str">
        <f>(IF(H110="Saleable area Loading :","We have considered Saleable area of Commercial as per our Calculation.","We considered Saleable area of Commercial as per Builder area Sheet."))</f>
        <v>We have considered Saleable area of Commercial as per our Calculation.</v>
      </c>
      <c r="C214" s="120"/>
      <c r="D214" s="120"/>
      <c r="E214" s="120"/>
      <c r="F214" s="120"/>
      <c r="G214" s="120"/>
      <c r="H214" s="121"/>
      <c r="T214" s="34"/>
    </row>
    <row r="215" spans="1:20" s="32" customFormat="1" x14ac:dyDescent="0.25">
      <c r="A215" s="41" t="s">
        <v>142</v>
      </c>
      <c r="B215" s="129" t="s">
        <v>112</v>
      </c>
      <c r="C215" s="130"/>
      <c r="D215" s="130"/>
      <c r="E215" s="130"/>
      <c r="F215" s="130"/>
      <c r="G215" s="130"/>
      <c r="H215" s="131"/>
      <c r="T215" s="34"/>
    </row>
    <row r="216" spans="1:20" s="32" customFormat="1" x14ac:dyDescent="0.25">
      <c r="A216" s="41" t="s">
        <v>142</v>
      </c>
      <c r="B216" s="129" t="s">
        <v>367</v>
      </c>
      <c r="C216" s="130"/>
      <c r="D216" s="130"/>
      <c r="E216" s="130"/>
      <c r="F216" s="130"/>
      <c r="G216" s="130"/>
      <c r="H216" s="131"/>
      <c r="T216" s="34"/>
    </row>
    <row r="217" spans="1:20" s="32" customFormat="1" x14ac:dyDescent="0.25">
      <c r="A217" s="41" t="s">
        <v>142</v>
      </c>
      <c r="B217" s="129" t="s">
        <v>141</v>
      </c>
      <c r="C217" s="130"/>
      <c r="D217" s="130"/>
      <c r="E217" s="130"/>
      <c r="F217" s="130"/>
      <c r="G217" s="130"/>
      <c r="H217" s="131"/>
    </row>
    <row r="218" spans="1:20" s="32" customFormat="1" x14ac:dyDescent="0.25">
      <c r="A218" s="41" t="s">
        <v>142</v>
      </c>
      <c r="B218" s="129" t="s">
        <v>113</v>
      </c>
      <c r="C218" s="130"/>
      <c r="D218" s="130"/>
      <c r="E218" s="130"/>
      <c r="F218" s="130"/>
      <c r="G218" s="130"/>
      <c r="H218" s="131"/>
    </row>
    <row r="219" spans="1:20" s="32" customFormat="1" ht="34.5" customHeight="1" x14ac:dyDescent="0.25">
      <c r="A219" s="41" t="s">
        <v>142</v>
      </c>
      <c r="B219" s="129" t="s">
        <v>143</v>
      </c>
      <c r="C219" s="130"/>
      <c r="D219" s="130"/>
      <c r="E219" s="130"/>
      <c r="F219" s="130"/>
      <c r="G219" s="130"/>
      <c r="H219" s="131"/>
    </row>
    <row r="220" spans="1:20" s="32" customFormat="1" x14ac:dyDescent="0.25">
      <c r="A220" s="41" t="s">
        <v>142</v>
      </c>
      <c r="B220" s="129" t="s">
        <v>114</v>
      </c>
      <c r="C220" s="130"/>
      <c r="D220" s="130"/>
      <c r="E220" s="130"/>
      <c r="F220" s="130"/>
      <c r="G220" s="130"/>
      <c r="H220" s="131"/>
    </row>
    <row r="221" spans="1:20" s="32" customFormat="1" ht="18" hidden="1" customHeight="1" x14ac:dyDescent="0.25">
      <c r="A221" s="41" t="s">
        <v>142</v>
      </c>
      <c r="B221" s="122" t="s">
        <v>221</v>
      </c>
      <c r="C221" s="123"/>
      <c r="D221" s="123"/>
      <c r="E221" s="123"/>
      <c r="F221" s="123"/>
      <c r="G221" s="123"/>
      <c r="H221" s="124"/>
    </row>
    <row r="222" spans="1:20" s="32" customFormat="1" ht="15" customHeight="1" x14ac:dyDescent="0.25">
      <c r="A222" s="41" t="s">
        <v>142</v>
      </c>
      <c r="B222" s="119" t="s">
        <v>348</v>
      </c>
      <c r="C222" s="120"/>
      <c r="D222" s="120"/>
      <c r="E222" s="120"/>
      <c r="F222" s="120"/>
      <c r="G222" s="120"/>
      <c r="H222" s="121"/>
      <c r="I222" s="68"/>
      <c r="T222" s="34"/>
    </row>
    <row r="223" spans="1:20" s="32" customFormat="1" ht="15" customHeight="1" x14ac:dyDescent="0.25">
      <c r="A223" s="41" t="s">
        <v>142</v>
      </c>
      <c r="B223" s="119" t="s">
        <v>377</v>
      </c>
      <c r="C223" s="120"/>
      <c r="D223" s="120"/>
      <c r="E223" s="120"/>
      <c r="F223" s="120"/>
      <c r="G223" s="120"/>
      <c r="H223" s="121"/>
      <c r="I223" s="68"/>
      <c r="T223" s="34"/>
    </row>
    <row r="224" spans="1:20" x14ac:dyDescent="0.25">
      <c r="A224" s="148" t="s">
        <v>55</v>
      </c>
      <c r="B224" s="148"/>
      <c r="C224" s="148"/>
      <c r="D224" s="148"/>
      <c r="E224" s="148"/>
      <c r="F224" s="148"/>
      <c r="G224" s="148"/>
      <c r="H224" s="148"/>
      <c r="T224" s="32"/>
    </row>
    <row r="225" spans="1:20" x14ac:dyDescent="0.25">
      <c r="A225" s="81" t="s">
        <v>56</v>
      </c>
      <c r="B225" s="81"/>
      <c r="C225" s="81"/>
      <c r="D225" s="81"/>
      <c r="E225" s="81"/>
      <c r="F225" s="81"/>
      <c r="G225" s="81"/>
      <c r="H225" s="81"/>
      <c r="T225" s="32"/>
    </row>
    <row r="226" spans="1:20" ht="15.75" customHeight="1" x14ac:dyDescent="0.25">
      <c r="A226" s="106" t="s">
        <v>57</v>
      </c>
      <c r="B226" s="106"/>
      <c r="C226" s="106"/>
      <c r="D226" s="106"/>
      <c r="E226" s="106"/>
      <c r="F226" s="106"/>
      <c r="G226" s="106"/>
      <c r="H226" s="106"/>
      <c r="T226" s="32"/>
    </row>
    <row r="227" spans="1:20" x14ac:dyDescent="0.25">
      <c r="A227" s="81" t="s">
        <v>58</v>
      </c>
      <c r="B227" s="81"/>
      <c r="C227" s="81"/>
      <c r="D227" s="81"/>
      <c r="E227" s="81"/>
      <c r="F227" s="81"/>
      <c r="G227" s="81"/>
      <c r="H227" s="81"/>
      <c r="T227" s="32"/>
    </row>
    <row r="228" spans="1:20" x14ac:dyDescent="0.25">
      <c r="A228" s="81" t="s">
        <v>59</v>
      </c>
      <c r="B228" s="81"/>
      <c r="C228" s="81"/>
      <c r="D228" s="81"/>
      <c r="E228" s="81"/>
      <c r="F228" s="81"/>
      <c r="G228" s="81"/>
      <c r="H228" s="81"/>
      <c r="T228" s="32"/>
    </row>
    <row r="229" spans="1:20" x14ac:dyDescent="0.25">
      <c r="A229" s="81" t="s">
        <v>115</v>
      </c>
      <c r="B229" s="81"/>
      <c r="C229" s="81"/>
      <c r="D229" s="81"/>
      <c r="E229" s="81"/>
      <c r="F229" s="81"/>
      <c r="G229" s="81"/>
      <c r="H229" s="81"/>
      <c r="T229" s="32"/>
    </row>
    <row r="230" spans="1:20" ht="33.950000000000003" customHeight="1" x14ac:dyDescent="0.25">
      <c r="A230" s="89" t="s">
        <v>116</v>
      </c>
      <c r="B230" s="89"/>
      <c r="C230" s="89"/>
      <c r="D230" s="89"/>
      <c r="E230" s="89"/>
      <c r="F230" s="89"/>
      <c r="G230" s="89"/>
      <c r="H230" s="89"/>
    </row>
    <row r="231" spans="1:20" x14ac:dyDescent="0.25">
      <c r="A231" s="143" t="s">
        <v>70</v>
      </c>
      <c r="B231" s="143"/>
      <c r="C231" s="144" t="s">
        <v>383</v>
      </c>
      <c r="D231" s="144"/>
      <c r="E231" s="143" t="s">
        <v>94</v>
      </c>
      <c r="F231" s="143"/>
      <c r="G231" s="143" t="s">
        <v>387</v>
      </c>
      <c r="H231" s="143"/>
    </row>
    <row r="232" spans="1:20" x14ac:dyDescent="0.25">
      <c r="A232" s="142" t="s">
        <v>72</v>
      </c>
      <c r="B232" s="142"/>
      <c r="C232" s="142"/>
      <c r="D232" s="142"/>
      <c r="E232" s="142"/>
      <c r="F232" s="142"/>
      <c r="G232" s="142"/>
      <c r="H232" s="142"/>
    </row>
    <row r="233" spans="1:20" x14ac:dyDescent="0.25">
      <c r="A233" s="142"/>
      <c r="B233" s="142"/>
      <c r="C233" s="142"/>
      <c r="D233" s="142"/>
      <c r="E233" s="142"/>
      <c r="F233" s="142"/>
      <c r="G233" s="142"/>
      <c r="H233" s="142"/>
    </row>
    <row r="234" spans="1:20" x14ac:dyDescent="0.25">
      <c r="A234" s="142"/>
      <c r="B234" s="142"/>
      <c r="C234" s="142"/>
      <c r="D234" s="142"/>
      <c r="E234" s="142"/>
      <c r="F234" s="142"/>
      <c r="G234" s="142"/>
      <c r="H234" s="142"/>
    </row>
    <row r="235" spans="1:20" x14ac:dyDescent="0.25">
      <c r="A235" s="142"/>
      <c r="B235" s="142"/>
      <c r="C235" s="142"/>
      <c r="D235" s="142"/>
      <c r="E235" s="142"/>
      <c r="F235" s="142"/>
      <c r="G235" s="142"/>
      <c r="H235" s="142"/>
    </row>
    <row r="236" spans="1:20" x14ac:dyDescent="0.25">
      <c r="A236" s="35" t="s">
        <v>60</v>
      </c>
      <c r="B236" s="36"/>
      <c r="C236" s="36"/>
      <c r="D236" s="35" t="str">
        <f>E9</f>
        <v>Primrose MHADA 2</v>
      </c>
      <c r="F236" s="36"/>
      <c r="G236" s="36"/>
      <c r="H236" s="36"/>
    </row>
    <row r="237" spans="1:20" x14ac:dyDescent="0.25">
      <c r="A237" s="36"/>
      <c r="B237" s="36"/>
      <c r="C237" s="36"/>
      <c r="D237" s="36"/>
      <c r="E237" s="36"/>
      <c r="F237" s="36"/>
      <c r="G237" s="36"/>
      <c r="H237" s="36"/>
    </row>
    <row r="238" spans="1:20" x14ac:dyDescent="0.25">
      <c r="A238" s="36"/>
      <c r="B238" s="36"/>
      <c r="C238" s="36"/>
      <c r="D238" s="36"/>
      <c r="E238" s="36"/>
      <c r="F238" s="36"/>
      <c r="G238" s="36"/>
      <c r="H238" s="36"/>
    </row>
    <row r="239" spans="1:20" ht="15" customHeight="1" x14ac:dyDescent="0.25"/>
    <row r="278" spans="1:1" x14ac:dyDescent="0.25">
      <c r="A278" s="38" t="s">
        <v>152</v>
      </c>
    </row>
    <row r="320" spans="1:1" x14ac:dyDescent="0.25">
      <c r="A320" s="38" t="s">
        <v>61</v>
      </c>
    </row>
  </sheetData>
  <mergeCells count="384">
    <mergeCell ref="I11:L11"/>
    <mergeCell ref="A76:B76"/>
    <mergeCell ref="C76:D76"/>
    <mergeCell ref="E76:F76"/>
    <mergeCell ref="G76:H76"/>
    <mergeCell ref="C199:H200"/>
    <mergeCell ref="C210:H210"/>
    <mergeCell ref="A121:H121"/>
    <mergeCell ref="A120:H120"/>
    <mergeCell ref="A202:B202"/>
    <mergeCell ref="A203:B203"/>
    <mergeCell ref="A204:B204"/>
    <mergeCell ref="A205:B205"/>
    <mergeCell ref="A206:B206"/>
    <mergeCell ref="A207:B207"/>
    <mergeCell ref="A208:B208"/>
    <mergeCell ref="A209:B209"/>
    <mergeCell ref="A210:B210"/>
    <mergeCell ref="A193:B193"/>
    <mergeCell ref="A194:B194"/>
    <mergeCell ref="A195:B195"/>
    <mergeCell ref="A196:B196"/>
    <mergeCell ref="A197:B197"/>
    <mergeCell ref="A198:B198"/>
    <mergeCell ref="A199:B199"/>
    <mergeCell ref="A200:B200"/>
    <mergeCell ref="A201:B201"/>
    <mergeCell ref="A187:B187"/>
    <mergeCell ref="A188:B188"/>
    <mergeCell ref="C177:H177"/>
    <mergeCell ref="C187:H188"/>
    <mergeCell ref="A189:H189"/>
    <mergeCell ref="L189:M189"/>
    <mergeCell ref="A190:B190"/>
    <mergeCell ref="A191:B191"/>
    <mergeCell ref="A192:B192"/>
    <mergeCell ref="A178:B178"/>
    <mergeCell ref="A179:B179"/>
    <mergeCell ref="A180:B180"/>
    <mergeCell ref="A181:B181"/>
    <mergeCell ref="A182:B182"/>
    <mergeCell ref="A183:B183"/>
    <mergeCell ref="A184:B184"/>
    <mergeCell ref="A185:B185"/>
    <mergeCell ref="A186:B186"/>
    <mergeCell ref="A169:B169"/>
    <mergeCell ref="A170:B170"/>
    <mergeCell ref="A171:B171"/>
    <mergeCell ref="A172:B172"/>
    <mergeCell ref="A173:B173"/>
    <mergeCell ref="A174:B174"/>
    <mergeCell ref="A175:B175"/>
    <mergeCell ref="A176:B176"/>
    <mergeCell ref="A177:B177"/>
    <mergeCell ref="A161:B161"/>
    <mergeCell ref="A162:B162"/>
    <mergeCell ref="A163:B163"/>
    <mergeCell ref="A164:B164"/>
    <mergeCell ref="A165:B165"/>
    <mergeCell ref="A166:B166"/>
    <mergeCell ref="A167:H167"/>
    <mergeCell ref="L167:M167"/>
    <mergeCell ref="A168:B168"/>
    <mergeCell ref="A152:B152"/>
    <mergeCell ref="A153:B153"/>
    <mergeCell ref="A154:B154"/>
    <mergeCell ref="A155:B155"/>
    <mergeCell ref="A156:B156"/>
    <mergeCell ref="A157:B157"/>
    <mergeCell ref="A158:B158"/>
    <mergeCell ref="A159:B159"/>
    <mergeCell ref="A160:B160"/>
    <mergeCell ref="A144:B144"/>
    <mergeCell ref="A145:H145"/>
    <mergeCell ref="L145:M145"/>
    <mergeCell ref="A146:B146"/>
    <mergeCell ref="A147:B147"/>
    <mergeCell ref="A148:B148"/>
    <mergeCell ref="A149:B149"/>
    <mergeCell ref="A150:B150"/>
    <mergeCell ref="A151:B151"/>
    <mergeCell ref="A135:B135"/>
    <mergeCell ref="A136:B136"/>
    <mergeCell ref="A137:B137"/>
    <mergeCell ref="A138:B138"/>
    <mergeCell ref="A139:B139"/>
    <mergeCell ref="A140:B140"/>
    <mergeCell ref="A141:B141"/>
    <mergeCell ref="A142:B142"/>
    <mergeCell ref="A143:B143"/>
    <mergeCell ref="A134:B134"/>
    <mergeCell ref="A74:B74"/>
    <mergeCell ref="C74:H74"/>
    <mergeCell ref="A83:B83"/>
    <mergeCell ref="A69:C69"/>
    <mergeCell ref="D69:H69"/>
    <mergeCell ref="C77:H77"/>
    <mergeCell ref="A80:B80"/>
    <mergeCell ref="A82:B82"/>
    <mergeCell ref="E78:F78"/>
    <mergeCell ref="A70:C70"/>
    <mergeCell ref="D70:H70"/>
    <mergeCell ref="A73:C73"/>
    <mergeCell ref="D73:H73"/>
    <mergeCell ref="F92:H92"/>
    <mergeCell ref="A131:B131"/>
    <mergeCell ref="C57:E57"/>
    <mergeCell ref="A93:E93"/>
    <mergeCell ref="A92:E92"/>
    <mergeCell ref="A89:E89"/>
    <mergeCell ref="F93:H93"/>
    <mergeCell ref="A81:B81"/>
    <mergeCell ref="A132:B132"/>
    <mergeCell ref="A133:B133"/>
    <mergeCell ref="L123:M123"/>
    <mergeCell ref="A128:B128"/>
    <mergeCell ref="A125:B125"/>
    <mergeCell ref="A126:B126"/>
    <mergeCell ref="G59:H59"/>
    <mergeCell ref="A94:E94"/>
    <mergeCell ref="C118:C119"/>
    <mergeCell ref="G118:G119"/>
    <mergeCell ref="G61:H61"/>
    <mergeCell ref="A87:B87"/>
    <mergeCell ref="A88:B88"/>
    <mergeCell ref="A97:E97"/>
    <mergeCell ref="I42:L42"/>
    <mergeCell ref="I43:L43"/>
    <mergeCell ref="I44:L44"/>
    <mergeCell ref="I45:L45"/>
    <mergeCell ref="I46:L46"/>
    <mergeCell ref="I47:L47"/>
    <mergeCell ref="C54:H54"/>
    <mergeCell ref="A49:B49"/>
    <mergeCell ref="C49:H49"/>
    <mergeCell ref="C56:H56"/>
    <mergeCell ref="A78:B78"/>
    <mergeCell ref="A77:B77"/>
    <mergeCell ref="A52:B52"/>
    <mergeCell ref="C52:E52"/>
    <mergeCell ref="G52:H52"/>
    <mergeCell ref="A40:B40"/>
    <mergeCell ref="C40:H40"/>
    <mergeCell ref="F110:F111"/>
    <mergeCell ref="E104:F104"/>
    <mergeCell ref="B110:B111"/>
    <mergeCell ref="A110:A111"/>
    <mergeCell ref="A71:C71"/>
    <mergeCell ref="D72:H72"/>
    <mergeCell ref="A79:B79"/>
    <mergeCell ref="G78:H78"/>
    <mergeCell ref="F89:H89"/>
    <mergeCell ref="F94:H94"/>
    <mergeCell ref="G53:H53"/>
    <mergeCell ref="A51:B51"/>
    <mergeCell ref="A62:H62"/>
    <mergeCell ref="A63:C63"/>
    <mergeCell ref="A64:C64"/>
    <mergeCell ref="D64:H64"/>
    <mergeCell ref="A55:B56"/>
    <mergeCell ref="C55:E55"/>
    <mergeCell ref="G107:H107"/>
    <mergeCell ref="A39:B39"/>
    <mergeCell ref="C39:H39"/>
    <mergeCell ref="A46:D46"/>
    <mergeCell ref="L116:M116"/>
    <mergeCell ref="L115:M115"/>
    <mergeCell ref="L114:M114"/>
    <mergeCell ref="L113:M113"/>
    <mergeCell ref="A86:B86"/>
    <mergeCell ref="C104:D104"/>
    <mergeCell ref="G104:H104"/>
    <mergeCell ref="A90:E90"/>
    <mergeCell ref="A112:H112"/>
    <mergeCell ref="E110:E111"/>
    <mergeCell ref="A47:D47"/>
    <mergeCell ref="A48:H48"/>
    <mergeCell ref="D65:H65"/>
    <mergeCell ref="A65:C65"/>
    <mergeCell ref="A85:B85"/>
    <mergeCell ref="A45:D45"/>
    <mergeCell ref="E79:F88"/>
    <mergeCell ref="G79:H88"/>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8:H58"/>
    <mergeCell ref="C60:H60"/>
    <mergeCell ref="F37:H37"/>
    <mergeCell ref="C53:E53"/>
    <mergeCell ref="A66:C66"/>
    <mergeCell ref="D66:H66"/>
    <mergeCell ref="C51:E51"/>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18:A1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30:B130"/>
    <mergeCell ref="A232:H235"/>
    <mergeCell ref="A231:B231"/>
    <mergeCell ref="E231:F231"/>
    <mergeCell ref="C231:D231"/>
    <mergeCell ref="G231:H231"/>
    <mergeCell ref="A100:E100"/>
    <mergeCell ref="F100:H100"/>
    <mergeCell ref="A101:E101"/>
    <mergeCell ref="F101:H101"/>
    <mergeCell ref="A123:H123"/>
    <mergeCell ref="A104:B104"/>
    <mergeCell ref="A227:H227"/>
    <mergeCell ref="A102:H102"/>
    <mergeCell ref="A230:H230"/>
    <mergeCell ref="A228:H228"/>
    <mergeCell ref="A224:H224"/>
    <mergeCell ref="G103:H103"/>
    <mergeCell ref="C110:C111"/>
    <mergeCell ref="B118:B119"/>
    <mergeCell ref="A225:H225"/>
    <mergeCell ref="A117:H117"/>
    <mergeCell ref="E103:F103"/>
    <mergeCell ref="A108:H108"/>
    <mergeCell ref="A91:E91"/>
    <mergeCell ref="B220:H220"/>
    <mergeCell ref="B218:H218"/>
    <mergeCell ref="B214:H214"/>
    <mergeCell ref="B212:H212"/>
    <mergeCell ref="B213:H213"/>
    <mergeCell ref="B215:H215"/>
    <mergeCell ref="B216:H216"/>
    <mergeCell ref="A211:H211"/>
    <mergeCell ref="A95:E95"/>
    <mergeCell ref="F95:H95"/>
    <mergeCell ref="A106:B106"/>
    <mergeCell ref="E106:F106"/>
    <mergeCell ref="A99:E99"/>
    <mergeCell ref="G106:H106"/>
    <mergeCell ref="A105:B105"/>
    <mergeCell ref="C105:D105"/>
    <mergeCell ref="E105:F105"/>
    <mergeCell ref="G105:H105"/>
    <mergeCell ref="B219:H219"/>
    <mergeCell ref="A127:B127"/>
    <mergeCell ref="B217:H217"/>
    <mergeCell ref="D110:D111"/>
    <mergeCell ref="A129:B129"/>
    <mergeCell ref="C59:E59"/>
    <mergeCell ref="A229:H229"/>
    <mergeCell ref="A226:H226"/>
    <mergeCell ref="A124:B124"/>
    <mergeCell ref="A103:B103"/>
    <mergeCell ref="D118:D119"/>
    <mergeCell ref="E118:E119"/>
    <mergeCell ref="F90:H90"/>
    <mergeCell ref="F96:H96"/>
    <mergeCell ref="C106:D106"/>
    <mergeCell ref="A122:H122"/>
    <mergeCell ref="A113:B113"/>
    <mergeCell ref="A107:B107"/>
    <mergeCell ref="B222:H222"/>
    <mergeCell ref="B223:H223"/>
    <mergeCell ref="B221:H221"/>
    <mergeCell ref="G110:G111"/>
    <mergeCell ref="A96:E96"/>
    <mergeCell ref="F118:F119"/>
    <mergeCell ref="C107:D107"/>
    <mergeCell ref="E107:F107"/>
    <mergeCell ref="A116:B116"/>
    <mergeCell ref="A115:B115"/>
    <mergeCell ref="F91:H91"/>
    <mergeCell ref="I12:L12"/>
    <mergeCell ref="I15:P15"/>
    <mergeCell ref="F99:H99"/>
    <mergeCell ref="F97:H97"/>
    <mergeCell ref="A109:H109"/>
    <mergeCell ref="A98:E98"/>
    <mergeCell ref="A114:B114"/>
    <mergeCell ref="A61:B61"/>
    <mergeCell ref="C61:E61"/>
    <mergeCell ref="D63:H63"/>
    <mergeCell ref="F98:H98"/>
    <mergeCell ref="C103:D103"/>
    <mergeCell ref="D71:H71"/>
    <mergeCell ref="A72:C72"/>
    <mergeCell ref="E43:H43"/>
    <mergeCell ref="A43:D43"/>
    <mergeCell ref="A84:B84"/>
    <mergeCell ref="A50:B50"/>
    <mergeCell ref="G55:H55"/>
    <mergeCell ref="A57:B58"/>
    <mergeCell ref="G51:H51"/>
    <mergeCell ref="A53:B54"/>
    <mergeCell ref="G57:H57"/>
    <mergeCell ref="A59:B60"/>
  </mergeCells>
  <dataValidations count="18">
    <dataValidation type="list" allowBlank="1" showInputMessage="1" showErrorMessage="1" sqref="E5:H5" xr:uid="{5D3C7E03-79F8-45DA-B708-77360FD6854A}">
      <formula1>OFFSET($L$3,1,MATCH($E4,$L$3:$P$3,0)-1,10,1)</formula1>
    </dataValidation>
    <dataValidation type="list" allowBlank="1" showInputMessage="1" showErrorMessage="1" sqref="A17:B17" xr:uid="{0238809E-398C-475C-AAA8-2808714CA28B}">
      <formula1>"CTS No,Survey No,Plot No,Gut No,FP No,"</formula1>
    </dataValidation>
    <dataValidation type="list" allowBlank="1" showInputMessage="1" showErrorMessage="1" sqref="G20:H20" xr:uid="{2E1D3F19-91E6-4E79-BF5F-9FEA8575C9A5}">
      <formula1>$S$13:$W$13</formula1>
    </dataValidation>
    <dataValidation type="list" allowBlank="1" showInputMessage="1" showErrorMessage="1" sqref="E110:E111" xr:uid="{9B7109D7-1FD3-41C9-95E5-77298CFA12F2}">
      <formula1>"Attached Loft area,Attached Otla area,Attached Mezzanine area"</formula1>
    </dataValidation>
    <dataValidation type="list" allowBlank="1" showInputMessage="1" showErrorMessage="1" sqref="G231:H231" xr:uid="{7BF676A0-38D1-456E-8B79-951C0768AF5C}">
      <formula1>"Kunal Kadam,Pranita Mhatre,Shruti Fule,Pooja Kawale,Gaurav Panchal,Shruti Tathare, Hitakshi Mhatre, Sachin Sawant"</formula1>
    </dataValidation>
    <dataValidation type="list" allowBlank="1" showInputMessage="1" showErrorMessage="1" sqref="F89:H89" xr:uid="{241A75C4-6574-4EC6-92E8-6AFD843191AC}">
      <formula1>"On Saleable Area,On Builtup Area,On Carpet Area,On Plot Area"</formula1>
    </dataValidation>
    <dataValidation type="list" allowBlank="1" showInputMessage="1" showErrorMessage="1" sqref="B110:B111" xr:uid="{108723CF-EE45-426C-8318-B1A6F593BC4D}">
      <formula1>"Shop No. (Sale Plan),Sale / Rehab,Sale / Mhada"</formula1>
    </dataValidation>
    <dataValidation type="list" allowBlank="1" showInputMessage="1" showErrorMessage="1" sqref="B118:B119" xr:uid="{A229A6B1-987B-46AC-880E-4D106BA4457C}">
      <formula1>"Flat No. (Sale Plan),Sale / Rehab,Sale / Mhada"</formula1>
    </dataValidation>
    <dataValidation type="list" allowBlank="1" showInputMessage="1" showErrorMessage="1" sqref="C21:D21" xr:uid="{33F42EAB-022B-4AA4-9F62-C5DC37C8F354}">
      <formula1>OFFSET($S$13,1,MATCH($G20,$S$13:$W$13,0)-1,15,1)</formula1>
    </dataValidation>
    <dataValidation type="list" allowBlank="1" showInputMessage="1" showErrorMessage="1" sqref="Y13" xr:uid="{028CA521-25D6-48EF-96A8-043155425628}">
      <formula1>$D$5:$H$5</formula1>
    </dataValidation>
    <dataValidation type="list" allowBlank="1" showInputMessage="1" showErrorMessage="1" sqref="E118:E119" xr:uid="{B379D50B-00A7-424B-8EC2-496152866DD7}">
      <formula1>"Fungible area,Balcony Area,Chajja Area,Cornice Area,AP Area,WS Area"</formula1>
    </dataValidation>
    <dataValidation type="list" allowBlank="1" showInputMessage="1" showErrorMessage="1" sqref="H111 H119" xr:uid="{46EDF276-38D9-4E2D-8C39-406C002B4AB7}">
      <formula1>".45,.50,.55,.60"</formula1>
    </dataValidation>
    <dataValidation type="list" allowBlank="1" showInputMessage="1" showErrorMessage="1" sqref="E4:H4" xr:uid="{BE862C3D-D46E-4A51-B447-D37CF87F2C5A}">
      <formula1>$L$3:$P$3</formula1>
    </dataValidation>
    <dataValidation type="list" allowBlank="1" showInputMessage="1" showErrorMessage="1" sqref="C49:H49" xr:uid="{62BED80A-12A6-4FF9-B472-18549F2B446A}">
      <formula1>$T$50:$T$64</formula1>
    </dataValidation>
    <dataValidation type="list" allowBlank="1" showInputMessage="1" showErrorMessage="1" sqref="H110 H118" xr:uid="{BB6796F1-2935-4735-860B-E8D9B6704512}">
      <formula1>"Saleable area Loading :,Builder Saleable Area"</formula1>
    </dataValidation>
    <dataValidation type="list" allowBlank="1" showInputMessage="1" showErrorMessage="1" sqref="D110:D111 D118:D119" xr:uid="{1EDB9A6D-3A25-4302-9F97-9FD90CD0C594}">
      <formula1>"Carpet area,RERA Carpet area"</formula1>
    </dataValidation>
    <dataValidation type="whole" allowBlank="1" showInputMessage="1" showErrorMessage="1" sqref="C84" xr:uid="{E22E75AF-1A85-430D-BA10-CCED5B76B521}">
      <formula1>0</formula1>
      <formula2>H75</formula2>
    </dataValidation>
    <dataValidation type="whole" allowBlank="1" showInputMessage="1" showErrorMessage="1" sqref="C85:C87" xr:uid="{F71D2568-1332-42B4-A143-5289B52B8CB3}">
      <formula1>0</formula1>
      <formula2>H77</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35" max="16383" man="1"/>
    <brk id="277" max="16383" man="1"/>
    <brk id="31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36" t="s">
        <v>95</v>
      </c>
      <c r="C3" s="236"/>
      <c r="D3" s="236"/>
      <c r="E3" s="236"/>
      <c r="F3" s="236"/>
      <c r="G3" s="236"/>
      <c r="H3" s="236"/>
    </row>
    <row r="4" spans="1:9" x14ac:dyDescent="0.25">
      <c r="A4" s="2"/>
      <c r="B4" s="3" t="s">
        <v>96</v>
      </c>
      <c r="C4" s="3" t="s">
        <v>97</v>
      </c>
      <c r="D4" s="3" t="s">
        <v>63</v>
      </c>
      <c r="E4" s="3" t="s">
        <v>98</v>
      </c>
      <c r="F4" s="3" t="s">
        <v>104</v>
      </c>
      <c r="G4" s="3" t="s">
        <v>105</v>
      </c>
      <c r="H4" s="3" t="s">
        <v>99</v>
      </c>
    </row>
    <row r="5" spans="1:9" ht="15" customHeight="1" x14ac:dyDescent="0.25">
      <c r="A5" s="2"/>
      <c r="B5" s="5" t="s">
        <v>100</v>
      </c>
      <c r="C5" s="6"/>
      <c r="D5" s="5"/>
      <c r="E5" s="5"/>
      <c r="F5" s="7">
        <f>E5*1.6</f>
        <v>0</v>
      </c>
      <c r="G5" s="7" t="e">
        <f>H5/F5</f>
        <v>#DIV/0!</v>
      </c>
      <c r="H5" s="8"/>
    </row>
    <row r="6" spans="1:9" x14ac:dyDescent="0.25">
      <c r="A6" s="2"/>
      <c r="B6" s="5" t="s">
        <v>100</v>
      </c>
      <c r="C6" s="9"/>
      <c r="D6" s="5"/>
      <c r="E6" s="5"/>
      <c r="F6" s="7">
        <f t="shared" ref="F6:F11" si="0">E6*1.6</f>
        <v>0</v>
      </c>
      <c r="G6" s="7" t="e">
        <f t="shared" ref="G6:G11" si="1">H6/F6</f>
        <v>#DIV/0!</v>
      </c>
      <c r="H6" s="8"/>
    </row>
    <row r="7" spans="1:9" ht="15" customHeight="1" x14ac:dyDescent="0.25">
      <c r="A7" s="2"/>
      <c r="B7" s="5" t="s">
        <v>100</v>
      </c>
      <c r="C7" s="6"/>
      <c r="D7" s="5"/>
      <c r="E7" s="5"/>
      <c r="F7" s="7">
        <f t="shared" si="0"/>
        <v>0</v>
      </c>
      <c r="G7" s="7" t="e">
        <f t="shared" si="1"/>
        <v>#DIV/0!</v>
      </c>
      <c r="H7" s="8"/>
    </row>
    <row r="8" spans="1:9" x14ac:dyDescent="0.25">
      <c r="A8" s="2"/>
      <c r="B8" s="5" t="s">
        <v>100</v>
      </c>
      <c r="C8" s="9"/>
      <c r="D8" s="5"/>
      <c r="E8" s="5"/>
      <c r="F8" s="7">
        <f t="shared" si="0"/>
        <v>0</v>
      </c>
      <c r="G8" s="7" t="e">
        <f t="shared" si="1"/>
        <v>#DIV/0!</v>
      </c>
      <c r="H8" s="8"/>
    </row>
    <row r="9" spans="1:9" ht="15" customHeight="1" x14ac:dyDescent="0.25">
      <c r="A9" s="2"/>
      <c r="B9" s="5" t="s">
        <v>100</v>
      </c>
      <c r="C9" s="9"/>
      <c r="D9" s="5"/>
      <c r="E9" s="5"/>
      <c r="F9" s="7">
        <f t="shared" si="0"/>
        <v>0</v>
      </c>
      <c r="G9" s="7" t="e">
        <f t="shared" si="1"/>
        <v>#DIV/0!</v>
      </c>
      <c r="H9" s="8"/>
    </row>
    <row r="10" spans="1:9" ht="15" customHeight="1" x14ac:dyDescent="0.25">
      <c r="A10" s="2"/>
      <c r="B10" s="5" t="s">
        <v>101</v>
      </c>
      <c r="C10" s="6"/>
      <c r="D10" s="5"/>
      <c r="E10" s="5"/>
      <c r="F10" s="7">
        <f t="shared" si="0"/>
        <v>0</v>
      </c>
      <c r="G10" s="7" t="e">
        <f t="shared" si="1"/>
        <v>#DIV/0!</v>
      </c>
      <c r="H10" s="8"/>
    </row>
    <row r="11" spans="1:9" ht="15" customHeight="1" x14ac:dyDescent="0.25">
      <c r="A11" s="2"/>
      <c r="B11" s="5" t="s">
        <v>101</v>
      </c>
      <c r="C11" s="6"/>
      <c r="D11" s="5"/>
      <c r="E11" s="5"/>
      <c r="F11" s="7">
        <f t="shared" si="0"/>
        <v>0</v>
      </c>
      <c r="G11" s="7" t="e">
        <f t="shared" si="1"/>
        <v>#DIV/0!</v>
      </c>
      <c r="H11" s="8"/>
    </row>
    <row r="12" spans="1:9" ht="15" customHeight="1" x14ac:dyDescent="0.25">
      <c r="A12" s="2"/>
      <c r="B12" s="10" t="s">
        <v>102</v>
      </c>
      <c r="C12" s="5"/>
      <c r="D12" s="5"/>
      <c r="E12" s="5"/>
      <c r="F12" s="5"/>
      <c r="G12" s="11" t="e">
        <f>AVERAGE(G5:G11)</f>
        <v>#DIV/0!</v>
      </c>
      <c r="H12" s="5"/>
    </row>
    <row r="13" spans="1:9" ht="15" customHeight="1" x14ac:dyDescent="0.25">
      <c r="B13" s="10" t="s">
        <v>103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166</v>
      </c>
      <c r="E4" s="48" t="s">
        <v>176</v>
      </c>
      <c r="F4" s="48" t="s">
        <v>161</v>
      </c>
      <c r="G4" s="48" t="s">
        <v>181</v>
      </c>
      <c r="H4" s="48" t="s">
        <v>199</v>
      </c>
      <c r="J4" t="s">
        <v>181</v>
      </c>
      <c r="K4" t="s">
        <v>197</v>
      </c>
    </row>
    <row r="5" spans="2:11" x14ac:dyDescent="0.25">
      <c r="B5" s="47"/>
      <c r="C5" s="47"/>
      <c r="D5" s="48" t="s">
        <v>167</v>
      </c>
      <c r="E5" s="48" t="s">
        <v>174</v>
      </c>
      <c r="F5" s="48" t="s">
        <v>196</v>
      </c>
      <c r="G5" s="48" t="s">
        <v>182</v>
      </c>
      <c r="H5" s="48" t="s">
        <v>200</v>
      </c>
    </row>
    <row r="6" spans="2:11" x14ac:dyDescent="0.25">
      <c r="B6" s="47"/>
      <c r="C6" s="47"/>
      <c r="D6" s="48" t="s">
        <v>168</v>
      </c>
      <c r="E6" s="48" t="s">
        <v>175</v>
      </c>
      <c r="F6" s="48" t="s">
        <v>197</v>
      </c>
      <c r="G6" s="48" t="s">
        <v>183</v>
      </c>
      <c r="H6" s="48" t="s">
        <v>213</v>
      </c>
    </row>
    <row r="7" spans="2:11" x14ac:dyDescent="0.25">
      <c r="B7" s="47"/>
      <c r="C7" s="47"/>
      <c r="D7" s="48" t="s">
        <v>169</v>
      </c>
      <c r="E7" s="48" t="s">
        <v>177</v>
      </c>
      <c r="F7" s="48" t="s">
        <v>198</v>
      </c>
      <c r="G7" s="48" t="s">
        <v>184</v>
      </c>
      <c r="H7" s="48" t="s">
        <v>201</v>
      </c>
    </row>
    <row r="8" spans="2:11" x14ac:dyDescent="0.25">
      <c r="B8" s="47"/>
      <c r="C8" s="47"/>
      <c r="D8" s="48" t="s">
        <v>170</v>
      </c>
      <c r="E8" s="48" t="s">
        <v>178</v>
      </c>
      <c r="F8" s="48"/>
      <c r="G8" s="48" t="s">
        <v>185</v>
      </c>
      <c r="H8" s="48" t="s">
        <v>202</v>
      </c>
    </row>
    <row r="9" spans="2:11" x14ac:dyDescent="0.25">
      <c r="B9" s="47"/>
      <c r="C9" s="47"/>
      <c r="D9" s="48" t="s">
        <v>171</v>
      </c>
      <c r="E9" s="48" t="s">
        <v>176</v>
      </c>
      <c r="F9" s="48"/>
      <c r="G9" s="48" t="s">
        <v>186</v>
      </c>
      <c r="H9" s="48" t="s">
        <v>203</v>
      </c>
    </row>
    <row r="10" spans="2:11" x14ac:dyDescent="0.25">
      <c r="B10" s="47"/>
      <c r="C10" s="47"/>
      <c r="D10" s="48" t="s">
        <v>172</v>
      </c>
      <c r="E10" s="48" t="s">
        <v>179</v>
      </c>
      <c r="F10" s="48"/>
      <c r="G10" s="48" t="s">
        <v>187</v>
      </c>
      <c r="H10" s="48" t="s">
        <v>204</v>
      </c>
    </row>
    <row r="11" spans="2:11" x14ac:dyDescent="0.25">
      <c r="B11" s="47"/>
      <c r="C11" s="47"/>
      <c r="D11" s="48" t="s">
        <v>173</v>
      </c>
      <c r="E11" s="48" t="s">
        <v>180</v>
      </c>
      <c r="F11" s="48"/>
      <c r="G11" s="48" t="s">
        <v>188</v>
      </c>
      <c r="H11" s="48" t="s">
        <v>205</v>
      </c>
    </row>
    <row r="12" spans="2:11" x14ac:dyDescent="0.25">
      <c r="B12" s="47"/>
      <c r="C12" s="47"/>
      <c r="D12" s="48"/>
      <c r="E12" s="48"/>
      <c r="F12" s="48"/>
      <c r="G12" s="48" t="s">
        <v>189</v>
      </c>
      <c r="H12" s="48" t="s">
        <v>206</v>
      </c>
    </row>
    <row r="13" spans="2:11" x14ac:dyDescent="0.25">
      <c r="B13" s="47"/>
      <c r="C13" s="47"/>
      <c r="D13" s="48"/>
      <c r="E13" s="48"/>
      <c r="F13" s="48"/>
      <c r="G13" s="48" t="s">
        <v>190</v>
      </c>
      <c r="H13" s="48" t="s">
        <v>207</v>
      </c>
    </row>
    <row r="14" spans="2:11" x14ac:dyDescent="0.25">
      <c r="B14" s="47"/>
      <c r="C14" s="47"/>
      <c r="D14" s="48"/>
      <c r="E14" s="48"/>
      <c r="F14" s="48"/>
      <c r="G14" s="48" t="s">
        <v>191</v>
      </c>
      <c r="H14" s="48" t="s">
        <v>208</v>
      </c>
    </row>
    <row r="15" spans="2:11" x14ac:dyDescent="0.25">
      <c r="B15" s="47"/>
      <c r="C15" s="47"/>
      <c r="D15" s="48"/>
      <c r="E15" s="48"/>
      <c r="F15" s="48"/>
      <c r="G15" s="48" t="s">
        <v>192</v>
      </c>
      <c r="H15" s="48" t="s">
        <v>209</v>
      </c>
    </row>
    <row r="16" spans="2:11" x14ac:dyDescent="0.25">
      <c r="B16" s="47"/>
      <c r="C16" s="47"/>
      <c r="D16" s="48"/>
      <c r="E16" s="48"/>
      <c r="F16" s="48"/>
      <c r="G16" s="48" t="s">
        <v>193</v>
      </c>
      <c r="H16" s="48" t="s">
        <v>210</v>
      </c>
    </row>
    <row r="17" spans="2:8" x14ac:dyDescent="0.25">
      <c r="B17" s="47"/>
      <c r="C17" s="47"/>
      <c r="D17" s="48"/>
      <c r="E17" s="48"/>
      <c r="F17" s="48"/>
      <c r="G17" s="48" t="s">
        <v>194</v>
      </c>
      <c r="H17" s="48" t="s">
        <v>211</v>
      </c>
    </row>
    <row r="18" spans="2:8" x14ac:dyDescent="0.25">
      <c r="B18" s="47"/>
      <c r="C18" s="47"/>
      <c r="D18" s="48"/>
      <c r="E18" s="48"/>
      <c r="F18" s="48"/>
      <c r="G18" s="48" t="s">
        <v>195</v>
      </c>
      <c r="H18" s="48" t="s">
        <v>212</v>
      </c>
    </row>
    <row r="24" spans="2:8" x14ac:dyDescent="0.25">
      <c r="C24" t="s">
        <v>158</v>
      </c>
    </row>
    <row r="25" spans="2:8" x14ac:dyDescent="0.25">
      <c r="C25" t="s">
        <v>214</v>
      </c>
    </row>
    <row r="26" spans="2:8" x14ac:dyDescent="0.25">
      <c r="C26" t="s">
        <v>215</v>
      </c>
    </row>
    <row r="27" spans="2:8" x14ac:dyDescent="0.25">
      <c r="C27" t="s">
        <v>216</v>
      </c>
    </row>
    <row r="28" spans="2:8" x14ac:dyDescent="0.25">
      <c r="C28" t="s">
        <v>217</v>
      </c>
    </row>
    <row r="29" spans="2:8" x14ac:dyDescent="0.25">
      <c r="C29" t="s">
        <v>218</v>
      </c>
    </row>
    <row r="30" spans="2:8" x14ac:dyDescent="0.25">
      <c r="C30" t="s">
        <v>158</v>
      </c>
    </row>
    <row r="33" spans="3:11" x14ac:dyDescent="0.25">
      <c r="J33">
        <v>1</v>
      </c>
      <c r="K33">
        <v>2</v>
      </c>
    </row>
    <row r="34" spans="3:11" x14ac:dyDescent="0.25">
      <c r="C34" s="50" t="s">
        <v>225</v>
      </c>
      <c r="D34" s="48" t="s">
        <v>223</v>
      </c>
      <c r="E34" s="48" t="s">
        <v>228</v>
      </c>
      <c r="F34" s="48" t="s">
        <v>226</v>
      </c>
      <c r="G34" s="48" t="s">
        <v>227</v>
      </c>
      <c r="H34" s="48" t="s">
        <v>229</v>
      </c>
      <c r="J34" t="s">
        <v>181</v>
      </c>
      <c r="K34" t="s">
        <v>197</v>
      </c>
    </row>
    <row r="35" spans="3:11" x14ac:dyDescent="0.25">
      <c r="C35" s="47" t="s">
        <v>224</v>
      </c>
      <c r="D35" s="48" t="s">
        <v>159</v>
      </c>
      <c r="E35" s="48" t="s">
        <v>233</v>
      </c>
      <c r="F35" s="48" t="s">
        <v>235</v>
      </c>
      <c r="G35" s="48" t="s">
        <v>237</v>
      </c>
      <c r="H35" s="48"/>
    </row>
    <row r="36" spans="3:11" x14ac:dyDescent="0.25">
      <c r="C36" s="47"/>
      <c r="D36" s="48" t="s">
        <v>230</v>
      </c>
      <c r="E36" s="48" t="s">
        <v>234</v>
      </c>
      <c r="F36" s="48" t="s">
        <v>236</v>
      </c>
      <c r="G36" s="48" t="s">
        <v>238</v>
      </c>
      <c r="H36" s="48"/>
    </row>
    <row r="37" spans="3:11" x14ac:dyDescent="0.25">
      <c r="C37" s="47"/>
      <c r="D37" s="48" t="s">
        <v>231</v>
      </c>
      <c r="E37" s="48"/>
      <c r="F37" s="48"/>
      <c r="G37" s="48" t="s">
        <v>239</v>
      </c>
      <c r="H37" s="48"/>
    </row>
    <row r="38" spans="3:11" x14ac:dyDescent="0.25">
      <c r="C38" s="47"/>
      <c r="D38" s="48" t="s">
        <v>232</v>
      </c>
      <c r="E38" s="48"/>
      <c r="F38" s="48"/>
      <c r="G38" s="48" t="s">
        <v>239</v>
      </c>
      <c r="H38" s="48"/>
    </row>
    <row r="39" spans="3:11" x14ac:dyDescent="0.25">
      <c r="C39" s="47"/>
      <c r="D39" s="48"/>
      <c r="E39" s="48"/>
      <c r="F39" s="48"/>
      <c r="G39" s="48" t="s">
        <v>240</v>
      </c>
      <c r="H39" s="48"/>
    </row>
    <row r="40" spans="3:11" x14ac:dyDescent="0.25">
      <c r="C40" s="47"/>
      <c r="D40" s="48"/>
      <c r="E40" s="48"/>
      <c r="F40" s="48"/>
      <c r="G40" s="48" t="s">
        <v>241</v>
      </c>
      <c r="H40" s="48"/>
    </row>
    <row r="41" spans="3:11" x14ac:dyDescent="0.25">
      <c r="C41" s="47"/>
      <c r="D41" s="48"/>
      <c r="E41" s="48"/>
      <c r="F41" s="48"/>
      <c r="G41" s="48"/>
      <c r="H41" s="48"/>
    </row>
    <row r="43" spans="3:11" x14ac:dyDescent="0.25">
      <c r="C43" t="s">
        <v>242</v>
      </c>
    </row>
    <row r="44" spans="3:11" x14ac:dyDescent="0.25">
      <c r="C44" t="s">
        <v>161</v>
      </c>
      <c r="D44" t="s">
        <v>243</v>
      </c>
    </row>
    <row r="45" spans="3:11" x14ac:dyDescent="0.25">
      <c r="D45" t="s">
        <v>244</v>
      </c>
    </row>
    <row r="46" spans="3:11" x14ac:dyDescent="0.25">
      <c r="D46" t="s">
        <v>245</v>
      </c>
    </row>
    <row r="47" spans="3:11" x14ac:dyDescent="0.25">
      <c r="D47" t="s">
        <v>246</v>
      </c>
    </row>
    <row r="48" spans="3:11" x14ac:dyDescent="0.25">
      <c r="D48" t="s">
        <v>247</v>
      </c>
    </row>
    <row r="49" spans="3:4" x14ac:dyDescent="0.25">
      <c r="C49" t="s">
        <v>166</v>
      </c>
      <c r="D49" t="s">
        <v>248</v>
      </c>
    </row>
    <row r="50" spans="3:4" x14ac:dyDescent="0.25">
      <c r="D50" t="s">
        <v>249</v>
      </c>
    </row>
    <row r="51" spans="3:4" x14ac:dyDescent="0.25">
      <c r="D51" t="s">
        <v>250</v>
      </c>
    </row>
    <row r="52" spans="3:4" x14ac:dyDescent="0.25">
      <c r="D52" t="s">
        <v>253</v>
      </c>
    </row>
    <row r="53" spans="3:4" x14ac:dyDescent="0.25">
      <c r="D53" t="s">
        <v>251</v>
      </c>
    </row>
    <row r="54" spans="3:4" x14ac:dyDescent="0.25">
      <c r="D54" t="s">
        <v>252</v>
      </c>
    </row>
    <row r="55" spans="3:4" x14ac:dyDescent="0.25">
      <c r="D55" t="s">
        <v>254</v>
      </c>
    </row>
    <row r="56" spans="3:4" x14ac:dyDescent="0.25">
      <c r="D56" t="s">
        <v>255</v>
      </c>
    </row>
    <row r="57" spans="3:4" x14ac:dyDescent="0.25">
      <c r="D57" t="s">
        <v>256</v>
      </c>
    </row>
    <row r="58" spans="3:4" x14ac:dyDescent="0.25">
      <c r="D58" t="s">
        <v>258</v>
      </c>
    </row>
    <row r="59" spans="3:4" x14ac:dyDescent="0.25">
      <c r="D59" t="s">
        <v>267</v>
      </c>
    </row>
    <row r="60" spans="3:4" x14ac:dyDescent="0.25">
      <c r="C60" t="s">
        <v>181</v>
      </c>
      <c r="D60" t="s">
        <v>259</v>
      </c>
    </row>
    <row r="61" spans="3:4" x14ac:dyDescent="0.25">
      <c r="D61" t="s">
        <v>257</v>
      </c>
    </row>
    <row r="62" spans="3:4" x14ac:dyDescent="0.25">
      <c r="D62" t="s">
        <v>247</v>
      </c>
    </row>
    <row r="63" spans="3:4" x14ac:dyDescent="0.25">
      <c r="D63" t="s">
        <v>260</v>
      </c>
    </row>
    <row r="64" spans="3:4" x14ac:dyDescent="0.25">
      <c r="D64" t="s">
        <v>261</v>
      </c>
    </row>
    <row r="65" spans="3:4" x14ac:dyDescent="0.25">
      <c r="D65" t="s">
        <v>262</v>
      </c>
    </row>
    <row r="66" spans="3:4" x14ac:dyDescent="0.25">
      <c r="D66" t="s">
        <v>263</v>
      </c>
    </row>
    <row r="67" spans="3:4" x14ac:dyDescent="0.25">
      <c r="C67" t="s">
        <v>176</v>
      </c>
      <c r="D67" t="s">
        <v>264</v>
      </c>
    </row>
    <row r="68" spans="3:4" x14ac:dyDescent="0.25">
      <c r="D68" t="s">
        <v>265</v>
      </c>
    </row>
    <row r="69" spans="3:4" x14ac:dyDescent="0.25">
      <c r="D69" t="s">
        <v>266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10" workbookViewId="0">
      <selection activeCell="C15" sqref="C15"/>
    </sheetView>
  </sheetViews>
  <sheetFormatPr defaultRowHeight="15" x14ac:dyDescent="0.25"/>
  <cols>
    <col min="2" max="2" width="3" bestFit="1" customWidth="1"/>
    <col min="3" max="3" width="155.42578125" customWidth="1"/>
  </cols>
  <sheetData>
    <row r="2" spans="2:3" ht="15" customHeight="1" x14ac:dyDescent="0.25">
      <c r="B2" s="51">
        <v>1</v>
      </c>
      <c r="C2" s="53" t="s">
        <v>273</v>
      </c>
    </row>
    <row r="3" spans="2:3" x14ac:dyDescent="0.25">
      <c r="B3" s="51">
        <v>2</v>
      </c>
      <c r="C3" s="52" t="s">
        <v>324</v>
      </c>
    </row>
    <row r="4" spans="2:3" x14ac:dyDescent="0.25">
      <c r="B4" s="51">
        <v>3</v>
      </c>
      <c r="C4" s="51" t="s">
        <v>274</v>
      </c>
    </row>
    <row r="5" spans="2:3" x14ac:dyDescent="0.25">
      <c r="B5" s="51">
        <v>4</v>
      </c>
      <c r="C5" s="52" t="s">
        <v>275</v>
      </c>
    </row>
    <row r="6" spans="2:3" x14ac:dyDescent="0.25">
      <c r="B6" s="51">
        <v>5</v>
      </c>
      <c r="C6" s="51" t="s">
        <v>276</v>
      </c>
    </row>
    <row r="7" spans="2:3" ht="30" x14ac:dyDescent="0.25">
      <c r="B7" s="51">
        <v>6</v>
      </c>
      <c r="C7" s="52" t="s">
        <v>277</v>
      </c>
    </row>
    <row r="8" spans="2:3" ht="75" x14ac:dyDescent="0.25">
      <c r="B8" s="51">
        <v>7</v>
      </c>
      <c r="C8" s="52" t="s">
        <v>278</v>
      </c>
    </row>
    <row r="9" spans="2:3" x14ac:dyDescent="0.25">
      <c r="B9" s="51">
        <v>8</v>
      </c>
      <c r="C9" s="51" t="s">
        <v>279</v>
      </c>
    </row>
    <row r="10" spans="2:3" x14ac:dyDescent="0.25">
      <c r="B10" s="51">
        <v>9</v>
      </c>
      <c r="C10" s="51" t="s">
        <v>280</v>
      </c>
    </row>
    <row r="11" spans="2:3" x14ac:dyDescent="0.25">
      <c r="B11" s="51">
        <v>10</v>
      </c>
      <c r="C11" s="51" t="s">
        <v>281</v>
      </c>
    </row>
    <row r="12" spans="2:3" x14ac:dyDescent="0.25">
      <c r="B12" s="51">
        <v>11</v>
      </c>
      <c r="C12" s="51" t="s">
        <v>282</v>
      </c>
    </row>
    <row r="13" spans="2:3" x14ac:dyDescent="0.25">
      <c r="B13" s="51">
        <v>12</v>
      </c>
      <c r="C13" s="51" t="s">
        <v>283</v>
      </c>
    </row>
    <row r="14" spans="2:3" x14ac:dyDescent="0.25">
      <c r="B14" s="51">
        <v>13</v>
      </c>
      <c r="C14" s="51" t="s">
        <v>284</v>
      </c>
    </row>
    <row r="15" spans="2:3" x14ac:dyDescent="0.25">
      <c r="B15" s="51">
        <v>14</v>
      </c>
      <c r="C15" s="51" t="s">
        <v>274</v>
      </c>
    </row>
    <row r="16" spans="2:3" x14ac:dyDescent="0.25">
      <c r="B16" s="51">
        <v>15</v>
      </c>
      <c r="C16" s="51" t="s">
        <v>286</v>
      </c>
    </row>
    <row r="17" spans="2:3" ht="31.5" customHeight="1" x14ac:dyDescent="0.25">
      <c r="B17" s="54">
        <v>16</v>
      </c>
      <c r="C17" s="56" t="s">
        <v>287</v>
      </c>
    </row>
    <row r="18" spans="2:3" x14ac:dyDescent="0.25">
      <c r="B18" s="55">
        <v>17</v>
      </c>
      <c r="C18" s="56" t="s">
        <v>288</v>
      </c>
    </row>
    <row r="19" spans="2:3" x14ac:dyDescent="0.25">
      <c r="B19" s="54">
        <v>18</v>
      </c>
      <c r="C19" s="51" t="s">
        <v>289</v>
      </c>
    </row>
    <row r="20" spans="2:3" x14ac:dyDescent="0.25">
      <c r="B20" s="55">
        <v>19</v>
      </c>
      <c r="C20" s="51" t="s">
        <v>290</v>
      </c>
    </row>
    <row r="21" spans="2:3" x14ac:dyDescent="0.25">
      <c r="B21" s="51">
        <v>20</v>
      </c>
      <c r="C21" s="51" t="s">
        <v>291</v>
      </c>
    </row>
    <row r="22" spans="2:3" x14ac:dyDescent="0.25">
      <c r="B22" s="55">
        <v>21</v>
      </c>
      <c r="C22" s="51" t="s">
        <v>289</v>
      </c>
    </row>
    <row r="23" spans="2:3" s="66" customFormat="1" ht="29.25" customHeight="1" x14ac:dyDescent="0.25">
      <c r="B23" s="65">
        <v>22</v>
      </c>
      <c r="C23" s="53" t="s">
        <v>318</v>
      </c>
    </row>
    <row r="24" spans="2:3" s="66" customFormat="1" ht="30.75" customHeight="1" x14ac:dyDescent="0.25">
      <c r="B24" s="67">
        <v>23</v>
      </c>
      <c r="C24" s="53" t="s">
        <v>319</v>
      </c>
    </row>
    <row r="25" spans="2:3" x14ac:dyDescent="0.25">
      <c r="B25" s="51">
        <v>24</v>
      </c>
      <c r="C25" s="51" t="s">
        <v>322</v>
      </c>
    </row>
    <row r="26" spans="2:3" x14ac:dyDescent="0.25">
      <c r="B26" s="55">
        <v>25</v>
      </c>
      <c r="C26" s="51" t="s">
        <v>320</v>
      </c>
    </row>
    <row r="27" spans="2:3" x14ac:dyDescent="0.25">
      <c r="B27" s="67">
        <v>26</v>
      </c>
      <c r="C27" s="51" t="s">
        <v>321</v>
      </c>
    </row>
    <row r="28" spans="2:3" x14ac:dyDescent="0.25">
      <c r="B28" s="55">
        <v>27</v>
      </c>
      <c r="C28" s="51"/>
    </row>
    <row r="29" spans="2:3" x14ac:dyDescent="0.25">
      <c r="B29" s="55">
        <v>28</v>
      </c>
      <c r="C29" s="51"/>
    </row>
    <row r="30" spans="2:3" x14ac:dyDescent="0.25">
      <c r="B30" s="67">
        <v>29</v>
      </c>
      <c r="C30" s="51"/>
    </row>
    <row r="31" spans="2:3" x14ac:dyDescent="0.25">
      <c r="B31" s="55">
        <v>30</v>
      </c>
      <c r="C31" s="51"/>
    </row>
    <row r="32" spans="2:3" x14ac:dyDescent="0.25">
      <c r="B32" s="55">
        <v>31</v>
      </c>
      <c r="C32" s="51"/>
    </row>
    <row r="33" spans="2:3" x14ac:dyDescent="0.25">
      <c r="B33" s="67">
        <v>32</v>
      </c>
      <c r="C33" s="51"/>
    </row>
    <row r="34" spans="2:3" x14ac:dyDescent="0.25">
      <c r="B34" s="55">
        <v>33</v>
      </c>
      <c r="C34" s="51"/>
    </row>
    <row r="35" spans="2:3" x14ac:dyDescent="0.25">
      <c r="B35" s="55">
        <v>34</v>
      </c>
      <c r="C35"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40625" defaultRowHeight="15" x14ac:dyDescent="0.25"/>
  <cols>
    <col min="1" max="1" width="9.140625" style="47"/>
    <col min="2" max="2" width="12.42578125" style="47" customWidth="1"/>
    <col min="3" max="16384" width="9.140625" style="47"/>
  </cols>
  <sheetData>
    <row r="2" spans="1:12" x14ac:dyDescent="0.25">
      <c r="B2" s="59" t="s">
        <v>292</v>
      </c>
      <c r="C2" s="237"/>
      <c r="D2" s="237"/>
    </row>
    <row r="3" spans="1:12" x14ac:dyDescent="0.25">
      <c r="D3" s="60"/>
      <c r="E3" s="60"/>
      <c r="F3" s="60"/>
      <c r="G3" s="60"/>
      <c r="H3" s="60"/>
      <c r="I3" s="60"/>
    </row>
    <row r="4" spans="1:12" x14ac:dyDescent="0.25">
      <c r="A4" s="59" t="s">
        <v>63</v>
      </c>
      <c r="B4" s="61" t="s">
        <v>293</v>
      </c>
      <c r="C4" s="238" t="s">
        <v>294</v>
      </c>
      <c r="D4" s="238"/>
      <c r="E4" s="238"/>
      <c r="F4" s="61"/>
      <c r="G4" s="239" t="s">
        <v>295</v>
      </c>
      <c r="H4" s="239"/>
      <c r="I4" s="239"/>
      <c r="J4" s="240" t="s">
        <v>296</v>
      </c>
      <c r="K4" s="240"/>
      <c r="L4" s="240"/>
    </row>
    <row r="5" spans="1:12" x14ac:dyDescent="0.25">
      <c r="A5" s="59"/>
      <c r="B5" s="61"/>
      <c r="C5" s="61" t="s">
        <v>297</v>
      </c>
      <c r="D5" s="61" t="s">
        <v>298</v>
      </c>
      <c r="E5" s="61" t="s">
        <v>299</v>
      </c>
      <c r="F5" s="61"/>
      <c r="G5" s="61" t="s">
        <v>297</v>
      </c>
      <c r="H5" s="61" t="s">
        <v>298</v>
      </c>
      <c r="I5" s="61" t="s">
        <v>299</v>
      </c>
      <c r="J5" s="61" t="s">
        <v>297</v>
      </c>
      <c r="K5" s="61" t="s">
        <v>298</v>
      </c>
      <c r="L5" s="61" t="s">
        <v>299</v>
      </c>
    </row>
    <row r="6" spans="1:12" x14ac:dyDescent="0.25">
      <c r="B6" s="48" t="s">
        <v>300</v>
      </c>
      <c r="C6" s="48"/>
      <c r="D6" s="48"/>
      <c r="E6" s="48">
        <f>C6*D6</f>
        <v>0</v>
      </c>
      <c r="F6" s="48" t="s">
        <v>317</v>
      </c>
      <c r="G6" s="48"/>
      <c r="H6" s="48"/>
      <c r="I6" s="48">
        <f>G6*H6</f>
        <v>0</v>
      </c>
      <c r="J6" s="48"/>
      <c r="K6" s="48"/>
      <c r="L6" s="48">
        <f>J6*K6</f>
        <v>0</v>
      </c>
    </row>
    <row r="7" spans="1:12" x14ac:dyDescent="0.25">
      <c r="B7" s="48"/>
      <c r="C7" s="48"/>
      <c r="D7" s="48"/>
      <c r="E7" s="48">
        <f t="shared" ref="E7:E41" si="0">C7*D7</f>
        <v>0</v>
      </c>
      <c r="F7" s="48" t="s">
        <v>317</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301</v>
      </c>
      <c r="G9" s="48"/>
      <c r="H9" s="48"/>
      <c r="I9" s="48">
        <f t="shared" si="1"/>
        <v>0</v>
      </c>
      <c r="J9" s="48"/>
      <c r="K9" s="48"/>
      <c r="L9" s="48">
        <f t="shared" si="2"/>
        <v>0</v>
      </c>
    </row>
    <row r="10" spans="1:12" x14ac:dyDescent="0.25">
      <c r="B10" s="48" t="s">
        <v>302</v>
      </c>
      <c r="C10" s="48"/>
      <c r="D10" s="48"/>
      <c r="E10" s="48">
        <f t="shared" si="0"/>
        <v>0</v>
      </c>
      <c r="F10" s="48" t="s">
        <v>301</v>
      </c>
      <c r="G10" s="48"/>
      <c r="H10" s="48"/>
      <c r="I10" s="48">
        <f t="shared" si="1"/>
        <v>0</v>
      </c>
      <c r="J10" s="48"/>
      <c r="K10" s="48"/>
      <c r="L10" s="48">
        <f t="shared" si="2"/>
        <v>0</v>
      </c>
    </row>
    <row r="11" spans="1:12" x14ac:dyDescent="0.25">
      <c r="B11" s="48"/>
      <c r="C11" s="48"/>
      <c r="D11" s="48"/>
      <c r="E11" s="48">
        <f t="shared" si="0"/>
        <v>0</v>
      </c>
      <c r="F11" s="48" t="s">
        <v>303</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304</v>
      </c>
      <c r="C14" s="48"/>
      <c r="D14" s="48"/>
      <c r="E14" s="48">
        <f t="shared" si="0"/>
        <v>0</v>
      </c>
      <c r="F14" s="48" t="s">
        <v>301</v>
      </c>
      <c r="G14" s="48"/>
      <c r="H14" s="48"/>
      <c r="I14" s="48">
        <f t="shared" si="1"/>
        <v>0</v>
      </c>
      <c r="J14" s="48"/>
      <c r="K14" s="48"/>
      <c r="L14" s="48">
        <f t="shared" si="2"/>
        <v>0</v>
      </c>
    </row>
    <row r="15" spans="1:12" x14ac:dyDescent="0.25">
      <c r="B15" s="48"/>
      <c r="C15" s="48"/>
      <c r="D15" s="48"/>
      <c r="E15" s="48">
        <f t="shared" si="0"/>
        <v>0</v>
      </c>
      <c r="F15" s="48" t="s">
        <v>303</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305</v>
      </c>
      <c r="C18" s="48"/>
      <c r="D18" s="48"/>
      <c r="E18" s="48">
        <f t="shared" si="0"/>
        <v>0</v>
      </c>
      <c r="F18" s="48" t="s">
        <v>301</v>
      </c>
      <c r="G18" s="48"/>
      <c r="H18" s="48"/>
      <c r="I18" s="48">
        <f t="shared" si="1"/>
        <v>0</v>
      </c>
      <c r="J18" s="48"/>
      <c r="K18" s="48"/>
      <c r="L18" s="48">
        <f t="shared" si="2"/>
        <v>0</v>
      </c>
    </row>
    <row r="19" spans="2:12" x14ac:dyDescent="0.25">
      <c r="B19" s="48"/>
      <c r="C19" s="48"/>
      <c r="D19" s="48"/>
      <c r="E19" s="48">
        <f t="shared" si="0"/>
        <v>0</v>
      </c>
      <c r="F19" s="48" t="s">
        <v>303</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306</v>
      </c>
      <c r="C21" s="48"/>
      <c r="D21" s="48"/>
      <c r="E21" s="48">
        <f t="shared" si="0"/>
        <v>0</v>
      </c>
      <c r="F21" s="48" t="s">
        <v>301</v>
      </c>
      <c r="G21" s="48"/>
      <c r="H21" s="48"/>
      <c r="I21" s="48">
        <f t="shared" si="1"/>
        <v>0</v>
      </c>
      <c r="J21" s="48"/>
      <c r="K21" s="48"/>
      <c r="L21" s="48">
        <f t="shared" si="2"/>
        <v>0</v>
      </c>
    </row>
    <row r="22" spans="2:12" x14ac:dyDescent="0.25">
      <c r="B22" s="48"/>
      <c r="C22" s="48"/>
      <c r="D22" s="48"/>
      <c r="E22" s="48">
        <f t="shared" si="0"/>
        <v>0</v>
      </c>
      <c r="F22" s="48" t="s">
        <v>303</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307</v>
      </c>
      <c r="C24" s="48"/>
      <c r="D24" s="48"/>
      <c r="E24" s="48">
        <f t="shared" si="0"/>
        <v>0</v>
      </c>
      <c r="F24" s="48" t="s">
        <v>308</v>
      </c>
      <c r="G24" s="48"/>
      <c r="H24" s="48"/>
      <c r="I24" s="48">
        <f t="shared" si="1"/>
        <v>0</v>
      </c>
      <c r="J24" s="48"/>
      <c r="K24" s="48"/>
      <c r="L24" s="48">
        <f t="shared" si="2"/>
        <v>0</v>
      </c>
    </row>
    <row r="25" spans="2:12" x14ac:dyDescent="0.25">
      <c r="B25" s="48"/>
      <c r="C25" s="48"/>
      <c r="D25" s="48"/>
      <c r="E25" s="48">
        <f t="shared" ref="E25:E27" si="3">C25*D25</f>
        <v>0</v>
      </c>
      <c r="F25" s="48" t="s">
        <v>308</v>
      </c>
      <c r="G25" s="48"/>
      <c r="H25" s="48"/>
      <c r="I25" s="48">
        <f t="shared" ref="I25:I27" si="4">G25*H25</f>
        <v>0</v>
      </c>
      <c r="J25" s="48"/>
      <c r="K25" s="48"/>
      <c r="L25" s="48">
        <f t="shared" ref="L25:L27" si="5">J25*K25</f>
        <v>0</v>
      </c>
    </row>
    <row r="26" spans="2:12" x14ac:dyDescent="0.25">
      <c r="B26" s="48"/>
      <c r="C26" s="48"/>
      <c r="D26" s="48"/>
      <c r="E26" s="48">
        <f t="shared" si="3"/>
        <v>0</v>
      </c>
      <c r="F26" s="48" t="s">
        <v>308</v>
      </c>
      <c r="G26" s="48"/>
      <c r="H26" s="48"/>
      <c r="I26" s="48">
        <f t="shared" si="4"/>
        <v>0</v>
      </c>
      <c r="J26" s="48"/>
      <c r="K26" s="48"/>
      <c r="L26" s="48">
        <f t="shared" si="5"/>
        <v>0</v>
      </c>
    </row>
    <row r="27" spans="2:12" x14ac:dyDescent="0.25">
      <c r="B27" s="48"/>
      <c r="C27" s="48"/>
      <c r="D27" s="48"/>
      <c r="E27" s="48">
        <f t="shared" si="3"/>
        <v>0</v>
      </c>
      <c r="F27" s="48" t="s">
        <v>308</v>
      </c>
      <c r="G27" s="48"/>
      <c r="H27" s="48"/>
      <c r="I27" s="48">
        <f t="shared" si="4"/>
        <v>0</v>
      </c>
      <c r="J27" s="48"/>
      <c r="K27" s="48"/>
      <c r="L27" s="48">
        <f t="shared" si="5"/>
        <v>0</v>
      </c>
    </row>
    <row r="28" spans="2:12" x14ac:dyDescent="0.25">
      <c r="B28" s="48" t="s">
        <v>309</v>
      </c>
      <c r="C28" s="48"/>
      <c r="D28" s="48"/>
      <c r="E28" s="48">
        <f t="shared" si="0"/>
        <v>0</v>
      </c>
      <c r="F28" s="48" t="s">
        <v>308</v>
      </c>
      <c r="G28" s="48"/>
      <c r="H28" s="48"/>
      <c r="I28" s="48">
        <f t="shared" si="1"/>
        <v>0</v>
      </c>
      <c r="J28" s="48"/>
      <c r="K28" s="48"/>
      <c r="L28" s="48">
        <f t="shared" si="2"/>
        <v>0</v>
      </c>
    </row>
    <row r="29" spans="2:12" x14ac:dyDescent="0.25">
      <c r="B29" s="48" t="s">
        <v>310</v>
      </c>
      <c r="C29" s="48"/>
      <c r="D29" s="48"/>
      <c r="E29" s="48">
        <f t="shared" si="0"/>
        <v>0</v>
      </c>
      <c r="F29" s="48" t="s">
        <v>308</v>
      </c>
      <c r="G29" s="48"/>
      <c r="H29" s="48"/>
      <c r="I29" s="48">
        <f t="shared" si="1"/>
        <v>0</v>
      </c>
      <c r="J29" s="48"/>
      <c r="K29" s="48"/>
      <c r="L29" s="48">
        <f t="shared" si="2"/>
        <v>0</v>
      </c>
    </row>
    <row r="30" spans="2:12" x14ac:dyDescent="0.25">
      <c r="B30" s="48" t="s">
        <v>314</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311</v>
      </c>
      <c r="C33" s="48"/>
      <c r="D33" s="48"/>
      <c r="E33" s="48">
        <f t="shared" si="0"/>
        <v>0</v>
      </c>
      <c r="F33" s="48"/>
      <c r="G33" s="48"/>
      <c r="H33" s="48"/>
      <c r="I33" s="48">
        <f t="shared" si="1"/>
        <v>0</v>
      </c>
      <c r="J33" s="48"/>
      <c r="K33" s="48"/>
      <c r="L33" s="48">
        <f t="shared" si="2"/>
        <v>0</v>
      </c>
    </row>
    <row r="34" spans="2:12" x14ac:dyDescent="0.25">
      <c r="B34" s="48" t="s">
        <v>315</v>
      </c>
      <c r="C34" s="48"/>
      <c r="D34" s="48"/>
      <c r="E34" s="48">
        <f t="shared" si="0"/>
        <v>0</v>
      </c>
      <c r="F34" s="48"/>
      <c r="G34" s="48"/>
      <c r="H34" s="48"/>
      <c r="I34" s="48">
        <f t="shared" si="1"/>
        <v>0</v>
      </c>
      <c r="J34" s="48"/>
      <c r="K34" s="48"/>
      <c r="L34" s="48">
        <f t="shared" si="2"/>
        <v>0</v>
      </c>
    </row>
    <row r="35" spans="2:12" x14ac:dyDescent="0.25">
      <c r="B35" s="48" t="s">
        <v>312</v>
      </c>
      <c r="C35" s="48"/>
      <c r="D35" s="48"/>
      <c r="E35" s="48">
        <f t="shared" si="0"/>
        <v>0</v>
      </c>
      <c r="F35" s="48"/>
      <c r="G35" s="48"/>
      <c r="H35" s="48"/>
      <c r="I35" s="48">
        <f t="shared" si="1"/>
        <v>0</v>
      </c>
      <c r="J35" s="48"/>
      <c r="K35" s="48"/>
      <c r="L35" s="48">
        <f t="shared" si="2"/>
        <v>0</v>
      </c>
    </row>
    <row r="36" spans="2:12" x14ac:dyDescent="0.25">
      <c r="B36" s="48" t="s">
        <v>313</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316</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139</v>
      </c>
      <c r="C42" s="48"/>
      <c r="D42" s="48">
        <f>E42*10.764</f>
        <v>0</v>
      </c>
      <c r="E42" s="64">
        <f>SUM(E6:E41)</f>
        <v>0</v>
      </c>
      <c r="F42" s="48"/>
      <c r="G42" s="48"/>
      <c r="H42" s="48">
        <f>I42*10.764</f>
        <v>0</v>
      </c>
      <c r="I42" s="63">
        <f>SUM(I6:I41)</f>
        <v>0</v>
      </c>
      <c r="J42" s="48"/>
      <c r="K42" s="48">
        <f>L42*10.764</f>
        <v>0</v>
      </c>
      <c r="L42" s="62">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2025-07-16T08:59:40Z</cp:lastPrinted>
  <dcterms:created xsi:type="dcterms:W3CDTF">2019-07-16T09:29:46Z</dcterms:created>
  <dcterms:modified xsi:type="dcterms:W3CDTF">2025-07-16T09:00:22Z</dcterms:modified>
</cp:coreProperties>
</file>