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5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7" i="1" l="1"/>
  <c r="I85" i="1"/>
  <c r="E106" i="1"/>
  <c r="E110" i="1"/>
  <c r="E109" i="1"/>
  <c r="E108" i="1"/>
  <c r="E105" i="1"/>
  <c r="J45" i="1" l="1"/>
  <c r="D110" i="1"/>
  <c r="D109" i="1"/>
  <c r="D108" i="1"/>
  <c r="D106" i="1"/>
  <c r="D105" i="1"/>
  <c r="I106" i="1"/>
  <c r="I105" i="1"/>
  <c r="I42" i="1" l="1"/>
  <c r="F110" i="1" l="1"/>
  <c r="H110" i="1" s="1"/>
  <c r="J110" i="1" s="1"/>
  <c r="F109" i="1"/>
  <c r="H109" i="1" s="1"/>
  <c r="J109" i="1" s="1"/>
  <c r="F108" i="1"/>
  <c r="H108" i="1" s="1"/>
  <c r="J108" i="1" s="1"/>
  <c r="B113" i="1"/>
  <c r="F106" i="1"/>
  <c r="F105" i="1"/>
  <c r="E95" i="1" l="1"/>
  <c r="C95" i="1"/>
  <c r="H105" i="1"/>
  <c r="J105" i="1" s="1"/>
  <c r="C15" i="1"/>
  <c r="Z12" i="1" l="1"/>
  <c r="I14" i="1"/>
  <c r="G98" i="1" l="1"/>
  <c r="E98" i="1"/>
  <c r="C98" i="1"/>
  <c r="E43" i="1" l="1"/>
  <c r="E44" i="1" s="1"/>
  <c r="E30" i="1" l="1"/>
  <c r="H106" i="1" l="1"/>
  <c r="G95" i="1" l="1"/>
  <c r="J106" i="1"/>
  <c r="F9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35" i="1"/>
  <c r="A109" i="1"/>
  <c r="A110" i="1" s="1"/>
  <c r="C66" i="1"/>
  <c r="B67" i="1" s="1"/>
  <c r="D55" i="1"/>
  <c r="G50" i="1"/>
  <c r="G51" i="1" s="1"/>
  <c r="C50" i="1"/>
  <c r="C51" i="1" s="1"/>
  <c r="E27" i="1"/>
  <c r="E25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<sst xmlns="http://schemas.openxmlformats.org/spreadsheetml/2006/main" count="373" uniqueCount="280">
  <si>
    <t xml:space="preserve">Valuation Report </t>
  </si>
  <si>
    <t>Date:</t>
  </si>
  <si>
    <t>CPC Name:</t>
  </si>
  <si>
    <t>Date Of Property Visit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</si>
  <si>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</si>
  <si>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</si>
  <si>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</si>
  <si>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</si>
  <si>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</si>
  <si>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</si>
  <si>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</si>
  <si>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</si>
  <si>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</si>
  <si>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</si>
  <si>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</si>
  <si>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</si>
  <si>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</si>
  <si>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</si>
  <si>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</si>
  <si>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</si>
  <si>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</si>
  <si>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</si>
  <si>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</si>
  <si>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</si>
  <si>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</si>
  <si>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</si>
  <si>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</si>
  <si>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</si>
  <si>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</si>
  <si>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</si>
  <si>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</si>
  <si>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</si>
  <si>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</si>
  <si>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</si>
  <si>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</si>
  <si>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</si>
  <si>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</si>
  <si>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</si>
  <si>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</si>
  <si>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</si>
  <si>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</si>
  <si>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</si>
  <si>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</si>
  <si>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</si>
  <si>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</si>
  <si>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</si>
  <si>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</si>
  <si>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</si>
  <si>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</si>
  <si>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</si>
  <si>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</si>
  <si>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</si>
  <si>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</si>
  <si>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</si>
  <si>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</si>
  <si>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</si>
  <si>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</si>
  <si>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</si>
  <si>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</si>
  <si>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</si>
  <si>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</si>
  <si>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</si>
  <si>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</si>
  <si>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</si>
  <si>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</si>
  <si>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</si>
  <si>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</si>
  <si>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</si>
  <si>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</si>
  <si>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</si>
  <si>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</si>
  <si>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</si>
  <si>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</si>
  <si>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</si>
  <si>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</si>
  <si>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</si>
  <si>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</si>
  <si>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</si>
  <si>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</si>
  <si>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</si>
  <si>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</si>
  <si>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</si>
  <si>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</si>
  <si>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</si>
  <si>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</si>
  <si>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</si>
  <si>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</si>
  <si>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</si>
  <si>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</si>
  <si>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</si>
  <si>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</si>
  <si>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</si>
  <si>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</si>
  <si>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</si>
  <si>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</si>
  <si>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</si>
  <si>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</si>
  <si>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</si>
  <si>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</si>
  <si>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</si>
  <si>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</si>
  <si>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</si>
  <si>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</si>
  <si>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</si>
  <si>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</si>
  <si>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</si>
  <si>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</si>
  <si>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</si>
  <si>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</si>
  <si>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</si>
  <si>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</si>
  <si>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</si>
  <si>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</si>
  <si>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</si>
  <si>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</si>
  <si>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</si>
  <si>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</si>
  <si>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</si>
  <si>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</si>
  <si>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</si>
  <si>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</si>
  <si>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</si>
  <si>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</si>
  <si>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</si>
  <si>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</si>
  <si>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</si>
  <si>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</si>
  <si>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</si>
  <si>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</si>
  <si>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</si>
  <si>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</si>
  <si>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</si>
  <si>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</si>
  <si>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</si>
  <si>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</si>
  <si>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</si>
  <si>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</si>
  <si>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</si>
  <si>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</si>
  <si>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</si>
  <si>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</si>
  <si>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</si>
  <si>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</si>
  <si>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</si>
  <si>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</si>
  <si>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</si>
  <si>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</si>
  <si>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</si>
  <si>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</si>
  <si>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</si>
  <si>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</si>
  <si>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</si>
  <si>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</si>
  <si>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</si>
  <si>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</si>
  <si>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</si>
  <si>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</si>
  <si>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</si>
  <si>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</si>
  <si>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</si>
  <si>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</si>
  <si>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</si>
  <si>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</si>
  <si>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</si>
  <si>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</si>
  <si>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</si>
  <si>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</si>
  <si>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</si>
  <si>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</si>
  <si>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</si>
  <si>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Floor Rise Rate from    Floor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</si>
  <si>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</si>
  <si>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</si>
  <si>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</si>
  <si>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</si>
  <si>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</si>
  <si>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</si>
  <si>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</si>
  <si>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</si>
  <si>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</si>
  <si>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</si>
  <si>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</si>
  <si>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</si>
  <si>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</si>
  <si>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</si>
  <si>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</si>
  <si>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</si>
  <si>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</si>
  <si>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</si>
  <si>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</si>
  <si>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</si>
  <si>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</si>
  <si>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</si>
  <si>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</si>
  <si>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</si>
  <si>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</si>
  <si>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</si>
  <si>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</si>
  <si>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</si>
  <si>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</si>
  <si>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</si>
  <si>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</si>
  <si>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</si>
  <si>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</si>
  <si>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</si>
  <si>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</si>
  <si>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</si>
  <si>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</si>
  <si>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</si>
  <si>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</si>
  <si>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</si>
  <si>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</si>
  <si>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</si>
  <si>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</si>
  <si>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</si>
  <si>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</si>
  <si>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</si>
  <si>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</si>
  <si>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</si>
  <si>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</si>
  <si>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</si>
  <si>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</si>
  <si>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</si>
  <si>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</si>
  <si>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</si>
  <si>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</si>
  <si>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Carpet area</t>
  </si>
  <si>
    <t xml:space="preserve">Since Project's Builtup Area is above 20000 Sq.M. Please check for Environment Clearance Certificate.
</t>
  </si>
  <si>
    <t>Axis Sanpada</t>
  </si>
  <si>
    <t>Name of the builder</t>
  </si>
  <si>
    <t>Mr. Shailesh Pundalik Patil</t>
  </si>
  <si>
    <t>Phadke Heights</t>
  </si>
  <si>
    <t>Mr. Shailesh Patil 9422696525</t>
  </si>
  <si>
    <t>P52000052439</t>
  </si>
  <si>
    <t>18.737930,73.097428</t>
  </si>
  <si>
    <t>https://maps.app.goo.gl/NkCCXV12yBFZysvQ7</t>
  </si>
  <si>
    <t>Tare Ali</t>
  </si>
  <si>
    <t>Pen East</t>
  </si>
  <si>
    <t>1.70KM from Pen Railway Station</t>
  </si>
  <si>
    <t>Ziral Ali Road</t>
  </si>
  <si>
    <t>Houses</t>
  </si>
  <si>
    <t>House</t>
  </si>
  <si>
    <t>9.00 M. Wide D.P. Road</t>
  </si>
  <si>
    <t>CTS No. 1323</t>
  </si>
  <si>
    <t>CTS No. 1262/2 &amp; 1324A</t>
  </si>
  <si>
    <t xml:space="preserve">CTS No. 1262 H.No. 1/1 &amp; 1263 </t>
  </si>
  <si>
    <t>Pen Municipal Council</t>
  </si>
  <si>
    <t>CCRDP/B/2022/APL/00481</t>
  </si>
  <si>
    <t>Ground + 1st to 7th Floor</t>
  </si>
  <si>
    <t>Gr + 1st to 7th Floor</t>
  </si>
  <si>
    <t>As per RERA - 31/12/2027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</si>
  <si>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</si>
  <si>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Details of Residential in Building   </t>
  </si>
  <si>
    <t>Ground Floor For Parking &amp; Entrance Lobby</t>
  </si>
  <si>
    <t>1st, 3rd to 7th Floor For Residential</t>
  </si>
  <si>
    <t>2BHK</t>
  </si>
  <si>
    <t>1RK</t>
  </si>
  <si>
    <t>1BHK</t>
  </si>
  <si>
    <t>Weather Shed+Balcony Area</t>
  </si>
  <si>
    <t>We considered Gross carpet area = Net carpet + Balcony + Weather shed.</t>
  </si>
  <si>
    <t>Flats</t>
  </si>
  <si>
    <t>Flats -15</t>
  </si>
  <si>
    <t>FSI TABLE</t>
  </si>
  <si>
    <t>Builtup area table</t>
  </si>
  <si>
    <t>Name of the builder company</t>
  </si>
  <si>
    <t>Shailesh Patil Builder &amp; Developers</t>
  </si>
  <si>
    <t>Approved Plans, CC &amp; Cost Sheet.</t>
  </si>
  <si>
    <t>1262/1/2</t>
  </si>
  <si>
    <t>Ganpati Mandir Ziral ali/Mauli Ashish Building</t>
  </si>
  <si>
    <t>Ziral Ali Road/Ganpati Mandir Ziral ali</t>
  </si>
  <si>
    <t>Vitrified tiles flooring, Granite Kitchen Platform, Decorative Entrance, etc.</t>
  </si>
  <si>
    <t>3500 to 3800</t>
  </si>
  <si>
    <t>CTS No/Survey No</t>
  </si>
  <si>
    <t>smith</t>
  </si>
  <si>
    <t>Recommended Rates/Other Charges of the Property have been revised on 31/03/2024 &amp; 09/04/2025.</t>
  </si>
  <si>
    <t>3800 to 4250 P2L by smith on 09/04/2025 they wanted the Rate 4576 with 1Parking for 501 Flat</t>
  </si>
  <si>
    <t>Nitesh patil</t>
  </si>
  <si>
    <t>Shruti Fule</t>
  </si>
  <si>
    <t>Mr. Siddhi patil 7499704886</t>
  </si>
  <si>
    <t>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</si>
</sst>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2" fontId="7" fillId="0" borderId="0" xfId="1" applyNumberFormat="1" applyFont="1"/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2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2" xfId="1" applyNumberFormat="1" applyFont="1" applyBorder="1" applyAlignment="1" applyProtection="1">
      <alignment horizontal="center" vertical="top" wrapText="1"/>
      <protection locked="0"/>
    </xf>
    <xf numFmtId="1" fontId="10" fillId="0" borderId="15" xfId="1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top" wrapText="1"/>
      <protection locked="0"/>
    </xf>
    <xf numFmtId="0" fontId="8" fillId="0" borderId="12" xfId="1" applyFont="1" applyBorder="1" applyAlignment="1" applyProtection="1">
      <alignment horizontal="center" vertical="top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396873</xdr:colOff>
      <xdr:row>178</xdr:row>
      <xdr:rowOff>23814</xdr:rowOff>
    </xdr:from>
    <xdr:to>
      <xdr:col>6</xdr:col>
      <xdr:colOff>245165</xdr:colOff>
      <xdr:row>216</xdr:row>
      <xdr:rowOff>106018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xmlns="" id="{5824FD80-3C22-81E9-53CD-E4D4EC77389A}"/>
            </a:ext>
          </a:extLst>
        </xdr:cNvPr>
        <xdr:cNvGrpSpPr/>
      </xdr:nvGrpSpPr>
      <xdr:grpSpPr>
        <a:xfrm>
          <a:off x="1158873" y="35552064"/>
          <a:ext cx="4001192" cy="7683154"/>
          <a:chOff x="1178751" y="34943292"/>
          <a:chExt cx="4266924" cy="8131149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178751" y="34943292"/>
            <a:ext cx="4266924" cy="4373216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0" name="Group 9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GrpSpPr/>
        </xdr:nvGrpSpPr>
        <xdr:grpSpPr>
          <a:xfrm>
            <a:off x="1393063" y="39476959"/>
            <a:ext cx="3838299" cy="3597482"/>
            <a:chOff x="1392446" y="4795118"/>
            <a:chExt cx="4038600" cy="3590925"/>
          </a:xfrm>
        </xdr:grpSpPr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xmlns="" id="{00000000-0008-0000-0000-00000B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392446" y="4795118"/>
              <a:ext cx="4038600" cy="359092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xmlns="" id="{00000000-0008-0000-0000-00000C000000}"/>
                </a:ext>
              </a:extLst>
            </xdr:cNvPr>
            <xdr:cNvSpPr/>
          </xdr:nvSpPr>
          <xdr:spPr>
            <a:xfrm rot="2106973">
              <a:off x="4236721" y="7109460"/>
              <a:ext cx="289560" cy="22098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>
    <xdr:from>
      <xdr:col>0</xdr:col>
      <xdr:colOff>412749</xdr:colOff>
      <xdr:row>220</xdr:row>
      <xdr:rowOff>7932</xdr:rowOff>
    </xdr:from>
    <xdr:to>
      <xdr:col>7</xdr:col>
      <xdr:colOff>490331</xdr:colOff>
      <xdr:row>258</xdr:row>
      <xdr:rowOff>185530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xmlns="" id="{24845E76-3B27-7CB1-346C-9E0924D88560}"/>
            </a:ext>
          </a:extLst>
        </xdr:cNvPr>
        <xdr:cNvGrpSpPr/>
      </xdr:nvGrpSpPr>
      <xdr:grpSpPr>
        <a:xfrm>
          <a:off x="412749" y="43937232"/>
          <a:ext cx="5754482" cy="7778548"/>
          <a:chOff x="412749" y="43276280"/>
          <a:chExt cx="5922096" cy="8087257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12749" y="43276280"/>
            <a:ext cx="5922096" cy="384037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14" name="Group 13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GrpSpPr/>
        </xdr:nvGrpSpPr>
        <xdr:grpSpPr>
          <a:xfrm>
            <a:off x="412749" y="47244380"/>
            <a:ext cx="5922096" cy="4119157"/>
            <a:chOff x="327804" y="4485736"/>
            <a:chExt cx="6193766" cy="4112255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xmlns="" id="{00000000-0008-0000-0000-00000F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327804" y="4485736"/>
              <a:ext cx="6193766" cy="411225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xmlns="" id="{00000000-0008-0000-0000-000010000000}"/>
                </a:ext>
              </a:extLst>
            </xdr:cNvPr>
            <xdr:cNvSpPr/>
          </xdr:nvSpPr>
          <xdr:spPr>
            <a:xfrm rot="1750051">
              <a:off x="2743199" y="6076036"/>
              <a:ext cx="1035169" cy="931653"/>
            </a:xfrm>
            <a:prstGeom prst="rect">
              <a:avLst/>
            </a:prstGeom>
            <a:noFill/>
            <a:ln w="5715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>
    <xdr:from>
      <xdr:col>8</xdr:col>
      <xdr:colOff>466726</xdr:colOff>
      <xdr:row>134</xdr:row>
      <xdr:rowOff>161925</xdr:rowOff>
    </xdr:from>
    <xdr:to>
      <xdr:col>16</xdr:col>
      <xdr:colOff>76201</xdr:colOff>
      <xdr:row>166</xdr:row>
      <xdr:rowOff>175942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xmlns="" id="{3990DDAE-32BE-4CEC-8EA2-EDBA64A88B9F}"/>
            </a:ext>
          </a:extLst>
        </xdr:cNvPr>
        <xdr:cNvGrpSpPr/>
      </xdr:nvGrpSpPr>
      <xdr:grpSpPr>
        <a:xfrm>
          <a:off x="6934201" y="26898600"/>
          <a:ext cx="6057900" cy="6405292"/>
          <a:chOff x="0" y="26536650"/>
          <a:chExt cx="7425459" cy="8586517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xmlns="" id="{7064145D-11AF-4590-BCAF-23E7AAFBE5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1400" y="26536650"/>
            <a:ext cx="2157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xmlns="" id="{AF0359E8-29E6-41C5-B1BC-7135F5E747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57378" y="26536650"/>
            <a:ext cx="2157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xmlns="" id="{00915CCE-2B7D-4110-94EF-213575B7DB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0" y="29527500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xmlns="" id="{C28E1CF8-1E4F-4E45-B9B8-1D0AEB55FB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14396" y="29527500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xmlns="" id="{00DCC12E-7674-44E4-B213-E71C1F521C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28792" y="29527500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xmlns="" id="{A5F0A701-6E13-44BE-83A7-83C96D1CE3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2203" y="33323167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xmlns="" id="{895A75CD-44CA-45C8-B53F-CD81EFC3E1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05485" y="31412317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xmlns="" id="{E065620D-6BAB-4117-9050-DC4E3EB280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703" y="31412317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xmlns="" id="{65DBBAFC-4CBF-4532-9841-2995A0B3C7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28791" y="31412317"/>
            <a:ext cx="2396667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xmlns="" id="{C5CD8613-0472-417E-A9CE-AD50303BEF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0965" y="33323167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xmlns="" id="{2242A56B-7066-4C91-AA67-5B500EAFD6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95985" y="33323167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xmlns="" id="{D537F058-D5F7-4561-81E9-847E82AEFF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05945" y="33323167"/>
            <a:ext cx="1348125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123825</xdr:colOff>
      <xdr:row>135</xdr:row>
      <xdr:rowOff>19050</xdr:rowOff>
    </xdr:from>
    <xdr:to>
      <xdr:col>7</xdr:col>
      <xdr:colOff>664688</xdr:colOff>
      <xdr:row>175</xdr:row>
      <xdr:rowOff>105683</xdr:rowOff>
    </xdr:to>
    <xdr:grpSp>
      <xdr:nvGrpSpPr>
        <xdr:cNvPr id="2" name="Group 1"/>
        <xdr:cNvGrpSpPr/>
      </xdr:nvGrpSpPr>
      <xdr:grpSpPr>
        <a:xfrm>
          <a:off x="123825" y="26955750"/>
          <a:ext cx="6217763" cy="8078108"/>
          <a:chOff x="123825" y="26955750"/>
          <a:chExt cx="6217763" cy="8078108"/>
        </a:xfrm>
      </xdr:grpSpPr>
      <xdr:pic>
        <xdr:nvPicPr>
          <xdr:cNvPr id="38" name="Picture 37" descr="insp-239857-843.jpg (719×96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3162" y="26955750"/>
            <a:ext cx="2696250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insp-239857-845.jpg (719×96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52956" y="32873858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insp-239857-844.jpg (719×540)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3412" y="30634804"/>
            <a:ext cx="2876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insp-239857-847.jpg (719×96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23838" y="32873858"/>
            <a:ext cx="161775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insp-239857-861.jpg (719×54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67212" y="30634804"/>
            <a:ext cx="2876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insp-239857-862.jpg (719×54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825" y="32873858"/>
            <a:ext cx="2876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Picture 43" descr="insp-239857-871.jpg (719×96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67212" y="26955750"/>
            <a:ext cx="2696250" cy="36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NkCCXV12yBFZysvQ7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219"/>
  <sheetViews>
    <sheetView tabSelected="1" showWhiteSpace="0" view="pageBreakPreview" topLeftCell="A111" zoomScaleNormal="100" zoomScaleSheetLayoutView="100" workbookViewId="0">
      <selection activeCell="L115" sqref="L115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140625" style="40" customWidth="1"/>
    <col min="5" max="6" width="11.7109375" style="40" customWidth="1"/>
    <col min="7" max="7" width="11.42578125" style="40" customWidth="1"/>
    <col min="8" max="8" width="11.85546875" style="40" customWidth="1"/>
    <col min="9" max="9" width="17.42578125" style="21" customWidth="1"/>
    <col min="10" max="10" width="11.42578125" style="21" customWidth="1"/>
    <col min="11" max="11" width="11.285156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26" ht="46.5" customHeight="1" x14ac:dyDescent="0.25">
      <c r="A1" s="137" t="s">
        <v>161</v>
      </c>
      <c r="B1" s="137"/>
      <c r="C1" s="137"/>
      <c r="D1" s="137"/>
      <c r="E1" s="137"/>
      <c r="F1" s="137"/>
      <c r="G1" s="137"/>
      <c r="H1" s="137"/>
    </row>
    <row r="2" spans="1:26" ht="16.5" customHeight="1" x14ac:dyDescent="0.25">
      <c r="A2" s="138" t="s">
        <v>0</v>
      </c>
      <c r="B2" s="138"/>
      <c r="C2" s="138"/>
      <c r="D2" s="138"/>
      <c r="E2" s="138"/>
      <c r="F2" s="138"/>
      <c r="G2" s="138"/>
      <c r="H2" s="138"/>
    </row>
    <row r="3" spans="1:26" x14ac:dyDescent="0.25">
      <c r="A3" s="68" t="s">
        <v>1</v>
      </c>
      <c r="B3" s="68"/>
      <c r="C3" s="68"/>
      <c r="D3" s="68"/>
      <c r="E3" s="68" t="str">
        <f ca="1">TEXT(TODAY(),"DD/MM/YYYY")</f>
        <v>09/07/2025</v>
      </c>
      <c r="F3" s="68"/>
      <c r="G3" s="68"/>
      <c r="H3" s="68"/>
    </row>
    <row r="4" spans="1:26" ht="15" customHeight="1" x14ac:dyDescent="0.25">
      <c r="A4" s="68" t="s">
        <v>2</v>
      </c>
      <c r="B4" s="68"/>
      <c r="C4" s="68"/>
      <c r="D4" s="68"/>
      <c r="E4" s="68" t="s">
        <v>228</v>
      </c>
      <c r="F4" s="68"/>
      <c r="G4" s="68"/>
      <c r="H4" s="68"/>
    </row>
    <row r="5" spans="1:26" x14ac:dyDescent="0.25">
      <c r="A5" s="68" t="s">
        <v>3</v>
      </c>
      <c r="B5" s="68"/>
      <c r="C5" s="68"/>
      <c r="D5" s="68"/>
      <c r="E5" s="139">
        <v>45846</v>
      </c>
      <c r="F5" s="139"/>
      <c r="G5" s="139"/>
      <c r="H5" s="139"/>
    </row>
    <row r="6" spans="1:26" ht="16.5" customHeight="1" x14ac:dyDescent="0.25">
      <c r="A6" s="68" t="s">
        <v>229</v>
      </c>
      <c r="B6" s="68"/>
      <c r="C6" s="68"/>
      <c r="D6" s="68"/>
      <c r="E6" s="68" t="s">
        <v>230</v>
      </c>
      <c r="F6" s="68"/>
      <c r="G6" s="68"/>
      <c r="H6" s="68"/>
    </row>
    <row r="7" spans="1:26" ht="15" customHeight="1" x14ac:dyDescent="0.25">
      <c r="A7" s="68" t="s">
        <v>264</v>
      </c>
      <c r="B7" s="68"/>
      <c r="C7" s="68"/>
      <c r="D7" s="68"/>
      <c r="E7" s="68" t="s">
        <v>265</v>
      </c>
      <c r="F7" s="68"/>
      <c r="G7" s="68"/>
      <c r="H7" s="68"/>
    </row>
    <row r="8" spans="1:26" x14ac:dyDescent="0.25">
      <c r="A8" s="68" t="s">
        <v>4</v>
      </c>
      <c r="B8" s="68"/>
      <c r="C8" s="68"/>
      <c r="D8" s="68"/>
      <c r="E8" s="109" t="s">
        <v>231</v>
      </c>
      <c r="F8" s="109"/>
      <c r="G8" s="109"/>
      <c r="H8" s="109"/>
    </row>
    <row r="9" spans="1:26" x14ac:dyDescent="0.25">
      <c r="A9" s="68" t="s">
        <v>164</v>
      </c>
      <c r="B9" s="68"/>
      <c r="C9" s="68"/>
      <c r="D9" s="68"/>
      <c r="E9" s="68" t="s">
        <v>232</v>
      </c>
      <c r="F9" s="68"/>
      <c r="G9" s="68"/>
      <c r="H9" s="68"/>
    </row>
    <row r="10" spans="1:26" x14ac:dyDescent="0.25">
      <c r="A10" s="68" t="s">
        <v>165</v>
      </c>
      <c r="B10" s="68"/>
      <c r="C10" s="68"/>
      <c r="D10" s="68"/>
      <c r="E10" s="68" t="s">
        <v>278</v>
      </c>
      <c r="F10" s="68"/>
      <c r="G10" s="68"/>
      <c r="H10" s="68"/>
    </row>
    <row r="11" spans="1:26" x14ac:dyDescent="0.25">
      <c r="A11" s="68" t="s">
        <v>5</v>
      </c>
      <c r="B11" s="68"/>
      <c r="C11" s="68"/>
      <c r="D11" s="68"/>
      <c r="E11" s="68" t="s">
        <v>118</v>
      </c>
      <c r="F11" s="68"/>
      <c r="G11" s="68"/>
      <c r="H11" s="68"/>
    </row>
    <row r="12" spans="1:26" x14ac:dyDescent="0.25">
      <c r="A12" s="68" t="s">
        <v>167</v>
      </c>
      <c r="B12" s="68"/>
      <c r="C12" s="68"/>
      <c r="D12" s="68"/>
      <c r="E12" s="68" t="s">
        <v>27</v>
      </c>
      <c r="F12" s="68"/>
      <c r="G12" s="68"/>
      <c r="H12" s="68"/>
      <c r="S12" s="54" t="s">
        <v>173</v>
      </c>
      <c r="T12" s="54" t="s">
        <v>183</v>
      </c>
      <c r="U12" s="54" t="s">
        <v>168</v>
      </c>
      <c r="V12" s="54" t="s">
        <v>188</v>
      </c>
      <c r="W12" s="54" t="s">
        <v>206</v>
      </c>
      <c r="X12"/>
      <c r="Y12" t="s">
        <v>188</v>
      </c>
      <c r="Z12" t="e">
        <f ca="1">OFFSET($S$12,1,MATCH($G19,$S$12:$W$12,0)-1,15,1)</f>
        <v>#VALUE!</v>
      </c>
    </row>
    <row r="13" spans="1:26" x14ac:dyDescent="0.25">
      <c r="A13" s="85" t="s">
        <v>6</v>
      </c>
      <c r="B13" s="85"/>
      <c r="C13" s="85"/>
      <c r="D13" s="85"/>
      <c r="E13" s="69" t="s">
        <v>266</v>
      </c>
      <c r="F13" s="69"/>
      <c r="G13" s="69"/>
      <c r="H13" s="69"/>
      <c r="S13" s="54" t="s">
        <v>174</v>
      </c>
      <c r="T13" s="54" t="s">
        <v>181</v>
      </c>
      <c r="U13" s="54" t="s">
        <v>203</v>
      </c>
      <c r="V13" s="54" t="s">
        <v>189</v>
      </c>
      <c r="W13" s="54" t="s">
        <v>207</v>
      </c>
      <c r="X13"/>
      <c r="Y13"/>
      <c r="Z13"/>
    </row>
    <row r="14" spans="1:26" x14ac:dyDescent="0.25">
      <c r="A14" s="85" t="s">
        <v>7</v>
      </c>
      <c r="B14" s="85"/>
      <c r="C14" s="85"/>
      <c r="D14" s="85"/>
      <c r="E14" s="69" t="s">
        <v>233</v>
      </c>
      <c r="F14" s="68"/>
      <c r="G14" s="68"/>
      <c r="H14" s="68"/>
      <c r="I14" s="183" t="e">
        <f ca="1">OFFSET($D$4,1,MATCH($J12,$D$4:$H$4,0)-1,15,1)</f>
        <v>#N/A</v>
      </c>
      <c r="J14" s="184"/>
      <c r="K14" s="184"/>
      <c r="L14" s="184"/>
      <c r="M14" s="184"/>
      <c r="N14" s="184"/>
      <c r="O14" s="184"/>
      <c r="P14" s="184"/>
      <c r="S14" s="54" t="s">
        <v>175</v>
      </c>
      <c r="T14" s="54" t="s">
        <v>182</v>
      </c>
      <c r="U14" s="54" t="s">
        <v>204</v>
      </c>
      <c r="V14" s="54" t="s">
        <v>190</v>
      </c>
      <c r="W14" s="54" t="s">
        <v>220</v>
      </c>
      <c r="X14"/>
      <c r="Y14"/>
      <c r="Z14"/>
    </row>
    <row r="15" spans="1:26" ht="32.25" customHeight="1" x14ac:dyDescent="0.25">
      <c r="A15" s="72" t="s">
        <v>8</v>
      </c>
      <c r="B15" s="72"/>
      <c r="C15" s="7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Phadke Heights, CTS No/Survey No.1262/1/2, near Ganpati Mandir Ziral ali/Mauli Ashish Building, Ziral Ali Road, Tare Ali, Pen, Pen East, Pen, Raigad - 402107.</v>
      </c>
      <c r="D15" s="72"/>
      <c r="E15" s="72"/>
      <c r="F15" s="72"/>
      <c r="G15" s="72"/>
      <c r="H15" s="72"/>
      <c r="S15" s="54" t="s">
        <v>176</v>
      </c>
      <c r="T15" s="54" t="s">
        <v>184</v>
      </c>
      <c r="U15" s="54" t="s">
        <v>205</v>
      </c>
      <c r="V15" s="54" t="s">
        <v>191</v>
      </c>
      <c r="W15" s="54" t="s">
        <v>208</v>
      </c>
      <c r="X15"/>
      <c r="Y15"/>
      <c r="Z15"/>
    </row>
    <row r="16" spans="1:26" x14ac:dyDescent="0.25">
      <c r="A16" s="69" t="s">
        <v>272</v>
      </c>
      <c r="B16" s="69"/>
      <c r="C16" s="69" t="s">
        <v>267</v>
      </c>
      <c r="D16" s="69"/>
      <c r="E16" s="69"/>
      <c r="F16" s="69"/>
      <c r="G16" s="69"/>
      <c r="H16" s="69"/>
      <c r="S16" s="54" t="s">
        <v>177</v>
      </c>
      <c r="T16" s="54" t="s">
        <v>185</v>
      </c>
      <c r="U16" s="54" t="s">
        <v>168</v>
      </c>
      <c r="V16" s="54" t="s">
        <v>192</v>
      </c>
      <c r="W16" s="54" t="s">
        <v>209</v>
      </c>
      <c r="X16"/>
      <c r="Y16"/>
      <c r="Z16"/>
    </row>
    <row r="17" spans="1:26" ht="15.75" customHeight="1" x14ac:dyDescent="0.25">
      <c r="A17" s="69" t="s">
        <v>159</v>
      </c>
      <c r="B17" s="69"/>
      <c r="C17" s="69" t="s">
        <v>236</v>
      </c>
      <c r="D17" s="69"/>
      <c r="E17" s="69"/>
      <c r="F17" s="69"/>
      <c r="G17" s="69"/>
      <c r="H17" s="69"/>
      <c r="S17" s="54" t="s">
        <v>178</v>
      </c>
      <c r="T17" s="54" t="s">
        <v>183</v>
      </c>
      <c r="U17" s="54"/>
      <c r="V17" s="54" t="s">
        <v>193</v>
      </c>
      <c r="W17" s="54" t="s">
        <v>210</v>
      </c>
      <c r="X17"/>
      <c r="Y17"/>
      <c r="Z17"/>
    </row>
    <row r="18" spans="1:26" ht="15.75" customHeight="1" x14ac:dyDescent="0.25">
      <c r="A18" s="72" t="s">
        <v>9</v>
      </c>
      <c r="B18" s="72"/>
      <c r="C18" s="68" t="s">
        <v>239</v>
      </c>
      <c r="D18" s="68"/>
      <c r="E18" s="72" t="s">
        <v>70</v>
      </c>
      <c r="F18" s="72"/>
      <c r="G18" s="69" t="s">
        <v>194</v>
      </c>
      <c r="H18" s="69"/>
      <c r="S18" s="54" t="s">
        <v>179</v>
      </c>
      <c r="T18" s="54" t="s">
        <v>186</v>
      </c>
      <c r="U18" s="54"/>
      <c r="V18" s="54" t="s">
        <v>194</v>
      </c>
      <c r="W18" s="54" t="s">
        <v>211</v>
      </c>
      <c r="X18"/>
      <c r="Y18"/>
      <c r="Z18"/>
    </row>
    <row r="19" spans="1:26" x14ac:dyDescent="0.25">
      <c r="A19" s="85" t="s">
        <v>11</v>
      </c>
      <c r="B19" s="85"/>
      <c r="C19" s="69" t="s">
        <v>237</v>
      </c>
      <c r="D19" s="69"/>
      <c r="E19" s="69" t="s">
        <v>10</v>
      </c>
      <c r="F19" s="69"/>
      <c r="G19" s="134" t="s">
        <v>188</v>
      </c>
      <c r="H19" s="134"/>
      <c r="S19" s="54" t="s">
        <v>180</v>
      </c>
      <c r="T19" s="54" t="s">
        <v>187</v>
      </c>
      <c r="U19" s="54"/>
      <c r="V19" s="54" t="s">
        <v>195</v>
      </c>
      <c r="W19" s="54" t="s">
        <v>212</v>
      </c>
      <c r="X19"/>
      <c r="Y19"/>
      <c r="Z19"/>
    </row>
    <row r="20" spans="1:26" x14ac:dyDescent="0.25">
      <c r="A20" s="85" t="s">
        <v>71</v>
      </c>
      <c r="B20" s="85"/>
      <c r="C20" s="69" t="s">
        <v>194</v>
      </c>
      <c r="D20" s="69"/>
      <c r="E20" s="69" t="s">
        <v>12</v>
      </c>
      <c r="F20" s="69"/>
      <c r="G20" s="69">
        <v>402107</v>
      </c>
      <c r="H20" s="69"/>
      <c r="S20" s="54"/>
      <c r="T20" s="54"/>
      <c r="U20" s="54"/>
      <c r="V20" s="54" t="s">
        <v>196</v>
      </c>
      <c r="W20" s="54" t="s">
        <v>213</v>
      </c>
      <c r="X20"/>
      <c r="Y20"/>
      <c r="Z20"/>
    </row>
    <row r="21" spans="1:26" ht="32.25" customHeight="1" x14ac:dyDescent="0.25">
      <c r="A21" s="85" t="s">
        <v>119</v>
      </c>
      <c r="B21" s="85"/>
      <c r="C21" s="69" t="s">
        <v>268</v>
      </c>
      <c r="D21" s="69"/>
      <c r="E21" s="69" t="s">
        <v>13</v>
      </c>
      <c r="F21" s="69"/>
      <c r="G21" s="69" t="s">
        <v>238</v>
      </c>
      <c r="H21" s="69"/>
      <c r="S21" s="54"/>
      <c r="T21" s="54"/>
      <c r="U21" s="54"/>
      <c r="V21" s="54" t="s">
        <v>197</v>
      </c>
      <c r="W21" s="54" t="s">
        <v>214</v>
      </c>
      <c r="X21"/>
      <c r="Y21"/>
      <c r="Z21"/>
    </row>
    <row r="22" spans="1:26" ht="15" customHeight="1" x14ac:dyDescent="0.25">
      <c r="A22" s="72" t="s">
        <v>72</v>
      </c>
      <c r="B22" s="72"/>
      <c r="C22" s="72"/>
      <c r="D22" s="72"/>
      <c r="E22" s="68" t="s">
        <v>14</v>
      </c>
      <c r="F22" s="68"/>
      <c r="G22" s="68"/>
      <c r="H22" s="68"/>
      <c r="S22" s="54"/>
      <c r="T22" s="54"/>
      <c r="U22" s="54"/>
      <c r="V22" s="54" t="s">
        <v>198</v>
      </c>
      <c r="W22" s="54" t="s">
        <v>215</v>
      </c>
      <c r="X22"/>
      <c r="Y22"/>
      <c r="Z22"/>
    </row>
    <row r="23" spans="1:26" ht="18.75" customHeight="1" x14ac:dyDescent="0.25">
      <c r="A23" s="72"/>
      <c r="B23" s="72"/>
      <c r="C23" s="72"/>
      <c r="D23" s="72"/>
      <c r="E23" s="68"/>
      <c r="F23" s="68"/>
      <c r="G23" s="68"/>
      <c r="H23" s="68"/>
      <c r="S23" s="54"/>
      <c r="T23" s="54"/>
      <c r="U23" s="54"/>
      <c r="V23" s="54" t="s">
        <v>199</v>
      </c>
      <c r="W23" s="54" t="s">
        <v>216</v>
      </c>
      <c r="X23"/>
      <c r="Y23"/>
      <c r="Z23"/>
    </row>
    <row r="24" spans="1:26" ht="15" customHeight="1" x14ac:dyDescent="0.25">
      <c r="A24" s="72" t="s">
        <v>15</v>
      </c>
      <c r="B24" s="72"/>
      <c r="C24" s="72"/>
      <c r="D24" s="72"/>
      <c r="E24" s="69" t="s">
        <v>16</v>
      </c>
      <c r="F24" s="69"/>
      <c r="G24" s="69"/>
      <c r="H24" s="69"/>
      <c r="S24" s="54"/>
      <c r="T24" s="54"/>
      <c r="U24" s="54"/>
      <c r="V24" s="54" t="s">
        <v>200</v>
      </c>
      <c r="W24" s="54" t="s">
        <v>217</v>
      </c>
      <c r="X24"/>
      <c r="Y24"/>
      <c r="Z24"/>
    </row>
    <row r="25" spans="1:26" ht="15" customHeight="1" x14ac:dyDescent="0.25">
      <c r="A25" s="85" t="s">
        <v>17</v>
      </c>
      <c r="B25" s="85"/>
      <c r="C25" s="85"/>
      <c r="D25" s="85"/>
      <c r="E25" s="69" t="str">
        <f>IF(AND(G19="Mumbai"),"Upper Class","Middle Class")</f>
        <v>Middle Class</v>
      </c>
      <c r="F25" s="69"/>
      <c r="G25" s="69"/>
      <c r="H25" s="69"/>
      <c r="S25" s="54"/>
      <c r="T25" s="54"/>
      <c r="U25" s="54"/>
      <c r="V25" s="54" t="s">
        <v>201</v>
      </c>
      <c r="W25" s="54" t="s">
        <v>218</v>
      </c>
      <c r="X25"/>
      <c r="Y25"/>
      <c r="Z25"/>
    </row>
    <row r="26" spans="1:26" x14ac:dyDescent="0.25">
      <c r="A26" s="85" t="s">
        <v>18</v>
      </c>
      <c r="B26" s="85"/>
      <c r="C26" s="85"/>
      <c r="D26" s="85"/>
      <c r="E26" s="69" t="s">
        <v>19</v>
      </c>
      <c r="F26" s="69"/>
      <c r="G26" s="69"/>
      <c r="H26" s="69"/>
      <c r="S26" s="54"/>
      <c r="T26" s="54"/>
      <c r="U26" s="54"/>
      <c r="V26" s="54" t="s">
        <v>202</v>
      </c>
      <c r="W26" s="54" t="s">
        <v>219</v>
      </c>
      <c r="X26"/>
      <c r="Y26"/>
      <c r="Z26"/>
    </row>
    <row r="27" spans="1:26" ht="15.75" customHeight="1" x14ac:dyDescent="0.25">
      <c r="A27" s="85" t="s">
        <v>20</v>
      </c>
      <c r="B27" s="85"/>
      <c r="C27" s="85"/>
      <c r="D27" s="85"/>
      <c r="E27" s="69" t="str">
        <f>IF(AND(G19="Mumbai"),"Developed","Developing")</f>
        <v>Developing</v>
      </c>
      <c r="F27" s="69"/>
      <c r="G27" s="69"/>
      <c r="H27" s="69"/>
    </row>
    <row r="28" spans="1:26" x14ac:dyDescent="0.25">
      <c r="A28" s="85" t="s">
        <v>21</v>
      </c>
      <c r="B28" s="85"/>
      <c r="C28" s="85"/>
      <c r="D28" s="85"/>
      <c r="E28" s="69" t="s">
        <v>22</v>
      </c>
      <c r="F28" s="69"/>
      <c r="G28" s="69"/>
      <c r="H28" s="69"/>
    </row>
    <row r="29" spans="1:26" ht="15.75" customHeight="1" x14ac:dyDescent="0.25">
      <c r="A29" s="85" t="s">
        <v>77</v>
      </c>
      <c r="B29" s="85"/>
      <c r="C29" s="85"/>
      <c r="D29" s="85"/>
      <c r="E29" s="69" t="s">
        <v>78</v>
      </c>
      <c r="F29" s="69"/>
      <c r="G29" s="69"/>
      <c r="H29" s="69"/>
    </row>
    <row r="30" spans="1:26" ht="15" customHeight="1" x14ac:dyDescent="0.25">
      <c r="A30" s="85" t="s">
        <v>30</v>
      </c>
      <c r="B30" s="85"/>
      <c r="C30" s="85"/>
      <c r="D30" s="85"/>
      <c r="E30" s="6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69"/>
      <c r="G30" s="69"/>
      <c r="H30" s="69"/>
    </row>
    <row r="31" spans="1:26" ht="15.75" customHeight="1" x14ac:dyDescent="0.25">
      <c r="A31" s="85" t="s">
        <v>89</v>
      </c>
      <c r="B31" s="85"/>
      <c r="C31" s="85"/>
      <c r="D31" s="85"/>
      <c r="E31" s="69" t="s">
        <v>31</v>
      </c>
      <c r="F31" s="69"/>
      <c r="G31" s="69"/>
      <c r="H31" s="69"/>
    </row>
    <row r="32" spans="1:26" s="22" customFormat="1" x14ac:dyDescent="0.25">
      <c r="A32" s="133" t="s">
        <v>90</v>
      </c>
      <c r="B32" s="133"/>
      <c r="C32" s="130" t="s">
        <v>169</v>
      </c>
      <c r="D32" s="131"/>
      <c r="E32" s="132"/>
      <c r="F32" s="130" t="s">
        <v>28</v>
      </c>
      <c r="G32" s="131"/>
      <c r="H32" s="132"/>
    </row>
    <row r="33" spans="1:11" s="22" customFormat="1" x14ac:dyDescent="0.25">
      <c r="A33" s="114" t="s">
        <v>23</v>
      </c>
      <c r="B33" s="114" t="s">
        <v>27</v>
      </c>
      <c r="C33" s="115" t="s">
        <v>244</v>
      </c>
      <c r="D33" s="116"/>
      <c r="E33" s="117"/>
      <c r="F33" s="115" t="s">
        <v>241</v>
      </c>
      <c r="G33" s="116"/>
      <c r="H33" s="117"/>
    </row>
    <row r="34" spans="1:11" x14ac:dyDescent="0.25">
      <c r="A34" s="114" t="s">
        <v>24</v>
      </c>
      <c r="B34" s="114" t="s">
        <v>27</v>
      </c>
      <c r="C34" s="115" t="s">
        <v>245</v>
      </c>
      <c r="D34" s="116"/>
      <c r="E34" s="117"/>
      <c r="F34" s="115" t="s">
        <v>241</v>
      </c>
      <c r="G34" s="116"/>
      <c r="H34" s="117"/>
    </row>
    <row r="35" spans="1:11" s="22" customFormat="1" x14ac:dyDescent="0.25">
      <c r="A35" s="114" t="s">
        <v>26</v>
      </c>
      <c r="B35" s="114" t="s">
        <v>27</v>
      </c>
      <c r="C35" s="115" t="s">
        <v>242</v>
      </c>
      <c r="D35" s="116"/>
      <c r="E35" s="117"/>
      <c r="F35" s="115" t="s">
        <v>269</v>
      </c>
      <c r="G35" s="116"/>
      <c r="H35" s="117"/>
    </row>
    <row r="36" spans="1:11" x14ac:dyDescent="0.25">
      <c r="A36" s="114" t="s">
        <v>25</v>
      </c>
      <c r="B36" s="114" t="s">
        <v>27</v>
      </c>
      <c r="C36" s="115" t="s">
        <v>243</v>
      </c>
      <c r="D36" s="116"/>
      <c r="E36" s="117"/>
      <c r="F36" s="115" t="s">
        <v>240</v>
      </c>
      <c r="G36" s="116"/>
      <c r="H36" s="117"/>
    </row>
    <row r="37" spans="1:11" x14ac:dyDescent="0.25">
      <c r="A37" s="85" t="s">
        <v>29</v>
      </c>
      <c r="B37" s="85"/>
      <c r="C37" s="85"/>
      <c r="D37" s="85"/>
      <c r="E37" s="85"/>
      <c r="F37" s="85"/>
      <c r="G37" s="85"/>
      <c r="H37" s="85"/>
    </row>
    <row r="38" spans="1:11" ht="15.75" customHeight="1" x14ac:dyDescent="0.25">
      <c r="A38" s="85" t="s">
        <v>162</v>
      </c>
      <c r="B38" s="85"/>
      <c r="C38" s="119" t="s">
        <v>234</v>
      </c>
      <c r="D38" s="119"/>
      <c r="E38" s="119"/>
      <c r="F38" s="119"/>
      <c r="G38" s="119"/>
      <c r="H38" s="119"/>
    </row>
    <row r="39" spans="1:11" x14ac:dyDescent="0.25">
      <c r="A39" s="85" t="s">
        <v>158</v>
      </c>
      <c r="B39" s="85"/>
      <c r="C39" s="90" t="s">
        <v>235</v>
      </c>
      <c r="D39" s="69"/>
      <c r="E39" s="69"/>
      <c r="F39" s="69"/>
      <c r="G39" s="69"/>
      <c r="H39" s="69"/>
    </row>
    <row r="40" spans="1:11" x14ac:dyDescent="0.25">
      <c r="A40" s="119" t="s">
        <v>32</v>
      </c>
      <c r="B40" s="119"/>
      <c r="C40" s="119"/>
      <c r="D40" s="119"/>
      <c r="E40" s="119"/>
      <c r="F40" s="119"/>
      <c r="G40" s="119"/>
      <c r="H40" s="119"/>
    </row>
    <row r="41" spans="1:11" x14ac:dyDescent="0.25">
      <c r="A41" s="85" t="s">
        <v>33</v>
      </c>
      <c r="B41" s="85"/>
      <c r="C41" s="85"/>
      <c r="D41" s="85"/>
      <c r="E41" s="118">
        <v>255.53</v>
      </c>
      <c r="F41" s="118"/>
      <c r="G41" s="118"/>
      <c r="H41" s="118"/>
    </row>
    <row r="42" spans="1:11" x14ac:dyDescent="0.25">
      <c r="A42" s="85" t="s">
        <v>34</v>
      </c>
      <c r="B42" s="85"/>
      <c r="C42" s="85"/>
      <c r="D42" s="85"/>
      <c r="E42" s="122">
        <v>2</v>
      </c>
      <c r="F42" s="122"/>
      <c r="G42" s="122"/>
      <c r="H42" s="122"/>
      <c r="I42" s="56">
        <f>510.82/E41</f>
        <v>1.9990607756427816</v>
      </c>
    </row>
    <row r="43" spans="1:11" x14ac:dyDescent="0.25">
      <c r="A43" s="85" t="s">
        <v>35</v>
      </c>
      <c r="B43" s="85"/>
      <c r="C43" s="85"/>
      <c r="D43" s="85"/>
      <c r="E43" s="122">
        <f>E45/E41-E42</f>
        <v>1.7412045552381326</v>
      </c>
      <c r="F43" s="122"/>
      <c r="G43" s="122"/>
      <c r="H43" s="122"/>
    </row>
    <row r="44" spans="1:11" x14ac:dyDescent="0.25">
      <c r="A44" s="85" t="s">
        <v>36</v>
      </c>
      <c r="B44" s="85"/>
      <c r="C44" s="85"/>
      <c r="D44" s="85"/>
      <c r="E44" s="122">
        <f>E42+E43</f>
        <v>3.7412045552381326</v>
      </c>
      <c r="F44" s="122"/>
      <c r="G44" s="122"/>
      <c r="H44" s="122"/>
    </row>
    <row r="45" spans="1:11" x14ac:dyDescent="0.25">
      <c r="A45" s="85" t="s">
        <v>88</v>
      </c>
      <c r="B45" s="85"/>
      <c r="C45" s="85"/>
      <c r="D45" s="85"/>
      <c r="E45" s="123">
        <v>955.99</v>
      </c>
      <c r="F45" s="123"/>
      <c r="G45" s="123"/>
      <c r="H45" s="123"/>
      <c r="I45" s="22" t="s">
        <v>262</v>
      </c>
      <c r="J45" s="21">
        <f>136.57*6+136.57</f>
        <v>955.99</v>
      </c>
      <c r="K45" s="22" t="s">
        <v>263</v>
      </c>
    </row>
    <row r="46" spans="1:11" x14ac:dyDescent="0.25">
      <c r="A46" s="68" t="s">
        <v>37</v>
      </c>
      <c r="B46" s="68"/>
      <c r="C46" s="68"/>
      <c r="D46" s="68"/>
      <c r="E46" s="68" t="s">
        <v>118</v>
      </c>
      <c r="F46" s="68"/>
      <c r="G46" s="68"/>
      <c r="H46" s="68"/>
    </row>
    <row r="47" spans="1:11" x14ac:dyDescent="0.25">
      <c r="A47" s="119" t="s">
        <v>38</v>
      </c>
      <c r="B47" s="119"/>
      <c r="C47" s="119"/>
      <c r="D47" s="119"/>
      <c r="E47" s="119"/>
      <c r="F47" s="119"/>
      <c r="G47" s="119"/>
      <c r="H47" s="119"/>
    </row>
    <row r="48" spans="1:11" ht="33.75" customHeight="1" x14ac:dyDescent="0.25">
      <c r="A48" s="99" t="s">
        <v>148</v>
      </c>
      <c r="B48" s="100"/>
      <c r="C48" s="101" t="s">
        <v>246</v>
      </c>
      <c r="D48" s="102"/>
      <c r="E48" s="102"/>
      <c r="F48" s="102"/>
      <c r="G48" s="102"/>
      <c r="H48" s="103"/>
    </row>
    <row r="49" spans="1:14" ht="15.75" customHeight="1" x14ac:dyDescent="0.25">
      <c r="A49" s="99" t="s">
        <v>39</v>
      </c>
      <c r="B49" s="100"/>
      <c r="C49" s="99" t="s">
        <v>247</v>
      </c>
      <c r="D49" s="153"/>
      <c r="E49" s="100"/>
      <c r="F49" s="18" t="s">
        <v>40</v>
      </c>
      <c r="G49" s="128">
        <v>44852</v>
      </c>
      <c r="H49" s="100"/>
    </row>
    <row r="50" spans="1:14" x14ac:dyDescent="0.25">
      <c r="A50" s="99" t="s">
        <v>41</v>
      </c>
      <c r="B50" s="100"/>
      <c r="C50" s="99" t="str">
        <f>C49</f>
        <v>CCRDP/B/2022/APL/00481</v>
      </c>
      <c r="D50" s="153"/>
      <c r="E50" s="100"/>
      <c r="F50" s="18" t="s">
        <v>40</v>
      </c>
      <c r="G50" s="128">
        <f>G49</f>
        <v>44852</v>
      </c>
      <c r="H50" s="129"/>
    </row>
    <row r="51" spans="1:14" s="23" customFormat="1" ht="15.75" customHeight="1" x14ac:dyDescent="0.25">
      <c r="A51" s="60" t="s">
        <v>152</v>
      </c>
      <c r="B51" s="61"/>
      <c r="C51" s="99" t="str">
        <f>C50</f>
        <v>CCRDP/B/2022/APL/00481</v>
      </c>
      <c r="D51" s="153"/>
      <c r="E51" s="100"/>
      <c r="F51" s="18" t="s">
        <v>40</v>
      </c>
      <c r="G51" s="128">
        <f>G50</f>
        <v>44852</v>
      </c>
      <c r="H51" s="129"/>
    </row>
    <row r="52" spans="1:14" s="23" customFormat="1" x14ac:dyDescent="0.25">
      <c r="A52" s="62"/>
      <c r="B52" s="63"/>
      <c r="C52" s="99" t="s">
        <v>248</v>
      </c>
      <c r="D52" s="153"/>
      <c r="E52" s="153"/>
      <c r="F52" s="153"/>
      <c r="G52" s="153"/>
      <c r="H52" s="100"/>
    </row>
    <row r="53" spans="1:14" x14ac:dyDescent="0.25">
      <c r="A53" s="186" t="s">
        <v>42</v>
      </c>
      <c r="B53" s="187"/>
      <c r="C53" s="186" t="s">
        <v>102</v>
      </c>
      <c r="D53" s="188"/>
      <c r="E53" s="187"/>
      <c r="F53" s="45" t="s">
        <v>40</v>
      </c>
      <c r="G53" s="161" t="s">
        <v>27</v>
      </c>
      <c r="H53" s="162"/>
    </row>
    <row r="54" spans="1:14" x14ac:dyDescent="0.25">
      <c r="A54" s="146" t="s">
        <v>44</v>
      </c>
      <c r="B54" s="146"/>
      <c r="C54" s="146"/>
      <c r="D54" s="146"/>
      <c r="E54" s="146"/>
      <c r="F54" s="146"/>
      <c r="G54" s="146"/>
      <c r="H54" s="146"/>
    </row>
    <row r="55" spans="1:14" x14ac:dyDescent="0.25">
      <c r="A55" s="72" t="s">
        <v>87</v>
      </c>
      <c r="B55" s="72"/>
      <c r="C55" s="72"/>
      <c r="D55" s="85">
        <f>E45</f>
        <v>955.99</v>
      </c>
      <c r="E55" s="85"/>
      <c r="F55" s="85"/>
      <c r="G55" s="85"/>
      <c r="H55" s="85"/>
    </row>
    <row r="56" spans="1:14" x14ac:dyDescent="0.25">
      <c r="A56" s="69" t="s">
        <v>45</v>
      </c>
      <c r="B56" s="68"/>
      <c r="C56" s="68"/>
      <c r="D56" s="68" t="s">
        <v>261</v>
      </c>
      <c r="E56" s="68"/>
      <c r="F56" s="68"/>
      <c r="G56" s="68"/>
      <c r="H56" s="68"/>
      <c r="I56" s="24"/>
    </row>
    <row r="57" spans="1:14" x14ac:dyDescent="0.25">
      <c r="A57" s="125" t="s">
        <v>46</v>
      </c>
      <c r="B57" s="126"/>
      <c r="C57" s="127"/>
      <c r="D57" s="71" t="s">
        <v>249</v>
      </c>
      <c r="E57" s="124"/>
      <c r="F57" s="124"/>
      <c r="G57" s="124"/>
      <c r="H57" s="124"/>
    </row>
    <row r="58" spans="1:14" ht="15.75" customHeight="1" x14ac:dyDescent="0.25">
      <c r="A58" s="125" t="s">
        <v>85</v>
      </c>
      <c r="B58" s="126"/>
      <c r="C58" s="126"/>
      <c r="D58" s="154" t="s">
        <v>249</v>
      </c>
      <c r="E58" s="155"/>
      <c r="F58" s="155"/>
      <c r="G58" s="155"/>
      <c r="H58" s="156"/>
    </row>
    <row r="59" spans="1:14" ht="15.75" customHeight="1" x14ac:dyDescent="0.25">
      <c r="A59" s="85" t="s">
        <v>43</v>
      </c>
      <c r="B59" s="85"/>
      <c r="C59" s="85"/>
      <c r="D59" s="120" t="s">
        <v>250</v>
      </c>
      <c r="E59" s="120"/>
      <c r="F59" s="120"/>
      <c r="G59" s="120"/>
      <c r="H59" s="120"/>
      <c r="J59" s="25"/>
      <c r="K59" s="24"/>
      <c r="N59" s="24"/>
    </row>
    <row r="60" spans="1:14" ht="15.75" customHeight="1" x14ac:dyDescent="0.25">
      <c r="A60" s="85" t="s">
        <v>83</v>
      </c>
      <c r="B60" s="85"/>
      <c r="C60" s="85"/>
      <c r="D60" s="121" t="str">
        <f>(IF(G53="NA","60 Years After Completion",IF(G53&lt;&gt;"NA",""&amp;60-ROUNDDOWN((E3-G53)/360,0)&amp;" Years"," ")))</f>
        <v>60 Years After Completion</v>
      </c>
      <c r="E60" s="121"/>
      <c r="F60" s="121"/>
      <c r="G60" s="121"/>
      <c r="H60" s="121"/>
      <c r="N60" s="24"/>
    </row>
    <row r="61" spans="1:14" ht="15.75" customHeight="1" x14ac:dyDescent="0.25">
      <c r="A61" s="85" t="s">
        <v>84</v>
      </c>
      <c r="B61" s="85"/>
      <c r="C61" s="85"/>
      <c r="D61" s="72" t="s">
        <v>22</v>
      </c>
      <c r="E61" s="72"/>
      <c r="F61" s="72"/>
      <c r="G61" s="72"/>
      <c r="H61" s="72"/>
      <c r="J61" s="26"/>
      <c r="K61" s="26"/>
    </row>
    <row r="62" spans="1:14" x14ac:dyDescent="0.25">
      <c r="A62" s="68" t="s">
        <v>251</v>
      </c>
      <c r="B62" s="68"/>
      <c r="C62" s="68"/>
      <c r="D62" s="69" t="s">
        <v>270</v>
      </c>
      <c r="E62" s="69"/>
      <c r="F62" s="69"/>
      <c r="G62" s="69"/>
      <c r="H62" s="69"/>
    </row>
    <row r="63" spans="1:14" x14ac:dyDescent="0.25">
      <c r="A63" s="72" t="s">
        <v>145</v>
      </c>
      <c r="B63" s="72"/>
      <c r="C63" s="72"/>
      <c r="D63" s="72" t="s">
        <v>27</v>
      </c>
      <c r="E63" s="72"/>
      <c r="F63" s="72"/>
      <c r="G63" s="72"/>
      <c r="H63" s="72"/>
      <c r="I63" s="27"/>
      <c r="J63" s="27"/>
      <c r="K63" s="27"/>
      <c r="L63" s="27"/>
      <c r="M63" s="27"/>
      <c r="N63" s="27"/>
    </row>
    <row r="64" spans="1:14" ht="15.75" customHeight="1" x14ac:dyDescent="0.25">
      <c r="A64" s="190" t="s">
        <v>82</v>
      </c>
      <c r="B64" s="190"/>
      <c r="C64" s="190"/>
      <c r="D64" s="71" t="str">
        <f ca="1">(IF(G70&gt;95%,"Nothing",IF(G70&gt;0%,"Cement, Aggregate, Steel, etc",IF(G70=0%,"Work not yet Started"))))</f>
        <v>Cement, Aggregate, Steel, etc</v>
      </c>
      <c r="E64" s="71"/>
      <c r="F64" s="71"/>
      <c r="G64" s="71"/>
      <c r="H64" s="71"/>
      <c r="J64" s="26"/>
    </row>
    <row r="65" spans="1:11" ht="33.75" customHeight="1" thickBot="1" x14ac:dyDescent="0.3">
      <c r="A65" s="70" t="s">
        <v>115</v>
      </c>
      <c r="B65" s="70"/>
      <c r="C65" s="70"/>
      <c r="D65" s="71" t="str">
        <f ca="1">(IF(D64="Nothing","Yes",IF(D64="Cement, Aggregate, Steel, etc","Under Construction",IF(D64="Work not yet Started","Work not yet Started"))))</f>
        <v>Under Construction</v>
      </c>
      <c r="E65" s="71"/>
      <c r="F65" s="71" t="str">
        <f ca="1">(IF(D64="Nothing","Yes",IF(D64="Cement, Aggregate, Steel, etc","Under Construction",IF(D64="Work not yet Started","Work not yet Started"))))</f>
        <v>Under Construction</v>
      </c>
      <c r="G65" s="71"/>
      <c r="H65" s="71"/>
    </row>
    <row r="66" spans="1:11" ht="15.75" customHeight="1" x14ac:dyDescent="0.25">
      <c r="A66" s="110" t="s">
        <v>137</v>
      </c>
      <c r="B66" s="111"/>
      <c r="C66" s="180" t="str">
        <f>D58</f>
        <v>Gr + 1st to 7th Floor</v>
      </c>
      <c r="D66" s="181"/>
      <c r="E66" s="181"/>
      <c r="F66" s="181"/>
      <c r="G66" s="181"/>
      <c r="H66" s="182"/>
      <c r="I66" s="49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6 Floor, External Plaster upto 6 Floor Completed</v>
      </c>
      <c r="J66" s="50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6 Floor, External Plaster upto 6 Floor</v>
      </c>
    </row>
    <row r="67" spans="1:11" x14ac:dyDescent="0.25">
      <c r="A67" s="16" t="s">
        <v>139</v>
      </c>
      <c r="B67" s="47">
        <f>IF(AND(ISNUMBER(SEARCH("1B",C66))),1,IF(AND(ISNUMBER(SEARCH("2B",C66))),2,IF(AND(ISNUMBER(SEARCH("3B",C66))),3,IF(AND(ISNUMBER(SEARCH("4B",C66))),4,IF(ISNUMBER(SEARCH("5B",C66)),5,0)))))</f>
        <v>0</v>
      </c>
      <c r="C67" s="47" t="s">
        <v>69</v>
      </c>
      <c r="D67" s="47">
        <v>1</v>
      </c>
      <c r="E67" s="47" t="s">
        <v>68</v>
      </c>
      <c r="F67" s="47">
        <v>0</v>
      </c>
      <c r="G67" s="48" t="s">
        <v>76</v>
      </c>
      <c r="H67" s="17">
        <f ca="1">--TRIM(RIGHT(SUBSTITUTE(LEFT(C66,_xlfn.AGGREGATE(16,6,FIND({0,1,2,3,4,5,6,7,8,9},C66,ROW(INDIRECT("1:"&amp;LEN(C66)))),1))," ",REPT(" ",LEN(C66))),LEN(C66)))</f>
        <v>7</v>
      </c>
      <c r="I67" s="51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52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1" ht="32.25" customHeight="1" x14ac:dyDescent="0.25">
      <c r="A68" s="108" t="s">
        <v>86</v>
      </c>
      <c r="B68" s="109"/>
      <c r="C68" s="112" t="str">
        <f ca="1">I66</f>
        <v>Excavation, Plinth, RCC Slab, Brickwork Completed, Internal Plaster upto 6 Floor, External Plaster upto 6 Floor Completed</v>
      </c>
      <c r="D68" s="112"/>
      <c r="E68" s="112"/>
      <c r="F68" s="112"/>
      <c r="G68" s="112"/>
      <c r="H68" s="113"/>
      <c r="I68" s="51" t="str">
        <f ca="1">IF(I67&lt;&gt;""," Completed","")</f>
        <v xml:space="preserve"> Completed</v>
      </c>
      <c r="J68" s="52" t="str">
        <f ca="1">IF(J66&lt;&gt;"","Completed","")</f>
        <v>Completed</v>
      </c>
    </row>
    <row r="69" spans="1:11" ht="15.75" customHeight="1" x14ac:dyDescent="0.25">
      <c r="A69" s="64" t="s">
        <v>47</v>
      </c>
      <c r="B69" s="65"/>
      <c r="C69" s="43" t="s">
        <v>136</v>
      </c>
      <c r="D69" s="43" t="s">
        <v>79</v>
      </c>
      <c r="E69" s="65" t="s">
        <v>81</v>
      </c>
      <c r="F69" s="65"/>
      <c r="G69" s="65" t="s">
        <v>80</v>
      </c>
      <c r="H69" s="73"/>
      <c r="I69" s="14" t="s">
        <v>138</v>
      </c>
      <c r="J69" s="28">
        <f ca="1">H67*25%</f>
        <v>1.75</v>
      </c>
    </row>
    <row r="70" spans="1:11" x14ac:dyDescent="0.25">
      <c r="A70" s="64" t="s">
        <v>125</v>
      </c>
      <c r="B70" s="65"/>
      <c r="C70" s="43">
        <f ca="1">J71</f>
        <v>7</v>
      </c>
      <c r="D70" s="19">
        <f ca="1">((100/H67)*C70)/100</f>
        <v>1</v>
      </c>
      <c r="E70" s="74">
        <f ca="1">(((C71/H67*10)+(40/(D67+F67+H67)*C72)+(7.5/(H67)*C73)+(7.5/(H67)*C74)+(10/H67*C75)+(10/H67*C76)+(5/H67*C77)+(5/H67*C78)+(5/H67*C79))/100)</f>
        <v>0.72499999999999998</v>
      </c>
      <c r="F70" s="75"/>
      <c r="G70" s="74">
        <f ca="1">((((C70/H67)*20)+((C71/H67)*25)+(30/(H67+F67+D67)*C72)+(5/H67*C73)+(5/H67*C74)+(5/H67*C75)+(5/H67*C76)+(0/H67*C77)+(0/H67*C78)+(5/H67*C79))/100)</f>
        <v>0.88571428571428579</v>
      </c>
      <c r="H70" s="80"/>
      <c r="I70" s="14" t="s">
        <v>97</v>
      </c>
      <c r="J70" s="29">
        <f ca="1">H67*50%</f>
        <v>3.5</v>
      </c>
    </row>
    <row r="71" spans="1:11" x14ac:dyDescent="0.25">
      <c r="A71" s="64" t="s">
        <v>48</v>
      </c>
      <c r="B71" s="65"/>
      <c r="C71" s="43">
        <f ca="1">J79</f>
        <v>7</v>
      </c>
      <c r="D71" s="19">
        <f ca="1">((100/H67)*C71)/100</f>
        <v>1</v>
      </c>
      <c r="E71" s="76"/>
      <c r="F71" s="77"/>
      <c r="G71" s="76"/>
      <c r="H71" s="81"/>
      <c r="I71" s="14" t="s">
        <v>98</v>
      </c>
      <c r="J71" s="29">
        <f ca="1">H67</f>
        <v>7</v>
      </c>
    </row>
    <row r="72" spans="1:11" ht="15.75" customHeight="1" x14ac:dyDescent="0.25">
      <c r="A72" s="64" t="s">
        <v>126</v>
      </c>
      <c r="B72" s="65"/>
      <c r="C72" s="43">
        <v>8</v>
      </c>
      <c r="D72" s="19">
        <f ca="1">((100/(D67+F67+H67))*C72)/100</f>
        <v>1</v>
      </c>
      <c r="E72" s="76"/>
      <c r="F72" s="77"/>
      <c r="G72" s="76"/>
      <c r="H72" s="81"/>
      <c r="I72" s="14" t="s">
        <v>99</v>
      </c>
      <c r="J72" s="30">
        <f ca="1">(IF(B67&gt;1,(H67/(B67+2)),H67/4))</f>
        <v>1.75</v>
      </c>
    </row>
    <row r="73" spans="1:11" ht="15.75" customHeight="1" x14ac:dyDescent="0.25">
      <c r="A73" s="64" t="s">
        <v>133</v>
      </c>
      <c r="B73" s="65" t="s">
        <v>127</v>
      </c>
      <c r="C73" s="43">
        <v>7</v>
      </c>
      <c r="D73" s="19">
        <f ca="1">((100/H67)*C73)/100</f>
        <v>1</v>
      </c>
      <c r="E73" s="76"/>
      <c r="F73" s="77"/>
      <c r="G73" s="76"/>
      <c r="H73" s="81"/>
      <c r="I73" s="14" t="s">
        <v>100</v>
      </c>
      <c r="J73" s="30">
        <f ca="1">(IF(B67&gt;1,(H67/(B67+2)+J72),H67/4+J72))</f>
        <v>3.5</v>
      </c>
    </row>
    <row r="74" spans="1:11" ht="15.75" customHeight="1" x14ac:dyDescent="0.25">
      <c r="A74" s="64" t="s">
        <v>134</v>
      </c>
      <c r="B74" s="65" t="s">
        <v>127</v>
      </c>
      <c r="C74" s="43">
        <v>6</v>
      </c>
      <c r="D74" s="19">
        <f ca="1">((100/H67)*C74)/100</f>
        <v>0.85714285714285721</v>
      </c>
      <c r="E74" s="76"/>
      <c r="F74" s="77"/>
      <c r="G74" s="76"/>
      <c r="H74" s="81"/>
      <c r="I74" s="14" t="s">
        <v>143</v>
      </c>
      <c r="J74" s="30">
        <f>(IF(B67&gt;1,(H67/(B67+2)+J73),0))</f>
        <v>0</v>
      </c>
    </row>
    <row r="75" spans="1:11" ht="15" customHeight="1" x14ac:dyDescent="0.25">
      <c r="A75" s="64" t="s">
        <v>132</v>
      </c>
      <c r="B75" s="65" t="s">
        <v>129</v>
      </c>
      <c r="C75" s="43">
        <v>6</v>
      </c>
      <c r="D75" s="19">
        <f ca="1">((100/(H67))*C75)/100</f>
        <v>0.85714285714285721</v>
      </c>
      <c r="E75" s="76"/>
      <c r="F75" s="77"/>
      <c r="G75" s="76"/>
      <c r="H75" s="81"/>
      <c r="I75" s="14" t="s">
        <v>140</v>
      </c>
      <c r="J75" s="30">
        <f>(IF(B67&gt;2,(H67/(B67+2)+J74),0))</f>
        <v>0</v>
      </c>
    </row>
    <row r="76" spans="1:11" ht="15.75" customHeight="1" x14ac:dyDescent="0.25">
      <c r="A76" s="64" t="s">
        <v>128</v>
      </c>
      <c r="B76" s="65" t="s">
        <v>128</v>
      </c>
      <c r="C76" s="43">
        <v>0</v>
      </c>
      <c r="D76" s="19">
        <f ca="1">((100/H67)*C76)/100</f>
        <v>0</v>
      </c>
      <c r="E76" s="76"/>
      <c r="F76" s="77"/>
      <c r="G76" s="76"/>
      <c r="H76" s="81"/>
      <c r="I76" s="14" t="s">
        <v>141</v>
      </c>
      <c r="J76" s="31">
        <f>(IF(B67&gt;3,(H67/(B67+2)+J75),0))</f>
        <v>0</v>
      </c>
    </row>
    <row r="77" spans="1:11" ht="15.75" customHeight="1" x14ac:dyDescent="0.25">
      <c r="A77" s="64" t="s">
        <v>135</v>
      </c>
      <c r="B77" s="65"/>
      <c r="C77" s="43">
        <v>0</v>
      </c>
      <c r="D77" s="19">
        <f ca="1">((100/H67)*C77)/100</f>
        <v>0</v>
      </c>
      <c r="E77" s="76"/>
      <c r="F77" s="77"/>
      <c r="G77" s="76"/>
      <c r="H77" s="81"/>
      <c r="I77" s="14" t="s">
        <v>142</v>
      </c>
      <c r="J77" s="30">
        <f>(IF(B67&gt;4,(H67/(B67+2)+J76),0))</f>
        <v>0</v>
      </c>
    </row>
    <row r="78" spans="1:11" ht="15.75" customHeight="1" x14ac:dyDescent="0.25">
      <c r="A78" s="64" t="s">
        <v>130</v>
      </c>
      <c r="B78" s="65" t="s">
        <v>130</v>
      </c>
      <c r="C78" s="43">
        <v>0</v>
      </c>
      <c r="D78" s="19">
        <f ca="1">((100/(H67))*C78)/100</f>
        <v>0</v>
      </c>
      <c r="E78" s="76"/>
      <c r="F78" s="77"/>
      <c r="G78" s="76"/>
      <c r="H78" s="81"/>
      <c r="I78" s="14" t="s">
        <v>144</v>
      </c>
      <c r="J78" s="30">
        <f ca="1">(IF(B67=1,(H67/(B67+3)+J73),IF(B67=0,(H67/4+J73),IF(B67&gt;1,0))))</f>
        <v>5.25</v>
      </c>
    </row>
    <row r="79" spans="1:11" ht="16.5" thickBot="1" x14ac:dyDescent="0.3">
      <c r="A79" s="83" t="s">
        <v>131</v>
      </c>
      <c r="B79" s="84"/>
      <c r="C79" s="44">
        <v>0</v>
      </c>
      <c r="D79" s="20">
        <f ca="1">((100/(H67))*C79)/100</f>
        <v>0</v>
      </c>
      <c r="E79" s="78"/>
      <c r="F79" s="79"/>
      <c r="G79" s="78"/>
      <c r="H79" s="82"/>
      <c r="I79" s="15" t="s">
        <v>101</v>
      </c>
      <c r="J79" s="32">
        <f ca="1">(IF(B67&gt;1.5,(H67/(B67+2)+J73+MAX(0,J74-J73)+MAX(0,J75-J74)+MAX(0,J76-J75)+MAX(0,J77-J76)+MAX(0,J78-J77)),IF(B67=1,(H67/(B67+3)+J78),IF(B67=0,H67/4+J78))))</f>
        <v>7</v>
      </c>
    </row>
    <row r="80" spans="1:11" x14ac:dyDescent="0.25">
      <c r="A80" s="105" t="s">
        <v>153</v>
      </c>
      <c r="B80" s="106"/>
      <c r="C80" s="106"/>
      <c r="D80" s="106"/>
      <c r="E80" s="107"/>
      <c r="F80" s="177" t="s">
        <v>157</v>
      </c>
      <c r="G80" s="178"/>
      <c r="H80" s="179"/>
      <c r="I80" s="21" t="s">
        <v>271</v>
      </c>
      <c r="J80" s="21" t="s">
        <v>273</v>
      </c>
      <c r="K80" s="25">
        <v>45382</v>
      </c>
    </row>
    <row r="81" spans="1:9" x14ac:dyDescent="0.25">
      <c r="A81" s="85" t="s">
        <v>155</v>
      </c>
      <c r="B81" s="85"/>
      <c r="C81" s="85"/>
      <c r="D81" s="85"/>
      <c r="E81" s="85"/>
      <c r="F81" s="104">
        <v>4250</v>
      </c>
      <c r="G81" s="104"/>
      <c r="H81" s="104"/>
      <c r="I81" s="21" t="s">
        <v>275</v>
      </c>
    </row>
    <row r="82" spans="1:9" hidden="1" x14ac:dyDescent="0.25">
      <c r="A82" s="85" t="s">
        <v>154</v>
      </c>
      <c r="B82" s="85"/>
      <c r="C82" s="85"/>
      <c r="D82" s="85"/>
      <c r="E82" s="85"/>
      <c r="F82" s="104"/>
      <c r="G82" s="104"/>
      <c r="H82" s="104"/>
    </row>
    <row r="83" spans="1:9" hidden="1" x14ac:dyDescent="0.25">
      <c r="A83" s="85" t="s">
        <v>156</v>
      </c>
      <c r="B83" s="85"/>
      <c r="C83" s="85"/>
      <c r="D83" s="85"/>
      <c r="E83" s="85"/>
      <c r="F83" s="104"/>
      <c r="G83" s="104"/>
      <c r="H83" s="104"/>
    </row>
    <row r="84" spans="1:9" s="33" customFormat="1" hidden="1" x14ac:dyDescent="0.25">
      <c r="A84" s="85" t="s">
        <v>170</v>
      </c>
      <c r="B84" s="85"/>
      <c r="C84" s="85"/>
      <c r="D84" s="85"/>
      <c r="E84" s="85"/>
      <c r="F84" s="104"/>
      <c r="G84" s="104"/>
      <c r="H84" s="104"/>
    </row>
    <row r="85" spans="1:9" s="33" customFormat="1" x14ac:dyDescent="0.25">
      <c r="A85" s="85" t="s">
        <v>91</v>
      </c>
      <c r="B85" s="85"/>
      <c r="C85" s="85"/>
      <c r="D85" s="85"/>
      <c r="E85" s="85"/>
      <c r="F85" s="104">
        <v>200000</v>
      </c>
      <c r="G85" s="104"/>
      <c r="H85" s="104"/>
      <c r="I85" s="33">
        <f>200*982</f>
        <v>196400</v>
      </c>
    </row>
    <row r="86" spans="1:9" s="33" customFormat="1" hidden="1" x14ac:dyDescent="0.25">
      <c r="A86" s="85" t="s">
        <v>92</v>
      </c>
      <c r="B86" s="85"/>
      <c r="C86" s="85"/>
      <c r="D86" s="85"/>
      <c r="E86" s="85"/>
      <c r="F86" s="104"/>
      <c r="G86" s="104"/>
      <c r="H86" s="104"/>
    </row>
    <row r="87" spans="1:9" s="33" customFormat="1" hidden="1" x14ac:dyDescent="0.25">
      <c r="A87" s="85" t="s">
        <v>93</v>
      </c>
      <c r="B87" s="85"/>
      <c r="C87" s="85"/>
      <c r="D87" s="85"/>
      <c r="E87" s="85"/>
      <c r="F87" s="104"/>
      <c r="G87" s="104"/>
      <c r="H87" s="104"/>
    </row>
    <row r="88" spans="1:9" s="33" customFormat="1" hidden="1" x14ac:dyDescent="0.25">
      <c r="A88" s="85" t="s">
        <v>94</v>
      </c>
      <c r="B88" s="85"/>
      <c r="C88" s="85"/>
      <c r="D88" s="85"/>
      <c r="E88" s="85"/>
      <c r="F88" s="104"/>
      <c r="G88" s="104"/>
      <c r="H88" s="104"/>
    </row>
    <row r="89" spans="1:9" s="33" customFormat="1" hidden="1" x14ac:dyDescent="0.25">
      <c r="A89" s="85" t="s">
        <v>95</v>
      </c>
      <c r="B89" s="85"/>
      <c r="C89" s="85"/>
      <c r="D89" s="85"/>
      <c r="E89" s="85"/>
      <c r="F89" s="104"/>
      <c r="G89" s="104"/>
      <c r="H89" s="104"/>
    </row>
    <row r="90" spans="1:9" s="33" customFormat="1" hidden="1" x14ac:dyDescent="0.25">
      <c r="A90" s="85" t="s">
        <v>96</v>
      </c>
      <c r="B90" s="85"/>
      <c r="C90" s="85"/>
      <c r="D90" s="85"/>
      <c r="E90" s="85"/>
      <c r="F90" s="104"/>
      <c r="G90" s="104"/>
      <c r="H90" s="104"/>
    </row>
    <row r="91" spans="1:9" x14ac:dyDescent="0.25">
      <c r="A91" s="85" t="s">
        <v>49</v>
      </c>
      <c r="B91" s="85"/>
      <c r="C91" s="85"/>
      <c r="D91" s="85"/>
      <c r="E91" s="85"/>
      <c r="F91" s="142">
        <v>200000</v>
      </c>
      <c r="G91" s="142"/>
      <c r="H91" s="142"/>
    </row>
    <row r="92" spans="1:9" s="34" customFormat="1" x14ac:dyDescent="0.25">
      <c r="A92" s="119" t="s">
        <v>50</v>
      </c>
      <c r="B92" s="119"/>
      <c r="C92" s="119"/>
      <c r="D92" s="119"/>
      <c r="E92" s="119"/>
      <c r="F92" s="104">
        <f>F81*0.8</f>
        <v>3400</v>
      </c>
      <c r="G92" s="104"/>
      <c r="H92" s="104"/>
    </row>
    <row r="93" spans="1:9" s="35" customFormat="1" x14ac:dyDescent="0.25">
      <c r="A93" s="145" t="s">
        <v>67</v>
      </c>
      <c r="B93" s="145"/>
      <c r="C93" s="145"/>
      <c r="D93" s="145"/>
      <c r="E93" s="145"/>
      <c r="F93" s="145"/>
      <c r="G93" s="145"/>
      <c r="H93" s="145"/>
    </row>
    <row r="94" spans="1:9" s="35" customFormat="1" ht="15.75" customHeight="1" x14ac:dyDescent="0.25">
      <c r="A94" s="147" t="s">
        <v>51</v>
      </c>
      <c r="B94" s="147"/>
      <c r="C94" s="189" t="s">
        <v>74</v>
      </c>
      <c r="D94" s="189"/>
      <c r="E94" s="86" t="s">
        <v>52</v>
      </c>
      <c r="F94" s="86"/>
      <c r="G94" s="147" t="s">
        <v>53</v>
      </c>
      <c r="H94" s="147"/>
    </row>
    <row r="95" spans="1:9" s="35" customFormat="1" x14ac:dyDescent="0.25">
      <c r="A95" s="144" t="s">
        <v>260</v>
      </c>
      <c r="B95" s="144"/>
      <c r="C95" s="135">
        <f>COUNT(F105:F106)*6+COUNT(F108:F110)</f>
        <v>15</v>
      </c>
      <c r="D95" s="135"/>
      <c r="E95" s="136">
        <f>SUM(F105:F106)*6+SUM(F108:F110)</f>
        <v>8713.5172019999991</v>
      </c>
      <c r="F95" s="136"/>
      <c r="G95" s="136">
        <f>SUM(H105:H106)*6+SUM(H108:H110)</f>
        <v>12634.599942899997</v>
      </c>
      <c r="H95" s="136"/>
    </row>
    <row r="96" spans="1:9" s="35" customFormat="1" hidden="1" x14ac:dyDescent="0.25">
      <c r="A96" s="144"/>
      <c r="B96" s="144"/>
      <c r="C96" s="135"/>
      <c r="D96" s="135"/>
      <c r="E96" s="149"/>
      <c r="F96" s="149"/>
      <c r="G96" s="150"/>
      <c r="H96" s="150"/>
    </row>
    <row r="97" spans="1:14" s="35" customFormat="1" ht="16.5" hidden="1" thickBot="1" x14ac:dyDescent="0.3">
      <c r="A97" s="151" t="s">
        <v>147</v>
      </c>
      <c r="B97" s="151"/>
      <c r="C97" s="166"/>
      <c r="D97" s="166"/>
      <c r="E97" s="152"/>
      <c r="F97" s="152"/>
      <c r="G97" s="148"/>
      <c r="H97" s="148"/>
    </row>
    <row r="98" spans="1:14" s="35" customFormat="1" ht="16.5" hidden="1" thickBot="1" x14ac:dyDescent="0.3">
      <c r="A98" s="173" t="s">
        <v>163</v>
      </c>
      <c r="B98" s="174"/>
      <c r="C98" s="175" t="e">
        <f>#REF!+C97</f>
        <v>#REF!</v>
      </c>
      <c r="D98" s="175"/>
      <c r="E98" s="176" t="e">
        <f>#REF!+E97</f>
        <v>#REF!</v>
      </c>
      <c r="F98" s="176"/>
      <c r="G98" s="97" t="e">
        <f>#REF!+G97</f>
        <v>#REF!</v>
      </c>
      <c r="H98" s="98"/>
    </row>
    <row r="99" spans="1:14" s="34" customFormat="1" x14ac:dyDescent="0.25">
      <c r="A99" s="87" t="s">
        <v>54</v>
      </c>
      <c r="B99" s="87"/>
      <c r="C99" s="87"/>
      <c r="D99" s="87"/>
      <c r="E99" s="87"/>
      <c r="F99" s="87"/>
      <c r="G99" s="87"/>
      <c r="H99" s="87"/>
    </row>
    <row r="100" spans="1:14" x14ac:dyDescent="0.25">
      <c r="A100" s="185" t="s">
        <v>252</v>
      </c>
      <c r="B100" s="185"/>
      <c r="C100" s="185"/>
      <c r="D100" s="185"/>
      <c r="E100" s="185"/>
      <c r="F100" s="185"/>
      <c r="G100" s="185"/>
      <c r="H100" s="185"/>
    </row>
    <row r="101" spans="1:14" ht="47.25" customHeight="1" x14ac:dyDescent="0.25">
      <c r="A101" s="88" t="s">
        <v>117</v>
      </c>
      <c r="B101" s="91" t="s">
        <v>171</v>
      </c>
      <c r="C101" s="91" t="s">
        <v>55</v>
      </c>
      <c r="D101" s="91" t="s">
        <v>226</v>
      </c>
      <c r="E101" s="164" t="s">
        <v>258</v>
      </c>
      <c r="F101" s="91" t="s">
        <v>56</v>
      </c>
      <c r="G101" s="93" t="s">
        <v>57</v>
      </c>
      <c r="H101" s="55" t="s">
        <v>146</v>
      </c>
      <c r="I101" s="36"/>
    </row>
    <row r="102" spans="1:14" s="37" customFormat="1" x14ac:dyDescent="0.25">
      <c r="A102" s="89"/>
      <c r="B102" s="92"/>
      <c r="C102" s="92"/>
      <c r="D102" s="92"/>
      <c r="E102" s="165"/>
      <c r="F102" s="92"/>
      <c r="G102" s="94"/>
      <c r="H102" s="13">
        <v>0.45</v>
      </c>
      <c r="I102" s="42">
        <v>10.763999999999999</v>
      </c>
    </row>
    <row r="103" spans="1:14" s="37" customFormat="1" x14ac:dyDescent="0.25">
      <c r="A103" s="167" t="s">
        <v>253</v>
      </c>
      <c r="B103" s="168"/>
      <c r="C103" s="168"/>
      <c r="D103" s="168"/>
      <c r="E103" s="168"/>
      <c r="F103" s="168"/>
      <c r="G103" s="168"/>
      <c r="H103" s="169"/>
      <c r="J103" s="36"/>
    </row>
    <row r="104" spans="1:14" s="37" customFormat="1" x14ac:dyDescent="0.25">
      <c r="A104" s="167" t="s">
        <v>254</v>
      </c>
      <c r="B104" s="168"/>
      <c r="C104" s="168"/>
      <c r="D104" s="168"/>
      <c r="E104" s="168"/>
      <c r="F104" s="168"/>
      <c r="G104" s="168"/>
      <c r="H104" s="169"/>
      <c r="J104" s="36">
        <v>3800</v>
      </c>
    </row>
    <row r="105" spans="1:14" s="37" customFormat="1" ht="15.75" customHeight="1" x14ac:dyDescent="0.25">
      <c r="A105" s="95">
        <v>1</v>
      </c>
      <c r="B105" s="96"/>
      <c r="C105" s="42" t="s">
        <v>255</v>
      </c>
      <c r="D105" s="42">
        <f>(3.05*4.85+2.27*3.35+2.75*3.35+3.12*2.75+2.1*1.65+1.75*1.2+1.1*1.8+2.4*1.1+0.9*1.5+0.9*0.9)*10.764</f>
        <v>565.481358</v>
      </c>
      <c r="E105" s="42">
        <f>(0.75*(4.85+4+2.27+2.75))*10.764</f>
        <v>111.97250999999999</v>
      </c>
      <c r="F105" s="42">
        <f>D105+E105</f>
        <v>677.45386799999994</v>
      </c>
      <c r="G105" s="42">
        <v>0</v>
      </c>
      <c r="H105" s="42">
        <f>F105*(($H$102)+1)+(IF(G105&lt;101,G105,IF(G105&lt;201,G105/2,IF(G105&lt;=301,G105/3,G105/4))))</f>
        <v>982.30810859999985</v>
      </c>
      <c r="I105" s="36">
        <f>(3.05*4.85+2.27*3.35+2.75*3.35+3.12*2.75+2.1*1.65+1.75*1.2+1.1*1.8+2.4*1.1+0.9*0.9+0.9*1.5)</f>
        <v>52.534500000000001</v>
      </c>
      <c r="J105" s="37">
        <f>J$104*H105</f>
        <v>3732770.8126799995</v>
      </c>
      <c r="L105" s="66"/>
      <c r="M105" s="66"/>
      <c r="N105" s="36"/>
    </row>
    <row r="106" spans="1:14" s="37" customFormat="1" ht="15.75" customHeight="1" x14ac:dyDescent="0.25">
      <c r="A106" s="95">
        <v>2</v>
      </c>
      <c r="B106" s="96"/>
      <c r="C106" s="42" t="s">
        <v>255</v>
      </c>
      <c r="D106" s="42">
        <f>(3.05*4.9+2.15*2.5+2.75*3.35+2.75*3.5+2.15*1.2+2.2*1.2+1*2.3)*10.764</f>
        <v>502.43660999999992</v>
      </c>
      <c r="E106" s="42">
        <f>(0.75*(2.75+3.05+2.75))*10.764</f>
        <v>69.024150000000006</v>
      </c>
      <c r="F106" s="42">
        <f>D106+E106</f>
        <v>571.46075999999994</v>
      </c>
      <c r="G106" s="42">
        <v>0</v>
      </c>
      <c r="H106" s="42">
        <f t="shared" ref="H106" si="0">F106*(($H$102)+1)+(IF(G106&lt;101,G106,IF(G106&lt;201,G106/2,IF(G106&lt;=301,G106/3,G106/4))))</f>
        <v>828.61810199999991</v>
      </c>
      <c r="I106" s="36">
        <f>(3.05*4.9+2.15*2.5+2.75*3.35+2.75*3.5+2.15*1.2+2.2*1.2+1*2.3)</f>
        <v>46.677499999999995</v>
      </c>
      <c r="J106" s="37">
        <f>J$104*H106</f>
        <v>3148748.7875999995</v>
      </c>
      <c r="L106" s="66"/>
      <c r="M106" s="66"/>
      <c r="N106" s="36"/>
    </row>
    <row r="107" spans="1:14" s="37" customFormat="1" x14ac:dyDescent="0.25">
      <c r="A107" s="143" t="s">
        <v>116</v>
      </c>
      <c r="B107" s="143"/>
      <c r="C107" s="143"/>
      <c r="D107" s="143"/>
      <c r="E107" s="143"/>
      <c r="F107" s="143"/>
      <c r="G107" s="143"/>
      <c r="H107" s="143"/>
      <c r="I107" s="36"/>
      <c r="J107" s="37">
        <f t="shared" ref="J107:J110" si="1">J$104*H107</f>
        <v>0</v>
      </c>
      <c r="L107" s="66"/>
      <c r="M107" s="66"/>
    </row>
    <row r="108" spans="1:14" s="37" customFormat="1" x14ac:dyDescent="0.25">
      <c r="A108" s="67">
        <v>1</v>
      </c>
      <c r="B108" s="67"/>
      <c r="C108" s="42" t="s">
        <v>255</v>
      </c>
      <c r="D108" s="42">
        <f>(3.05*4.85+2.27*3.35+2.75*3.35+3.12*2.75+2.1*1.65+1.75*1.2+1.1*1.8+2.4*1.1+0.9*1.5+0.9*0.9)*10.764</f>
        <v>565.481358</v>
      </c>
      <c r="E108" s="42">
        <f>(0.75*(4.85+4+2.27+2.75))*10.764</f>
        <v>111.97250999999999</v>
      </c>
      <c r="F108" s="42">
        <f>D108+E108</f>
        <v>677.45386799999994</v>
      </c>
      <c r="G108" s="42">
        <v>0</v>
      </c>
      <c r="H108" s="42">
        <f>F108*(($H$102)+1)+(IF(G108&lt;101,G108,IF(G108&lt;201,G108/2,IF(G108&lt;=301,G108/3,G108/4))))</f>
        <v>982.30810859999985</v>
      </c>
      <c r="I108" s="36"/>
      <c r="J108" s="37">
        <f t="shared" si="1"/>
        <v>3732770.8126799995</v>
      </c>
      <c r="N108" s="36"/>
    </row>
    <row r="109" spans="1:14" s="37" customFormat="1" x14ac:dyDescent="0.25">
      <c r="A109" s="67">
        <f>A108+1</f>
        <v>2</v>
      </c>
      <c r="B109" s="67"/>
      <c r="C109" s="42" t="s">
        <v>256</v>
      </c>
      <c r="D109" s="42">
        <f>(2.75*3.5+0.9*1.19+2.2*1.19)*10.764</f>
        <v>143.31189599999999</v>
      </c>
      <c r="E109" s="42">
        <f>(0.75*2.75)*10.764</f>
        <v>22.200749999999999</v>
      </c>
      <c r="F109" s="42">
        <f t="shared" ref="F109" si="2">D109+E109</f>
        <v>165.51264599999999</v>
      </c>
      <c r="G109" s="42">
        <v>0</v>
      </c>
      <c r="H109" s="42">
        <f t="shared" ref="H109:H110" si="3">F109*(($H$102)+1)+(IF(G109&lt;101,G109,IF(G109&lt;201,G109/2,IF(G109&lt;=301,G109/3,G109/4))))</f>
        <v>239.99333669999999</v>
      </c>
      <c r="I109" s="36"/>
      <c r="J109" s="37">
        <f t="shared" si="1"/>
        <v>911974.6794599999</v>
      </c>
      <c r="N109" s="36"/>
    </row>
    <row r="110" spans="1:14" s="37" customFormat="1" x14ac:dyDescent="0.25">
      <c r="A110" s="67">
        <f>A109+1</f>
        <v>3</v>
      </c>
      <c r="B110" s="67"/>
      <c r="C110" s="42" t="s">
        <v>257</v>
      </c>
      <c r="D110" s="42">
        <f>(3.05*3.6+2.15*2.5+2.75*3.35+1*1.2+1.05*1.2+1*2.3)*10.764</f>
        <v>326.44521000000003</v>
      </c>
      <c r="E110" s="42">
        <f>(2.2*1.2+0.75*2.75)*10.764</f>
        <v>50.617710000000002</v>
      </c>
      <c r="F110" s="42">
        <f>D110+E110</f>
        <v>377.06292000000002</v>
      </c>
      <c r="G110" s="42">
        <v>0</v>
      </c>
      <c r="H110" s="42">
        <f t="shared" si="3"/>
        <v>546.74123399999996</v>
      </c>
      <c r="I110" s="36"/>
      <c r="J110" s="37">
        <f t="shared" si="1"/>
        <v>2077616.6891999999</v>
      </c>
      <c r="N110" s="36"/>
    </row>
    <row r="111" spans="1:14" s="35" customFormat="1" x14ac:dyDescent="0.25">
      <c r="A111" s="160" t="s">
        <v>65</v>
      </c>
      <c r="B111" s="160"/>
      <c r="C111" s="160"/>
      <c r="D111" s="160"/>
      <c r="E111" s="160"/>
      <c r="F111" s="160"/>
      <c r="G111" s="160"/>
      <c r="H111" s="160"/>
    </row>
    <row r="112" spans="1:14" s="35" customFormat="1" x14ac:dyDescent="0.25">
      <c r="A112" s="46" t="s">
        <v>150</v>
      </c>
      <c r="B112" s="157" t="s">
        <v>279</v>
      </c>
      <c r="C112" s="158"/>
      <c r="D112" s="158"/>
      <c r="E112" s="158"/>
      <c r="F112" s="158"/>
      <c r="G112" s="158"/>
      <c r="H112" s="159"/>
    </row>
    <row r="113" spans="1:8" s="35" customFormat="1" x14ac:dyDescent="0.25">
      <c r="A113" s="46" t="s">
        <v>150</v>
      </c>
      <c r="B113" s="157" t="str">
        <f>(IF(H101="Saleable area Loading :","We have considered Saleable area of Flats as per our Calculation.","We considered Saleable area of Flat as per Builder area Sheet."))</f>
        <v>We have considered Saleable area of Flats as per our Calculation.</v>
      </c>
      <c r="C113" s="158"/>
      <c r="D113" s="158"/>
      <c r="E113" s="158"/>
      <c r="F113" s="158"/>
      <c r="G113" s="158"/>
      <c r="H113" s="159"/>
    </row>
    <row r="114" spans="1:8" s="35" customFormat="1" x14ac:dyDescent="0.25">
      <c r="A114" s="46" t="s">
        <v>150</v>
      </c>
      <c r="B114" s="57" t="s">
        <v>120</v>
      </c>
      <c r="C114" s="58"/>
      <c r="D114" s="58"/>
      <c r="E114" s="58"/>
      <c r="F114" s="58"/>
      <c r="G114" s="58"/>
      <c r="H114" s="59"/>
    </row>
    <row r="115" spans="1:8" s="35" customFormat="1" x14ac:dyDescent="0.25">
      <c r="A115" s="46" t="s">
        <v>150</v>
      </c>
      <c r="B115" s="157" t="s">
        <v>259</v>
      </c>
      <c r="C115" s="158"/>
      <c r="D115" s="158"/>
      <c r="E115" s="158"/>
      <c r="F115" s="158"/>
      <c r="G115" s="158"/>
      <c r="H115" s="159"/>
    </row>
    <row r="116" spans="1:8" s="35" customFormat="1" x14ac:dyDescent="0.25">
      <c r="A116" s="46" t="s">
        <v>150</v>
      </c>
      <c r="B116" s="57" t="s">
        <v>149</v>
      </c>
      <c r="C116" s="58"/>
      <c r="D116" s="58"/>
      <c r="E116" s="58"/>
      <c r="F116" s="58"/>
      <c r="G116" s="58"/>
      <c r="H116" s="59"/>
    </row>
    <row r="117" spans="1:8" s="35" customFormat="1" x14ac:dyDescent="0.25">
      <c r="A117" s="46" t="s">
        <v>150</v>
      </c>
      <c r="B117" s="57" t="s">
        <v>121</v>
      </c>
      <c r="C117" s="58"/>
      <c r="D117" s="58"/>
      <c r="E117" s="58"/>
      <c r="F117" s="58"/>
      <c r="G117" s="58"/>
      <c r="H117" s="59"/>
    </row>
    <row r="118" spans="1:8" s="35" customFormat="1" ht="34.5" customHeight="1" x14ac:dyDescent="0.25">
      <c r="A118" s="46" t="s">
        <v>150</v>
      </c>
      <c r="B118" s="57" t="s">
        <v>151</v>
      </c>
      <c r="C118" s="58"/>
      <c r="D118" s="58"/>
      <c r="E118" s="58"/>
      <c r="F118" s="58"/>
      <c r="G118" s="58"/>
      <c r="H118" s="59"/>
    </row>
    <row r="119" spans="1:8" s="35" customFormat="1" x14ac:dyDescent="0.25">
      <c r="A119" s="46" t="s">
        <v>150</v>
      </c>
      <c r="B119" s="57" t="s">
        <v>122</v>
      </c>
      <c r="C119" s="58"/>
      <c r="D119" s="58"/>
      <c r="E119" s="58"/>
      <c r="F119" s="58"/>
      <c r="G119" s="58"/>
      <c r="H119" s="59"/>
    </row>
    <row r="120" spans="1:8" s="35" customFormat="1" ht="30.75" customHeight="1" x14ac:dyDescent="0.25">
      <c r="A120" s="46" t="s">
        <v>150</v>
      </c>
      <c r="B120" s="57" t="s">
        <v>274</v>
      </c>
      <c r="C120" s="58"/>
      <c r="D120" s="58"/>
      <c r="E120" s="58"/>
      <c r="F120" s="58"/>
      <c r="G120" s="58"/>
      <c r="H120" s="59"/>
    </row>
    <row r="121" spans="1:8" s="35" customFormat="1" ht="32.25" hidden="1" customHeight="1" x14ac:dyDescent="0.25">
      <c r="A121" s="46" t="s">
        <v>150</v>
      </c>
      <c r="B121" s="170" t="s">
        <v>172</v>
      </c>
      <c r="C121" s="171"/>
      <c r="D121" s="171"/>
      <c r="E121" s="171"/>
      <c r="F121" s="171"/>
      <c r="G121" s="171"/>
      <c r="H121" s="172"/>
    </row>
    <row r="122" spans="1:8" s="35" customFormat="1" ht="34.5" hidden="1" customHeight="1" x14ac:dyDescent="0.25">
      <c r="A122" s="46" t="s">
        <v>150</v>
      </c>
      <c r="B122" s="170" t="s">
        <v>227</v>
      </c>
      <c r="C122" s="171"/>
      <c r="D122" s="171"/>
      <c r="E122" s="171"/>
      <c r="F122" s="171"/>
      <c r="G122" s="171"/>
      <c r="H122" s="172"/>
    </row>
    <row r="123" spans="1:8" x14ac:dyDescent="0.25">
      <c r="A123" s="146" t="s">
        <v>58</v>
      </c>
      <c r="B123" s="146"/>
      <c r="C123" s="146"/>
      <c r="D123" s="146"/>
      <c r="E123" s="146"/>
      <c r="F123" s="146"/>
      <c r="G123" s="146"/>
      <c r="H123" s="146"/>
    </row>
    <row r="124" spans="1:8" x14ac:dyDescent="0.25">
      <c r="A124" s="85" t="s">
        <v>59</v>
      </c>
      <c r="B124" s="85"/>
      <c r="C124" s="85"/>
      <c r="D124" s="85"/>
      <c r="E124" s="85"/>
      <c r="F124" s="85"/>
      <c r="G124" s="85"/>
      <c r="H124" s="85"/>
    </row>
    <row r="125" spans="1:8" ht="15.75" customHeight="1" x14ac:dyDescent="0.25">
      <c r="A125" s="163" t="s">
        <v>60</v>
      </c>
      <c r="B125" s="163"/>
      <c r="C125" s="163"/>
      <c r="D125" s="163"/>
      <c r="E125" s="163"/>
      <c r="F125" s="163"/>
      <c r="G125" s="163"/>
      <c r="H125" s="163"/>
    </row>
    <row r="126" spans="1:8" x14ac:dyDescent="0.25">
      <c r="A126" s="85" t="s">
        <v>61</v>
      </c>
      <c r="B126" s="85"/>
      <c r="C126" s="85"/>
      <c r="D126" s="85"/>
      <c r="E126" s="85"/>
      <c r="F126" s="85"/>
      <c r="G126" s="85"/>
      <c r="H126" s="85"/>
    </row>
    <row r="127" spans="1:8" x14ac:dyDescent="0.25">
      <c r="A127" s="85" t="s">
        <v>62</v>
      </c>
      <c r="B127" s="85"/>
      <c r="C127" s="85"/>
      <c r="D127" s="85"/>
      <c r="E127" s="85"/>
      <c r="F127" s="85"/>
      <c r="G127" s="85"/>
      <c r="H127" s="85"/>
    </row>
    <row r="128" spans="1:8" x14ac:dyDescent="0.25">
      <c r="A128" s="85" t="s">
        <v>123</v>
      </c>
      <c r="B128" s="85"/>
      <c r="C128" s="85"/>
      <c r="D128" s="85"/>
      <c r="E128" s="85"/>
      <c r="F128" s="85"/>
      <c r="G128" s="85"/>
      <c r="H128" s="85"/>
    </row>
    <row r="129" spans="1:8" ht="33.950000000000003" customHeight="1" x14ac:dyDescent="0.25">
      <c r="A129" s="72" t="s">
        <v>124</v>
      </c>
      <c r="B129" s="72"/>
      <c r="C129" s="72"/>
      <c r="D129" s="72"/>
      <c r="E129" s="72"/>
      <c r="F129" s="72"/>
      <c r="G129" s="72"/>
      <c r="H129" s="72"/>
    </row>
    <row r="130" spans="1:8" x14ac:dyDescent="0.25">
      <c r="A130" s="141" t="s">
        <v>73</v>
      </c>
      <c r="B130" s="141"/>
      <c r="C130" s="141" t="s">
        <v>276</v>
      </c>
      <c r="D130" s="141"/>
      <c r="E130" s="141" t="s">
        <v>103</v>
      </c>
      <c r="F130" s="141"/>
      <c r="G130" s="141" t="s">
        <v>277</v>
      </c>
      <c r="H130" s="141"/>
    </row>
    <row r="131" spans="1:8" x14ac:dyDescent="0.25">
      <c r="A131" s="140" t="s">
        <v>75</v>
      </c>
      <c r="B131" s="140"/>
      <c r="C131" s="140"/>
      <c r="D131" s="140"/>
      <c r="E131" s="140"/>
      <c r="F131" s="140"/>
      <c r="G131" s="140"/>
      <c r="H131" s="140"/>
    </row>
    <row r="132" spans="1:8" x14ac:dyDescent="0.25">
      <c r="A132" s="140"/>
      <c r="B132" s="140"/>
      <c r="C132" s="140"/>
      <c r="D132" s="140"/>
      <c r="E132" s="140"/>
      <c r="F132" s="140"/>
      <c r="G132" s="140"/>
      <c r="H132" s="140"/>
    </row>
    <row r="133" spans="1:8" x14ac:dyDescent="0.25">
      <c r="A133" s="140"/>
      <c r="B133" s="140"/>
      <c r="C133" s="140"/>
      <c r="D133" s="140"/>
      <c r="E133" s="140"/>
      <c r="F133" s="140"/>
      <c r="G133" s="140"/>
      <c r="H133" s="140"/>
    </row>
    <row r="134" spans="1:8" x14ac:dyDescent="0.25">
      <c r="A134" s="140"/>
      <c r="B134" s="140"/>
      <c r="C134" s="140"/>
      <c r="D134" s="140"/>
      <c r="E134" s="140"/>
      <c r="F134" s="140"/>
      <c r="G134" s="140"/>
      <c r="H134" s="140"/>
    </row>
    <row r="135" spans="1:8" x14ac:dyDescent="0.25">
      <c r="A135" s="38" t="s">
        <v>63</v>
      </c>
      <c r="B135" s="39"/>
      <c r="C135" s="39"/>
      <c r="D135" s="38" t="str">
        <f>E8</f>
        <v>Phadke Heights</v>
      </c>
      <c r="F135" s="39"/>
      <c r="G135" s="39"/>
      <c r="H135" s="39"/>
    </row>
    <row r="136" spans="1:8" x14ac:dyDescent="0.25">
      <c r="A136" s="39"/>
      <c r="B136" s="39"/>
      <c r="C136" s="39"/>
      <c r="D136" s="39"/>
      <c r="E136" s="39"/>
      <c r="F136" s="39"/>
      <c r="G136" s="39"/>
      <c r="H136" s="39"/>
    </row>
    <row r="137" spans="1:8" x14ac:dyDescent="0.25">
      <c r="A137" s="39"/>
      <c r="B137" s="39"/>
      <c r="C137" s="39"/>
      <c r="D137" s="39"/>
      <c r="E137" s="39"/>
      <c r="F137" s="39"/>
      <c r="G137" s="39"/>
      <c r="H137" s="39"/>
    </row>
    <row r="138" spans="1:8" ht="15" customHeight="1" x14ac:dyDescent="0.25"/>
    <row r="177" spans="1:1" x14ac:dyDescent="0.25">
      <c r="A177" s="41" t="s">
        <v>160</v>
      </c>
    </row>
    <row r="219" spans="1:1" x14ac:dyDescent="0.25">
      <c r="A219" s="41" t="s">
        <v>64</v>
      </c>
    </row>
  </sheetData>
  <mergeCells count="249">
    <mergeCell ref="I14:P14"/>
    <mergeCell ref="F90:H90"/>
    <mergeCell ref="F88:H88"/>
    <mergeCell ref="A100:H100"/>
    <mergeCell ref="A89:E89"/>
    <mergeCell ref="A53:B53"/>
    <mergeCell ref="C53:E53"/>
    <mergeCell ref="D55:H55"/>
    <mergeCell ref="F89:H89"/>
    <mergeCell ref="C94:D94"/>
    <mergeCell ref="D63:H63"/>
    <mergeCell ref="A64:C64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C50:E50"/>
    <mergeCell ref="A128:H128"/>
    <mergeCell ref="A125:H125"/>
    <mergeCell ref="A108:B108"/>
    <mergeCell ref="A94:B94"/>
    <mergeCell ref="D101:D102"/>
    <mergeCell ref="E101:E102"/>
    <mergeCell ref="F81:H81"/>
    <mergeCell ref="F87:H87"/>
    <mergeCell ref="C97:D97"/>
    <mergeCell ref="A104:H104"/>
    <mergeCell ref="B121:H121"/>
    <mergeCell ref="A98:B98"/>
    <mergeCell ref="C98:D98"/>
    <mergeCell ref="E98:F98"/>
    <mergeCell ref="A103:H103"/>
    <mergeCell ref="F80:H80"/>
    <mergeCell ref="F85:H85"/>
    <mergeCell ref="A105:B105"/>
    <mergeCell ref="F83:H83"/>
    <mergeCell ref="C66:H66"/>
    <mergeCell ref="A74:B74"/>
    <mergeCell ref="B122:H122"/>
    <mergeCell ref="A85:E85"/>
    <mergeCell ref="A97:B97"/>
    <mergeCell ref="E97:F97"/>
    <mergeCell ref="A90:E90"/>
    <mergeCell ref="C52:H52"/>
    <mergeCell ref="C51:E51"/>
    <mergeCell ref="A58:C58"/>
    <mergeCell ref="D58:H58"/>
    <mergeCell ref="B118:H118"/>
    <mergeCell ref="B112:H112"/>
    <mergeCell ref="B113:H113"/>
    <mergeCell ref="B114:H114"/>
    <mergeCell ref="B115:H115"/>
    <mergeCell ref="A111:H111"/>
    <mergeCell ref="B116:H116"/>
    <mergeCell ref="G53:H53"/>
    <mergeCell ref="F84:H84"/>
    <mergeCell ref="A77:B77"/>
    <mergeCell ref="A86:E86"/>
    <mergeCell ref="F86:H86"/>
    <mergeCell ref="A88:E88"/>
    <mergeCell ref="A131:H134"/>
    <mergeCell ref="A130:B130"/>
    <mergeCell ref="E130:F130"/>
    <mergeCell ref="C130:D130"/>
    <mergeCell ref="G130:H130"/>
    <mergeCell ref="A91:E91"/>
    <mergeCell ref="F91:H91"/>
    <mergeCell ref="A92:E92"/>
    <mergeCell ref="F92:H92"/>
    <mergeCell ref="A107:H107"/>
    <mergeCell ref="A95:B95"/>
    <mergeCell ref="A126:H126"/>
    <mergeCell ref="A93:H93"/>
    <mergeCell ref="A129:H129"/>
    <mergeCell ref="A127:H127"/>
    <mergeCell ref="A123:H123"/>
    <mergeCell ref="F101:F102"/>
    <mergeCell ref="G94:H94"/>
    <mergeCell ref="B101:B102"/>
    <mergeCell ref="G97:H97"/>
    <mergeCell ref="A96:B96"/>
    <mergeCell ref="C96:D96"/>
    <mergeCell ref="E96:F96"/>
    <mergeCell ref="G96:H96"/>
    <mergeCell ref="A124:H124"/>
    <mergeCell ref="C95:D95"/>
    <mergeCell ref="E95:F95"/>
    <mergeCell ref="G95:H95"/>
    <mergeCell ref="B119:H119"/>
    <mergeCell ref="B117:H11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F33:H33"/>
    <mergeCell ref="F34:H34"/>
    <mergeCell ref="F36:H36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A46:D46"/>
    <mergeCell ref="A47:H47"/>
    <mergeCell ref="D57:H57"/>
    <mergeCell ref="A57:C57"/>
    <mergeCell ref="G50:H50"/>
    <mergeCell ref="A39:B39"/>
    <mergeCell ref="C39:H39"/>
    <mergeCell ref="C101:C102"/>
    <mergeCell ref="G101:G102"/>
    <mergeCell ref="L105:M105"/>
    <mergeCell ref="A106:B106"/>
    <mergeCell ref="G98:H98"/>
    <mergeCell ref="L106:M106"/>
    <mergeCell ref="A69:B69"/>
    <mergeCell ref="A72:B72"/>
    <mergeCell ref="A48:B48"/>
    <mergeCell ref="C48:H48"/>
    <mergeCell ref="F82:H82"/>
    <mergeCell ref="A82:E82"/>
    <mergeCell ref="A84:E84"/>
    <mergeCell ref="A83:E83"/>
    <mergeCell ref="A80:E80"/>
    <mergeCell ref="A68:B68"/>
    <mergeCell ref="A66:B66"/>
    <mergeCell ref="A61:C61"/>
    <mergeCell ref="D61:H61"/>
    <mergeCell ref="C68:H68"/>
    <mergeCell ref="A71:B71"/>
    <mergeCell ref="A73:B73"/>
    <mergeCell ref="B120:H120"/>
    <mergeCell ref="A51:B52"/>
    <mergeCell ref="A76:B76"/>
    <mergeCell ref="L107:M107"/>
    <mergeCell ref="A109:B109"/>
    <mergeCell ref="A110:B110"/>
    <mergeCell ref="E69:F69"/>
    <mergeCell ref="A62:C62"/>
    <mergeCell ref="D62:H62"/>
    <mergeCell ref="A65:C65"/>
    <mergeCell ref="D65:H65"/>
    <mergeCell ref="A63:C63"/>
    <mergeCell ref="D64:H64"/>
    <mergeCell ref="A70:B70"/>
    <mergeCell ref="G69:H69"/>
    <mergeCell ref="E70:F79"/>
    <mergeCell ref="G70:H79"/>
    <mergeCell ref="A78:B78"/>
    <mergeCell ref="A79:B79"/>
    <mergeCell ref="A87:E87"/>
    <mergeCell ref="E94:F94"/>
    <mergeCell ref="A99:H99"/>
    <mergeCell ref="A101:A102"/>
    <mergeCell ref="A81:E81"/>
  </mergeCells>
  <dataValidations count="10">
    <dataValidation type="list" allowBlank="1" showInputMessage="1" showErrorMessage="1" sqref="E4:H4">
      <formula1>"Axis Goregaon,Axis Thane,Axis Badlapur,Axis Sanpada, PNB Thane,IBHF Vashi,IBHF Thane,IBHF Andheri"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G130:H130">
      <formula1>"Gaurav Panchal,Kunal Kadam,Pranita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1:H91">
      <formula1>"100000,150000,200000,250000,300000,350000,400000,500000,600000,700000,800000,900000,1000000,1200000,1400000,1500000"</formula1>
    </dataValidation>
    <dataValidation type="list" allowBlank="1" showInputMessage="1" showErrorMessage="1" sqref="B101:B102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E101:E102">
      <formula1>"Fungible area,Weather Shed+Balcony Area,Chajja Area,Cornice Area,AP Area,WS Area"</formula1>
    </dataValidation>
    <dataValidation type="list" allowBlank="1" showInputMessage="1" showErrorMessage="1" sqref="H102">
      <formula1>"45%,50%,55%,60%"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9" max="7" man="1"/>
    <brk id="134" max="16383" man="1"/>
    <brk id="176" max="16383" man="1"/>
    <brk id="218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K3" sqref="K3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1" t="s">
        <v>104</v>
      </c>
      <c r="C3" s="191"/>
      <c r="D3" s="191"/>
      <c r="E3" s="191"/>
      <c r="F3" s="191"/>
      <c r="G3" s="191"/>
      <c r="H3" s="191"/>
    </row>
    <row r="4" spans="1:9" x14ac:dyDescent="0.25">
      <c r="A4" s="2"/>
      <c r="B4" s="3" t="s">
        <v>105</v>
      </c>
      <c r="C4" s="3" t="s">
        <v>106</v>
      </c>
      <c r="D4" s="3" t="s">
        <v>66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25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zoomScale="130" zoomScaleNormal="130" workbookViewId="0">
      <selection activeCell="C3" sqref="C3:K18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3"/>
      <c r="C4" s="53" t="s">
        <v>10</v>
      </c>
      <c r="D4" s="54" t="s">
        <v>173</v>
      </c>
      <c r="E4" s="54" t="s">
        <v>183</v>
      </c>
      <c r="F4" s="54" t="s">
        <v>168</v>
      </c>
      <c r="G4" s="54" t="s">
        <v>188</v>
      </c>
      <c r="H4" s="54" t="s">
        <v>206</v>
      </c>
      <c r="J4" t="s">
        <v>188</v>
      </c>
      <c r="K4" t="s">
        <v>204</v>
      </c>
    </row>
    <row r="5" spans="2:11" x14ac:dyDescent="0.25">
      <c r="B5" s="53"/>
      <c r="C5" s="53"/>
      <c r="D5" s="54" t="s">
        <v>174</v>
      </c>
      <c r="E5" s="54" t="s">
        <v>181</v>
      </c>
      <c r="F5" s="54" t="s">
        <v>203</v>
      </c>
      <c r="G5" s="54" t="s">
        <v>189</v>
      </c>
      <c r="H5" s="54" t="s">
        <v>207</v>
      </c>
    </row>
    <row r="6" spans="2:11" x14ac:dyDescent="0.25">
      <c r="B6" s="53"/>
      <c r="C6" s="53"/>
      <c r="D6" s="54" t="s">
        <v>175</v>
      </c>
      <c r="E6" s="54" t="s">
        <v>182</v>
      </c>
      <c r="F6" s="54" t="s">
        <v>204</v>
      </c>
      <c r="G6" s="54" t="s">
        <v>190</v>
      </c>
      <c r="H6" s="54" t="s">
        <v>220</v>
      </c>
    </row>
    <row r="7" spans="2:11" x14ac:dyDescent="0.25">
      <c r="B7" s="53"/>
      <c r="C7" s="53"/>
      <c r="D7" s="54" t="s">
        <v>176</v>
      </c>
      <c r="E7" s="54" t="s">
        <v>184</v>
      </c>
      <c r="F7" s="54" t="s">
        <v>205</v>
      </c>
      <c r="G7" s="54" t="s">
        <v>191</v>
      </c>
      <c r="H7" s="54" t="s">
        <v>208</v>
      </c>
    </row>
    <row r="8" spans="2:11" x14ac:dyDescent="0.25">
      <c r="B8" s="53"/>
      <c r="C8" s="53"/>
      <c r="D8" s="54" t="s">
        <v>177</v>
      </c>
      <c r="E8" s="54" t="s">
        <v>185</v>
      </c>
      <c r="F8" s="54"/>
      <c r="G8" s="54" t="s">
        <v>192</v>
      </c>
      <c r="H8" s="54" t="s">
        <v>209</v>
      </c>
    </row>
    <row r="9" spans="2:11" x14ac:dyDescent="0.25">
      <c r="B9" s="53"/>
      <c r="C9" s="53"/>
      <c r="D9" s="54" t="s">
        <v>178</v>
      </c>
      <c r="E9" s="54" t="s">
        <v>183</v>
      </c>
      <c r="F9" s="54"/>
      <c r="G9" s="54" t="s">
        <v>193</v>
      </c>
      <c r="H9" s="54" t="s">
        <v>210</v>
      </c>
    </row>
    <row r="10" spans="2:11" x14ac:dyDescent="0.25">
      <c r="B10" s="53"/>
      <c r="C10" s="53"/>
      <c r="D10" s="54" t="s">
        <v>179</v>
      </c>
      <c r="E10" s="54" t="s">
        <v>186</v>
      </c>
      <c r="F10" s="54"/>
      <c r="G10" s="54" t="s">
        <v>194</v>
      </c>
      <c r="H10" s="54" t="s">
        <v>211</v>
      </c>
    </row>
    <row r="11" spans="2:11" x14ac:dyDescent="0.25">
      <c r="B11" s="53"/>
      <c r="C11" s="53"/>
      <c r="D11" s="54" t="s">
        <v>180</v>
      </c>
      <c r="E11" s="54" t="s">
        <v>187</v>
      </c>
      <c r="F11" s="54"/>
      <c r="G11" s="54" t="s">
        <v>195</v>
      </c>
      <c r="H11" s="54" t="s">
        <v>212</v>
      </c>
    </row>
    <row r="12" spans="2:11" x14ac:dyDescent="0.25">
      <c r="B12" s="53"/>
      <c r="C12" s="53"/>
      <c r="D12" s="54"/>
      <c r="E12" s="54"/>
      <c r="F12" s="54"/>
      <c r="G12" s="54" t="s">
        <v>196</v>
      </c>
      <c r="H12" s="54" t="s">
        <v>213</v>
      </c>
    </row>
    <row r="13" spans="2:11" x14ac:dyDescent="0.25">
      <c r="B13" s="53"/>
      <c r="C13" s="53"/>
      <c r="D13" s="54"/>
      <c r="E13" s="54"/>
      <c r="F13" s="54"/>
      <c r="G13" s="54" t="s">
        <v>197</v>
      </c>
      <c r="H13" s="54" t="s">
        <v>214</v>
      </c>
    </row>
    <row r="14" spans="2:11" x14ac:dyDescent="0.25">
      <c r="B14" s="53"/>
      <c r="C14" s="53"/>
      <c r="D14" s="54"/>
      <c r="E14" s="54"/>
      <c r="F14" s="54"/>
      <c r="G14" s="54" t="s">
        <v>198</v>
      </c>
      <c r="H14" s="54" t="s">
        <v>215</v>
      </c>
    </row>
    <row r="15" spans="2:11" x14ac:dyDescent="0.25">
      <c r="B15" s="53"/>
      <c r="C15" s="53"/>
      <c r="D15" s="54"/>
      <c r="E15" s="54"/>
      <c r="F15" s="54"/>
      <c r="G15" s="54" t="s">
        <v>199</v>
      </c>
      <c r="H15" s="54" t="s">
        <v>216</v>
      </c>
    </row>
    <row r="16" spans="2:11" x14ac:dyDescent="0.25">
      <c r="B16" s="53"/>
      <c r="C16" s="53"/>
      <c r="D16" s="54"/>
      <c r="E16" s="54"/>
      <c r="F16" s="54"/>
      <c r="G16" s="54" t="s">
        <v>200</v>
      </c>
      <c r="H16" s="54" t="s">
        <v>217</v>
      </c>
    </row>
    <row r="17" spans="2:8" x14ac:dyDescent="0.25">
      <c r="B17" s="53"/>
      <c r="C17" s="53"/>
      <c r="D17" s="54"/>
      <c r="E17" s="54"/>
      <c r="F17" s="54"/>
      <c r="G17" s="54" t="s">
        <v>201</v>
      </c>
      <c r="H17" s="54" t="s">
        <v>218</v>
      </c>
    </row>
    <row r="18" spans="2:8" x14ac:dyDescent="0.25">
      <c r="B18" s="53"/>
      <c r="C18" s="53"/>
      <c r="D18" s="54"/>
      <c r="E18" s="54"/>
      <c r="F18" s="54"/>
      <c r="G18" s="54" t="s">
        <v>202</v>
      </c>
      <c r="H18" s="54" t="s">
        <v>219</v>
      </c>
    </row>
    <row r="24" spans="2:8" x14ac:dyDescent="0.25">
      <c r="C24" t="s">
        <v>166</v>
      </c>
    </row>
    <row r="25" spans="2:8" x14ac:dyDescent="0.25">
      <c r="C25" t="s">
        <v>221</v>
      </c>
    </row>
    <row r="26" spans="2:8" x14ac:dyDescent="0.25">
      <c r="C26" t="s">
        <v>222</v>
      </c>
    </row>
    <row r="27" spans="2:8" x14ac:dyDescent="0.25">
      <c r="C27" t="s">
        <v>223</v>
      </c>
    </row>
    <row r="28" spans="2:8" x14ac:dyDescent="0.25">
      <c r="C28" t="s">
        <v>224</v>
      </c>
    </row>
    <row r="29" spans="2:8" x14ac:dyDescent="0.25">
      <c r="C29" t="s">
        <v>225</v>
      </c>
    </row>
    <row r="30" spans="2:8" x14ac:dyDescent="0.25">
      <c r="C30" t="s">
        <v>166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2025-07-09T12:30:21Z</cp:lastPrinted>
  <dcterms:created xsi:type="dcterms:W3CDTF">2019-07-16T09:29:46Z</dcterms:created>
  <dcterms:modified xsi:type="dcterms:W3CDTF">2025-07-09T12:30:46Z</dcterms:modified>
</cp:coreProperties>
</file>