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hruti\July 25\Dump\"/>
    </mc:Choice>
  </mc:AlternateContent>
  <bookViews>
    <workbookView xWindow="0" yWindow="0" windowWidth="20490" windowHeight="7755" tabRatio="725"/>
  </bookViews>
  <sheets>
    <sheet name="Report" sheetId="1" r:id="rId1"/>
    <sheet name="valuation" sheetId="5" r:id="rId2"/>
    <sheet name="Research" sheetId="4" r:id="rId3"/>
  </sheets>
  <definedNames>
    <definedName name="_xlnm._FilterDatabase" localSheetId="0" hidden="1">Report!$A$198:$WVJ$545</definedName>
    <definedName name="_xlnm.Print_Area" localSheetId="0">Report!$A$1:$H$668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3" i="1" l="1"/>
  <c r="C114" i="1" s="1"/>
  <c r="C127" i="1"/>
  <c r="C141" i="1"/>
  <c r="C115" i="1" l="1"/>
  <c r="C129" i="1"/>
  <c r="C143" i="1"/>
  <c r="D183" i="1"/>
  <c r="D437" i="1" l="1"/>
  <c r="D442" i="1"/>
  <c r="D447" i="1"/>
  <c r="D452" i="1"/>
  <c r="D457" i="1"/>
  <c r="D462" i="1"/>
  <c r="D467" i="1"/>
  <c r="D471" i="1"/>
  <c r="D515" i="1"/>
  <c r="F515" i="1" s="1"/>
  <c r="D436" i="1"/>
  <c r="D441" i="1"/>
  <c r="D446" i="1"/>
  <c r="D451" i="1"/>
  <c r="D456" i="1"/>
  <c r="D461" i="1"/>
  <c r="D466" i="1"/>
  <c r="D476" i="1"/>
  <c r="D481" i="1"/>
  <c r="D480" i="1"/>
  <c r="D514" i="1"/>
  <c r="F514" i="1" s="1"/>
  <c r="D479" i="1"/>
  <c r="D513" i="1"/>
  <c r="F513" i="1" s="1"/>
  <c r="D516" i="1"/>
  <c r="F516" i="1" s="1"/>
  <c r="A514" i="1"/>
  <c r="A515" i="1" s="1"/>
  <c r="A516" i="1" s="1"/>
  <c r="G513" i="1"/>
  <c r="D434" i="1"/>
  <c r="D439" i="1"/>
  <c r="D444" i="1"/>
  <c r="D449" i="1"/>
  <c r="D454" i="1"/>
  <c r="D379" i="1"/>
  <c r="D384" i="1"/>
  <c r="D389" i="1"/>
  <c r="D394" i="1"/>
  <c r="D399" i="1"/>
  <c r="D404" i="1"/>
  <c r="D409" i="1"/>
  <c r="D418" i="1"/>
  <c r="D423" i="1"/>
  <c r="F423" i="1" s="1"/>
  <c r="D428" i="1"/>
  <c r="F428" i="1" s="1"/>
  <c r="D378" i="1"/>
  <c r="D383" i="1"/>
  <c r="D388" i="1"/>
  <c r="D393" i="1"/>
  <c r="D398" i="1"/>
  <c r="D403" i="1"/>
  <c r="D408" i="1"/>
  <c r="D413" i="1"/>
  <c r="D422" i="1"/>
  <c r="F422" i="1" s="1"/>
  <c r="D417" i="1"/>
  <c r="D421" i="1"/>
  <c r="F421" i="1" s="1"/>
  <c r="D426" i="1"/>
  <c r="F426" i="1" s="1"/>
  <c r="D429" i="1"/>
  <c r="F429" i="1" s="1"/>
  <c r="D427" i="1"/>
  <c r="F427" i="1" s="1"/>
  <c r="A427" i="1"/>
  <c r="A428" i="1" s="1"/>
  <c r="A429" i="1" s="1"/>
  <c r="G426" i="1"/>
  <c r="D424" i="1"/>
  <c r="F424" i="1" s="1"/>
  <c r="A422" i="1"/>
  <c r="A423" i="1" s="1"/>
  <c r="A424" i="1" s="1"/>
  <c r="G421" i="1"/>
  <c r="D376" i="1"/>
  <c r="D381" i="1"/>
  <c r="D386" i="1"/>
  <c r="D391" i="1"/>
  <c r="D396" i="1"/>
  <c r="D321" i="1"/>
  <c r="D326" i="1"/>
  <c r="D331" i="1"/>
  <c r="D336" i="1"/>
  <c r="D341" i="1"/>
  <c r="D346" i="1"/>
  <c r="D351" i="1"/>
  <c r="D355" i="1"/>
  <c r="D365" i="1"/>
  <c r="F365" i="1" s="1"/>
  <c r="D370" i="1"/>
  <c r="F370" i="1" s="1"/>
  <c r="D320" i="1"/>
  <c r="D325" i="1"/>
  <c r="D330" i="1"/>
  <c r="D335" i="1"/>
  <c r="D340" i="1"/>
  <c r="D345" i="1"/>
  <c r="D350" i="1"/>
  <c r="D360" i="1"/>
  <c r="D369" i="1"/>
  <c r="F369" i="1" s="1"/>
  <c r="D364" i="1"/>
  <c r="F364" i="1" s="1"/>
  <c r="D368" i="1"/>
  <c r="F368" i="1" s="1"/>
  <c r="D363" i="1"/>
  <c r="F363" i="1" s="1"/>
  <c r="D371" i="1"/>
  <c r="F371" i="1" s="1"/>
  <c r="A369" i="1"/>
  <c r="A370" i="1" s="1"/>
  <c r="A371" i="1" s="1"/>
  <c r="G368" i="1"/>
  <c r="D366" i="1"/>
  <c r="F366" i="1" s="1"/>
  <c r="A364" i="1"/>
  <c r="A365" i="1" s="1"/>
  <c r="A366" i="1" s="1"/>
  <c r="G363" i="1"/>
  <c r="D318" i="1"/>
  <c r="D323" i="1"/>
  <c r="D328" i="1"/>
  <c r="D333" i="1"/>
  <c r="D338" i="1"/>
  <c r="D258" i="1"/>
  <c r="D263" i="1"/>
  <c r="D268" i="1"/>
  <c r="D273" i="1"/>
  <c r="D278" i="1"/>
  <c r="D283" i="1"/>
  <c r="D257" i="1"/>
  <c r="D262" i="1"/>
  <c r="D272" i="1"/>
  <c r="D277" i="1"/>
  <c r="D282" i="1"/>
  <c r="D287" i="1"/>
  <c r="D292" i="1"/>
  <c r="D297" i="1"/>
  <c r="D302" i="1"/>
  <c r="D307" i="1"/>
  <c r="D306" i="1" l="1"/>
  <c r="D301" i="1"/>
  <c r="D305" i="1"/>
  <c r="D300" i="1"/>
  <c r="D275" i="1"/>
  <c r="D270" i="1"/>
  <c r="D265" i="1"/>
  <c r="D260" i="1"/>
  <c r="D255" i="1"/>
  <c r="D250" i="1"/>
  <c r="D234" i="1"/>
  <c r="D223" i="1"/>
  <c r="D228" i="1"/>
  <c r="D239" i="1"/>
  <c r="D244" i="1"/>
  <c r="D249" i="1"/>
  <c r="D218" i="1"/>
  <c r="C120" i="1" l="1"/>
  <c r="K149" i="1" l="1"/>
  <c r="I202" i="1"/>
  <c r="D191" i="1"/>
  <c r="F191" i="1" s="1"/>
  <c r="A191" i="1"/>
  <c r="G190" i="1"/>
  <c r="D190" i="1"/>
  <c r="F190" i="1" s="1"/>
  <c r="D187" i="1" l="1"/>
  <c r="D188" i="1"/>
  <c r="D185" i="1"/>
  <c r="F185" i="1" s="1"/>
  <c r="D184" i="1"/>
  <c r="F184" i="1" s="1"/>
  <c r="J183" i="1" s="1"/>
  <c r="A184" i="1"/>
  <c r="A185" i="1" s="1"/>
  <c r="G183" i="1"/>
  <c r="C50" i="1"/>
  <c r="F183" i="1" l="1"/>
  <c r="E165" i="1"/>
  <c r="C165" i="1"/>
  <c r="D482" i="1"/>
  <c r="F482" i="1" s="1"/>
  <c r="F481" i="1"/>
  <c r="F480" i="1"/>
  <c r="F479" i="1"/>
  <c r="D477" i="1"/>
  <c r="F477" i="1" s="1"/>
  <c r="F476" i="1"/>
  <c r="D475" i="1"/>
  <c r="F475" i="1" s="1"/>
  <c r="J475" i="1" s="1"/>
  <c r="D474" i="1"/>
  <c r="F474" i="1" s="1"/>
  <c r="D472" i="1"/>
  <c r="F472" i="1" s="1"/>
  <c r="D470" i="1"/>
  <c r="F470" i="1" s="1"/>
  <c r="D469" i="1"/>
  <c r="F469" i="1" s="1"/>
  <c r="F467" i="1"/>
  <c r="F466" i="1"/>
  <c r="J466" i="1" s="1"/>
  <c r="D465" i="1"/>
  <c r="F465" i="1" s="1"/>
  <c r="D464" i="1"/>
  <c r="F464" i="1" s="1"/>
  <c r="F461" i="1"/>
  <c r="D460" i="1"/>
  <c r="F460" i="1" s="1"/>
  <c r="D459" i="1"/>
  <c r="F459" i="1" s="1"/>
  <c r="F457" i="1"/>
  <c r="D455" i="1"/>
  <c r="F455" i="1" s="1"/>
  <c r="F454" i="1"/>
  <c r="D450" i="1"/>
  <c r="F450" i="1" s="1"/>
  <c r="F449" i="1"/>
  <c r="F447" i="1"/>
  <c r="F446" i="1"/>
  <c r="D445" i="1"/>
  <c r="F445" i="1" s="1"/>
  <c r="D440" i="1"/>
  <c r="F439" i="1"/>
  <c r="F437" i="1"/>
  <c r="F436" i="1"/>
  <c r="J436" i="1" s="1"/>
  <c r="D419" i="1"/>
  <c r="F419" i="1" s="1"/>
  <c r="F418" i="1"/>
  <c r="F417" i="1"/>
  <c r="D416" i="1"/>
  <c r="F416" i="1" s="1"/>
  <c r="D414" i="1"/>
  <c r="F414" i="1" s="1"/>
  <c r="D412" i="1"/>
  <c r="F412" i="1" s="1"/>
  <c r="F409" i="1"/>
  <c r="D407" i="1"/>
  <c r="F407" i="1" s="1"/>
  <c r="D406" i="1"/>
  <c r="F406" i="1" s="1"/>
  <c r="F404" i="1"/>
  <c r="F403" i="1"/>
  <c r="D402" i="1"/>
  <c r="F402" i="1" s="1"/>
  <c r="D401" i="1"/>
  <c r="F401" i="1" s="1"/>
  <c r="J401" i="1" s="1"/>
  <c r="F399" i="1"/>
  <c r="D397" i="1"/>
  <c r="F397" i="1" s="1"/>
  <c r="J397" i="1" s="1"/>
  <c r="F396" i="1"/>
  <c r="F394" i="1"/>
  <c r="F393" i="1"/>
  <c r="D392" i="1"/>
  <c r="F392" i="1" s="1"/>
  <c r="F391" i="1"/>
  <c r="F389" i="1"/>
  <c r="D387" i="1"/>
  <c r="F387" i="1" s="1"/>
  <c r="F386" i="1"/>
  <c r="F384" i="1"/>
  <c r="F383" i="1"/>
  <c r="D382" i="1"/>
  <c r="F381" i="1"/>
  <c r="F379" i="1"/>
  <c r="D361" i="1"/>
  <c r="F361" i="1" s="1"/>
  <c r="F360" i="1"/>
  <c r="D359" i="1"/>
  <c r="F359" i="1" s="1"/>
  <c r="D358" i="1"/>
  <c r="F358" i="1" s="1"/>
  <c r="D356" i="1"/>
  <c r="D354" i="1"/>
  <c r="F354" i="1" s="1"/>
  <c r="D353" i="1"/>
  <c r="F353" i="1" s="1"/>
  <c r="F351" i="1"/>
  <c r="F350" i="1"/>
  <c r="D349" i="1"/>
  <c r="F349" i="1" s="1"/>
  <c r="D348" i="1"/>
  <c r="F348" i="1" s="1"/>
  <c r="F346" i="1"/>
  <c r="F345" i="1"/>
  <c r="D344" i="1"/>
  <c r="F344" i="1" s="1"/>
  <c r="D343" i="1"/>
  <c r="F343" i="1" s="1"/>
  <c r="F341" i="1"/>
  <c r="F340" i="1"/>
  <c r="D339" i="1"/>
  <c r="F339" i="1" s="1"/>
  <c r="F338" i="1"/>
  <c r="F336" i="1"/>
  <c r="F335" i="1"/>
  <c r="D334" i="1"/>
  <c r="F334" i="1" s="1"/>
  <c r="F333" i="1"/>
  <c r="F331" i="1"/>
  <c r="F330" i="1"/>
  <c r="D329" i="1"/>
  <c r="F329" i="1" s="1"/>
  <c r="F328" i="1"/>
  <c r="F326" i="1"/>
  <c r="D324" i="1"/>
  <c r="F323" i="1"/>
  <c r="F321" i="1"/>
  <c r="F320" i="1"/>
  <c r="D312" i="1"/>
  <c r="F312" i="1" s="1"/>
  <c r="D311" i="1"/>
  <c r="D310" i="1"/>
  <c r="F310" i="1" s="1"/>
  <c r="D308" i="1"/>
  <c r="F308" i="1" s="1"/>
  <c r="F307" i="1"/>
  <c r="F306" i="1"/>
  <c r="F305" i="1"/>
  <c r="D303" i="1"/>
  <c r="F303" i="1" s="1"/>
  <c r="F301" i="1"/>
  <c r="F300" i="1"/>
  <c r="D298" i="1"/>
  <c r="F298" i="1" s="1"/>
  <c r="J298" i="1" s="1"/>
  <c r="F297" i="1"/>
  <c r="D296" i="1"/>
  <c r="F296" i="1" s="1"/>
  <c r="D295" i="1"/>
  <c r="F295" i="1" s="1"/>
  <c r="D293" i="1"/>
  <c r="F293" i="1" s="1"/>
  <c r="F292" i="1"/>
  <c r="D291" i="1"/>
  <c r="D288" i="1"/>
  <c r="F288" i="1" s="1"/>
  <c r="F287" i="1"/>
  <c r="D286" i="1"/>
  <c r="F286" i="1" s="1"/>
  <c r="D285" i="1"/>
  <c r="F285" i="1" s="1"/>
  <c r="F283" i="1"/>
  <c r="F282" i="1"/>
  <c r="D281" i="1"/>
  <c r="F281" i="1" s="1"/>
  <c r="D280" i="1"/>
  <c r="F280" i="1" s="1"/>
  <c r="F278" i="1"/>
  <c r="F277" i="1"/>
  <c r="D276" i="1"/>
  <c r="F276" i="1" s="1"/>
  <c r="F275" i="1"/>
  <c r="F273" i="1"/>
  <c r="F272" i="1"/>
  <c r="D271" i="1"/>
  <c r="F271" i="1" s="1"/>
  <c r="F268" i="1"/>
  <c r="D267" i="1"/>
  <c r="F267" i="1" s="1"/>
  <c r="D266" i="1"/>
  <c r="F266" i="1" s="1"/>
  <c r="F265" i="1"/>
  <c r="F263" i="1"/>
  <c r="F262" i="1"/>
  <c r="D261" i="1"/>
  <c r="F260" i="1"/>
  <c r="F257" i="1"/>
  <c r="J256" i="1"/>
  <c r="F250" i="1"/>
  <c r="F249" i="1"/>
  <c r="D248" i="1"/>
  <c r="F248" i="1" s="1"/>
  <c r="J248" i="1" s="1"/>
  <c r="D247" i="1"/>
  <c r="F247" i="1" s="1"/>
  <c r="J247" i="1" s="1"/>
  <c r="D245" i="1"/>
  <c r="F245" i="1" s="1"/>
  <c r="F244" i="1"/>
  <c r="D243" i="1"/>
  <c r="F243" i="1" s="1"/>
  <c r="D242" i="1"/>
  <c r="F242" i="1" s="1"/>
  <c r="D240" i="1"/>
  <c r="F240" i="1" s="1"/>
  <c r="F239" i="1"/>
  <c r="D238" i="1"/>
  <c r="F238" i="1" s="1"/>
  <c r="D237" i="1"/>
  <c r="F237" i="1" s="1"/>
  <c r="D235" i="1"/>
  <c r="F235" i="1" s="1"/>
  <c r="D232" i="1"/>
  <c r="F232" i="1" s="1"/>
  <c r="D231" i="1"/>
  <c r="F231" i="1" s="1"/>
  <c r="D229" i="1"/>
  <c r="F229" i="1" s="1"/>
  <c r="F228" i="1"/>
  <c r="D227" i="1"/>
  <c r="F227" i="1" s="1"/>
  <c r="D226" i="1"/>
  <c r="F226" i="1" s="1"/>
  <c r="D224" i="1"/>
  <c r="F224" i="1" s="1"/>
  <c r="F223" i="1"/>
  <c r="D222" i="1"/>
  <c r="F222" i="1" s="1"/>
  <c r="D221" i="1"/>
  <c r="F221" i="1" s="1"/>
  <c r="D219" i="1"/>
  <c r="F219" i="1" s="1"/>
  <c r="J219" i="1" s="1"/>
  <c r="F218" i="1"/>
  <c r="D217" i="1"/>
  <c r="F217" i="1" s="1"/>
  <c r="J217" i="1" s="1"/>
  <c r="D216" i="1"/>
  <c r="D213" i="1"/>
  <c r="F213" i="1" s="1"/>
  <c r="D212" i="1"/>
  <c r="F212" i="1" s="1"/>
  <c r="D209" i="1"/>
  <c r="F209" i="1" s="1"/>
  <c r="D208" i="1"/>
  <c r="F208" i="1" s="1"/>
  <c r="D205" i="1"/>
  <c r="F205" i="1" s="1"/>
  <c r="J205" i="1" s="1"/>
  <c r="D204" i="1"/>
  <c r="F204" i="1" s="1"/>
  <c r="D201" i="1"/>
  <c r="F201" i="1" s="1"/>
  <c r="D195" i="1"/>
  <c r="F195" i="1" s="1"/>
  <c r="D194" i="1"/>
  <c r="F194" i="1" s="1"/>
  <c r="C134" i="1"/>
  <c r="A195" i="1"/>
  <c r="G194" i="1"/>
  <c r="F311" i="1"/>
  <c r="A311" i="1"/>
  <c r="A312" i="1" s="1"/>
  <c r="A313" i="1" s="1"/>
  <c r="G310" i="1"/>
  <c r="A306" i="1"/>
  <c r="A307" i="1" s="1"/>
  <c r="A308" i="1" s="1"/>
  <c r="G305" i="1"/>
  <c r="A248" i="1"/>
  <c r="A249" i="1" s="1"/>
  <c r="A250" i="1" s="1"/>
  <c r="G247" i="1"/>
  <c r="A480" i="1"/>
  <c r="A481" i="1" s="1"/>
  <c r="A482" i="1" s="1"/>
  <c r="G479" i="1"/>
  <c r="F302" i="1"/>
  <c r="A301" i="1"/>
  <c r="A302" i="1" s="1"/>
  <c r="A303" i="1" s="1"/>
  <c r="G300" i="1"/>
  <c r="A243" i="1"/>
  <c r="A244" i="1" s="1"/>
  <c r="A245" i="1" s="1"/>
  <c r="G242" i="1"/>
  <c r="A475" i="1"/>
  <c r="A476" i="1" s="1"/>
  <c r="A477" i="1" s="1"/>
  <c r="G474" i="1"/>
  <c r="A417" i="1"/>
  <c r="A418" i="1" s="1"/>
  <c r="A419" i="1" s="1"/>
  <c r="G416" i="1"/>
  <c r="A359" i="1"/>
  <c r="A360" i="1" s="1"/>
  <c r="A361" i="1" s="1"/>
  <c r="G358" i="1"/>
  <c r="A296" i="1"/>
  <c r="A297" i="1" s="1"/>
  <c r="A298" i="1" s="1"/>
  <c r="G295" i="1"/>
  <c r="A238" i="1"/>
  <c r="A239" i="1" s="1"/>
  <c r="A240" i="1" s="1"/>
  <c r="G237" i="1"/>
  <c r="F471" i="1"/>
  <c r="A470" i="1"/>
  <c r="A471" i="1" s="1"/>
  <c r="A472" i="1" s="1"/>
  <c r="G469" i="1"/>
  <c r="F413" i="1"/>
  <c r="A412" i="1"/>
  <c r="A413" i="1" s="1"/>
  <c r="A414" i="1" s="1"/>
  <c r="G411" i="1"/>
  <c r="F356" i="1"/>
  <c r="F355" i="1"/>
  <c r="A354" i="1"/>
  <c r="A355" i="1" s="1"/>
  <c r="A356" i="1" s="1"/>
  <c r="G353" i="1"/>
  <c r="F291" i="1"/>
  <c r="A291" i="1"/>
  <c r="A292" i="1" s="1"/>
  <c r="A293" i="1" s="1"/>
  <c r="G290" i="1"/>
  <c r="F234" i="1"/>
  <c r="A232" i="1"/>
  <c r="A234" i="1" s="1"/>
  <c r="A235" i="1" s="1"/>
  <c r="G231" i="1"/>
  <c r="A465" i="1"/>
  <c r="A466" i="1" s="1"/>
  <c r="A467" i="1" s="1"/>
  <c r="G464" i="1"/>
  <c r="F408" i="1"/>
  <c r="A407" i="1"/>
  <c r="A408" i="1" s="1"/>
  <c r="A409" i="1" s="1"/>
  <c r="G406" i="1"/>
  <c r="A349" i="1"/>
  <c r="A350" i="1" s="1"/>
  <c r="A351" i="1" s="1"/>
  <c r="G348" i="1"/>
  <c r="A286" i="1"/>
  <c r="A287" i="1" s="1"/>
  <c r="A288" i="1" s="1"/>
  <c r="G285" i="1"/>
  <c r="A227" i="1"/>
  <c r="A228" i="1" s="1"/>
  <c r="A229" i="1" s="1"/>
  <c r="G226" i="1"/>
  <c r="F462" i="1"/>
  <c r="A460" i="1"/>
  <c r="A461" i="1" s="1"/>
  <c r="A462" i="1" s="1"/>
  <c r="G459" i="1"/>
  <c r="A402" i="1"/>
  <c r="A403" i="1" s="1"/>
  <c r="A404" i="1" s="1"/>
  <c r="G401" i="1"/>
  <c r="A344" i="1"/>
  <c r="A345" i="1" s="1"/>
  <c r="A346" i="1" s="1"/>
  <c r="G343" i="1"/>
  <c r="A281" i="1"/>
  <c r="A282" i="1" s="1"/>
  <c r="A283" i="1" s="1"/>
  <c r="G280" i="1"/>
  <c r="A222" i="1"/>
  <c r="A223" i="1" s="1"/>
  <c r="A224" i="1" s="1"/>
  <c r="G221" i="1"/>
  <c r="F456" i="1"/>
  <c r="A455" i="1"/>
  <c r="A456" i="1" s="1"/>
  <c r="A457" i="1" s="1"/>
  <c r="G454" i="1"/>
  <c r="F398" i="1"/>
  <c r="A397" i="1"/>
  <c r="A398" i="1" s="1"/>
  <c r="A399" i="1" s="1"/>
  <c r="G396" i="1"/>
  <c r="A339" i="1"/>
  <c r="A340" i="1" s="1"/>
  <c r="A341" i="1" s="1"/>
  <c r="G338" i="1"/>
  <c r="A276" i="1"/>
  <c r="A277" i="1" s="1"/>
  <c r="A278" i="1" s="1"/>
  <c r="G275" i="1"/>
  <c r="A217" i="1"/>
  <c r="A218" i="1" s="1"/>
  <c r="A219" i="1" s="1"/>
  <c r="G216" i="1"/>
  <c r="F216" i="1"/>
  <c r="F452" i="1"/>
  <c r="F451" i="1"/>
  <c r="A450" i="1"/>
  <c r="A451" i="1" s="1"/>
  <c r="A452" i="1" s="1"/>
  <c r="G449" i="1"/>
  <c r="A392" i="1"/>
  <c r="A393" i="1" s="1"/>
  <c r="A394" i="1" s="1"/>
  <c r="G391" i="1"/>
  <c r="A334" i="1"/>
  <c r="A335" i="1" s="1"/>
  <c r="A336" i="1" s="1"/>
  <c r="G333" i="1"/>
  <c r="A271" i="1"/>
  <c r="A272" i="1" s="1"/>
  <c r="A273" i="1" s="1"/>
  <c r="G270" i="1"/>
  <c r="F270" i="1"/>
  <c r="A213" i="1"/>
  <c r="G212" i="1"/>
  <c r="A445" i="1"/>
  <c r="A446" i="1" s="1"/>
  <c r="A447" i="1" s="1"/>
  <c r="G444" i="1"/>
  <c r="F444" i="1"/>
  <c r="F388" i="1"/>
  <c r="A387" i="1"/>
  <c r="A388" i="1" s="1"/>
  <c r="A389" i="1" s="1"/>
  <c r="G386" i="1"/>
  <c r="A329" i="1"/>
  <c r="A330" i="1" s="1"/>
  <c r="A331" i="1" s="1"/>
  <c r="G328" i="1"/>
  <c r="A266" i="1"/>
  <c r="A267" i="1" s="1"/>
  <c r="A268" i="1" s="1"/>
  <c r="G265" i="1"/>
  <c r="A209" i="1"/>
  <c r="A210" i="1" s="1"/>
  <c r="G208" i="1"/>
  <c r="F442" i="1"/>
  <c r="F441" i="1"/>
  <c r="A440" i="1"/>
  <c r="A441" i="1" s="1"/>
  <c r="A442" i="1" s="1"/>
  <c r="G439" i="1"/>
  <c r="A382" i="1"/>
  <c r="A383" i="1" s="1"/>
  <c r="A384" i="1" s="1"/>
  <c r="G381" i="1"/>
  <c r="F325" i="1"/>
  <c r="A324" i="1"/>
  <c r="A325" i="1" s="1"/>
  <c r="A326" i="1" s="1"/>
  <c r="G323" i="1"/>
  <c r="A261" i="1"/>
  <c r="A262" i="1" s="1"/>
  <c r="A263" i="1" s="1"/>
  <c r="G260" i="1"/>
  <c r="A205" i="1"/>
  <c r="A206" i="1" s="1"/>
  <c r="G204" i="1"/>
  <c r="A435" i="1"/>
  <c r="A436" i="1" s="1"/>
  <c r="A437" i="1" s="1"/>
  <c r="G434" i="1"/>
  <c r="F434" i="1"/>
  <c r="F378" i="1"/>
  <c r="A377" i="1"/>
  <c r="A378" i="1" s="1"/>
  <c r="A379" i="1" s="1"/>
  <c r="G376" i="1"/>
  <c r="A319" i="1"/>
  <c r="A320" i="1" s="1"/>
  <c r="A321" i="1" s="1"/>
  <c r="G318" i="1"/>
  <c r="I255" i="1"/>
  <c r="F258" i="1"/>
  <c r="A256" i="1"/>
  <c r="A257" i="1" s="1"/>
  <c r="A258" i="1" s="1"/>
  <c r="G255" i="1"/>
  <c r="I201" i="1"/>
  <c r="A202" i="1"/>
  <c r="G201" i="1"/>
  <c r="F440" i="1" l="1"/>
  <c r="G173" i="1" s="1"/>
  <c r="C173" i="1"/>
  <c r="E169" i="1"/>
  <c r="G169" i="1"/>
  <c r="F261" i="1"/>
  <c r="J261" i="1" s="1"/>
  <c r="C170" i="1"/>
  <c r="F382" i="1"/>
  <c r="C172" i="1"/>
  <c r="F324" i="1"/>
  <c r="C171" i="1"/>
  <c r="C169" i="1"/>
  <c r="F318" i="1"/>
  <c r="F255" i="1"/>
  <c r="F376" i="1"/>
  <c r="C166" i="1"/>
  <c r="E166" i="1"/>
  <c r="J149" i="1"/>
  <c r="I149" i="1" s="1"/>
  <c r="Z12" i="1"/>
  <c r="I14" i="1"/>
  <c r="E173" i="1" l="1"/>
  <c r="G170" i="1"/>
  <c r="E170" i="1"/>
  <c r="G171" i="1"/>
  <c r="E171" i="1"/>
  <c r="G172" i="1"/>
  <c r="E172" i="1"/>
  <c r="C174" i="1"/>
  <c r="F484" i="1"/>
  <c r="F187" i="1"/>
  <c r="E174" i="1" l="1"/>
  <c r="E175" i="1" s="1"/>
  <c r="G174" i="1"/>
  <c r="J187" i="1"/>
  <c r="C175" i="1"/>
  <c r="E43" i="1" l="1"/>
  <c r="E44" i="1" s="1"/>
  <c r="C15" i="1" l="1"/>
  <c r="E30" i="1" l="1"/>
  <c r="F485" i="1" l="1"/>
  <c r="F486" i="1"/>
  <c r="F487" i="1"/>
  <c r="A485" i="1"/>
  <c r="A486" i="1" s="1"/>
  <c r="A487" i="1" s="1"/>
  <c r="G484" i="1"/>
  <c r="G485" i="1" s="1"/>
  <c r="G486" i="1" s="1"/>
  <c r="G487" i="1" s="1"/>
  <c r="F162" i="1" l="1"/>
  <c r="F188" i="1" l="1"/>
  <c r="G165" i="1" l="1"/>
  <c r="G166" i="1" s="1"/>
  <c r="G175" i="1" s="1"/>
  <c r="B519" i="1"/>
  <c r="A507" i="1"/>
  <c r="A501" i="1"/>
  <c r="A495" i="1"/>
  <c r="F511" i="1" l="1"/>
  <c r="F510" i="1"/>
  <c r="F509" i="1"/>
  <c r="F508" i="1"/>
  <c r="F507" i="1"/>
  <c r="F505" i="1"/>
  <c r="F504" i="1"/>
  <c r="F503" i="1"/>
  <c r="F502" i="1"/>
  <c r="F501" i="1"/>
  <c r="F499" i="1"/>
  <c r="F498" i="1"/>
  <c r="F497" i="1"/>
  <c r="F496" i="1"/>
  <c r="F495" i="1"/>
  <c r="F493" i="1"/>
  <c r="F492" i="1"/>
  <c r="F490" i="1"/>
  <c r="F489" i="1"/>
  <c r="F491" i="1"/>
  <c r="A496" i="1"/>
  <c r="A508" i="1"/>
  <c r="A502" i="1"/>
  <c r="B520" i="1" l="1"/>
  <c r="A509" i="1"/>
  <c r="A503" i="1"/>
  <c r="A497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545" i="1"/>
  <c r="G507" i="1"/>
  <c r="G508" i="1" s="1"/>
  <c r="G509" i="1" s="1"/>
  <c r="G510" i="1" s="1"/>
  <c r="G511" i="1" s="1"/>
  <c r="G501" i="1"/>
  <c r="G502" i="1" s="1"/>
  <c r="G503" i="1" s="1"/>
  <c r="G504" i="1" s="1"/>
  <c r="G505" i="1" s="1"/>
  <c r="G495" i="1"/>
  <c r="G496" i="1" s="1"/>
  <c r="G497" i="1" s="1"/>
  <c r="G498" i="1" s="1"/>
  <c r="G499" i="1" s="1"/>
  <c r="G489" i="1"/>
  <c r="G490" i="1" s="1"/>
  <c r="G491" i="1" s="1"/>
  <c r="G492" i="1" s="1"/>
  <c r="G493" i="1" s="1"/>
  <c r="A489" i="1"/>
  <c r="A490" i="1" s="1"/>
  <c r="A491" i="1" s="1"/>
  <c r="A492" i="1" s="1"/>
  <c r="A493" i="1" s="1"/>
  <c r="A188" i="1"/>
  <c r="G187" i="1"/>
  <c r="C106" i="1"/>
  <c r="D63" i="1"/>
  <c r="G50" i="1"/>
  <c r="E27" i="1"/>
  <c r="E25" i="1"/>
  <c r="E7" i="1"/>
  <c r="E3" i="1"/>
  <c r="A510" i="1"/>
  <c r="H107" i="1"/>
  <c r="A498" i="1"/>
  <c r="A504" i="1"/>
  <c r="D72" i="1" l="1"/>
  <c r="J106" i="1"/>
  <c r="J108" i="1" s="1"/>
  <c r="J110" i="1"/>
  <c r="D119" i="1"/>
  <c r="D117" i="1"/>
  <c r="D115" i="1"/>
  <c r="D113" i="1"/>
  <c r="J111" i="1"/>
  <c r="J109" i="1"/>
  <c r="J112" i="1"/>
  <c r="D118" i="1"/>
  <c r="D116" i="1"/>
  <c r="D114" i="1"/>
  <c r="H79" i="1"/>
  <c r="A499" i="1"/>
  <c r="A511" i="1"/>
  <c r="A505" i="1"/>
  <c r="H93" i="1"/>
  <c r="J113" i="1" l="1"/>
  <c r="J118" i="1" s="1"/>
  <c r="J97" i="1"/>
  <c r="C96" i="1" s="1"/>
  <c r="D96" i="1" s="1"/>
  <c r="J95" i="1"/>
  <c r="J98" i="1"/>
  <c r="J99" i="1" s="1"/>
  <c r="J104" i="1" s="1"/>
  <c r="J92" i="1"/>
  <c r="J94" i="1" s="1"/>
  <c r="D100" i="1"/>
  <c r="D102" i="1"/>
  <c r="D105" i="1"/>
  <c r="D99" i="1"/>
  <c r="D103" i="1"/>
  <c r="D104" i="1"/>
  <c r="D101" i="1"/>
  <c r="J96" i="1"/>
  <c r="D91" i="1"/>
  <c r="D89" i="1"/>
  <c r="D88" i="1"/>
  <c r="D85" i="1"/>
  <c r="D87" i="1"/>
  <c r="J84" i="1"/>
  <c r="D90" i="1"/>
  <c r="J78" i="1"/>
  <c r="J80" i="1" s="1"/>
  <c r="D86" i="1"/>
  <c r="J82" i="1"/>
  <c r="J83" i="1"/>
  <c r="J81" i="1"/>
  <c r="J114" i="1"/>
  <c r="J115" i="1" s="1"/>
  <c r="J116" i="1" s="1"/>
  <c r="J117" i="1" s="1"/>
  <c r="J100" i="1"/>
  <c r="J101" i="1" s="1"/>
  <c r="J102" i="1" s="1"/>
  <c r="J103" i="1" s="1"/>
  <c r="J86" i="1"/>
  <c r="J87" i="1" s="1"/>
  <c r="J88" i="1" s="1"/>
  <c r="J89" i="1" s="1"/>
  <c r="D112" i="1"/>
  <c r="D110" i="1"/>
  <c r="D98" i="1"/>
  <c r="D84" i="1"/>
  <c r="J85" i="1" l="1"/>
  <c r="J90" i="1" s="1"/>
  <c r="J119" i="1"/>
  <c r="C111" i="1" s="1"/>
  <c r="E110" i="1" s="1"/>
  <c r="D82" i="1"/>
  <c r="J105" i="1"/>
  <c r="H121" i="1"/>
  <c r="C97" i="1" l="1"/>
  <c r="J93" i="1" s="1"/>
  <c r="J107" i="1"/>
  <c r="D111" i="1"/>
  <c r="I107" i="1" s="1"/>
  <c r="I108" i="1" s="1"/>
  <c r="G110" i="1"/>
  <c r="D76" i="1" s="1"/>
  <c r="D77" i="1" s="1"/>
  <c r="J91" i="1"/>
  <c r="C83" i="1" s="1"/>
  <c r="G82" i="1" s="1"/>
  <c r="J120" i="1"/>
  <c r="J122" i="1" s="1"/>
  <c r="J124" i="1"/>
  <c r="D133" i="1"/>
  <c r="D131" i="1"/>
  <c r="D129" i="1"/>
  <c r="D127" i="1"/>
  <c r="J125" i="1"/>
  <c r="C124" i="1" s="1"/>
  <c r="J123" i="1"/>
  <c r="D130" i="1"/>
  <c r="D128" i="1"/>
  <c r="D132" i="1"/>
  <c r="J131" i="1"/>
  <c r="J129" i="1"/>
  <c r="J130" i="1"/>
  <c r="J128" i="1"/>
  <c r="J126" i="1"/>
  <c r="E96" i="1"/>
  <c r="D97" i="1" l="1"/>
  <c r="I93" i="1" s="1"/>
  <c r="I94" i="1" s="1"/>
  <c r="I92" i="1" s="1"/>
  <c r="C94" i="1" s="1"/>
  <c r="G96" i="1"/>
  <c r="J79" i="1"/>
  <c r="F77" i="1"/>
  <c r="I106" i="1"/>
  <c r="C108" i="1" s="1"/>
  <c r="E82" i="1"/>
  <c r="D83" i="1"/>
  <c r="I79" i="1" s="1"/>
  <c r="I80" i="1" s="1"/>
  <c r="J127" i="1"/>
  <c r="D126" i="1"/>
  <c r="D124" i="1"/>
  <c r="J132" i="1" l="1"/>
  <c r="J133" i="1" s="1"/>
  <c r="C125" i="1" s="1"/>
  <c r="G124" i="1" s="1"/>
  <c r="I78" i="1"/>
  <c r="C80" i="1" s="1"/>
  <c r="H135" i="1"/>
  <c r="J121" i="1" l="1"/>
  <c r="E124" i="1"/>
  <c r="D125" i="1"/>
  <c r="I121" i="1" s="1"/>
  <c r="I122" i="1" s="1"/>
  <c r="J134" i="1"/>
  <c r="J136" i="1" s="1"/>
  <c r="J138" i="1"/>
  <c r="D147" i="1"/>
  <c r="D145" i="1"/>
  <c r="D143" i="1"/>
  <c r="D141" i="1"/>
  <c r="J139" i="1"/>
  <c r="C138" i="1" s="1"/>
  <c r="D138" i="1" s="1"/>
  <c r="J137" i="1"/>
  <c r="D146" i="1"/>
  <c r="D142" i="1"/>
  <c r="D144" i="1"/>
  <c r="J145" i="1"/>
  <c r="J143" i="1"/>
  <c r="J144" i="1"/>
  <c r="J142" i="1"/>
  <c r="J140" i="1"/>
  <c r="J141" i="1" s="1"/>
  <c r="J146" i="1" s="1"/>
  <c r="I120" i="1" l="1"/>
  <c r="C122" i="1" s="1"/>
  <c r="J147" i="1"/>
  <c r="C139" i="1" s="1"/>
  <c r="E138" i="1" s="1"/>
  <c r="D140" i="1"/>
  <c r="G138" i="1" l="1"/>
  <c r="D139" i="1"/>
  <c r="I135" i="1" s="1"/>
  <c r="I136" i="1" s="1"/>
  <c r="J135" i="1"/>
  <c r="I134" i="1" l="1"/>
  <c r="C136" i="1" s="1"/>
</calcChain>
</file>

<file path=xl/comments1.xml><?xml version="1.0" encoding="utf-8"?>
<comments xmlns="http://schemas.openxmlformats.org/spreadsheetml/2006/main">
  <authors>
    <author>Sachin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63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<sst xmlns="http://schemas.openxmlformats.org/spreadsheetml/2006/main" count="881" uniqueCount="348">
  <si>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</si>
  <si>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</si>
  <si>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</si>
  <si>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</si>
  <si>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</si>
  <si>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</si>
  <si>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</si>
  <si>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</si>
  <si>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</si>
  <si>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</si>
  <si>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</si>
  <si>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</si>
  <si>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</si>
  <si>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</si>
  <si>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</si>
  <si>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</si>
  <si>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</si>
  <si>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</si>
  <si>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</si>
  <si>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</si>
  <si>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</si>
  <si>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</si>
  <si>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</si>
  <si>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</si>
  <si>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</si>
  <si>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</si>
  <si>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</si>
  <si>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</si>
  <si>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</si>
  <si>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</si>
  <si>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</si>
  <si>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</si>
  <si>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</si>
  <si>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</si>
  <si>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</si>
  <si>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</si>
  <si>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</si>
  <si>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</si>
  <si>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</si>
  <si>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</si>
  <si>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</si>
  <si>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</si>
  <si>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</si>
  <si>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</si>
  <si>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</si>
  <si>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</si>
  <si>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</si>
  <si>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</si>
  <si>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</si>
  <si>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</si>
  <si>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</si>
  <si>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</si>
  <si>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</si>
  <si>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</si>
  <si>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</si>
  <si>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</si>
  <si>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</si>
  <si>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</si>
  <si>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</si>
  <si>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</si>
  <si>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</si>
  <si>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</si>
  <si>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</si>
  <si>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</si>
  <si>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</si>
  <si>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</si>
  <si>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</si>
  <si>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</si>
  <si>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</si>
  <si>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</si>
  <si>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</si>
  <si>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</si>
  <si>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</si>
  <si>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</si>
  <si>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</si>
  <si>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</si>
  <si>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</si>
  <si>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</si>
  <si>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</si>
  <si>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</si>
  <si>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</si>
  <si>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</si>
  <si>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</si>
  <si>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</si>
  <si>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</si>
  <si>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</si>
  <si>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</si>
  <si>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</si>
  <si>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</si>
  <si>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</si>
  <si>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</si>
  <si>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</si>
  <si>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</si>
  <si>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</si>
  <si>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</si>
  <si>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</si>
  <si>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</si>
  <si>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</si>
  <si>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</si>
  <si>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</si>
  <si>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</si>
  <si>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</si>
  <si>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</si>
  <si>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</si>
  <si>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</si>
  <si>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</si>
  <si>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</si>
  <si>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</si>
  <si>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</si>
  <si>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</si>
  <si>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</si>
  <si>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</si>
  <si>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</si>
  <si>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</si>
  <si>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</si>
  <si>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</si>
  <si>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</si>
  <si>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</si>
  <si>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</si>
  <si>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</si>
  <si>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</si>
  <si>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</si>
  <si>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</si>
  <si>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</si>
  <si>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</si>
  <si>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</si>
  <si>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</si>
  <si>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</si>
  <si>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</si>
  <si>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</si>
  <si>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</si>
  <si>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</si>
  <si>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</si>
  <si>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</si>
  <si>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</si>
  <si>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</si>
  <si>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</si>
  <si>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</si>
  <si>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</si>
  <si>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</si>
  <si>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</si>
  <si>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</si>
  <si>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</si>
  <si>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</si>
  <si>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</si>
  <si>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</si>
  <si>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</si>
  <si>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</si>
  <si>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</si>
  <si>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</si>
  <si>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</si>
  <si>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</si>
  <si>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</si>
  <si>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</si>
  <si>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</si>
  <si>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</si>
  <si>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</si>
  <si>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</si>
  <si>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</si>
  <si>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</si>
  <si>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</si>
  <si>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</si>
  <si>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</si>
  <si>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</si>
  <si>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</si>
  <si>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</si>
  <si>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</si>
  <si>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</si>
  <si>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</si>
  <si>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</si>
  <si>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</si>
  <si>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</si>
  <si>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</si>
  <si>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</si>
  <si>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</si>
  <si>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</si>
  <si>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</si>
  <si>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Axis Goregaon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</si>
  <si>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</si>
  <si>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</si>
  <si>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</si>
  <si>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</si>
  <si>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</si>
  <si>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>CTS No</t>
  </si>
  <si>
    <t>Shop No. (Sale Plan)</t>
  </si>
  <si>
    <t>Flat No. (Sale Plan)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</si>
  <si>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</si>
  <si>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</si>
  <si>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</si>
  <si>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</si>
  <si>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</si>
  <si>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</si>
  <si>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</si>
  <si>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</si>
  <si>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</si>
  <si>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</si>
  <si>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</si>
  <si>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</si>
  <si>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</si>
  <si>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</si>
  <si>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</si>
  <si>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</si>
  <si>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</si>
  <si>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</si>
  <si>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</si>
  <si>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</si>
  <si>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</si>
  <si>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</si>
  <si>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</si>
  <si>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</si>
  <si>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</si>
  <si>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</si>
  <si>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</si>
  <si>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</si>
  <si>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</si>
  <si>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</si>
  <si>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</si>
  <si>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</si>
  <si>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</si>
  <si>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</si>
  <si>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</si>
  <si>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</si>
  <si>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</si>
  <si>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</si>
  <si>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</si>
  <si>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</si>
  <si>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</si>
  <si>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</si>
  <si>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</si>
  <si>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</si>
  <si>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</si>
  <si>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</si>
  <si>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</si>
  <si>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</si>
  <si>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</si>
  <si>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</si>
  <si>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</si>
  <si>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</si>
  <si>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</si>
  <si>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Atharv Infra LLP</t>
  </si>
  <si>
    <t>Atharv Aaradhyam</t>
  </si>
  <si>
    <t>P51800052443</t>
  </si>
  <si>
    <t>Marol</t>
  </si>
  <si>
    <t>https://maps.app.goo.gl/pAEZ2Gc3v8zwWVYv8</t>
  </si>
  <si>
    <t>Vijay Nagar</t>
  </si>
  <si>
    <t>Professor NS Phadke Road</t>
  </si>
  <si>
    <t>1.1 KM from Andheri Railway Station</t>
  </si>
  <si>
    <t>Hubtown Solaris</t>
  </si>
  <si>
    <t>Paranjape Vidyalaya</t>
  </si>
  <si>
    <t>Other Plot</t>
  </si>
  <si>
    <t>9.15 M W Right of Way</t>
  </si>
  <si>
    <t>36.60 M.W. DP Road (NS Phadke Road)</t>
  </si>
  <si>
    <t>Municipal Corporation of Greater Mumbai</t>
  </si>
  <si>
    <t xml:space="preserve">Airport Authority of India
NOC No.
Valid Up to: </t>
  </si>
  <si>
    <t>JUHU/WEST/B/061821/552126</t>
  </si>
  <si>
    <t>57.13 M (Restricted) (AMSL)</t>
  </si>
  <si>
    <t>As per RERA - 30/04/2028</t>
  </si>
  <si>
    <t>Tower 01</t>
  </si>
  <si>
    <t>Shop</t>
  </si>
  <si>
    <t>1BHK</t>
  </si>
  <si>
    <t>2BHK</t>
  </si>
  <si>
    <t>Tower 02</t>
  </si>
  <si>
    <t>1st Floor for Residential</t>
  </si>
  <si>
    <t>2.5BHK</t>
  </si>
  <si>
    <t>3BHK</t>
  </si>
  <si>
    <t>Tower 03</t>
  </si>
  <si>
    <t>Tower 04</t>
  </si>
  <si>
    <t>Tower 05</t>
  </si>
  <si>
    <t>3rd Floor</t>
  </si>
  <si>
    <t>4th Floor</t>
  </si>
  <si>
    <t>5th Floor</t>
  </si>
  <si>
    <t>6th Floor</t>
  </si>
  <si>
    <t>7th Floor</t>
  </si>
  <si>
    <t>8th Floor (Part Refuge Area)</t>
  </si>
  <si>
    <t>1RK</t>
  </si>
  <si>
    <t>Refuge Area</t>
  </si>
  <si>
    <t>9th Floor</t>
  </si>
  <si>
    <t>10th Floor</t>
  </si>
  <si>
    <t>12th Floor (Part Terrace Area)</t>
  </si>
  <si>
    <t>Terrace Area</t>
  </si>
  <si>
    <t>Tower 02 = LG + Gr/Stilt + 1st to 12th Floor</t>
  </si>
  <si>
    <t>As the project is redevelopement project but rehab statement or rehab flats is not mentioned in approved layout plan &amp; floor plan.</t>
  </si>
  <si>
    <t>Board Games, Security Cabin, Cycling &amp; Jogging Track, Manicured Garden, Video Door Security, Terrace Garden, Sun Deck, Multi - Level Parking, Pergola, Solar Lighting, Reflexology Park, CCTV, Kid's Pool, Senior Citizen Siteout, Party Lawn, Gazebo, Indoor Games, Yoga/Meditation Area, Gymnasium, Fire Fighting System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</si>
  <si>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</si>
  <si>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Online</t>
  </si>
  <si>
    <t>Visitor</t>
  </si>
  <si>
    <t>MIS</t>
  </si>
  <si>
    <t>Cost sheet</t>
  </si>
  <si>
    <t>Approved Plans, CC, Airport Noc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</si>
  <si>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</si>
  <si>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19.1144589342,72.849050316</t>
  </si>
  <si>
    <t>Om sai CHSL</t>
  </si>
  <si>
    <t>5 Towers</t>
  </si>
  <si>
    <t>Lower Ground Floor for Parking, Meter Room &amp; Pump Room</t>
  </si>
  <si>
    <t>Ground Floor for Commercial &amp; Parking</t>
  </si>
  <si>
    <t>=</t>
  </si>
  <si>
    <t>Lower Ground Floor for Parking, Meter Room, Domestic Tank &amp; Pump Room</t>
  </si>
  <si>
    <t>Ground Floor for Parking &amp; Entrance Lobby</t>
  </si>
  <si>
    <t>1st Floor for Part Commercial</t>
  </si>
  <si>
    <t>1st Floor for Part Residential</t>
  </si>
  <si>
    <t>2nd Floor for Part Commercial</t>
  </si>
  <si>
    <t>2nd Floor for Part Residential</t>
  </si>
  <si>
    <t>Fitness Center &amp; Society Office</t>
  </si>
  <si>
    <t>3 + 4</t>
  </si>
  <si>
    <t>Fitness Center &amp; Gym &amp; Splash Pool</t>
  </si>
  <si>
    <t>We considered Gross carpet area = Net carpet + Deck Area + Dry Balcony.</t>
  </si>
  <si>
    <t>3rd Floor For Part Residential</t>
  </si>
  <si>
    <t>26500 hubtown</t>
  </si>
  <si>
    <t>Recommended rate of the Shop Per Sq. Ft. (1st &amp; 2nd Floor)</t>
  </si>
  <si>
    <t>Chandrashekhar CHSL</t>
  </si>
  <si>
    <t>Andheri (East)</t>
  </si>
  <si>
    <t>Tower 3 = LG + Gr/Stilt + 1st to 12th Floor</t>
  </si>
  <si>
    <t>Tower 1 &amp; 2 = LG + Gr/Stilt + 1st to 12th Floor</t>
  </si>
  <si>
    <t>Tower 1 to 5</t>
  </si>
  <si>
    <t>Fitness Center</t>
  </si>
  <si>
    <t>-</t>
  </si>
  <si>
    <t>460/A &amp; 460/B &amp; Redevelopment of building " Chandrashekhar CHSL "</t>
  </si>
  <si>
    <t>in confusion with vijaynagar building</t>
  </si>
  <si>
    <t>Tower 5 = LG + Gr/Stilt + 1st to 12th Floor</t>
  </si>
  <si>
    <t>Tower 4 = LG + Gr/Stilt + 1st to 12th Floor</t>
  </si>
  <si>
    <t>25000 Rate : Trupti : On 16/04/2024</t>
  </si>
  <si>
    <t>Recommended Rates / Other charges of the Property have been revised on 16/04/2024.</t>
  </si>
  <si>
    <t>11th &amp; 12th Floor</t>
  </si>
  <si>
    <t>Entrance Lobby below</t>
  </si>
  <si>
    <t>4th Floor For Fitness Centre</t>
  </si>
  <si>
    <t>P-9910/2021/(460)/K/E Ward/GUNDAVALI/337/2/Amend</t>
  </si>
  <si>
    <t xml:space="preserve"> P-9910/2021/(460)/K/E Ward/GUNDAVALI/FCC/1/New</t>
  </si>
  <si>
    <t>Flats - 223, Shops - 7</t>
  </si>
  <si>
    <t>Tower 1 = LG + Gr/Stilt + 1st to 11th Floor
Tower 2 = LG + Gr/Stilt + 1st to 12th Floor
Tower 3 = LG + Gr/Stilt + 1st to 12th Floor
Tower 4 = LG + Gr/Stilt + 1st to 12th Floor
Tower 5 = LG + Gr/Stilt + 1st to 12th Floor</t>
  </si>
  <si>
    <t>We have updated approved plans &amp; CC (on 11/07/2024).</t>
  </si>
  <si>
    <t>We have not revised Carpet Area for Commercial Units due dimensions were not provided properly in approved Plans dtd 23/12/2023.</t>
  </si>
  <si>
    <t>We have refered Civil Aviation NOC from MCGM site.</t>
  </si>
  <si>
    <t>F.C.C. for Tower No.1 up to top of 10th floor i.e. ht. 32.10 mt., Tower No. 3 up to top of 11th floor i.e. ht. 35.20 mt., Tower No. 4 up to top of 11th floor i.e. ht. 35.20 mt., Tower No. 5 up to top of 11th floor i.e. ht. 35.20 mt., + Parking Tower ht. i.e. 38.38 mt. AGL as per last approved plan dated 29.12.2023.</t>
  </si>
  <si>
    <t>P-9910/2021/(460)/K/E Ward/GUNDAVALI/CC/1/New</t>
  </si>
  <si>
    <t>C.C. up to top of plinth i.e. ht. 0.90 mt. AGL for Building No. 1 &amp; top of (pt.) Stilt i.e. ht. 3.60 mt. for Building No. 1 &amp; 3.35 mt. AGL for Building No. 2 to 5 &amp; Parking Tower as per last approved plan dated 23.01.2023.</t>
  </si>
  <si>
    <t>Tower 1 = LG + Gr/Stilt + 1st to 12th Floor</t>
  </si>
  <si>
    <t>Tower 2 = LG + Gr/Stilt + 1st to 12th Floor</t>
  </si>
  <si>
    <t>8976758403</t>
  </si>
  <si>
    <t>P-9910/2021/(460)/K/E
Ward/GUNDAVALI/FCC/1/Amend</t>
  </si>
  <si>
    <t>F.C.C. for Tower No. 2 upto top of 8th floor i.e. ht. 26.30 mt., AGL + Parking Tower ht. i.e. 38.38 mt. AGL as per
last approved plan dated 29.12.2023.</t>
  </si>
  <si>
    <t>Tower 1, 2, 3, 4 &amp; 5 = Construction work is in process at the time of Visit (labour found). Internal visit not allowed.</t>
  </si>
  <si>
    <t>Shruti Tathare</t>
  </si>
  <si>
    <t>Pratik Niwate</t>
  </si>
  <si>
    <t>P-9910/2021/(460)/K/E
Ward/GUNDAVALI/FCC/2/Amend</t>
  </si>
  <si>
    <t>Further C.C. for Tower No. 1 up to top of 11th floor i.e. ht. 35.20 mt. AGL, for Tower No. 2 up to top of 10th floor i.e. ht. 32.10 mt AGL, for Tower No. 3 up to top of 12th floor i.e. ht. 38.40 mt. AGL+ LMR +OHT , for Tower No. 4 &amp; 5 up to top of 12th floor i.e. ht. 38.40 mt. AGL + Parking Tower ht. i.e. 38.38 mt. AGL as per last approved plan dated 29.12.2023.</t>
  </si>
  <si>
    <t>We have updated revised CC from MCGM site on 20/11/2024 &amp; 11/07/2025.</t>
  </si>
  <si>
    <t>Mr. Vaibhav 8976758402</t>
  </si>
  <si>
    <t>Miss. Natasha Patel  9619108605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</si>
</sst>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31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Times New Roman"/>
      <family val="1"/>
    </font>
    <font>
      <u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49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29" fillId="0" borderId="0" xfId="1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1" fontId="15" fillId="0" borderId="0" xfId="1" applyNumberFormat="1" applyFont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2" fontId="7" fillId="0" borderId="0" xfId="1" applyNumberFormat="1" applyFont="1" applyAlignment="1">
      <alignment horizontal="center" vertical="center"/>
    </xf>
    <xf numFmtId="0" fontId="15" fillId="2" borderId="0" xfId="1" applyFont="1" applyFill="1" applyAlignment="1">
      <alignment horizontal="center" vertical="center"/>
    </xf>
    <xf numFmtId="1" fontId="15" fillId="0" borderId="1" xfId="1" applyNumberFormat="1" applyFont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7" fillId="0" borderId="25" xfId="1" applyFont="1" applyBorder="1" applyAlignment="1">
      <alignment horizontal="center"/>
    </xf>
    <xf numFmtId="0" fontId="7" fillId="0" borderId="0" xfId="1" applyFont="1" applyAlignment="1">
      <alignment horizontal="center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2" fillId="0" borderId="25" xfId="1" applyFont="1" applyBorder="1" applyAlignment="1" applyProtection="1">
      <alignment horizontal="left" vertical="top"/>
      <protection locked="0"/>
    </xf>
    <xf numFmtId="0" fontId="12" fillId="0" borderId="0" xfId="1" applyFont="1" applyAlignment="1" applyProtection="1">
      <alignment horizontal="left" vertical="top"/>
      <protection locked="0"/>
    </xf>
    <xf numFmtId="0" fontId="12" fillId="0" borderId="26" xfId="1" applyFont="1" applyBorder="1" applyAlignment="1" applyProtection="1">
      <alignment horizontal="left" vertical="top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18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1" fontId="10" fillId="0" borderId="33" xfId="0" applyNumberFormat="1" applyFont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1" fontId="8" fillId="0" borderId="34" xfId="0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3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21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9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6" fillId="0" borderId="1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10" fillId="0" borderId="3" xfId="0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10" fillId="3" borderId="8" xfId="1" applyNumberFormat="1" applyFont="1" applyFill="1" applyBorder="1" applyAlignment="1" applyProtection="1">
      <alignment horizontal="center" vertical="center" wrapText="1"/>
      <protection locked="0"/>
    </xf>
    <xf numFmtId="1" fontId="10" fillId="3" borderId="21" xfId="1" applyNumberFormat="1" applyFont="1" applyFill="1" applyBorder="1" applyAlignment="1" applyProtection="1">
      <alignment horizontal="center" vertical="center" wrapText="1"/>
      <protection locked="0"/>
    </xf>
    <xf numFmtId="1" fontId="10" fillId="3" borderId="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7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49" fontId="12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0" fontId="12" fillId="0" borderId="21" xfId="1" applyFont="1" applyBorder="1" applyAlignment="1" applyProtection="1">
      <alignment horizontal="left" vertical="top"/>
      <protection locked="0"/>
    </xf>
    <xf numFmtId="0" fontId="12" fillId="0" borderId="9" xfId="1" applyFont="1" applyBorder="1" applyAlignment="1" applyProtection="1">
      <alignment horizontal="left" vertical="top"/>
      <protection locked="0"/>
    </xf>
    <xf numFmtId="0" fontId="15" fillId="0" borderId="1" xfId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0" fontId="12" fillId="0" borderId="21" xfId="1" applyFont="1" applyBorder="1" applyAlignment="1" applyProtection="1">
      <alignment horizontal="center" vertical="top"/>
      <protection locked="0"/>
    </xf>
    <xf numFmtId="0" fontId="12" fillId="0" borderId="9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3" fillId="0" borderId="21" xfId="1" applyFont="1" applyBorder="1" applyAlignment="1" applyProtection="1">
      <alignment horizontal="center" vertical="top"/>
      <protection locked="0"/>
    </xf>
    <xf numFmtId="0" fontId="13" fillId="0" borderId="9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26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8" fillId="0" borderId="33" xfId="0" applyNumberFormat="1" applyFont="1" applyBorder="1" applyAlignment="1" applyProtection="1">
      <alignment horizontal="center" vertical="center" wrapText="1"/>
      <protection locked="0"/>
    </xf>
    <xf numFmtId="1" fontId="8" fillId="0" borderId="3" xfId="0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13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3" xfId="0" applyNumberFormat="1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center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30" fillId="0" borderId="1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1" fontId="8" fillId="4" borderId="8" xfId="0" applyNumberFormat="1" applyFont="1" applyFill="1" applyBorder="1" applyAlignment="1" applyProtection="1">
      <alignment vertical="top" wrapText="1"/>
      <protection locked="0"/>
    </xf>
    <xf numFmtId="1" fontId="8" fillId="4" borderId="21" xfId="0" applyNumberFormat="1" applyFont="1" applyFill="1" applyBorder="1" applyAlignment="1" applyProtection="1">
      <alignment vertical="top" wrapText="1"/>
      <protection locked="0"/>
    </xf>
    <xf numFmtId="1" fontId="8" fillId="4" borderId="9" xfId="0" applyNumberFormat="1" applyFont="1" applyFill="1" applyBorder="1" applyAlignment="1" applyProtection="1">
      <alignment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8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0.png"/><Relationship Id="rId3" Type="http://schemas.openxmlformats.org/officeDocument/2006/relationships/image" Target="../media/image55.png"/><Relationship Id="rId7" Type="http://schemas.openxmlformats.org/officeDocument/2006/relationships/image" Target="../media/image59.png"/><Relationship Id="rId2" Type="http://schemas.openxmlformats.org/officeDocument/2006/relationships/image" Target="../media/image54.png"/><Relationship Id="rId1" Type="http://schemas.openxmlformats.org/officeDocument/2006/relationships/image" Target="../media/image53.png"/><Relationship Id="rId6" Type="http://schemas.openxmlformats.org/officeDocument/2006/relationships/image" Target="../media/image58.png"/><Relationship Id="rId5" Type="http://schemas.openxmlformats.org/officeDocument/2006/relationships/image" Target="../media/image57.png"/><Relationship Id="rId4" Type="http://schemas.openxmlformats.org/officeDocument/2006/relationships/image" Target="../media/image56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2.png"/><Relationship Id="rId1" Type="http://schemas.openxmlformats.org/officeDocument/2006/relationships/image" Target="../media/image5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565440</xdr:colOff>
      <xdr:row>0</xdr:row>
      <xdr:rowOff>133350</xdr:rowOff>
    </xdr:from>
    <xdr:to>
      <xdr:col>19</xdr:col>
      <xdr:colOff>425932</xdr:colOff>
      <xdr:row>15</xdr:row>
      <xdr:rowOff>104005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76090" y="133350"/>
          <a:ext cx="5461192" cy="385685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66670</xdr:colOff>
      <xdr:row>646</xdr:row>
      <xdr:rowOff>123347</xdr:rowOff>
    </xdr:from>
    <xdr:to>
      <xdr:col>7</xdr:col>
      <xdr:colOff>84565</xdr:colOff>
      <xdr:row>667</xdr:row>
      <xdr:rowOff>50801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28670" y="122824397"/>
          <a:ext cx="4932795" cy="412797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73020</xdr:colOff>
      <xdr:row>626</xdr:row>
      <xdr:rowOff>133349</xdr:rowOff>
    </xdr:from>
    <xdr:to>
      <xdr:col>7</xdr:col>
      <xdr:colOff>40115</xdr:colOff>
      <xdr:row>646</xdr:row>
      <xdr:rowOff>78700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35020" y="118833899"/>
          <a:ext cx="4881995" cy="394585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215605</xdr:colOff>
      <xdr:row>601</xdr:row>
      <xdr:rowOff>95152</xdr:rowOff>
    </xdr:from>
    <xdr:to>
      <xdr:col>6</xdr:col>
      <xdr:colOff>555233</xdr:colOff>
      <xdr:row>616</xdr:row>
      <xdr:rowOff>104966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77605" y="112594927"/>
          <a:ext cx="4492528" cy="301018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554096</xdr:colOff>
      <xdr:row>652</xdr:row>
      <xdr:rowOff>14654</xdr:rowOff>
    </xdr:from>
    <xdr:to>
      <xdr:col>4</xdr:col>
      <xdr:colOff>371633</xdr:colOff>
      <xdr:row>665</xdr:row>
      <xdr:rowOff>52754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/>
      </xdr:nvSpPr>
      <xdr:spPr>
        <a:xfrm rot="397810">
          <a:off x="2963921" y="117524579"/>
          <a:ext cx="760512" cy="2638425"/>
        </a:xfrm>
        <a:prstGeom prst="rect">
          <a:avLst/>
        </a:prstGeom>
        <a:noFill/>
        <a:ln w="571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8</xdr:col>
      <xdr:colOff>990600</xdr:colOff>
      <xdr:row>53</xdr:row>
      <xdr:rowOff>1400175</xdr:rowOff>
    </xdr:from>
    <xdr:to>
      <xdr:col>16</xdr:col>
      <xdr:colOff>81995</xdr:colOff>
      <xdr:row>57</xdr:row>
      <xdr:rowOff>1210424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9550" y="15268575"/>
          <a:ext cx="5492195" cy="16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436294</xdr:colOff>
      <xdr:row>45</xdr:row>
      <xdr:rowOff>11731</xdr:rowOff>
    </xdr:from>
    <xdr:to>
      <xdr:col>13</xdr:col>
      <xdr:colOff>812789</xdr:colOff>
      <xdr:row>56</xdr:row>
      <xdr:rowOff>191074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86967" y="10049616"/>
          <a:ext cx="4501553" cy="188651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11</xdr:col>
      <xdr:colOff>585108</xdr:colOff>
      <xdr:row>166</xdr:row>
      <xdr:rowOff>81643</xdr:rowOff>
    </xdr:from>
    <xdr:to>
      <xdr:col>14</xdr:col>
      <xdr:colOff>584679</xdr:colOff>
      <xdr:row>177</xdr:row>
      <xdr:rowOff>308786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79429" y="33296679"/>
          <a:ext cx="2340000" cy="247232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231322</xdr:colOff>
      <xdr:row>196</xdr:row>
      <xdr:rowOff>299357</xdr:rowOff>
    </xdr:from>
    <xdr:to>
      <xdr:col>19</xdr:col>
      <xdr:colOff>577608</xdr:colOff>
      <xdr:row>206</xdr:row>
      <xdr:rowOff>178239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518072" y="39215786"/>
          <a:ext cx="6660000" cy="231456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653143</xdr:colOff>
      <xdr:row>210</xdr:row>
      <xdr:rowOff>149679</xdr:rowOff>
    </xdr:from>
    <xdr:to>
      <xdr:col>15</xdr:col>
      <xdr:colOff>352000</xdr:colOff>
      <xdr:row>226</xdr:row>
      <xdr:rowOff>10572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939893" y="42318215"/>
          <a:ext cx="3400000" cy="2514286"/>
        </a:xfrm>
        <a:prstGeom prst="rect">
          <a:avLst/>
        </a:prstGeom>
      </xdr:spPr>
    </xdr:pic>
    <xdr:clientData/>
  </xdr:twoCellAnchor>
  <xdr:twoCellAnchor editAs="oneCell">
    <xdr:from>
      <xdr:col>16</xdr:col>
      <xdr:colOff>476250</xdr:colOff>
      <xdr:row>214</xdr:row>
      <xdr:rowOff>54429</xdr:rowOff>
    </xdr:from>
    <xdr:to>
      <xdr:col>21</xdr:col>
      <xdr:colOff>319405</xdr:colOff>
      <xdr:row>225</xdr:row>
      <xdr:rowOff>75918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239750" y="42427072"/>
          <a:ext cx="2904762" cy="2266667"/>
        </a:xfrm>
        <a:prstGeom prst="rect">
          <a:avLst/>
        </a:prstGeom>
      </xdr:spPr>
    </xdr:pic>
    <xdr:clientData/>
  </xdr:twoCellAnchor>
  <xdr:twoCellAnchor editAs="oneCell">
    <xdr:from>
      <xdr:col>11</xdr:col>
      <xdr:colOff>503464</xdr:colOff>
      <xdr:row>228</xdr:row>
      <xdr:rowOff>54429</xdr:rowOff>
    </xdr:from>
    <xdr:to>
      <xdr:col>18</xdr:col>
      <xdr:colOff>9642</xdr:colOff>
      <xdr:row>239</xdr:row>
      <xdr:rowOff>80679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97785" y="45284572"/>
          <a:ext cx="4500000" cy="227142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11</xdr:col>
      <xdr:colOff>190500</xdr:colOff>
      <xdr:row>252</xdr:row>
      <xdr:rowOff>13607</xdr:rowOff>
    </xdr:from>
    <xdr:to>
      <xdr:col>21</xdr:col>
      <xdr:colOff>283523</xdr:colOff>
      <xdr:row>264</xdr:row>
      <xdr:rowOff>135750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184821" y="50142321"/>
          <a:ext cx="6923809" cy="257142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11</xdr:col>
      <xdr:colOff>47626</xdr:colOff>
      <xdr:row>266</xdr:row>
      <xdr:rowOff>68036</xdr:rowOff>
    </xdr:from>
    <xdr:to>
      <xdr:col>21</xdr:col>
      <xdr:colOff>64459</xdr:colOff>
      <xdr:row>278</xdr:row>
      <xdr:rowOff>9226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058276" y="52293611"/>
          <a:ext cx="6836733" cy="234149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11</xdr:col>
      <xdr:colOff>95251</xdr:colOff>
      <xdr:row>280</xdr:row>
      <xdr:rowOff>27214</xdr:rowOff>
    </xdr:from>
    <xdr:to>
      <xdr:col>15</xdr:col>
      <xdr:colOff>349298</xdr:colOff>
      <xdr:row>288</xdr:row>
      <xdr:rowOff>137214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089572" y="55870928"/>
          <a:ext cx="3247619" cy="174285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16</xdr:col>
      <xdr:colOff>68036</xdr:colOff>
      <xdr:row>279</xdr:row>
      <xdr:rowOff>136072</xdr:rowOff>
    </xdr:from>
    <xdr:to>
      <xdr:col>27</xdr:col>
      <xdr:colOff>199167</xdr:colOff>
      <xdr:row>291</xdr:row>
      <xdr:rowOff>162976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2831536" y="55775679"/>
          <a:ext cx="6866667" cy="247619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11</xdr:col>
      <xdr:colOff>0</xdr:colOff>
      <xdr:row>292</xdr:row>
      <xdr:rowOff>0</xdr:rowOff>
    </xdr:from>
    <xdr:to>
      <xdr:col>15</xdr:col>
      <xdr:colOff>587380</xdr:colOff>
      <xdr:row>303</xdr:row>
      <xdr:rowOff>116726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994321" y="58293000"/>
          <a:ext cx="3580952" cy="236190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571500</xdr:colOff>
      <xdr:row>316</xdr:row>
      <xdr:rowOff>81642</xdr:rowOff>
    </xdr:from>
    <xdr:to>
      <xdr:col>24</xdr:col>
      <xdr:colOff>1381</xdr:colOff>
      <xdr:row>330</xdr:row>
      <xdr:rowOff>90809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939643" y="62252678"/>
          <a:ext cx="10723809" cy="286666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789214</xdr:colOff>
      <xdr:row>332</xdr:row>
      <xdr:rowOff>190500</xdr:rowOff>
    </xdr:from>
    <xdr:to>
      <xdr:col>13</xdr:col>
      <xdr:colOff>180536</xdr:colOff>
      <xdr:row>343</xdr:row>
      <xdr:rowOff>88178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157357" y="65627250"/>
          <a:ext cx="3514286" cy="214285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13</xdr:col>
      <xdr:colOff>707571</xdr:colOff>
      <xdr:row>332</xdr:row>
      <xdr:rowOff>176892</xdr:rowOff>
    </xdr:from>
    <xdr:to>
      <xdr:col>19</xdr:col>
      <xdr:colOff>160119</xdr:colOff>
      <xdr:row>343</xdr:row>
      <xdr:rowOff>7903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1198678" y="65613642"/>
          <a:ext cx="3561905" cy="207619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20</xdr:col>
      <xdr:colOff>81643</xdr:colOff>
      <xdr:row>331</xdr:row>
      <xdr:rowOff>176893</xdr:rowOff>
    </xdr:from>
    <xdr:to>
      <xdr:col>26</xdr:col>
      <xdr:colOff>179144</xdr:colOff>
      <xdr:row>344</xdr:row>
      <xdr:rowOff>190167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5294429" y="65409536"/>
          <a:ext cx="3771429" cy="266666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163286</xdr:colOff>
      <xdr:row>345</xdr:row>
      <xdr:rowOff>81643</xdr:rowOff>
    </xdr:from>
    <xdr:to>
      <xdr:col>18</xdr:col>
      <xdr:colOff>490369</xdr:colOff>
      <xdr:row>360</xdr:row>
      <xdr:rowOff>77179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688036" y="68171786"/>
          <a:ext cx="6790476" cy="305714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19</xdr:col>
      <xdr:colOff>326572</xdr:colOff>
      <xdr:row>347</xdr:row>
      <xdr:rowOff>13607</xdr:rowOff>
    </xdr:from>
    <xdr:to>
      <xdr:col>25</xdr:col>
      <xdr:colOff>128833</xdr:colOff>
      <xdr:row>358</xdr:row>
      <xdr:rowOff>120809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4927036" y="68511964"/>
          <a:ext cx="3476190" cy="235238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517072</xdr:colOff>
      <xdr:row>362</xdr:row>
      <xdr:rowOff>68036</xdr:rowOff>
    </xdr:from>
    <xdr:to>
      <xdr:col>14</xdr:col>
      <xdr:colOff>173834</xdr:colOff>
      <xdr:row>372</xdr:row>
      <xdr:rowOff>141250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803822" y="71628000"/>
          <a:ext cx="2704762" cy="211428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15</xdr:col>
      <xdr:colOff>285751</xdr:colOff>
      <xdr:row>362</xdr:row>
      <xdr:rowOff>13607</xdr:rowOff>
    </xdr:from>
    <xdr:to>
      <xdr:col>20</xdr:col>
      <xdr:colOff>327525</xdr:colOff>
      <xdr:row>375</xdr:row>
      <xdr:rowOff>112595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2273644" y="71573571"/>
          <a:ext cx="3266667" cy="275238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489859</xdr:colOff>
      <xdr:row>430</xdr:row>
      <xdr:rowOff>176892</xdr:rowOff>
    </xdr:from>
    <xdr:to>
      <xdr:col>15</xdr:col>
      <xdr:colOff>26811</xdr:colOff>
      <xdr:row>444</xdr:row>
      <xdr:rowOff>176535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776609" y="85616142"/>
          <a:ext cx="3238095" cy="285714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12</xdr:col>
      <xdr:colOff>272145</xdr:colOff>
      <xdr:row>446</xdr:row>
      <xdr:rowOff>54427</xdr:rowOff>
    </xdr:from>
    <xdr:to>
      <xdr:col>16</xdr:col>
      <xdr:colOff>515300</xdr:colOff>
      <xdr:row>459</xdr:row>
      <xdr:rowOff>172463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9974038" y="88759391"/>
          <a:ext cx="3304762" cy="277142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21</xdr:col>
      <xdr:colOff>326574</xdr:colOff>
      <xdr:row>432</xdr:row>
      <xdr:rowOff>81643</xdr:rowOff>
    </xdr:from>
    <xdr:to>
      <xdr:col>26</xdr:col>
      <xdr:colOff>245919</xdr:colOff>
      <xdr:row>443</xdr:row>
      <xdr:rowOff>74559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6151681" y="85929107"/>
          <a:ext cx="2980952" cy="223809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15</xdr:col>
      <xdr:colOff>680359</xdr:colOff>
      <xdr:row>432</xdr:row>
      <xdr:rowOff>136071</xdr:rowOff>
    </xdr:from>
    <xdr:to>
      <xdr:col>21</xdr:col>
      <xdr:colOff>90764</xdr:colOff>
      <xdr:row>444</xdr:row>
      <xdr:rowOff>105833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668252" y="85983535"/>
          <a:ext cx="3247619" cy="241904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13608</xdr:colOff>
      <xdr:row>461</xdr:row>
      <xdr:rowOff>204106</xdr:rowOff>
    </xdr:from>
    <xdr:to>
      <xdr:col>14</xdr:col>
      <xdr:colOff>127513</xdr:colOff>
      <xdr:row>473</xdr:row>
      <xdr:rowOff>154820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8300358" y="91970677"/>
          <a:ext cx="3161905" cy="24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17</xdr:col>
      <xdr:colOff>272145</xdr:colOff>
      <xdr:row>446</xdr:row>
      <xdr:rowOff>149679</xdr:rowOff>
    </xdr:from>
    <xdr:to>
      <xdr:col>28</xdr:col>
      <xdr:colOff>222323</xdr:colOff>
      <xdr:row>463</xdr:row>
      <xdr:rowOff>117952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3647966" y="88854643"/>
          <a:ext cx="6685714" cy="343809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15</xdr:col>
      <xdr:colOff>394609</xdr:colOff>
      <xdr:row>468</xdr:row>
      <xdr:rowOff>108858</xdr:rowOff>
    </xdr:from>
    <xdr:to>
      <xdr:col>26</xdr:col>
      <xdr:colOff>133883</xdr:colOff>
      <xdr:row>511</xdr:row>
      <xdr:rowOff>22787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2382502" y="93304179"/>
          <a:ext cx="6638095" cy="277142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925285</xdr:colOff>
      <xdr:row>376</xdr:row>
      <xdr:rowOff>122465</xdr:rowOff>
    </xdr:from>
    <xdr:to>
      <xdr:col>18</xdr:col>
      <xdr:colOff>19571</xdr:colOff>
      <xdr:row>390</xdr:row>
      <xdr:rowOff>64965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293428" y="74539929"/>
          <a:ext cx="6714286" cy="28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18</xdr:col>
      <xdr:colOff>489858</xdr:colOff>
      <xdr:row>376</xdr:row>
      <xdr:rowOff>149679</xdr:rowOff>
    </xdr:from>
    <xdr:to>
      <xdr:col>30</xdr:col>
      <xdr:colOff>227715</xdr:colOff>
      <xdr:row>390</xdr:row>
      <xdr:rowOff>187417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4478001" y="74567143"/>
          <a:ext cx="7085714" cy="289523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462643</xdr:colOff>
      <xdr:row>393</xdr:row>
      <xdr:rowOff>163285</xdr:rowOff>
    </xdr:from>
    <xdr:to>
      <xdr:col>21</xdr:col>
      <xdr:colOff>124286</xdr:colOff>
      <xdr:row>407</xdr:row>
      <xdr:rowOff>48642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8749393" y="78050571"/>
          <a:ext cx="7200000" cy="274285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21</xdr:col>
      <xdr:colOff>312964</xdr:colOff>
      <xdr:row>394</xdr:row>
      <xdr:rowOff>13606</xdr:rowOff>
    </xdr:from>
    <xdr:to>
      <xdr:col>26</xdr:col>
      <xdr:colOff>498976</xdr:colOff>
      <xdr:row>408</xdr:row>
      <xdr:rowOff>79915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6138071" y="78104999"/>
          <a:ext cx="3247619" cy="292380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394607</xdr:colOff>
      <xdr:row>410</xdr:row>
      <xdr:rowOff>54428</xdr:rowOff>
    </xdr:from>
    <xdr:to>
      <xdr:col>14</xdr:col>
      <xdr:colOff>489464</xdr:colOff>
      <xdr:row>423</xdr:row>
      <xdr:rowOff>115321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8681357" y="81411535"/>
          <a:ext cx="3142857" cy="271428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15</xdr:col>
      <xdr:colOff>13607</xdr:colOff>
      <xdr:row>410</xdr:row>
      <xdr:rowOff>108857</xdr:rowOff>
    </xdr:from>
    <xdr:to>
      <xdr:col>20</xdr:col>
      <xdr:colOff>245857</xdr:colOff>
      <xdr:row>423</xdr:row>
      <xdr:rowOff>17369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2001500" y="81465964"/>
          <a:ext cx="3457143" cy="256190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21</xdr:col>
      <xdr:colOff>1</xdr:colOff>
      <xdr:row>410</xdr:row>
      <xdr:rowOff>68036</xdr:rowOff>
    </xdr:from>
    <xdr:to>
      <xdr:col>26</xdr:col>
      <xdr:colOff>243156</xdr:colOff>
      <xdr:row>424</xdr:row>
      <xdr:rowOff>96250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5825108" y="81425143"/>
          <a:ext cx="3304762" cy="288571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266700</xdr:colOff>
      <xdr:row>590</xdr:row>
      <xdr:rowOff>28575</xdr:rowOff>
    </xdr:from>
    <xdr:to>
      <xdr:col>7</xdr:col>
      <xdr:colOff>448012</xdr:colOff>
      <xdr:row>600</xdr:row>
      <xdr:rowOff>45262</xdr:rowOff>
    </xdr:to>
    <xdr:grpSp>
      <xdr:nvGrpSpPr>
        <xdr:cNvPr id="84" name="Group 83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GrpSpPr/>
      </xdr:nvGrpSpPr>
      <xdr:grpSpPr>
        <a:xfrm>
          <a:off x="266700" y="115214400"/>
          <a:ext cx="5858212" cy="2016937"/>
          <a:chOff x="776934" y="764362"/>
          <a:chExt cx="5858212" cy="2016937"/>
        </a:xfrm>
      </xdr:grpSpPr>
      <xdr:pic>
        <xdr:nvPicPr>
          <xdr:cNvPr id="85" name="Picture 84">
            <a:extLst>
              <a:ext uri="{FF2B5EF4-FFF2-40B4-BE49-F238E27FC236}">
                <a16:creationId xmlns:a16="http://schemas.microsoft.com/office/drawing/2014/main" xmlns="" id="{00000000-0008-0000-0000-00005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76934" y="768368"/>
            <a:ext cx="5858212" cy="201293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86" name="TextBox 6">
            <a:extLst>
              <a:ext uri="{FF2B5EF4-FFF2-40B4-BE49-F238E27FC236}">
                <a16:creationId xmlns:a16="http://schemas.microsoft.com/office/drawing/2014/main" xmlns="" id="{00000000-0008-0000-0000-000056000000}"/>
              </a:ext>
            </a:extLst>
          </xdr:cNvPr>
          <xdr:cNvSpPr txBox="1"/>
        </xdr:nvSpPr>
        <xdr:spPr>
          <a:xfrm>
            <a:off x="5468031" y="765694"/>
            <a:ext cx="722890" cy="264560"/>
          </a:xfrm>
          <a:prstGeom prst="rect">
            <a:avLst/>
          </a:prstGeom>
          <a:solidFill>
            <a:srgbClr val="FFFF00"/>
          </a:solidFill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t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/>
              <a:t>Tower 01</a:t>
            </a:r>
          </a:p>
        </xdr:txBody>
      </xdr:sp>
      <xdr:cxnSp macro="">
        <xdr:nvCxnSpPr>
          <xdr:cNvPr id="87" name="Straight Arrow Connector 86">
            <a:extLst>
              <a:ext uri="{FF2B5EF4-FFF2-40B4-BE49-F238E27FC236}">
                <a16:creationId xmlns:a16="http://schemas.microsoft.com/office/drawing/2014/main" xmlns="" id="{00000000-0008-0000-0000-000057000000}"/>
              </a:ext>
            </a:extLst>
          </xdr:cNvPr>
          <xdr:cNvCxnSpPr>
            <a:stCxn id="86" idx="2"/>
          </xdr:cNvCxnSpPr>
        </xdr:nvCxnSpPr>
        <xdr:spPr>
          <a:xfrm flipH="1">
            <a:off x="5550388" y="1030254"/>
            <a:ext cx="279088" cy="414943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8" name="TextBox 10">
            <a:extLst>
              <a:ext uri="{FF2B5EF4-FFF2-40B4-BE49-F238E27FC236}">
                <a16:creationId xmlns:a16="http://schemas.microsoft.com/office/drawing/2014/main" xmlns="" id="{00000000-0008-0000-0000-000058000000}"/>
              </a:ext>
            </a:extLst>
          </xdr:cNvPr>
          <xdr:cNvSpPr txBox="1"/>
        </xdr:nvSpPr>
        <xdr:spPr>
          <a:xfrm>
            <a:off x="4654918" y="782593"/>
            <a:ext cx="722890" cy="264560"/>
          </a:xfrm>
          <a:prstGeom prst="rect">
            <a:avLst/>
          </a:prstGeom>
          <a:solidFill>
            <a:srgbClr val="FFFF00"/>
          </a:solidFill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t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/>
              <a:t>Tower 02</a:t>
            </a:r>
          </a:p>
        </xdr:txBody>
      </xdr:sp>
      <xdr:cxnSp macro="">
        <xdr:nvCxnSpPr>
          <xdr:cNvPr id="89" name="Straight Arrow Connector 88">
            <a:extLst>
              <a:ext uri="{FF2B5EF4-FFF2-40B4-BE49-F238E27FC236}">
                <a16:creationId xmlns:a16="http://schemas.microsoft.com/office/drawing/2014/main" xmlns="" id="{00000000-0008-0000-0000-000059000000}"/>
              </a:ext>
            </a:extLst>
          </xdr:cNvPr>
          <xdr:cNvCxnSpPr>
            <a:stCxn id="88" idx="2"/>
          </xdr:cNvCxnSpPr>
        </xdr:nvCxnSpPr>
        <xdr:spPr>
          <a:xfrm flipH="1">
            <a:off x="4843021" y="1047153"/>
            <a:ext cx="173342" cy="492531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90" name="TextBox 13">
            <a:extLst>
              <a:ext uri="{FF2B5EF4-FFF2-40B4-BE49-F238E27FC236}">
                <a16:creationId xmlns:a16="http://schemas.microsoft.com/office/drawing/2014/main" xmlns="" id="{00000000-0008-0000-0000-00005A000000}"/>
              </a:ext>
            </a:extLst>
          </xdr:cNvPr>
          <xdr:cNvSpPr txBox="1"/>
        </xdr:nvSpPr>
        <xdr:spPr>
          <a:xfrm>
            <a:off x="3465969" y="764362"/>
            <a:ext cx="722890" cy="264560"/>
          </a:xfrm>
          <a:prstGeom prst="rect">
            <a:avLst/>
          </a:prstGeom>
          <a:solidFill>
            <a:srgbClr val="FFFF00"/>
          </a:solidFill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t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/>
              <a:t>Tower 03</a:t>
            </a:r>
          </a:p>
        </xdr:txBody>
      </xdr:sp>
      <xdr:cxnSp macro="">
        <xdr:nvCxnSpPr>
          <xdr:cNvPr id="91" name="Straight Arrow Connector 90">
            <a:extLst>
              <a:ext uri="{FF2B5EF4-FFF2-40B4-BE49-F238E27FC236}">
                <a16:creationId xmlns:a16="http://schemas.microsoft.com/office/drawing/2014/main" xmlns="" id="{00000000-0008-0000-0000-00005B000000}"/>
              </a:ext>
            </a:extLst>
          </xdr:cNvPr>
          <xdr:cNvCxnSpPr>
            <a:stCxn id="90" idx="2"/>
          </xdr:cNvCxnSpPr>
        </xdr:nvCxnSpPr>
        <xdr:spPr>
          <a:xfrm flipH="1">
            <a:off x="3792634" y="1028922"/>
            <a:ext cx="34780" cy="304578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92" name="TextBox 16">
            <a:extLst>
              <a:ext uri="{FF2B5EF4-FFF2-40B4-BE49-F238E27FC236}">
                <a16:creationId xmlns:a16="http://schemas.microsoft.com/office/drawing/2014/main" xmlns="" id="{00000000-0008-0000-0000-00005C000000}"/>
              </a:ext>
            </a:extLst>
          </xdr:cNvPr>
          <xdr:cNvSpPr txBox="1"/>
        </xdr:nvSpPr>
        <xdr:spPr>
          <a:xfrm>
            <a:off x="2422897" y="782593"/>
            <a:ext cx="722890" cy="264560"/>
          </a:xfrm>
          <a:prstGeom prst="rect">
            <a:avLst/>
          </a:prstGeom>
          <a:solidFill>
            <a:srgbClr val="FFFF00"/>
          </a:solidFill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t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/>
              <a:t>Tower 04</a:t>
            </a:r>
          </a:p>
        </xdr:txBody>
      </xdr:sp>
      <xdr:cxnSp macro="">
        <xdr:nvCxnSpPr>
          <xdr:cNvPr id="93" name="Straight Arrow Connector 92">
            <a:extLst>
              <a:ext uri="{FF2B5EF4-FFF2-40B4-BE49-F238E27FC236}">
                <a16:creationId xmlns:a16="http://schemas.microsoft.com/office/drawing/2014/main" xmlns="" id="{00000000-0008-0000-0000-00005D000000}"/>
              </a:ext>
            </a:extLst>
          </xdr:cNvPr>
          <xdr:cNvCxnSpPr>
            <a:stCxn id="92" idx="2"/>
          </xdr:cNvCxnSpPr>
        </xdr:nvCxnSpPr>
        <xdr:spPr>
          <a:xfrm>
            <a:off x="2784342" y="1047153"/>
            <a:ext cx="166782" cy="368897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94" name="TextBox 19">
            <a:extLst>
              <a:ext uri="{FF2B5EF4-FFF2-40B4-BE49-F238E27FC236}">
                <a16:creationId xmlns:a16="http://schemas.microsoft.com/office/drawing/2014/main" xmlns="" id="{00000000-0008-0000-0000-00005E000000}"/>
              </a:ext>
            </a:extLst>
          </xdr:cNvPr>
          <xdr:cNvSpPr txBox="1"/>
        </xdr:nvSpPr>
        <xdr:spPr>
          <a:xfrm>
            <a:off x="1293451" y="764362"/>
            <a:ext cx="722890" cy="264560"/>
          </a:xfrm>
          <a:prstGeom prst="rect">
            <a:avLst/>
          </a:prstGeom>
          <a:solidFill>
            <a:srgbClr val="FFFF00"/>
          </a:solidFill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t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/>
              <a:t>Tower 05</a:t>
            </a:r>
          </a:p>
        </xdr:txBody>
      </xdr:sp>
      <xdr:cxnSp macro="">
        <xdr:nvCxnSpPr>
          <xdr:cNvPr id="95" name="Straight Arrow Connector 94">
            <a:extLst>
              <a:ext uri="{FF2B5EF4-FFF2-40B4-BE49-F238E27FC236}">
                <a16:creationId xmlns:a16="http://schemas.microsoft.com/office/drawing/2014/main" xmlns="" id="{00000000-0008-0000-0000-00005F000000}"/>
              </a:ext>
            </a:extLst>
          </xdr:cNvPr>
          <xdr:cNvCxnSpPr>
            <a:stCxn id="94" idx="2"/>
          </xdr:cNvCxnSpPr>
        </xdr:nvCxnSpPr>
        <xdr:spPr>
          <a:xfrm>
            <a:off x="1654896" y="1028922"/>
            <a:ext cx="225907" cy="677816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oneCellAnchor>
    <xdr:from>
      <xdr:col>11</xdr:col>
      <xdr:colOff>307975</xdr:colOff>
      <xdr:row>572</xdr:row>
      <xdr:rowOff>53975</xdr:rowOff>
    </xdr:from>
    <xdr:ext cx="659989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9318625" y="109172375"/>
          <a:ext cx="65998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rgbClr val="FFFF00"/>
              </a:solidFill>
            </a:rPr>
            <a:t>Tower</a:t>
          </a:r>
          <a:r>
            <a:rPr lang="en-IN" sz="1100" b="1" baseline="0">
              <a:solidFill>
                <a:srgbClr val="FFFF00"/>
              </a:solidFill>
            </a:rPr>
            <a:t> 5</a:t>
          </a:r>
          <a:endParaRPr lang="en-IN" sz="1100" b="1">
            <a:solidFill>
              <a:srgbClr val="FFFF00"/>
            </a:solidFill>
          </a:endParaRPr>
        </a:p>
      </xdr:txBody>
    </xdr:sp>
    <xdr:clientData/>
  </xdr:oneCellAnchor>
  <xdr:twoCellAnchor>
    <xdr:from>
      <xdr:col>9</xdr:col>
      <xdr:colOff>85725</xdr:colOff>
      <xdr:row>548</xdr:row>
      <xdr:rowOff>104775</xdr:rowOff>
    </xdr:from>
    <xdr:to>
      <xdr:col>10</xdr:col>
      <xdr:colOff>533400</xdr:colOff>
      <xdr:row>551</xdr:row>
      <xdr:rowOff>114300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7772400" y="104422575"/>
          <a:ext cx="1209675" cy="6096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600" b="1">
              <a:solidFill>
                <a:srgbClr val="C00000"/>
              </a:solidFill>
            </a:rPr>
            <a:t>Tower 1</a:t>
          </a:r>
        </a:p>
      </xdr:txBody>
    </xdr:sp>
    <xdr:clientData/>
  </xdr:twoCellAnchor>
  <xdr:oneCellAnchor>
    <xdr:from>
      <xdr:col>8</xdr:col>
      <xdr:colOff>895911</xdr:colOff>
      <xdr:row>52</xdr:row>
      <xdr:rowOff>286871</xdr:rowOff>
    </xdr:from>
    <xdr:ext cx="5492195" cy="1620000"/>
    <xdr:pic>
      <xdr:nvPicPr>
        <xdr:cNvPr id="32" name="Picture 31">
          <a:extLst>
            <a:ext uri="{FF2B5EF4-FFF2-40B4-BE49-F238E27FC236}">
              <a16:creationId xmlns:a16="http://schemas.microsoft.com/office/drawing/2014/main" xmlns="" id="{603DB1D9-E76E-4CF0-879D-5316F2121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742705" y="12153900"/>
          <a:ext cx="5492195" cy="16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oneCellAnchor>
  <xdr:twoCellAnchor>
    <xdr:from>
      <xdr:col>0</xdr:col>
      <xdr:colOff>66675</xdr:colOff>
      <xdr:row>545</xdr:row>
      <xdr:rowOff>76200</xdr:rowOff>
    </xdr:from>
    <xdr:to>
      <xdr:col>0</xdr:col>
      <xdr:colOff>619124</xdr:colOff>
      <xdr:row>547</xdr:row>
      <xdr:rowOff>48912</xdr:rowOff>
    </xdr:to>
    <xdr:sp macro="" textlink="">
      <xdr:nvSpPr>
        <xdr:cNvPr id="107" name="TextBox 22">
          <a:extLst>
            <a:ext uri="{FF2B5EF4-FFF2-40B4-BE49-F238E27FC236}">
              <a16:creationId xmlns:a16="http://schemas.microsoft.com/office/drawing/2014/main" xmlns="" id="{3F0AF764-4674-2009-D0BD-149B4C60C291}"/>
            </a:ext>
          </a:extLst>
        </xdr:cNvPr>
        <xdr:cNvSpPr txBox="1"/>
      </xdr:nvSpPr>
      <xdr:spPr>
        <a:xfrm>
          <a:off x="66675" y="108956475"/>
          <a:ext cx="552449" cy="37276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/>
            <a:t>T1</a:t>
          </a:r>
          <a:endParaRPr lang="en-IN" b="1"/>
        </a:p>
      </xdr:txBody>
    </xdr:sp>
    <xdr:clientData/>
  </xdr:twoCellAnchor>
  <xdr:twoCellAnchor>
    <xdr:from>
      <xdr:col>0</xdr:col>
      <xdr:colOff>66676</xdr:colOff>
      <xdr:row>545</xdr:row>
      <xdr:rowOff>66675</xdr:rowOff>
    </xdr:from>
    <xdr:to>
      <xdr:col>7</xdr:col>
      <xdr:colOff>1108033</xdr:colOff>
      <xdr:row>583</xdr:row>
      <xdr:rowOff>140699</xdr:rowOff>
    </xdr:to>
    <xdr:grpSp>
      <xdr:nvGrpSpPr>
        <xdr:cNvPr id="30" name="Group 29"/>
        <xdr:cNvGrpSpPr/>
      </xdr:nvGrpSpPr>
      <xdr:grpSpPr>
        <a:xfrm>
          <a:off x="66676" y="106260900"/>
          <a:ext cx="6718257" cy="7665449"/>
          <a:chOff x="66676" y="108946950"/>
          <a:chExt cx="6718257" cy="7665449"/>
        </a:xfrm>
      </xdr:grpSpPr>
      <xdr:grpSp>
        <xdr:nvGrpSpPr>
          <xdr:cNvPr id="29" name="Group 28"/>
          <xdr:cNvGrpSpPr/>
        </xdr:nvGrpSpPr>
        <xdr:grpSpPr>
          <a:xfrm>
            <a:off x="66676" y="108956475"/>
            <a:ext cx="6718257" cy="7655924"/>
            <a:chOff x="66676" y="108956475"/>
            <a:chExt cx="6718257" cy="7655924"/>
          </a:xfrm>
        </xdr:grpSpPr>
        <xdr:pic>
          <xdr:nvPicPr>
            <xdr:cNvPr id="83" name="Picture 82" descr="https://vsjcllp.vsjadon.com/upload/insp-239858-152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0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429251" y="114804824"/>
              <a:ext cx="1355682" cy="180757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97" name="Picture 96" descr="https://vsjcllp.vsjadon.com/upload/insp-239858-843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1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4300" y="111871125"/>
              <a:ext cx="2128838" cy="283845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98" name="Picture 97" descr="https://vsjcllp.vsjadon.com/upload/insp-239858-84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2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552950" y="111890175"/>
              <a:ext cx="2128838" cy="283845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99" name="Picture 98" descr="https://vsjcllp.vsjadon.com/upload/insp-239858-846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3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333625" y="111890175"/>
              <a:ext cx="2128838" cy="283845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1" name="Picture 100" descr="https://vsjcllp.vsjadon.com/upload/insp-239858-848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4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343150" y="108966000"/>
              <a:ext cx="2128838" cy="283845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2" name="Picture 101" descr="https://vsjcllp.vsjadon.com/upload/insp-239858-849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5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943225" y="114804824"/>
              <a:ext cx="2410100" cy="180757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3" name="Picture 102" descr="https://vsjcllp.vsjadon.com/upload/insp-239858-851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6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562475" y="108966000"/>
              <a:ext cx="2128838" cy="283845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4" name="Picture 103" descr="https://vsjcllp.vsjadon.com/upload/insp-239858-861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7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504951" y="114795299"/>
              <a:ext cx="1355682" cy="180757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5" name="Picture 104" descr="https://vsjcllp.vsjadon.com/upload/insp-239858-1046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4300" y="108956475"/>
              <a:ext cx="2128838" cy="283845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6" name="Picture 105" descr="https://vsjcllp.vsjadon.com/upload/insp-239858-862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9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6676" y="114795299"/>
              <a:ext cx="1355682" cy="180757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108" name="TextBox 22">
            <a:extLst>
              <a:ext uri="{FF2B5EF4-FFF2-40B4-BE49-F238E27FC236}">
                <a16:creationId xmlns:a16="http://schemas.microsoft.com/office/drawing/2014/main" xmlns="" id="{3F0AF764-4674-2009-D0BD-149B4C60C291}"/>
              </a:ext>
            </a:extLst>
          </xdr:cNvPr>
          <xdr:cNvSpPr txBox="1"/>
        </xdr:nvSpPr>
        <xdr:spPr>
          <a:xfrm>
            <a:off x="571500" y="108946950"/>
            <a:ext cx="552449" cy="37276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T1</a:t>
            </a:r>
            <a:endParaRPr lang="en-IN" b="1"/>
          </a:p>
        </xdr:txBody>
      </xdr:sp>
      <xdr:sp macro="" textlink="">
        <xdr:nvSpPr>
          <xdr:cNvPr id="109" name="TextBox 22">
            <a:extLst>
              <a:ext uri="{FF2B5EF4-FFF2-40B4-BE49-F238E27FC236}">
                <a16:creationId xmlns:a16="http://schemas.microsoft.com/office/drawing/2014/main" xmlns="" id="{3F0AF764-4674-2009-D0BD-149B4C60C291}"/>
              </a:ext>
            </a:extLst>
          </xdr:cNvPr>
          <xdr:cNvSpPr txBox="1"/>
        </xdr:nvSpPr>
        <xdr:spPr>
          <a:xfrm>
            <a:off x="2714626" y="108946950"/>
            <a:ext cx="552449" cy="37276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T2</a:t>
            </a:r>
            <a:endParaRPr lang="en-IN" b="1"/>
          </a:p>
        </xdr:txBody>
      </xdr:sp>
      <xdr:sp macro="" textlink="">
        <xdr:nvSpPr>
          <xdr:cNvPr id="110" name="TextBox 22">
            <a:extLst>
              <a:ext uri="{FF2B5EF4-FFF2-40B4-BE49-F238E27FC236}">
                <a16:creationId xmlns:a16="http://schemas.microsoft.com/office/drawing/2014/main" xmlns="" id="{3F0AF764-4674-2009-D0BD-149B4C60C291}"/>
              </a:ext>
            </a:extLst>
          </xdr:cNvPr>
          <xdr:cNvSpPr txBox="1"/>
        </xdr:nvSpPr>
        <xdr:spPr>
          <a:xfrm>
            <a:off x="3743326" y="112166400"/>
            <a:ext cx="552449" cy="37276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T5</a:t>
            </a:r>
            <a:endParaRPr lang="en-IN" b="1"/>
          </a:p>
        </xdr:txBody>
      </xdr:sp>
      <xdr:sp macro="" textlink="">
        <xdr:nvSpPr>
          <xdr:cNvPr id="111" name="TextBox 22">
            <a:extLst>
              <a:ext uri="{FF2B5EF4-FFF2-40B4-BE49-F238E27FC236}">
                <a16:creationId xmlns:a16="http://schemas.microsoft.com/office/drawing/2014/main" xmlns="" id="{3F0AF764-4674-2009-D0BD-149B4C60C291}"/>
              </a:ext>
            </a:extLst>
          </xdr:cNvPr>
          <xdr:cNvSpPr txBox="1"/>
        </xdr:nvSpPr>
        <xdr:spPr>
          <a:xfrm>
            <a:off x="1466851" y="112156875"/>
            <a:ext cx="552449" cy="37276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T4</a:t>
            </a:r>
            <a:endParaRPr lang="en-IN" b="1"/>
          </a:p>
        </xdr:txBody>
      </xdr:sp>
      <xdr:sp macro="" textlink="">
        <xdr:nvSpPr>
          <xdr:cNvPr id="112" name="TextBox 22">
            <a:extLst>
              <a:ext uri="{FF2B5EF4-FFF2-40B4-BE49-F238E27FC236}">
                <a16:creationId xmlns:a16="http://schemas.microsoft.com/office/drawing/2014/main" xmlns="" id="{3F0AF764-4674-2009-D0BD-149B4C60C291}"/>
              </a:ext>
            </a:extLst>
          </xdr:cNvPr>
          <xdr:cNvSpPr txBox="1"/>
        </xdr:nvSpPr>
        <xdr:spPr>
          <a:xfrm>
            <a:off x="4991101" y="108985050"/>
            <a:ext cx="552449" cy="37276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T3</a:t>
            </a:r>
            <a:endParaRPr lang="en-IN" b="1"/>
          </a:p>
        </xdr:txBody>
      </xdr:sp>
    </xdr:grpSp>
    <xdr:clientData/>
  </xdr:twoCellAnchor>
  <xdr:twoCellAnchor editAs="oneCell">
    <xdr:from>
      <xdr:col>8</xdr:col>
      <xdr:colOff>1000125</xdr:colOff>
      <xdr:row>57</xdr:row>
      <xdr:rowOff>498654</xdr:rowOff>
    </xdr:from>
    <xdr:to>
      <xdr:col>18</xdr:col>
      <xdr:colOff>103727</xdr:colOff>
      <xdr:row>60</xdr:row>
      <xdr:rowOff>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7839075" y="12719229"/>
          <a:ext cx="6723602" cy="21775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4</xdr:col>
      <xdr:colOff>693530</xdr:colOff>
      <xdr:row>29</xdr:row>
      <xdr:rowOff>178518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2678206"/>
          <a:ext cx="5400000" cy="303601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5</xdr:col>
      <xdr:colOff>134730</xdr:colOff>
      <xdr:row>14</xdr:row>
      <xdr:rowOff>0</xdr:rowOff>
    </xdr:from>
    <xdr:to>
      <xdr:col>11</xdr:col>
      <xdr:colOff>424847</xdr:colOff>
      <xdr:row>29</xdr:row>
      <xdr:rowOff>178518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85906" y="2678206"/>
          <a:ext cx="5400000" cy="303601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12</xdr:col>
      <xdr:colOff>45341</xdr:colOff>
      <xdr:row>14</xdr:row>
      <xdr:rowOff>0</xdr:rowOff>
    </xdr:from>
    <xdr:to>
      <xdr:col>21</xdr:col>
      <xdr:colOff>200988</xdr:colOff>
      <xdr:row>29</xdr:row>
      <xdr:rowOff>178518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89106" y="2678206"/>
          <a:ext cx="5400000" cy="303601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5</xdr:col>
      <xdr:colOff>134730</xdr:colOff>
      <xdr:row>30</xdr:row>
      <xdr:rowOff>117495</xdr:rowOff>
    </xdr:from>
    <xdr:to>
      <xdr:col>11</xdr:col>
      <xdr:colOff>424847</xdr:colOff>
      <xdr:row>46</xdr:row>
      <xdr:rowOff>105513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85906" y="5843701"/>
          <a:ext cx="5400000" cy="303601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30</xdr:row>
      <xdr:rowOff>117495</xdr:rowOff>
    </xdr:from>
    <xdr:to>
      <xdr:col>4</xdr:col>
      <xdr:colOff>693530</xdr:colOff>
      <xdr:row>46</xdr:row>
      <xdr:rowOff>105513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5843701"/>
          <a:ext cx="5400000" cy="303601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12</xdr:col>
      <xdr:colOff>45341</xdr:colOff>
      <xdr:row>30</xdr:row>
      <xdr:rowOff>117495</xdr:rowOff>
    </xdr:from>
    <xdr:to>
      <xdr:col>21</xdr:col>
      <xdr:colOff>200988</xdr:colOff>
      <xdr:row>46</xdr:row>
      <xdr:rowOff>105513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89106" y="5843701"/>
          <a:ext cx="5400000" cy="303601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</xdr:colOff>
      <xdr:row>48</xdr:row>
      <xdr:rowOff>0</xdr:rowOff>
    </xdr:from>
    <xdr:to>
      <xdr:col>6</xdr:col>
      <xdr:colOff>2326</xdr:colOff>
      <xdr:row>66</xdr:row>
      <xdr:rowOff>171000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1026" y="9153525"/>
          <a:ext cx="6403125" cy="36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68</xdr:row>
      <xdr:rowOff>0</xdr:rowOff>
    </xdr:from>
    <xdr:to>
      <xdr:col>6</xdr:col>
      <xdr:colOff>2326</xdr:colOff>
      <xdr:row>86</xdr:row>
      <xdr:rowOff>171000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1026" y="12963525"/>
          <a:ext cx="6403125" cy="3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pAEZ2Gc3v8zwWVYv8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Z626"/>
  <sheetViews>
    <sheetView tabSelected="1" view="pageBreakPreview" zoomScaleNormal="100" zoomScaleSheetLayoutView="100" zoomScalePageLayoutView="85" workbookViewId="0">
      <selection activeCell="E9" sqref="E9:H9"/>
    </sheetView>
  </sheetViews>
  <sheetFormatPr defaultColWidth="9.140625" defaultRowHeight="15.75" x14ac:dyDescent="0.25"/>
  <cols>
    <col min="1" max="1" width="11.42578125" style="40" customWidth="1"/>
    <col min="2" max="2" width="12" style="40" customWidth="1"/>
    <col min="3" max="3" width="12.7109375" style="40" customWidth="1"/>
    <col min="4" max="4" width="14.140625" style="40" customWidth="1"/>
    <col min="5" max="6" width="11.7109375" style="40" customWidth="1"/>
    <col min="7" max="7" width="11.42578125" style="40" customWidth="1"/>
    <col min="8" max="8" width="17.42578125" style="40" customWidth="1"/>
    <col min="9" max="9" width="17.42578125" style="21" customWidth="1"/>
    <col min="10" max="10" width="11.42578125" style="21" customWidth="1"/>
    <col min="11" max="11" width="10.5703125" style="21" bestFit="1" customWidth="1"/>
    <col min="12" max="12" width="10.5703125" style="21" customWidth="1"/>
    <col min="13" max="13" width="11.85546875" style="21" customWidth="1"/>
    <col min="14" max="14" width="12.5703125" style="21" customWidth="1"/>
    <col min="15" max="15" width="9.85546875" style="21" customWidth="1"/>
    <col min="16" max="16" width="11.7109375" style="21" customWidth="1"/>
    <col min="17" max="247" width="9.140625" style="21"/>
    <col min="248" max="248" width="8.7109375" style="21" customWidth="1"/>
    <col min="249" max="249" width="9.85546875" style="21" customWidth="1"/>
    <col min="250" max="250" width="14.42578125" style="21" customWidth="1"/>
    <col min="251" max="251" width="7.28515625" style="21" customWidth="1"/>
    <col min="252" max="252" width="5.5703125" style="21" customWidth="1"/>
    <col min="253" max="253" width="9" style="21" customWidth="1"/>
    <col min="254" max="255" width="9.85546875" style="21" customWidth="1"/>
    <col min="256" max="256" width="11.140625" style="21" customWidth="1"/>
    <col min="257" max="257" width="2.85546875" style="21" customWidth="1"/>
    <col min="258" max="258" width="3.5703125" style="21" customWidth="1"/>
    <col min="259" max="503" width="9.140625" style="21"/>
    <col min="504" max="504" width="8.7109375" style="21" customWidth="1"/>
    <col min="505" max="505" width="9.85546875" style="21" customWidth="1"/>
    <col min="506" max="506" width="14.42578125" style="21" customWidth="1"/>
    <col min="507" max="507" width="7.28515625" style="21" customWidth="1"/>
    <col min="508" max="508" width="5.5703125" style="21" customWidth="1"/>
    <col min="509" max="509" width="9" style="21" customWidth="1"/>
    <col min="510" max="511" width="9.85546875" style="21" customWidth="1"/>
    <col min="512" max="512" width="11.140625" style="21" customWidth="1"/>
    <col min="513" max="513" width="2.85546875" style="21" customWidth="1"/>
    <col min="514" max="514" width="3.5703125" style="21" customWidth="1"/>
    <col min="515" max="759" width="9.140625" style="21"/>
    <col min="760" max="760" width="8.7109375" style="21" customWidth="1"/>
    <col min="761" max="761" width="9.85546875" style="21" customWidth="1"/>
    <col min="762" max="762" width="14.42578125" style="21" customWidth="1"/>
    <col min="763" max="763" width="7.28515625" style="21" customWidth="1"/>
    <col min="764" max="764" width="5.5703125" style="21" customWidth="1"/>
    <col min="765" max="765" width="9" style="21" customWidth="1"/>
    <col min="766" max="767" width="9.85546875" style="21" customWidth="1"/>
    <col min="768" max="768" width="11.140625" style="21" customWidth="1"/>
    <col min="769" max="769" width="2.85546875" style="21" customWidth="1"/>
    <col min="770" max="770" width="3.5703125" style="21" customWidth="1"/>
    <col min="771" max="1015" width="9.140625" style="21"/>
    <col min="1016" max="1016" width="8.7109375" style="21" customWidth="1"/>
    <col min="1017" max="1017" width="9.85546875" style="21" customWidth="1"/>
    <col min="1018" max="1018" width="14.42578125" style="21" customWidth="1"/>
    <col min="1019" max="1019" width="7.28515625" style="21" customWidth="1"/>
    <col min="1020" max="1020" width="5.5703125" style="21" customWidth="1"/>
    <col min="1021" max="1021" width="9" style="21" customWidth="1"/>
    <col min="1022" max="1023" width="9.85546875" style="21" customWidth="1"/>
    <col min="1024" max="1024" width="11.140625" style="21" customWidth="1"/>
    <col min="1025" max="1025" width="2.85546875" style="21" customWidth="1"/>
    <col min="1026" max="1026" width="3.5703125" style="21" customWidth="1"/>
    <col min="1027" max="1271" width="9.140625" style="21"/>
    <col min="1272" max="1272" width="8.7109375" style="21" customWidth="1"/>
    <col min="1273" max="1273" width="9.85546875" style="21" customWidth="1"/>
    <col min="1274" max="1274" width="14.42578125" style="21" customWidth="1"/>
    <col min="1275" max="1275" width="7.28515625" style="21" customWidth="1"/>
    <col min="1276" max="1276" width="5.5703125" style="21" customWidth="1"/>
    <col min="1277" max="1277" width="9" style="21" customWidth="1"/>
    <col min="1278" max="1279" width="9.85546875" style="21" customWidth="1"/>
    <col min="1280" max="1280" width="11.140625" style="21" customWidth="1"/>
    <col min="1281" max="1281" width="2.85546875" style="21" customWidth="1"/>
    <col min="1282" max="1282" width="3.5703125" style="21" customWidth="1"/>
    <col min="1283" max="1527" width="9.140625" style="21"/>
    <col min="1528" max="1528" width="8.7109375" style="21" customWidth="1"/>
    <col min="1529" max="1529" width="9.85546875" style="21" customWidth="1"/>
    <col min="1530" max="1530" width="14.42578125" style="21" customWidth="1"/>
    <col min="1531" max="1531" width="7.28515625" style="21" customWidth="1"/>
    <col min="1532" max="1532" width="5.5703125" style="21" customWidth="1"/>
    <col min="1533" max="1533" width="9" style="21" customWidth="1"/>
    <col min="1534" max="1535" width="9.85546875" style="21" customWidth="1"/>
    <col min="1536" max="1536" width="11.140625" style="21" customWidth="1"/>
    <col min="1537" max="1537" width="2.85546875" style="21" customWidth="1"/>
    <col min="1538" max="1538" width="3.5703125" style="21" customWidth="1"/>
    <col min="1539" max="1783" width="9.140625" style="21"/>
    <col min="1784" max="1784" width="8.7109375" style="21" customWidth="1"/>
    <col min="1785" max="1785" width="9.85546875" style="21" customWidth="1"/>
    <col min="1786" max="1786" width="14.42578125" style="21" customWidth="1"/>
    <col min="1787" max="1787" width="7.28515625" style="21" customWidth="1"/>
    <col min="1788" max="1788" width="5.5703125" style="21" customWidth="1"/>
    <col min="1789" max="1789" width="9" style="21" customWidth="1"/>
    <col min="1790" max="1791" width="9.85546875" style="21" customWidth="1"/>
    <col min="1792" max="1792" width="11.140625" style="21" customWidth="1"/>
    <col min="1793" max="1793" width="2.85546875" style="21" customWidth="1"/>
    <col min="1794" max="1794" width="3.5703125" style="21" customWidth="1"/>
    <col min="1795" max="2039" width="9.140625" style="21"/>
    <col min="2040" max="2040" width="8.7109375" style="21" customWidth="1"/>
    <col min="2041" max="2041" width="9.85546875" style="21" customWidth="1"/>
    <col min="2042" max="2042" width="14.42578125" style="21" customWidth="1"/>
    <col min="2043" max="2043" width="7.28515625" style="21" customWidth="1"/>
    <col min="2044" max="2044" width="5.5703125" style="21" customWidth="1"/>
    <col min="2045" max="2045" width="9" style="21" customWidth="1"/>
    <col min="2046" max="2047" width="9.85546875" style="21" customWidth="1"/>
    <col min="2048" max="2048" width="11.140625" style="21" customWidth="1"/>
    <col min="2049" max="2049" width="2.85546875" style="21" customWidth="1"/>
    <col min="2050" max="2050" width="3.5703125" style="21" customWidth="1"/>
    <col min="2051" max="2295" width="9.140625" style="21"/>
    <col min="2296" max="2296" width="8.7109375" style="21" customWidth="1"/>
    <col min="2297" max="2297" width="9.85546875" style="21" customWidth="1"/>
    <col min="2298" max="2298" width="14.42578125" style="21" customWidth="1"/>
    <col min="2299" max="2299" width="7.28515625" style="21" customWidth="1"/>
    <col min="2300" max="2300" width="5.5703125" style="21" customWidth="1"/>
    <col min="2301" max="2301" width="9" style="21" customWidth="1"/>
    <col min="2302" max="2303" width="9.85546875" style="21" customWidth="1"/>
    <col min="2304" max="2304" width="11.140625" style="21" customWidth="1"/>
    <col min="2305" max="2305" width="2.85546875" style="21" customWidth="1"/>
    <col min="2306" max="2306" width="3.5703125" style="21" customWidth="1"/>
    <col min="2307" max="2551" width="9.140625" style="21"/>
    <col min="2552" max="2552" width="8.7109375" style="21" customWidth="1"/>
    <col min="2553" max="2553" width="9.85546875" style="21" customWidth="1"/>
    <col min="2554" max="2554" width="14.42578125" style="21" customWidth="1"/>
    <col min="2555" max="2555" width="7.28515625" style="21" customWidth="1"/>
    <col min="2556" max="2556" width="5.5703125" style="21" customWidth="1"/>
    <col min="2557" max="2557" width="9" style="21" customWidth="1"/>
    <col min="2558" max="2559" width="9.85546875" style="21" customWidth="1"/>
    <col min="2560" max="2560" width="11.140625" style="21" customWidth="1"/>
    <col min="2561" max="2561" width="2.85546875" style="21" customWidth="1"/>
    <col min="2562" max="2562" width="3.5703125" style="21" customWidth="1"/>
    <col min="2563" max="2807" width="9.140625" style="21"/>
    <col min="2808" max="2808" width="8.7109375" style="21" customWidth="1"/>
    <col min="2809" max="2809" width="9.85546875" style="21" customWidth="1"/>
    <col min="2810" max="2810" width="14.42578125" style="21" customWidth="1"/>
    <col min="2811" max="2811" width="7.28515625" style="21" customWidth="1"/>
    <col min="2812" max="2812" width="5.5703125" style="21" customWidth="1"/>
    <col min="2813" max="2813" width="9" style="21" customWidth="1"/>
    <col min="2814" max="2815" width="9.85546875" style="21" customWidth="1"/>
    <col min="2816" max="2816" width="11.140625" style="21" customWidth="1"/>
    <col min="2817" max="2817" width="2.85546875" style="21" customWidth="1"/>
    <col min="2818" max="2818" width="3.5703125" style="21" customWidth="1"/>
    <col min="2819" max="3063" width="9.140625" style="21"/>
    <col min="3064" max="3064" width="8.7109375" style="21" customWidth="1"/>
    <col min="3065" max="3065" width="9.85546875" style="21" customWidth="1"/>
    <col min="3066" max="3066" width="14.42578125" style="21" customWidth="1"/>
    <col min="3067" max="3067" width="7.28515625" style="21" customWidth="1"/>
    <col min="3068" max="3068" width="5.5703125" style="21" customWidth="1"/>
    <col min="3069" max="3069" width="9" style="21" customWidth="1"/>
    <col min="3070" max="3071" width="9.85546875" style="21" customWidth="1"/>
    <col min="3072" max="3072" width="11.140625" style="21" customWidth="1"/>
    <col min="3073" max="3073" width="2.85546875" style="21" customWidth="1"/>
    <col min="3074" max="3074" width="3.5703125" style="21" customWidth="1"/>
    <col min="3075" max="3319" width="9.140625" style="21"/>
    <col min="3320" max="3320" width="8.7109375" style="21" customWidth="1"/>
    <col min="3321" max="3321" width="9.85546875" style="21" customWidth="1"/>
    <col min="3322" max="3322" width="14.42578125" style="21" customWidth="1"/>
    <col min="3323" max="3323" width="7.28515625" style="21" customWidth="1"/>
    <col min="3324" max="3324" width="5.5703125" style="21" customWidth="1"/>
    <col min="3325" max="3325" width="9" style="21" customWidth="1"/>
    <col min="3326" max="3327" width="9.85546875" style="21" customWidth="1"/>
    <col min="3328" max="3328" width="11.140625" style="21" customWidth="1"/>
    <col min="3329" max="3329" width="2.85546875" style="21" customWidth="1"/>
    <col min="3330" max="3330" width="3.5703125" style="21" customWidth="1"/>
    <col min="3331" max="3575" width="9.140625" style="21"/>
    <col min="3576" max="3576" width="8.7109375" style="21" customWidth="1"/>
    <col min="3577" max="3577" width="9.85546875" style="21" customWidth="1"/>
    <col min="3578" max="3578" width="14.42578125" style="21" customWidth="1"/>
    <col min="3579" max="3579" width="7.28515625" style="21" customWidth="1"/>
    <col min="3580" max="3580" width="5.5703125" style="21" customWidth="1"/>
    <col min="3581" max="3581" width="9" style="21" customWidth="1"/>
    <col min="3582" max="3583" width="9.85546875" style="21" customWidth="1"/>
    <col min="3584" max="3584" width="11.140625" style="21" customWidth="1"/>
    <col min="3585" max="3585" width="2.85546875" style="21" customWidth="1"/>
    <col min="3586" max="3586" width="3.5703125" style="21" customWidth="1"/>
    <col min="3587" max="3831" width="9.140625" style="21"/>
    <col min="3832" max="3832" width="8.7109375" style="21" customWidth="1"/>
    <col min="3833" max="3833" width="9.85546875" style="21" customWidth="1"/>
    <col min="3834" max="3834" width="14.42578125" style="21" customWidth="1"/>
    <col min="3835" max="3835" width="7.28515625" style="21" customWidth="1"/>
    <col min="3836" max="3836" width="5.5703125" style="21" customWidth="1"/>
    <col min="3837" max="3837" width="9" style="21" customWidth="1"/>
    <col min="3838" max="3839" width="9.85546875" style="21" customWidth="1"/>
    <col min="3840" max="3840" width="11.140625" style="21" customWidth="1"/>
    <col min="3841" max="3841" width="2.85546875" style="21" customWidth="1"/>
    <col min="3842" max="3842" width="3.5703125" style="21" customWidth="1"/>
    <col min="3843" max="4087" width="9.140625" style="21"/>
    <col min="4088" max="4088" width="8.7109375" style="21" customWidth="1"/>
    <col min="4089" max="4089" width="9.85546875" style="21" customWidth="1"/>
    <col min="4090" max="4090" width="14.42578125" style="21" customWidth="1"/>
    <col min="4091" max="4091" width="7.28515625" style="21" customWidth="1"/>
    <col min="4092" max="4092" width="5.5703125" style="21" customWidth="1"/>
    <col min="4093" max="4093" width="9" style="21" customWidth="1"/>
    <col min="4094" max="4095" width="9.85546875" style="21" customWidth="1"/>
    <col min="4096" max="4096" width="11.140625" style="21" customWidth="1"/>
    <col min="4097" max="4097" width="2.85546875" style="21" customWidth="1"/>
    <col min="4098" max="4098" width="3.5703125" style="21" customWidth="1"/>
    <col min="4099" max="4343" width="9.140625" style="21"/>
    <col min="4344" max="4344" width="8.7109375" style="21" customWidth="1"/>
    <col min="4345" max="4345" width="9.85546875" style="21" customWidth="1"/>
    <col min="4346" max="4346" width="14.42578125" style="21" customWidth="1"/>
    <col min="4347" max="4347" width="7.28515625" style="21" customWidth="1"/>
    <col min="4348" max="4348" width="5.5703125" style="21" customWidth="1"/>
    <col min="4349" max="4349" width="9" style="21" customWidth="1"/>
    <col min="4350" max="4351" width="9.85546875" style="21" customWidth="1"/>
    <col min="4352" max="4352" width="11.140625" style="21" customWidth="1"/>
    <col min="4353" max="4353" width="2.85546875" style="21" customWidth="1"/>
    <col min="4354" max="4354" width="3.5703125" style="21" customWidth="1"/>
    <col min="4355" max="4599" width="9.140625" style="21"/>
    <col min="4600" max="4600" width="8.7109375" style="21" customWidth="1"/>
    <col min="4601" max="4601" width="9.85546875" style="21" customWidth="1"/>
    <col min="4602" max="4602" width="14.42578125" style="21" customWidth="1"/>
    <col min="4603" max="4603" width="7.28515625" style="21" customWidth="1"/>
    <col min="4604" max="4604" width="5.5703125" style="21" customWidth="1"/>
    <col min="4605" max="4605" width="9" style="21" customWidth="1"/>
    <col min="4606" max="4607" width="9.85546875" style="21" customWidth="1"/>
    <col min="4608" max="4608" width="11.140625" style="21" customWidth="1"/>
    <col min="4609" max="4609" width="2.85546875" style="21" customWidth="1"/>
    <col min="4610" max="4610" width="3.5703125" style="21" customWidth="1"/>
    <col min="4611" max="4855" width="9.140625" style="21"/>
    <col min="4856" max="4856" width="8.7109375" style="21" customWidth="1"/>
    <col min="4857" max="4857" width="9.85546875" style="21" customWidth="1"/>
    <col min="4858" max="4858" width="14.42578125" style="21" customWidth="1"/>
    <col min="4859" max="4859" width="7.28515625" style="21" customWidth="1"/>
    <col min="4860" max="4860" width="5.5703125" style="21" customWidth="1"/>
    <col min="4861" max="4861" width="9" style="21" customWidth="1"/>
    <col min="4862" max="4863" width="9.85546875" style="21" customWidth="1"/>
    <col min="4864" max="4864" width="11.140625" style="21" customWidth="1"/>
    <col min="4865" max="4865" width="2.85546875" style="21" customWidth="1"/>
    <col min="4866" max="4866" width="3.5703125" style="21" customWidth="1"/>
    <col min="4867" max="5111" width="9.140625" style="21"/>
    <col min="5112" max="5112" width="8.7109375" style="21" customWidth="1"/>
    <col min="5113" max="5113" width="9.85546875" style="21" customWidth="1"/>
    <col min="5114" max="5114" width="14.42578125" style="21" customWidth="1"/>
    <col min="5115" max="5115" width="7.28515625" style="21" customWidth="1"/>
    <col min="5116" max="5116" width="5.5703125" style="21" customWidth="1"/>
    <col min="5117" max="5117" width="9" style="21" customWidth="1"/>
    <col min="5118" max="5119" width="9.85546875" style="21" customWidth="1"/>
    <col min="5120" max="5120" width="11.140625" style="21" customWidth="1"/>
    <col min="5121" max="5121" width="2.85546875" style="21" customWidth="1"/>
    <col min="5122" max="5122" width="3.5703125" style="21" customWidth="1"/>
    <col min="5123" max="5367" width="9.140625" style="21"/>
    <col min="5368" max="5368" width="8.7109375" style="21" customWidth="1"/>
    <col min="5369" max="5369" width="9.85546875" style="21" customWidth="1"/>
    <col min="5370" max="5370" width="14.42578125" style="21" customWidth="1"/>
    <col min="5371" max="5371" width="7.28515625" style="21" customWidth="1"/>
    <col min="5372" max="5372" width="5.5703125" style="21" customWidth="1"/>
    <col min="5373" max="5373" width="9" style="21" customWidth="1"/>
    <col min="5374" max="5375" width="9.85546875" style="21" customWidth="1"/>
    <col min="5376" max="5376" width="11.140625" style="21" customWidth="1"/>
    <col min="5377" max="5377" width="2.85546875" style="21" customWidth="1"/>
    <col min="5378" max="5378" width="3.5703125" style="21" customWidth="1"/>
    <col min="5379" max="5623" width="9.140625" style="21"/>
    <col min="5624" max="5624" width="8.7109375" style="21" customWidth="1"/>
    <col min="5625" max="5625" width="9.85546875" style="21" customWidth="1"/>
    <col min="5626" max="5626" width="14.42578125" style="21" customWidth="1"/>
    <col min="5627" max="5627" width="7.28515625" style="21" customWidth="1"/>
    <col min="5628" max="5628" width="5.5703125" style="21" customWidth="1"/>
    <col min="5629" max="5629" width="9" style="21" customWidth="1"/>
    <col min="5630" max="5631" width="9.85546875" style="21" customWidth="1"/>
    <col min="5632" max="5632" width="11.140625" style="21" customWidth="1"/>
    <col min="5633" max="5633" width="2.85546875" style="21" customWidth="1"/>
    <col min="5634" max="5634" width="3.5703125" style="21" customWidth="1"/>
    <col min="5635" max="5879" width="9.140625" style="21"/>
    <col min="5880" max="5880" width="8.7109375" style="21" customWidth="1"/>
    <col min="5881" max="5881" width="9.85546875" style="21" customWidth="1"/>
    <col min="5882" max="5882" width="14.42578125" style="21" customWidth="1"/>
    <col min="5883" max="5883" width="7.28515625" style="21" customWidth="1"/>
    <col min="5884" max="5884" width="5.5703125" style="21" customWidth="1"/>
    <col min="5885" max="5885" width="9" style="21" customWidth="1"/>
    <col min="5886" max="5887" width="9.85546875" style="21" customWidth="1"/>
    <col min="5888" max="5888" width="11.140625" style="21" customWidth="1"/>
    <col min="5889" max="5889" width="2.85546875" style="21" customWidth="1"/>
    <col min="5890" max="5890" width="3.5703125" style="21" customWidth="1"/>
    <col min="5891" max="6135" width="9.140625" style="21"/>
    <col min="6136" max="6136" width="8.7109375" style="21" customWidth="1"/>
    <col min="6137" max="6137" width="9.85546875" style="21" customWidth="1"/>
    <col min="6138" max="6138" width="14.42578125" style="21" customWidth="1"/>
    <col min="6139" max="6139" width="7.28515625" style="21" customWidth="1"/>
    <col min="6140" max="6140" width="5.5703125" style="21" customWidth="1"/>
    <col min="6141" max="6141" width="9" style="21" customWidth="1"/>
    <col min="6142" max="6143" width="9.85546875" style="21" customWidth="1"/>
    <col min="6144" max="6144" width="11.140625" style="21" customWidth="1"/>
    <col min="6145" max="6145" width="2.85546875" style="21" customWidth="1"/>
    <col min="6146" max="6146" width="3.5703125" style="21" customWidth="1"/>
    <col min="6147" max="6391" width="9.140625" style="21"/>
    <col min="6392" max="6392" width="8.7109375" style="21" customWidth="1"/>
    <col min="6393" max="6393" width="9.85546875" style="21" customWidth="1"/>
    <col min="6394" max="6394" width="14.42578125" style="21" customWidth="1"/>
    <col min="6395" max="6395" width="7.28515625" style="21" customWidth="1"/>
    <col min="6396" max="6396" width="5.5703125" style="21" customWidth="1"/>
    <col min="6397" max="6397" width="9" style="21" customWidth="1"/>
    <col min="6398" max="6399" width="9.85546875" style="21" customWidth="1"/>
    <col min="6400" max="6400" width="11.140625" style="21" customWidth="1"/>
    <col min="6401" max="6401" width="2.85546875" style="21" customWidth="1"/>
    <col min="6402" max="6402" width="3.5703125" style="21" customWidth="1"/>
    <col min="6403" max="6647" width="9.140625" style="21"/>
    <col min="6648" max="6648" width="8.7109375" style="21" customWidth="1"/>
    <col min="6649" max="6649" width="9.85546875" style="21" customWidth="1"/>
    <col min="6650" max="6650" width="14.42578125" style="21" customWidth="1"/>
    <col min="6651" max="6651" width="7.28515625" style="21" customWidth="1"/>
    <col min="6652" max="6652" width="5.5703125" style="21" customWidth="1"/>
    <col min="6653" max="6653" width="9" style="21" customWidth="1"/>
    <col min="6654" max="6655" width="9.85546875" style="21" customWidth="1"/>
    <col min="6656" max="6656" width="11.140625" style="21" customWidth="1"/>
    <col min="6657" max="6657" width="2.85546875" style="21" customWidth="1"/>
    <col min="6658" max="6658" width="3.5703125" style="21" customWidth="1"/>
    <col min="6659" max="6903" width="9.140625" style="21"/>
    <col min="6904" max="6904" width="8.7109375" style="21" customWidth="1"/>
    <col min="6905" max="6905" width="9.85546875" style="21" customWidth="1"/>
    <col min="6906" max="6906" width="14.42578125" style="21" customWidth="1"/>
    <col min="6907" max="6907" width="7.28515625" style="21" customWidth="1"/>
    <col min="6908" max="6908" width="5.5703125" style="21" customWidth="1"/>
    <col min="6909" max="6909" width="9" style="21" customWidth="1"/>
    <col min="6910" max="6911" width="9.85546875" style="21" customWidth="1"/>
    <col min="6912" max="6912" width="11.140625" style="21" customWidth="1"/>
    <col min="6913" max="6913" width="2.85546875" style="21" customWidth="1"/>
    <col min="6914" max="6914" width="3.5703125" style="21" customWidth="1"/>
    <col min="6915" max="7159" width="9.140625" style="21"/>
    <col min="7160" max="7160" width="8.7109375" style="21" customWidth="1"/>
    <col min="7161" max="7161" width="9.85546875" style="21" customWidth="1"/>
    <col min="7162" max="7162" width="14.42578125" style="21" customWidth="1"/>
    <col min="7163" max="7163" width="7.28515625" style="21" customWidth="1"/>
    <col min="7164" max="7164" width="5.5703125" style="21" customWidth="1"/>
    <col min="7165" max="7165" width="9" style="21" customWidth="1"/>
    <col min="7166" max="7167" width="9.85546875" style="21" customWidth="1"/>
    <col min="7168" max="7168" width="11.140625" style="21" customWidth="1"/>
    <col min="7169" max="7169" width="2.85546875" style="21" customWidth="1"/>
    <col min="7170" max="7170" width="3.5703125" style="21" customWidth="1"/>
    <col min="7171" max="7415" width="9.140625" style="21"/>
    <col min="7416" max="7416" width="8.7109375" style="21" customWidth="1"/>
    <col min="7417" max="7417" width="9.85546875" style="21" customWidth="1"/>
    <col min="7418" max="7418" width="14.42578125" style="21" customWidth="1"/>
    <col min="7419" max="7419" width="7.28515625" style="21" customWidth="1"/>
    <col min="7420" max="7420" width="5.5703125" style="21" customWidth="1"/>
    <col min="7421" max="7421" width="9" style="21" customWidth="1"/>
    <col min="7422" max="7423" width="9.85546875" style="21" customWidth="1"/>
    <col min="7424" max="7424" width="11.140625" style="21" customWidth="1"/>
    <col min="7425" max="7425" width="2.85546875" style="21" customWidth="1"/>
    <col min="7426" max="7426" width="3.5703125" style="21" customWidth="1"/>
    <col min="7427" max="7671" width="9.140625" style="21"/>
    <col min="7672" max="7672" width="8.7109375" style="21" customWidth="1"/>
    <col min="7673" max="7673" width="9.85546875" style="21" customWidth="1"/>
    <col min="7674" max="7674" width="14.42578125" style="21" customWidth="1"/>
    <col min="7675" max="7675" width="7.28515625" style="21" customWidth="1"/>
    <col min="7676" max="7676" width="5.5703125" style="21" customWidth="1"/>
    <col min="7677" max="7677" width="9" style="21" customWidth="1"/>
    <col min="7678" max="7679" width="9.85546875" style="21" customWidth="1"/>
    <col min="7680" max="7680" width="11.140625" style="21" customWidth="1"/>
    <col min="7681" max="7681" width="2.85546875" style="21" customWidth="1"/>
    <col min="7682" max="7682" width="3.5703125" style="21" customWidth="1"/>
    <col min="7683" max="7927" width="9.140625" style="21"/>
    <col min="7928" max="7928" width="8.7109375" style="21" customWidth="1"/>
    <col min="7929" max="7929" width="9.85546875" style="21" customWidth="1"/>
    <col min="7930" max="7930" width="14.42578125" style="21" customWidth="1"/>
    <col min="7931" max="7931" width="7.28515625" style="21" customWidth="1"/>
    <col min="7932" max="7932" width="5.5703125" style="21" customWidth="1"/>
    <col min="7933" max="7933" width="9" style="21" customWidth="1"/>
    <col min="7934" max="7935" width="9.85546875" style="21" customWidth="1"/>
    <col min="7936" max="7936" width="11.140625" style="21" customWidth="1"/>
    <col min="7937" max="7937" width="2.85546875" style="21" customWidth="1"/>
    <col min="7938" max="7938" width="3.5703125" style="21" customWidth="1"/>
    <col min="7939" max="8183" width="9.140625" style="21"/>
    <col min="8184" max="8184" width="8.7109375" style="21" customWidth="1"/>
    <col min="8185" max="8185" width="9.85546875" style="21" customWidth="1"/>
    <col min="8186" max="8186" width="14.42578125" style="21" customWidth="1"/>
    <col min="8187" max="8187" width="7.28515625" style="21" customWidth="1"/>
    <col min="8188" max="8188" width="5.5703125" style="21" customWidth="1"/>
    <col min="8189" max="8189" width="9" style="21" customWidth="1"/>
    <col min="8190" max="8191" width="9.85546875" style="21" customWidth="1"/>
    <col min="8192" max="8192" width="11.140625" style="21" customWidth="1"/>
    <col min="8193" max="8193" width="2.85546875" style="21" customWidth="1"/>
    <col min="8194" max="8194" width="3.5703125" style="21" customWidth="1"/>
    <col min="8195" max="8439" width="9.140625" style="21"/>
    <col min="8440" max="8440" width="8.7109375" style="21" customWidth="1"/>
    <col min="8441" max="8441" width="9.85546875" style="21" customWidth="1"/>
    <col min="8442" max="8442" width="14.42578125" style="21" customWidth="1"/>
    <col min="8443" max="8443" width="7.28515625" style="21" customWidth="1"/>
    <col min="8444" max="8444" width="5.5703125" style="21" customWidth="1"/>
    <col min="8445" max="8445" width="9" style="21" customWidth="1"/>
    <col min="8446" max="8447" width="9.85546875" style="21" customWidth="1"/>
    <col min="8448" max="8448" width="11.140625" style="21" customWidth="1"/>
    <col min="8449" max="8449" width="2.85546875" style="21" customWidth="1"/>
    <col min="8450" max="8450" width="3.5703125" style="21" customWidth="1"/>
    <col min="8451" max="8695" width="9.140625" style="21"/>
    <col min="8696" max="8696" width="8.7109375" style="21" customWidth="1"/>
    <col min="8697" max="8697" width="9.85546875" style="21" customWidth="1"/>
    <col min="8698" max="8698" width="14.42578125" style="21" customWidth="1"/>
    <col min="8699" max="8699" width="7.28515625" style="21" customWidth="1"/>
    <col min="8700" max="8700" width="5.5703125" style="21" customWidth="1"/>
    <col min="8701" max="8701" width="9" style="21" customWidth="1"/>
    <col min="8702" max="8703" width="9.85546875" style="21" customWidth="1"/>
    <col min="8704" max="8704" width="11.140625" style="21" customWidth="1"/>
    <col min="8705" max="8705" width="2.85546875" style="21" customWidth="1"/>
    <col min="8706" max="8706" width="3.5703125" style="21" customWidth="1"/>
    <col min="8707" max="8951" width="9.140625" style="21"/>
    <col min="8952" max="8952" width="8.7109375" style="21" customWidth="1"/>
    <col min="8953" max="8953" width="9.85546875" style="21" customWidth="1"/>
    <col min="8954" max="8954" width="14.42578125" style="21" customWidth="1"/>
    <col min="8955" max="8955" width="7.28515625" style="21" customWidth="1"/>
    <col min="8956" max="8956" width="5.5703125" style="21" customWidth="1"/>
    <col min="8957" max="8957" width="9" style="21" customWidth="1"/>
    <col min="8958" max="8959" width="9.85546875" style="21" customWidth="1"/>
    <col min="8960" max="8960" width="11.140625" style="21" customWidth="1"/>
    <col min="8961" max="8961" width="2.85546875" style="21" customWidth="1"/>
    <col min="8962" max="8962" width="3.5703125" style="21" customWidth="1"/>
    <col min="8963" max="9207" width="9.140625" style="21"/>
    <col min="9208" max="9208" width="8.7109375" style="21" customWidth="1"/>
    <col min="9209" max="9209" width="9.85546875" style="21" customWidth="1"/>
    <col min="9210" max="9210" width="14.42578125" style="21" customWidth="1"/>
    <col min="9211" max="9211" width="7.28515625" style="21" customWidth="1"/>
    <col min="9212" max="9212" width="5.5703125" style="21" customWidth="1"/>
    <col min="9213" max="9213" width="9" style="21" customWidth="1"/>
    <col min="9214" max="9215" width="9.85546875" style="21" customWidth="1"/>
    <col min="9216" max="9216" width="11.140625" style="21" customWidth="1"/>
    <col min="9217" max="9217" width="2.85546875" style="21" customWidth="1"/>
    <col min="9218" max="9218" width="3.5703125" style="21" customWidth="1"/>
    <col min="9219" max="9463" width="9.140625" style="21"/>
    <col min="9464" max="9464" width="8.7109375" style="21" customWidth="1"/>
    <col min="9465" max="9465" width="9.85546875" style="21" customWidth="1"/>
    <col min="9466" max="9466" width="14.42578125" style="21" customWidth="1"/>
    <col min="9467" max="9467" width="7.28515625" style="21" customWidth="1"/>
    <col min="9468" max="9468" width="5.5703125" style="21" customWidth="1"/>
    <col min="9469" max="9469" width="9" style="21" customWidth="1"/>
    <col min="9470" max="9471" width="9.85546875" style="21" customWidth="1"/>
    <col min="9472" max="9472" width="11.140625" style="21" customWidth="1"/>
    <col min="9473" max="9473" width="2.85546875" style="21" customWidth="1"/>
    <col min="9474" max="9474" width="3.5703125" style="21" customWidth="1"/>
    <col min="9475" max="9719" width="9.140625" style="21"/>
    <col min="9720" max="9720" width="8.7109375" style="21" customWidth="1"/>
    <col min="9721" max="9721" width="9.85546875" style="21" customWidth="1"/>
    <col min="9722" max="9722" width="14.42578125" style="21" customWidth="1"/>
    <col min="9723" max="9723" width="7.28515625" style="21" customWidth="1"/>
    <col min="9724" max="9724" width="5.5703125" style="21" customWidth="1"/>
    <col min="9725" max="9725" width="9" style="21" customWidth="1"/>
    <col min="9726" max="9727" width="9.85546875" style="21" customWidth="1"/>
    <col min="9728" max="9728" width="11.140625" style="21" customWidth="1"/>
    <col min="9729" max="9729" width="2.85546875" style="21" customWidth="1"/>
    <col min="9730" max="9730" width="3.5703125" style="21" customWidth="1"/>
    <col min="9731" max="9975" width="9.140625" style="21"/>
    <col min="9976" max="9976" width="8.7109375" style="21" customWidth="1"/>
    <col min="9977" max="9977" width="9.85546875" style="21" customWidth="1"/>
    <col min="9978" max="9978" width="14.42578125" style="21" customWidth="1"/>
    <col min="9979" max="9979" width="7.28515625" style="21" customWidth="1"/>
    <col min="9980" max="9980" width="5.5703125" style="21" customWidth="1"/>
    <col min="9981" max="9981" width="9" style="21" customWidth="1"/>
    <col min="9982" max="9983" width="9.85546875" style="21" customWidth="1"/>
    <col min="9984" max="9984" width="11.140625" style="21" customWidth="1"/>
    <col min="9985" max="9985" width="2.85546875" style="21" customWidth="1"/>
    <col min="9986" max="9986" width="3.5703125" style="21" customWidth="1"/>
    <col min="9987" max="10231" width="9.140625" style="21"/>
    <col min="10232" max="10232" width="8.7109375" style="21" customWidth="1"/>
    <col min="10233" max="10233" width="9.85546875" style="21" customWidth="1"/>
    <col min="10234" max="10234" width="14.42578125" style="21" customWidth="1"/>
    <col min="10235" max="10235" width="7.28515625" style="21" customWidth="1"/>
    <col min="10236" max="10236" width="5.5703125" style="21" customWidth="1"/>
    <col min="10237" max="10237" width="9" style="21" customWidth="1"/>
    <col min="10238" max="10239" width="9.85546875" style="21" customWidth="1"/>
    <col min="10240" max="10240" width="11.140625" style="21" customWidth="1"/>
    <col min="10241" max="10241" width="2.85546875" style="21" customWidth="1"/>
    <col min="10242" max="10242" width="3.5703125" style="21" customWidth="1"/>
    <col min="10243" max="10487" width="9.140625" style="21"/>
    <col min="10488" max="10488" width="8.7109375" style="21" customWidth="1"/>
    <col min="10489" max="10489" width="9.85546875" style="21" customWidth="1"/>
    <col min="10490" max="10490" width="14.42578125" style="21" customWidth="1"/>
    <col min="10491" max="10491" width="7.28515625" style="21" customWidth="1"/>
    <col min="10492" max="10492" width="5.5703125" style="21" customWidth="1"/>
    <col min="10493" max="10493" width="9" style="21" customWidth="1"/>
    <col min="10494" max="10495" width="9.85546875" style="21" customWidth="1"/>
    <col min="10496" max="10496" width="11.140625" style="21" customWidth="1"/>
    <col min="10497" max="10497" width="2.85546875" style="21" customWidth="1"/>
    <col min="10498" max="10498" width="3.5703125" style="21" customWidth="1"/>
    <col min="10499" max="10743" width="9.140625" style="21"/>
    <col min="10744" max="10744" width="8.7109375" style="21" customWidth="1"/>
    <col min="10745" max="10745" width="9.85546875" style="21" customWidth="1"/>
    <col min="10746" max="10746" width="14.42578125" style="21" customWidth="1"/>
    <col min="10747" max="10747" width="7.28515625" style="21" customWidth="1"/>
    <col min="10748" max="10748" width="5.5703125" style="21" customWidth="1"/>
    <col min="10749" max="10749" width="9" style="21" customWidth="1"/>
    <col min="10750" max="10751" width="9.85546875" style="21" customWidth="1"/>
    <col min="10752" max="10752" width="11.140625" style="21" customWidth="1"/>
    <col min="10753" max="10753" width="2.85546875" style="21" customWidth="1"/>
    <col min="10754" max="10754" width="3.5703125" style="21" customWidth="1"/>
    <col min="10755" max="10999" width="9.140625" style="21"/>
    <col min="11000" max="11000" width="8.7109375" style="21" customWidth="1"/>
    <col min="11001" max="11001" width="9.85546875" style="21" customWidth="1"/>
    <col min="11002" max="11002" width="14.42578125" style="21" customWidth="1"/>
    <col min="11003" max="11003" width="7.28515625" style="21" customWidth="1"/>
    <col min="11004" max="11004" width="5.5703125" style="21" customWidth="1"/>
    <col min="11005" max="11005" width="9" style="21" customWidth="1"/>
    <col min="11006" max="11007" width="9.85546875" style="21" customWidth="1"/>
    <col min="11008" max="11008" width="11.140625" style="21" customWidth="1"/>
    <col min="11009" max="11009" width="2.85546875" style="21" customWidth="1"/>
    <col min="11010" max="11010" width="3.5703125" style="21" customWidth="1"/>
    <col min="11011" max="11255" width="9.140625" style="21"/>
    <col min="11256" max="11256" width="8.7109375" style="21" customWidth="1"/>
    <col min="11257" max="11257" width="9.85546875" style="21" customWidth="1"/>
    <col min="11258" max="11258" width="14.42578125" style="21" customWidth="1"/>
    <col min="11259" max="11259" width="7.28515625" style="21" customWidth="1"/>
    <col min="11260" max="11260" width="5.5703125" style="21" customWidth="1"/>
    <col min="11261" max="11261" width="9" style="21" customWidth="1"/>
    <col min="11262" max="11263" width="9.85546875" style="21" customWidth="1"/>
    <col min="11264" max="11264" width="11.140625" style="21" customWidth="1"/>
    <col min="11265" max="11265" width="2.85546875" style="21" customWidth="1"/>
    <col min="11266" max="11266" width="3.5703125" style="21" customWidth="1"/>
    <col min="11267" max="11511" width="9.140625" style="21"/>
    <col min="11512" max="11512" width="8.7109375" style="21" customWidth="1"/>
    <col min="11513" max="11513" width="9.85546875" style="21" customWidth="1"/>
    <col min="11514" max="11514" width="14.42578125" style="21" customWidth="1"/>
    <col min="11515" max="11515" width="7.28515625" style="21" customWidth="1"/>
    <col min="11516" max="11516" width="5.5703125" style="21" customWidth="1"/>
    <col min="11517" max="11517" width="9" style="21" customWidth="1"/>
    <col min="11518" max="11519" width="9.85546875" style="21" customWidth="1"/>
    <col min="11520" max="11520" width="11.140625" style="21" customWidth="1"/>
    <col min="11521" max="11521" width="2.85546875" style="21" customWidth="1"/>
    <col min="11522" max="11522" width="3.5703125" style="21" customWidth="1"/>
    <col min="11523" max="11767" width="9.140625" style="21"/>
    <col min="11768" max="11768" width="8.7109375" style="21" customWidth="1"/>
    <col min="11769" max="11769" width="9.85546875" style="21" customWidth="1"/>
    <col min="11770" max="11770" width="14.42578125" style="21" customWidth="1"/>
    <col min="11771" max="11771" width="7.28515625" style="21" customWidth="1"/>
    <col min="11772" max="11772" width="5.5703125" style="21" customWidth="1"/>
    <col min="11773" max="11773" width="9" style="21" customWidth="1"/>
    <col min="11774" max="11775" width="9.85546875" style="21" customWidth="1"/>
    <col min="11776" max="11776" width="11.140625" style="21" customWidth="1"/>
    <col min="11777" max="11777" width="2.85546875" style="21" customWidth="1"/>
    <col min="11778" max="11778" width="3.5703125" style="21" customWidth="1"/>
    <col min="11779" max="12023" width="9.140625" style="21"/>
    <col min="12024" max="12024" width="8.7109375" style="21" customWidth="1"/>
    <col min="12025" max="12025" width="9.85546875" style="21" customWidth="1"/>
    <col min="12026" max="12026" width="14.42578125" style="21" customWidth="1"/>
    <col min="12027" max="12027" width="7.28515625" style="21" customWidth="1"/>
    <col min="12028" max="12028" width="5.5703125" style="21" customWidth="1"/>
    <col min="12029" max="12029" width="9" style="21" customWidth="1"/>
    <col min="12030" max="12031" width="9.85546875" style="21" customWidth="1"/>
    <col min="12032" max="12032" width="11.140625" style="21" customWidth="1"/>
    <col min="12033" max="12033" width="2.85546875" style="21" customWidth="1"/>
    <col min="12034" max="12034" width="3.5703125" style="21" customWidth="1"/>
    <col min="12035" max="12279" width="9.140625" style="21"/>
    <col min="12280" max="12280" width="8.7109375" style="21" customWidth="1"/>
    <col min="12281" max="12281" width="9.85546875" style="21" customWidth="1"/>
    <col min="12282" max="12282" width="14.42578125" style="21" customWidth="1"/>
    <col min="12283" max="12283" width="7.28515625" style="21" customWidth="1"/>
    <col min="12284" max="12284" width="5.5703125" style="21" customWidth="1"/>
    <col min="12285" max="12285" width="9" style="21" customWidth="1"/>
    <col min="12286" max="12287" width="9.85546875" style="21" customWidth="1"/>
    <col min="12288" max="12288" width="11.140625" style="21" customWidth="1"/>
    <col min="12289" max="12289" width="2.85546875" style="21" customWidth="1"/>
    <col min="12290" max="12290" width="3.5703125" style="21" customWidth="1"/>
    <col min="12291" max="12535" width="9.140625" style="21"/>
    <col min="12536" max="12536" width="8.7109375" style="21" customWidth="1"/>
    <col min="12537" max="12537" width="9.85546875" style="21" customWidth="1"/>
    <col min="12538" max="12538" width="14.42578125" style="21" customWidth="1"/>
    <col min="12539" max="12539" width="7.28515625" style="21" customWidth="1"/>
    <col min="12540" max="12540" width="5.5703125" style="21" customWidth="1"/>
    <col min="12541" max="12541" width="9" style="21" customWidth="1"/>
    <col min="12542" max="12543" width="9.85546875" style="21" customWidth="1"/>
    <col min="12544" max="12544" width="11.140625" style="21" customWidth="1"/>
    <col min="12545" max="12545" width="2.85546875" style="21" customWidth="1"/>
    <col min="12546" max="12546" width="3.5703125" style="21" customWidth="1"/>
    <col min="12547" max="12791" width="9.140625" style="21"/>
    <col min="12792" max="12792" width="8.7109375" style="21" customWidth="1"/>
    <col min="12793" max="12793" width="9.85546875" style="21" customWidth="1"/>
    <col min="12794" max="12794" width="14.42578125" style="21" customWidth="1"/>
    <col min="12795" max="12795" width="7.28515625" style="21" customWidth="1"/>
    <col min="12796" max="12796" width="5.5703125" style="21" customWidth="1"/>
    <col min="12797" max="12797" width="9" style="21" customWidth="1"/>
    <col min="12798" max="12799" width="9.85546875" style="21" customWidth="1"/>
    <col min="12800" max="12800" width="11.140625" style="21" customWidth="1"/>
    <col min="12801" max="12801" width="2.85546875" style="21" customWidth="1"/>
    <col min="12802" max="12802" width="3.5703125" style="21" customWidth="1"/>
    <col min="12803" max="13047" width="9.140625" style="21"/>
    <col min="13048" max="13048" width="8.7109375" style="21" customWidth="1"/>
    <col min="13049" max="13049" width="9.85546875" style="21" customWidth="1"/>
    <col min="13050" max="13050" width="14.42578125" style="21" customWidth="1"/>
    <col min="13051" max="13051" width="7.28515625" style="21" customWidth="1"/>
    <col min="13052" max="13052" width="5.5703125" style="21" customWidth="1"/>
    <col min="13053" max="13053" width="9" style="21" customWidth="1"/>
    <col min="13054" max="13055" width="9.85546875" style="21" customWidth="1"/>
    <col min="13056" max="13056" width="11.140625" style="21" customWidth="1"/>
    <col min="13057" max="13057" width="2.85546875" style="21" customWidth="1"/>
    <col min="13058" max="13058" width="3.5703125" style="21" customWidth="1"/>
    <col min="13059" max="13303" width="9.140625" style="21"/>
    <col min="13304" max="13304" width="8.7109375" style="21" customWidth="1"/>
    <col min="13305" max="13305" width="9.85546875" style="21" customWidth="1"/>
    <col min="13306" max="13306" width="14.42578125" style="21" customWidth="1"/>
    <col min="13307" max="13307" width="7.28515625" style="21" customWidth="1"/>
    <col min="13308" max="13308" width="5.5703125" style="21" customWidth="1"/>
    <col min="13309" max="13309" width="9" style="21" customWidth="1"/>
    <col min="13310" max="13311" width="9.85546875" style="21" customWidth="1"/>
    <col min="13312" max="13312" width="11.140625" style="21" customWidth="1"/>
    <col min="13313" max="13313" width="2.85546875" style="21" customWidth="1"/>
    <col min="13314" max="13314" width="3.5703125" style="21" customWidth="1"/>
    <col min="13315" max="13559" width="9.140625" style="21"/>
    <col min="13560" max="13560" width="8.7109375" style="21" customWidth="1"/>
    <col min="13561" max="13561" width="9.85546875" style="21" customWidth="1"/>
    <col min="13562" max="13562" width="14.42578125" style="21" customWidth="1"/>
    <col min="13563" max="13563" width="7.28515625" style="21" customWidth="1"/>
    <col min="13564" max="13564" width="5.5703125" style="21" customWidth="1"/>
    <col min="13565" max="13565" width="9" style="21" customWidth="1"/>
    <col min="13566" max="13567" width="9.85546875" style="21" customWidth="1"/>
    <col min="13568" max="13568" width="11.140625" style="21" customWidth="1"/>
    <col min="13569" max="13569" width="2.85546875" style="21" customWidth="1"/>
    <col min="13570" max="13570" width="3.5703125" style="21" customWidth="1"/>
    <col min="13571" max="13815" width="9.140625" style="21"/>
    <col min="13816" max="13816" width="8.7109375" style="21" customWidth="1"/>
    <col min="13817" max="13817" width="9.85546875" style="21" customWidth="1"/>
    <col min="13818" max="13818" width="14.42578125" style="21" customWidth="1"/>
    <col min="13819" max="13819" width="7.28515625" style="21" customWidth="1"/>
    <col min="13820" max="13820" width="5.5703125" style="21" customWidth="1"/>
    <col min="13821" max="13821" width="9" style="21" customWidth="1"/>
    <col min="13822" max="13823" width="9.85546875" style="21" customWidth="1"/>
    <col min="13824" max="13824" width="11.140625" style="21" customWidth="1"/>
    <col min="13825" max="13825" width="2.85546875" style="21" customWidth="1"/>
    <col min="13826" max="13826" width="3.5703125" style="21" customWidth="1"/>
    <col min="13827" max="14071" width="9.140625" style="21"/>
    <col min="14072" max="14072" width="8.7109375" style="21" customWidth="1"/>
    <col min="14073" max="14073" width="9.85546875" style="21" customWidth="1"/>
    <col min="14074" max="14074" width="14.42578125" style="21" customWidth="1"/>
    <col min="14075" max="14075" width="7.28515625" style="21" customWidth="1"/>
    <col min="14076" max="14076" width="5.5703125" style="21" customWidth="1"/>
    <col min="14077" max="14077" width="9" style="21" customWidth="1"/>
    <col min="14078" max="14079" width="9.85546875" style="21" customWidth="1"/>
    <col min="14080" max="14080" width="11.140625" style="21" customWidth="1"/>
    <col min="14081" max="14081" width="2.85546875" style="21" customWidth="1"/>
    <col min="14082" max="14082" width="3.5703125" style="21" customWidth="1"/>
    <col min="14083" max="14327" width="9.140625" style="21"/>
    <col min="14328" max="14328" width="8.7109375" style="21" customWidth="1"/>
    <col min="14329" max="14329" width="9.85546875" style="21" customWidth="1"/>
    <col min="14330" max="14330" width="14.42578125" style="21" customWidth="1"/>
    <col min="14331" max="14331" width="7.28515625" style="21" customWidth="1"/>
    <col min="14332" max="14332" width="5.5703125" style="21" customWidth="1"/>
    <col min="14333" max="14333" width="9" style="21" customWidth="1"/>
    <col min="14334" max="14335" width="9.85546875" style="21" customWidth="1"/>
    <col min="14336" max="14336" width="11.140625" style="21" customWidth="1"/>
    <col min="14337" max="14337" width="2.85546875" style="21" customWidth="1"/>
    <col min="14338" max="14338" width="3.5703125" style="21" customWidth="1"/>
    <col min="14339" max="14583" width="9.140625" style="21"/>
    <col min="14584" max="14584" width="8.7109375" style="21" customWidth="1"/>
    <col min="14585" max="14585" width="9.85546875" style="21" customWidth="1"/>
    <col min="14586" max="14586" width="14.42578125" style="21" customWidth="1"/>
    <col min="14587" max="14587" width="7.28515625" style="21" customWidth="1"/>
    <col min="14588" max="14588" width="5.5703125" style="21" customWidth="1"/>
    <col min="14589" max="14589" width="9" style="21" customWidth="1"/>
    <col min="14590" max="14591" width="9.85546875" style="21" customWidth="1"/>
    <col min="14592" max="14592" width="11.140625" style="21" customWidth="1"/>
    <col min="14593" max="14593" width="2.85546875" style="21" customWidth="1"/>
    <col min="14594" max="14594" width="3.5703125" style="21" customWidth="1"/>
    <col min="14595" max="14839" width="9.140625" style="21"/>
    <col min="14840" max="14840" width="8.7109375" style="21" customWidth="1"/>
    <col min="14841" max="14841" width="9.85546875" style="21" customWidth="1"/>
    <col min="14842" max="14842" width="14.42578125" style="21" customWidth="1"/>
    <col min="14843" max="14843" width="7.28515625" style="21" customWidth="1"/>
    <col min="14844" max="14844" width="5.5703125" style="21" customWidth="1"/>
    <col min="14845" max="14845" width="9" style="21" customWidth="1"/>
    <col min="14846" max="14847" width="9.85546875" style="21" customWidth="1"/>
    <col min="14848" max="14848" width="11.140625" style="21" customWidth="1"/>
    <col min="14849" max="14849" width="2.85546875" style="21" customWidth="1"/>
    <col min="14850" max="14850" width="3.5703125" style="21" customWidth="1"/>
    <col min="14851" max="15095" width="9.140625" style="21"/>
    <col min="15096" max="15096" width="8.7109375" style="21" customWidth="1"/>
    <col min="15097" max="15097" width="9.85546875" style="21" customWidth="1"/>
    <col min="15098" max="15098" width="14.42578125" style="21" customWidth="1"/>
    <col min="15099" max="15099" width="7.28515625" style="21" customWidth="1"/>
    <col min="15100" max="15100" width="5.5703125" style="21" customWidth="1"/>
    <col min="15101" max="15101" width="9" style="21" customWidth="1"/>
    <col min="15102" max="15103" width="9.85546875" style="21" customWidth="1"/>
    <col min="15104" max="15104" width="11.140625" style="21" customWidth="1"/>
    <col min="15105" max="15105" width="2.85546875" style="21" customWidth="1"/>
    <col min="15106" max="15106" width="3.5703125" style="21" customWidth="1"/>
    <col min="15107" max="15351" width="9.140625" style="21"/>
    <col min="15352" max="15352" width="8.7109375" style="21" customWidth="1"/>
    <col min="15353" max="15353" width="9.85546875" style="21" customWidth="1"/>
    <col min="15354" max="15354" width="14.42578125" style="21" customWidth="1"/>
    <col min="15355" max="15355" width="7.28515625" style="21" customWidth="1"/>
    <col min="15356" max="15356" width="5.5703125" style="21" customWidth="1"/>
    <col min="15357" max="15357" width="9" style="21" customWidth="1"/>
    <col min="15358" max="15359" width="9.85546875" style="21" customWidth="1"/>
    <col min="15360" max="15360" width="11.140625" style="21" customWidth="1"/>
    <col min="15361" max="15361" width="2.85546875" style="21" customWidth="1"/>
    <col min="15362" max="15362" width="3.5703125" style="21" customWidth="1"/>
    <col min="15363" max="15607" width="9.140625" style="21"/>
    <col min="15608" max="15608" width="8.7109375" style="21" customWidth="1"/>
    <col min="15609" max="15609" width="9.85546875" style="21" customWidth="1"/>
    <col min="15610" max="15610" width="14.42578125" style="21" customWidth="1"/>
    <col min="15611" max="15611" width="7.28515625" style="21" customWidth="1"/>
    <col min="15612" max="15612" width="5.5703125" style="21" customWidth="1"/>
    <col min="15613" max="15613" width="9" style="21" customWidth="1"/>
    <col min="15614" max="15615" width="9.85546875" style="21" customWidth="1"/>
    <col min="15616" max="15616" width="11.140625" style="21" customWidth="1"/>
    <col min="15617" max="15617" width="2.85546875" style="21" customWidth="1"/>
    <col min="15618" max="15618" width="3.5703125" style="21" customWidth="1"/>
    <col min="15619" max="15863" width="9.140625" style="21"/>
    <col min="15864" max="15864" width="8.7109375" style="21" customWidth="1"/>
    <col min="15865" max="15865" width="9.85546875" style="21" customWidth="1"/>
    <col min="15866" max="15866" width="14.42578125" style="21" customWidth="1"/>
    <col min="15867" max="15867" width="7.28515625" style="21" customWidth="1"/>
    <col min="15868" max="15868" width="5.5703125" style="21" customWidth="1"/>
    <col min="15869" max="15869" width="9" style="21" customWidth="1"/>
    <col min="15870" max="15871" width="9.85546875" style="21" customWidth="1"/>
    <col min="15872" max="15872" width="11.140625" style="21" customWidth="1"/>
    <col min="15873" max="15873" width="2.85546875" style="21" customWidth="1"/>
    <col min="15874" max="15874" width="3.5703125" style="21" customWidth="1"/>
    <col min="15875" max="16119" width="9.140625" style="21"/>
    <col min="16120" max="16120" width="8.7109375" style="21" customWidth="1"/>
    <col min="16121" max="16121" width="9.85546875" style="21" customWidth="1"/>
    <col min="16122" max="16122" width="14.42578125" style="21" customWidth="1"/>
    <col min="16123" max="16123" width="7.28515625" style="21" customWidth="1"/>
    <col min="16124" max="16124" width="5.5703125" style="21" customWidth="1"/>
    <col min="16125" max="16125" width="9" style="21" customWidth="1"/>
    <col min="16126" max="16127" width="9.85546875" style="21" customWidth="1"/>
    <col min="16128" max="16128" width="11.140625" style="21" customWidth="1"/>
    <col min="16129" max="16129" width="2.85546875" style="21" customWidth="1"/>
    <col min="16130" max="16130" width="3.5703125" style="21" customWidth="1"/>
    <col min="16131" max="16384" width="9.140625" style="21"/>
  </cols>
  <sheetData>
    <row r="1" spans="1:26" ht="46.5" customHeight="1" x14ac:dyDescent="0.25">
      <c r="A1" s="193" t="s">
        <v>289</v>
      </c>
      <c r="B1" s="193"/>
      <c r="C1" s="193"/>
      <c r="D1" s="193"/>
      <c r="E1" s="193"/>
      <c r="F1" s="193"/>
      <c r="G1" s="193"/>
      <c r="H1" s="193"/>
    </row>
    <row r="2" spans="1:26" ht="16.5" customHeight="1" x14ac:dyDescent="0.25">
      <c r="A2" s="94" t="s">
        <v>0</v>
      </c>
      <c r="B2" s="94"/>
      <c r="C2" s="94"/>
      <c r="D2" s="94"/>
      <c r="E2" s="94"/>
      <c r="F2" s="94"/>
      <c r="G2" s="94"/>
      <c r="H2" s="94"/>
    </row>
    <row r="3" spans="1:26" x14ac:dyDescent="0.25">
      <c r="A3" s="118" t="s">
        <v>1</v>
      </c>
      <c r="B3" s="118"/>
      <c r="C3" s="118"/>
      <c r="D3" s="118"/>
      <c r="E3" s="118" t="str">
        <f ca="1">TEXT(TODAY(),"DD/MM/YYYY")</f>
        <v>11/07/2025</v>
      </c>
      <c r="F3" s="118"/>
      <c r="G3" s="118"/>
      <c r="H3" s="118"/>
    </row>
    <row r="4" spans="1:26" ht="15" customHeight="1" x14ac:dyDescent="0.25">
      <c r="A4" s="118" t="s">
        <v>2</v>
      </c>
      <c r="B4" s="118"/>
      <c r="C4" s="118"/>
      <c r="D4" s="118"/>
      <c r="E4" s="118" t="s">
        <v>177</v>
      </c>
      <c r="F4" s="118"/>
      <c r="G4" s="118"/>
      <c r="H4" s="118"/>
    </row>
    <row r="5" spans="1:26" x14ac:dyDescent="0.25">
      <c r="A5" s="118" t="s">
        <v>3</v>
      </c>
      <c r="B5" s="118"/>
      <c r="C5" s="118"/>
      <c r="D5" s="118"/>
      <c r="E5" s="194">
        <v>45847</v>
      </c>
      <c r="F5" s="195"/>
      <c r="G5" s="195"/>
      <c r="H5" s="195"/>
    </row>
    <row r="6" spans="1:26" ht="16.5" customHeight="1" x14ac:dyDescent="0.25">
      <c r="A6" s="118" t="s">
        <v>4</v>
      </c>
      <c r="B6" s="118"/>
      <c r="C6" s="118"/>
      <c r="D6" s="118"/>
      <c r="E6" s="118" t="s">
        <v>239</v>
      </c>
      <c r="F6" s="118"/>
      <c r="G6" s="118"/>
      <c r="H6" s="118"/>
    </row>
    <row r="7" spans="1:26" ht="15" customHeight="1" x14ac:dyDescent="0.25">
      <c r="A7" s="118" t="s">
        <v>5</v>
      </c>
      <c r="B7" s="118"/>
      <c r="C7" s="118"/>
      <c r="D7" s="118"/>
      <c r="E7" s="118" t="str">
        <f>E6</f>
        <v>Atharv Infra LLP</v>
      </c>
      <c r="F7" s="118"/>
      <c r="G7" s="118"/>
      <c r="H7" s="118"/>
    </row>
    <row r="8" spans="1:26" x14ac:dyDescent="0.25">
      <c r="A8" s="118" t="s">
        <v>6</v>
      </c>
      <c r="B8" s="118"/>
      <c r="C8" s="118"/>
      <c r="D8" s="118"/>
      <c r="E8" s="139" t="s">
        <v>240</v>
      </c>
      <c r="F8" s="139"/>
      <c r="G8" s="139"/>
      <c r="H8" s="139"/>
    </row>
    <row r="9" spans="1:26" x14ac:dyDescent="0.25">
      <c r="A9" s="118" t="s">
        <v>174</v>
      </c>
      <c r="B9" s="118"/>
      <c r="C9" s="118"/>
      <c r="D9" s="118"/>
      <c r="E9" s="118" t="s">
        <v>347</v>
      </c>
      <c r="F9" s="118"/>
      <c r="G9" s="118"/>
      <c r="H9" s="118"/>
    </row>
    <row r="10" spans="1:26" x14ac:dyDescent="0.25">
      <c r="A10" s="118" t="s">
        <v>175</v>
      </c>
      <c r="B10" s="118"/>
      <c r="C10" s="118"/>
      <c r="D10" s="118"/>
      <c r="E10" s="196" t="s">
        <v>346</v>
      </c>
      <c r="F10" s="196"/>
      <c r="G10" s="196"/>
      <c r="H10" s="196"/>
      <c r="I10" s="196" t="s">
        <v>337</v>
      </c>
      <c r="J10" s="196"/>
      <c r="K10" s="196"/>
      <c r="L10" s="196"/>
    </row>
    <row r="11" spans="1:26" x14ac:dyDescent="0.25">
      <c r="A11" s="118" t="s">
        <v>7</v>
      </c>
      <c r="B11" s="118"/>
      <c r="C11" s="118"/>
      <c r="D11" s="118"/>
      <c r="E11" s="118" t="s">
        <v>313</v>
      </c>
      <c r="F11" s="118"/>
      <c r="G11" s="118"/>
      <c r="H11" s="118"/>
    </row>
    <row r="12" spans="1:26" x14ac:dyDescent="0.25">
      <c r="A12" s="118" t="s">
        <v>178</v>
      </c>
      <c r="B12" s="118"/>
      <c r="C12" s="118"/>
      <c r="D12" s="118"/>
      <c r="E12" s="118" t="s">
        <v>309</v>
      </c>
      <c r="F12" s="201"/>
      <c r="G12" s="201"/>
      <c r="H12" s="201"/>
      <c r="J12" s="21" t="s">
        <v>317</v>
      </c>
      <c r="S12" s="56" t="s">
        <v>186</v>
      </c>
      <c r="T12" s="56" t="s">
        <v>196</v>
      </c>
      <c r="U12" s="56" t="s">
        <v>179</v>
      </c>
      <c r="V12" s="56" t="s">
        <v>201</v>
      </c>
      <c r="W12" s="56" t="s">
        <v>219</v>
      </c>
      <c r="X12"/>
      <c r="Y12" t="s">
        <v>201</v>
      </c>
      <c r="Z12" t="e">
        <f ca="1">OFFSET($S$12,1,MATCH($G19,$S$12:$W$12,0)-1,15,1)</f>
        <v>#VALUE!</v>
      </c>
    </row>
    <row r="13" spans="1:26" x14ac:dyDescent="0.25">
      <c r="A13" s="96" t="s">
        <v>8</v>
      </c>
      <c r="B13" s="96"/>
      <c r="C13" s="96"/>
      <c r="D13" s="96"/>
      <c r="E13" s="117" t="s">
        <v>288</v>
      </c>
      <c r="F13" s="117"/>
      <c r="G13" s="117"/>
      <c r="H13" s="117"/>
      <c r="S13" s="56" t="s">
        <v>187</v>
      </c>
      <c r="T13" s="56" t="s">
        <v>194</v>
      </c>
      <c r="U13" s="56" t="s">
        <v>216</v>
      </c>
      <c r="V13" s="56" t="s">
        <v>202</v>
      </c>
      <c r="W13" s="56" t="s">
        <v>220</v>
      </c>
      <c r="X13"/>
      <c r="Y13"/>
      <c r="Z13"/>
    </row>
    <row r="14" spans="1:26" x14ac:dyDescent="0.25">
      <c r="A14" s="96" t="s">
        <v>9</v>
      </c>
      <c r="B14" s="96"/>
      <c r="C14" s="96"/>
      <c r="D14" s="96"/>
      <c r="E14" s="197" t="s">
        <v>241</v>
      </c>
      <c r="F14" s="195"/>
      <c r="G14" s="195"/>
      <c r="H14" s="195"/>
      <c r="I14" s="91" t="e">
        <f ca="1">OFFSET($D$4,1,MATCH($J12,$D$4:$H$4,0)-1,15,1)</f>
        <v>#N/A</v>
      </c>
      <c r="J14" s="92"/>
      <c r="K14" s="92"/>
      <c r="L14" s="92"/>
      <c r="M14" s="92"/>
      <c r="N14" s="92"/>
      <c r="O14" s="92"/>
      <c r="P14" s="92"/>
      <c r="S14" s="56" t="s">
        <v>188</v>
      </c>
      <c r="T14" s="56" t="s">
        <v>195</v>
      </c>
      <c r="U14" s="56" t="s">
        <v>217</v>
      </c>
      <c r="V14" s="56" t="s">
        <v>203</v>
      </c>
      <c r="W14" s="56" t="s">
        <v>233</v>
      </c>
      <c r="X14"/>
      <c r="Y14"/>
      <c r="Z14"/>
    </row>
    <row r="15" spans="1:26" ht="54.75" customHeight="1" x14ac:dyDescent="0.25">
      <c r="A15" s="117" t="s">
        <v>10</v>
      </c>
      <c r="B15" s="117"/>
      <c r="C15" s="117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Atharv Aaradhyam, CTS No.460/A &amp; 460/B &amp; Redevelopment of building " Chandrashekhar CHSL ", near Hubtown Solaris, Professor NS Phadke Road, Vijay Nagar, Marol, Andheri (East), Andheri, Mumbai - 400053.</v>
      </c>
      <c r="D15" s="117"/>
      <c r="E15" s="117"/>
      <c r="F15" s="117"/>
      <c r="G15" s="117"/>
      <c r="H15" s="117"/>
      <c r="S15" s="56" t="s">
        <v>189</v>
      </c>
      <c r="T15" s="56" t="s">
        <v>197</v>
      </c>
      <c r="U15" s="56" t="s">
        <v>218</v>
      </c>
      <c r="V15" s="56" t="s">
        <v>204</v>
      </c>
      <c r="W15" s="56" t="s">
        <v>221</v>
      </c>
      <c r="X15"/>
      <c r="Y15"/>
      <c r="Z15"/>
    </row>
    <row r="16" spans="1:26" x14ac:dyDescent="0.25">
      <c r="A16" s="117" t="s">
        <v>183</v>
      </c>
      <c r="B16" s="117"/>
      <c r="C16" s="117" t="s">
        <v>316</v>
      </c>
      <c r="D16" s="117"/>
      <c r="E16" s="117"/>
      <c r="F16" s="117"/>
      <c r="G16" s="117"/>
      <c r="H16" s="117"/>
      <c r="S16" s="56" t="s">
        <v>190</v>
      </c>
      <c r="T16" s="56" t="s">
        <v>198</v>
      </c>
      <c r="U16" s="56"/>
      <c r="V16" s="56" t="s">
        <v>205</v>
      </c>
      <c r="W16" s="56" t="s">
        <v>222</v>
      </c>
      <c r="X16"/>
      <c r="Y16"/>
      <c r="Z16"/>
    </row>
    <row r="17" spans="1:26" ht="15.75" customHeight="1" x14ac:dyDescent="0.25">
      <c r="A17" s="117" t="s">
        <v>170</v>
      </c>
      <c r="B17" s="117"/>
      <c r="C17" s="117" t="s">
        <v>244</v>
      </c>
      <c r="D17" s="117"/>
      <c r="E17" s="117"/>
      <c r="F17" s="117"/>
      <c r="G17" s="117"/>
      <c r="H17" s="117"/>
      <c r="S17" s="56" t="s">
        <v>191</v>
      </c>
      <c r="T17" s="56" t="s">
        <v>196</v>
      </c>
      <c r="U17" s="56"/>
      <c r="V17" s="56" t="s">
        <v>206</v>
      </c>
      <c r="W17" s="56" t="s">
        <v>223</v>
      </c>
      <c r="X17"/>
      <c r="Y17"/>
      <c r="Z17"/>
    </row>
    <row r="18" spans="1:26" ht="15.75" customHeight="1" x14ac:dyDescent="0.25">
      <c r="A18" s="117" t="s">
        <v>11</v>
      </c>
      <c r="B18" s="117"/>
      <c r="C18" s="118" t="s">
        <v>245</v>
      </c>
      <c r="D18" s="118"/>
      <c r="E18" s="117" t="s">
        <v>73</v>
      </c>
      <c r="F18" s="117"/>
      <c r="G18" s="117" t="s">
        <v>242</v>
      </c>
      <c r="H18" s="117"/>
      <c r="S18" s="56" t="s">
        <v>192</v>
      </c>
      <c r="T18" s="56" t="s">
        <v>199</v>
      </c>
      <c r="U18" s="56"/>
      <c r="V18" s="56" t="s">
        <v>207</v>
      </c>
      <c r="W18" s="56" t="s">
        <v>224</v>
      </c>
      <c r="X18"/>
      <c r="Y18"/>
      <c r="Z18"/>
    </row>
    <row r="19" spans="1:26" x14ac:dyDescent="0.25">
      <c r="A19" s="118" t="s">
        <v>13</v>
      </c>
      <c r="B19" s="118"/>
      <c r="C19" s="117" t="s">
        <v>310</v>
      </c>
      <c r="D19" s="117"/>
      <c r="E19" s="117" t="s">
        <v>12</v>
      </c>
      <c r="F19" s="117"/>
      <c r="G19" s="205" t="s">
        <v>179</v>
      </c>
      <c r="H19" s="205"/>
      <c r="S19" s="56" t="s">
        <v>193</v>
      </c>
      <c r="T19" s="56" t="s">
        <v>200</v>
      </c>
      <c r="U19" s="56"/>
      <c r="V19" s="56" t="s">
        <v>208</v>
      </c>
      <c r="W19" s="56" t="s">
        <v>225</v>
      </c>
      <c r="X19"/>
      <c r="Y19"/>
      <c r="Z19"/>
    </row>
    <row r="20" spans="1:26" x14ac:dyDescent="0.25">
      <c r="A20" s="118" t="s">
        <v>74</v>
      </c>
      <c r="B20" s="118"/>
      <c r="C20" s="117" t="s">
        <v>216</v>
      </c>
      <c r="D20" s="117"/>
      <c r="E20" s="117" t="s">
        <v>14</v>
      </c>
      <c r="F20" s="117"/>
      <c r="G20" s="117">
        <v>400053</v>
      </c>
      <c r="H20" s="117"/>
      <c r="S20" s="56"/>
      <c r="T20" s="56"/>
      <c r="U20" s="56"/>
      <c r="V20" s="56" t="s">
        <v>209</v>
      </c>
      <c r="W20" s="56" t="s">
        <v>226</v>
      </c>
      <c r="X20"/>
      <c r="Y20"/>
      <c r="Z20"/>
    </row>
    <row r="21" spans="1:26" ht="32.25" customHeight="1" x14ac:dyDescent="0.25">
      <c r="A21" s="118" t="s">
        <v>125</v>
      </c>
      <c r="B21" s="118"/>
      <c r="C21" s="117" t="s">
        <v>247</v>
      </c>
      <c r="D21" s="117"/>
      <c r="E21" s="117" t="s">
        <v>15</v>
      </c>
      <c r="F21" s="117"/>
      <c r="G21" s="117" t="s">
        <v>246</v>
      </c>
      <c r="H21" s="117"/>
      <c r="S21" s="56"/>
      <c r="T21" s="56"/>
      <c r="U21" s="56"/>
      <c r="V21" s="56" t="s">
        <v>210</v>
      </c>
      <c r="W21" s="56" t="s">
        <v>227</v>
      </c>
      <c r="X21"/>
      <c r="Y21"/>
      <c r="Z21"/>
    </row>
    <row r="22" spans="1:26" ht="15" customHeight="1" x14ac:dyDescent="0.25">
      <c r="A22" s="102" t="s">
        <v>76</v>
      </c>
      <c r="B22" s="102"/>
      <c r="C22" s="102"/>
      <c r="D22" s="102"/>
      <c r="E22" s="118" t="s">
        <v>16</v>
      </c>
      <c r="F22" s="118"/>
      <c r="G22" s="118"/>
      <c r="H22" s="118"/>
      <c r="S22" s="56"/>
      <c r="T22" s="56"/>
      <c r="U22" s="56"/>
      <c r="V22" s="56" t="s">
        <v>211</v>
      </c>
      <c r="W22" s="56" t="s">
        <v>228</v>
      </c>
      <c r="X22"/>
      <c r="Y22"/>
      <c r="Z22"/>
    </row>
    <row r="23" spans="1:26" ht="18.75" customHeight="1" x14ac:dyDescent="0.25">
      <c r="A23" s="102"/>
      <c r="B23" s="102"/>
      <c r="C23" s="102"/>
      <c r="D23" s="102"/>
      <c r="E23" s="118"/>
      <c r="F23" s="118"/>
      <c r="G23" s="118"/>
      <c r="H23" s="118"/>
      <c r="S23" s="56"/>
      <c r="T23" s="56"/>
      <c r="U23" s="56"/>
      <c r="V23" s="56" t="s">
        <v>212</v>
      </c>
      <c r="W23" s="56" t="s">
        <v>229</v>
      </c>
      <c r="X23"/>
      <c r="Y23"/>
      <c r="Z23"/>
    </row>
    <row r="24" spans="1:26" ht="15" customHeight="1" x14ac:dyDescent="0.25">
      <c r="A24" s="102" t="s">
        <v>17</v>
      </c>
      <c r="B24" s="102"/>
      <c r="C24" s="102"/>
      <c r="D24" s="102"/>
      <c r="E24" s="117" t="s">
        <v>18</v>
      </c>
      <c r="F24" s="117"/>
      <c r="G24" s="117"/>
      <c r="H24" s="117"/>
      <c r="S24" s="56"/>
      <c r="T24" s="56"/>
      <c r="U24" s="56"/>
      <c r="V24" s="56" t="s">
        <v>213</v>
      </c>
      <c r="W24" s="56" t="s">
        <v>230</v>
      </c>
      <c r="X24"/>
      <c r="Y24"/>
      <c r="Z24"/>
    </row>
    <row r="25" spans="1:26" ht="15" customHeight="1" x14ac:dyDescent="0.25">
      <c r="A25" s="96" t="s">
        <v>19</v>
      </c>
      <c r="B25" s="96"/>
      <c r="C25" s="96"/>
      <c r="D25" s="96"/>
      <c r="E25" s="117" t="str">
        <f>IF(AND(G19="Mumbai"),"Upper Class","Middle Class")</f>
        <v>Upper Class</v>
      </c>
      <c r="F25" s="117"/>
      <c r="G25" s="117"/>
      <c r="H25" s="117"/>
      <c r="S25" s="56"/>
      <c r="T25" s="56"/>
      <c r="U25" s="56"/>
      <c r="V25" s="56" t="s">
        <v>214</v>
      </c>
      <c r="W25" s="56" t="s">
        <v>231</v>
      </c>
      <c r="X25"/>
      <c r="Y25"/>
      <c r="Z25"/>
    </row>
    <row r="26" spans="1:26" x14ac:dyDescent="0.25">
      <c r="A26" s="96" t="s">
        <v>20</v>
      </c>
      <c r="B26" s="96"/>
      <c r="C26" s="96"/>
      <c r="D26" s="96"/>
      <c r="E26" s="117" t="s">
        <v>21</v>
      </c>
      <c r="F26" s="117"/>
      <c r="G26" s="117"/>
      <c r="H26" s="117"/>
      <c r="S26" s="56"/>
      <c r="T26" s="56"/>
      <c r="U26" s="56"/>
      <c r="V26" s="56" t="s">
        <v>215</v>
      </c>
      <c r="W26" s="56" t="s">
        <v>232</v>
      </c>
      <c r="X26"/>
      <c r="Y26"/>
      <c r="Z26"/>
    </row>
    <row r="27" spans="1:26" ht="15.75" customHeight="1" x14ac:dyDescent="0.25">
      <c r="A27" s="96" t="s">
        <v>22</v>
      </c>
      <c r="B27" s="96"/>
      <c r="C27" s="96"/>
      <c r="D27" s="96"/>
      <c r="E27" s="117" t="str">
        <f>IF(AND(G19="Mumbai"),"Developed","Developing")</f>
        <v>Developed</v>
      </c>
      <c r="F27" s="117"/>
      <c r="G27" s="117"/>
      <c r="H27" s="117"/>
    </row>
    <row r="28" spans="1:26" x14ac:dyDescent="0.25">
      <c r="A28" s="96" t="s">
        <v>23</v>
      </c>
      <c r="B28" s="96"/>
      <c r="C28" s="96"/>
      <c r="D28" s="96"/>
      <c r="E28" s="117" t="s">
        <v>24</v>
      </c>
      <c r="F28" s="117"/>
      <c r="G28" s="117"/>
      <c r="H28" s="117"/>
    </row>
    <row r="29" spans="1:26" ht="15.75" customHeight="1" x14ac:dyDescent="0.25">
      <c r="A29" s="96" t="s">
        <v>81</v>
      </c>
      <c r="B29" s="96"/>
      <c r="C29" s="96"/>
      <c r="D29" s="96"/>
      <c r="E29" s="117" t="s">
        <v>82</v>
      </c>
      <c r="F29" s="117"/>
      <c r="G29" s="117"/>
      <c r="H29" s="117"/>
    </row>
    <row r="30" spans="1:26" ht="15" customHeight="1" x14ac:dyDescent="0.25">
      <c r="A30" s="96" t="s">
        <v>32</v>
      </c>
      <c r="B30" s="96"/>
      <c r="C30" s="96"/>
      <c r="D30" s="96"/>
      <c r="E30" s="117" t="str">
        <f>IF(AND(ISNUMBER(SEARCH("Flat",D64)),ISNUMBER(SEARCH("Shop",D64)),ISNUMBER(SEARCH("Office",D64))),"Residential + Commercial",IF(AND(ISNUMBER(SEARCH("Flat",D64)),ISNUMBER(SEARCH("Shop",D64))),"Residential + Commercial",IF(AND(ISNUMBER(SEARCH("Flat",D64)),ISNUMBER(SEARCH("Office",D64))),"Residential + Commercial",IF(AND(ISNUMBER(SEARCH("Shop",D64)),ISNUMBER(SEARCH("Office",D64))),"Commercial",IF(ISNUMBER(SEARCH("Shop",D64)),"Commercial",IF(ISNUMBER(SEARCH("Office",D64)),"Commercial",IF(ISNUMBER(SEARCH("Flat",D64)),"Residential")))))))</f>
        <v>Residential + Commercial</v>
      </c>
      <c r="F30" s="117"/>
      <c r="G30" s="117"/>
      <c r="H30" s="117"/>
    </row>
    <row r="31" spans="1:26" ht="15.75" customHeight="1" x14ac:dyDescent="0.25">
      <c r="A31" s="96" t="s">
        <v>93</v>
      </c>
      <c r="B31" s="96"/>
      <c r="C31" s="96"/>
      <c r="D31" s="96"/>
      <c r="E31" s="117" t="s">
        <v>33</v>
      </c>
      <c r="F31" s="117"/>
      <c r="G31" s="117"/>
      <c r="H31" s="117"/>
    </row>
    <row r="32" spans="1:26" s="22" customFormat="1" x14ac:dyDescent="0.25">
      <c r="A32" s="210" t="s">
        <v>94</v>
      </c>
      <c r="B32" s="210"/>
      <c r="C32" s="207" t="s">
        <v>180</v>
      </c>
      <c r="D32" s="208"/>
      <c r="E32" s="209"/>
      <c r="F32" s="207" t="s">
        <v>30</v>
      </c>
      <c r="G32" s="208"/>
      <c r="H32" s="209"/>
    </row>
    <row r="33" spans="1:8" s="22" customFormat="1" x14ac:dyDescent="0.25">
      <c r="A33" s="206" t="s">
        <v>25</v>
      </c>
      <c r="B33" s="206" t="s">
        <v>29</v>
      </c>
      <c r="C33" s="202" t="s">
        <v>249</v>
      </c>
      <c r="D33" s="203"/>
      <c r="E33" s="204"/>
      <c r="F33" s="202" t="s">
        <v>247</v>
      </c>
      <c r="G33" s="203"/>
      <c r="H33" s="204"/>
    </row>
    <row r="34" spans="1:8" x14ac:dyDescent="0.25">
      <c r="A34" s="206" t="s">
        <v>26</v>
      </c>
      <c r="B34" s="206" t="s">
        <v>29</v>
      </c>
      <c r="C34" s="202" t="s">
        <v>250</v>
      </c>
      <c r="D34" s="203"/>
      <c r="E34" s="204"/>
      <c r="F34" s="202" t="s">
        <v>248</v>
      </c>
      <c r="G34" s="203"/>
      <c r="H34" s="204"/>
    </row>
    <row r="35" spans="1:8" s="22" customFormat="1" x14ac:dyDescent="0.25">
      <c r="A35" s="206" t="s">
        <v>28</v>
      </c>
      <c r="B35" s="206" t="s">
        <v>29</v>
      </c>
      <c r="C35" s="202" t="s">
        <v>251</v>
      </c>
      <c r="D35" s="203"/>
      <c r="E35" s="204"/>
      <c r="F35" s="202" t="s">
        <v>245</v>
      </c>
      <c r="G35" s="203"/>
      <c r="H35" s="204"/>
    </row>
    <row r="36" spans="1:8" x14ac:dyDescent="0.25">
      <c r="A36" s="206" t="s">
        <v>27</v>
      </c>
      <c r="B36" s="206" t="s">
        <v>29</v>
      </c>
      <c r="C36" s="202" t="s">
        <v>249</v>
      </c>
      <c r="D36" s="203"/>
      <c r="E36" s="204"/>
      <c r="F36" s="202" t="s">
        <v>291</v>
      </c>
      <c r="G36" s="203"/>
      <c r="H36" s="204"/>
    </row>
    <row r="37" spans="1:8" x14ac:dyDescent="0.25">
      <c r="A37" s="96" t="s">
        <v>31</v>
      </c>
      <c r="B37" s="96"/>
      <c r="C37" s="96"/>
      <c r="D37" s="96"/>
      <c r="E37" s="96"/>
      <c r="F37" s="96"/>
      <c r="G37" s="96"/>
      <c r="H37" s="96"/>
    </row>
    <row r="38" spans="1:8" ht="15.75" customHeight="1" x14ac:dyDescent="0.25">
      <c r="A38" s="96" t="s">
        <v>172</v>
      </c>
      <c r="B38" s="96"/>
      <c r="C38" s="96" t="s">
        <v>290</v>
      </c>
      <c r="D38" s="215"/>
      <c r="E38" s="215"/>
      <c r="F38" s="215"/>
      <c r="G38" s="215"/>
      <c r="H38" s="215"/>
    </row>
    <row r="39" spans="1:8" x14ac:dyDescent="0.25">
      <c r="A39" s="96" t="s">
        <v>169</v>
      </c>
      <c r="B39" s="96"/>
      <c r="C39" s="235" t="s">
        <v>243</v>
      </c>
      <c r="D39" s="236"/>
      <c r="E39" s="236"/>
      <c r="F39" s="236"/>
      <c r="G39" s="236"/>
      <c r="H39" s="236"/>
    </row>
    <row r="40" spans="1:8" x14ac:dyDescent="0.25">
      <c r="A40" s="215" t="s">
        <v>34</v>
      </c>
      <c r="B40" s="215"/>
      <c r="C40" s="215"/>
      <c r="D40" s="215"/>
      <c r="E40" s="215"/>
      <c r="F40" s="215"/>
      <c r="G40" s="215"/>
      <c r="H40" s="215"/>
    </row>
    <row r="41" spans="1:8" x14ac:dyDescent="0.25">
      <c r="A41" s="96" t="s">
        <v>35</v>
      </c>
      <c r="B41" s="96"/>
      <c r="C41" s="96"/>
      <c r="D41" s="96"/>
      <c r="E41" s="214">
        <v>5555.88</v>
      </c>
      <c r="F41" s="214"/>
      <c r="G41" s="214"/>
      <c r="H41" s="214"/>
    </row>
    <row r="42" spans="1:8" x14ac:dyDescent="0.25">
      <c r="A42" s="96" t="s">
        <v>36</v>
      </c>
      <c r="B42" s="96"/>
      <c r="C42" s="96"/>
      <c r="D42" s="96"/>
      <c r="E42" s="104">
        <v>1</v>
      </c>
      <c r="F42" s="104"/>
      <c r="G42" s="104"/>
      <c r="H42" s="104"/>
    </row>
    <row r="43" spans="1:8" x14ac:dyDescent="0.25">
      <c r="A43" s="96" t="s">
        <v>37</v>
      </c>
      <c r="B43" s="96"/>
      <c r="C43" s="96"/>
      <c r="D43" s="96"/>
      <c r="E43" s="104">
        <f>E45/E41-E42</f>
        <v>2.4468761024356178</v>
      </c>
      <c r="F43" s="104"/>
      <c r="G43" s="104"/>
      <c r="H43" s="104"/>
    </row>
    <row r="44" spans="1:8" x14ac:dyDescent="0.25">
      <c r="A44" s="96" t="s">
        <v>38</v>
      </c>
      <c r="B44" s="96"/>
      <c r="C44" s="96"/>
      <c r="D44" s="96"/>
      <c r="E44" s="104">
        <f>E42+E43</f>
        <v>3.4468761024356178</v>
      </c>
      <c r="F44" s="104"/>
      <c r="G44" s="104"/>
      <c r="H44" s="104"/>
    </row>
    <row r="45" spans="1:8" x14ac:dyDescent="0.25">
      <c r="A45" s="96" t="s">
        <v>92</v>
      </c>
      <c r="B45" s="96"/>
      <c r="C45" s="96"/>
      <c r="D45" s="96"/>
      <c r="E45" s="218">
        <v>19150.43</v>
      </c>
      <c r="F45" s="218"/>
      <c r="G45" s="218"/>
      <c r="H45" s="218"/>
    </row>
    <row r="46" spans="1:8" x14ac:dyDescent="0.25">
      <c r="A46" s="118" t="s">
        <v>39</v>
      </c>
      <c r="B46" s="118"/>
      <c r="C46" s="118"/>
      <c r="D46" s="118"/>
      <c r="E46" s="118" t="s">
        <v>292</v>
      </c>
      <c r="F46" s="118"/>
      <c r="G46" s="118"/>
      <c r="H46" s="118"/>
    </row>
    <row r="47" spans="1:8" x14ac:dyDescent="0.25">
      <c r="A47" s="215" t="s">
        <v>40</v>
      </c>
      <c r="B47" s="215"/>
      <c r="C47" s="215"/>
      <c r="D47" s="215"/>
      <c r="E47" s="215"/>
      <c r="F47" s="215"/>
      <c r="G47" s="215"/>
      <c r="H47" s="215"/>
    </row>
    <row r="48" spans="1:8" ht="33.75" customHeight="1" x14ac:dyDescent="0.25">
      <c r="A48" s="107" t="s">
        <v>157</v>
      </c>
      <c r="B48" s="108"/>
      <c r="C48" s="237" t="s">
        <v>252</v>
      </c>
      <c r="D48" s="238"/>
      <c r="E48" s="238"/>
      <c r="F48" s="238"/>
      <c r="G48" s="238"/>
      <c r="H48" s="239"/>
    </row>
    <row r="49" spans="1:9" ht="35.25" customHeight="1" x14ac:dyDescent="0.25">
      <c r="A49" s="107" t="s">
        <v>41</v>
      </c>
      <c r="B49" s="108"/>
      <c r="C49" s="107" t="s">
        <v>325</v>
      </c>
      <c r="D49" s="109"/>
      <c r="E49" s="108"/>
      <c r="F49" s="18" t="s">
        <v>42</v>
      </c>
      <c r="G49" s="110">
        <v>45289</v>
      </c>
      <c r="H49" s="111"/>
    </row>
    <row r="50" spans="1:9" ht="33.75" customHeight="1" x14ac:dyDescent="0.25">
      <c r="A50" s="107" t="s">
        <v>43</v>
      </c>
      <c r="B50" s="108"/>
      <c r="C50" s="107" t="str">
        <f>C49</f>
        <v>P-9910/2021/(460)/K/E Ward/GUNDAVALI/337/2/Amend</v>
      </c>
      <c r="D50" s="109"/>
      <c r="E50" s="108"/>
      <c r="F50" s="18" t="s">
        <v>42</v>
      </c>
      <c r="G50" s="110">
        <f>G49</f>
        <v>45289</v>
      </c>
      <c r="H50" s="111"/>
    </row>
    <row r="51" spans="1:9" s="23" customFormat="1" ht="33" hidden="1" customHeight="1" x14ac:dyDescent="0.25">
      <c r="A51" s="127" t="s">
        <v>161</v>
      </c>
      <c r="B51" s="128"/>
      <c r="C51" s="107" t="s">
        <v>333</v>
      </c>
      <c r="D51" s="109"/>
      <c r="E51" s="108"/>
      <c r="F51" s="18" t="s">
        <v>42</v>
      </c>
      <c r="G51" s="110">
        <v>45145</v>
      </c>
      <c r="H51" s="111"/>
    </row>
    <row r="52" spans="1:9" s="23" customFormat="1" ht="96.95" hidden="1" customHeight="1" x14ac:dyDescent="0.25">
      <c r="A52" s="129"/>
      <c r="B52" s="130"/>
      <c r="C52" s="107" t="s">
        <v>334</v>
      </c>
      <c r="D52" s="109"/>
      <c r="E52" s="108"/>
      <c r="F52" s="18" t="s">
        <v>124</v>
      </c>
      <c r="G52" s="110">
        <v>45510</v>
      </c>
      <c r="H52" s="111"/>
    </row>
    <row r="53" spans="1:9" s="23" customFormat="1" ht="33" hidden="1" customHeight="1" x14ac:dyDescent="0.25">
      <c r="A53" s="127" t="s">
        <v>161</v>
      </c>
      <c r="B53" s="128"/>
      <c r="C53" s="107" t="s">
        <v>326</v>
      </c>
      <c r="D53" s="109"/>
      <c r="E53" s="108"/>
      <c r="F53" s="18" t="s">
        <v>42</v>
      </c>
      <c r="G53" s="110">
        <v>45474</v>
      </c>
      <c r="H53" s="111"/>
    </row>
    <row r="54" spans="1:9" s="23" customFormat="1" ht="127.5" hidden="1" customHeight="1" x14ac:dyDescent="0.25">
      <c r="A54" s="129"/>
      <c r="B54" s="130"/>
      <c r="C54" s="107" t="s">
        <v>332</v>
      </c>
      <c r="D54" s="109"/>
      <c r="E54" s="108"/>
      <c r="F54" s="18" t="s">
        <v>124</v>
      </c>
      <c r="G54" s="110">
        <v>45838</v>
      </c>
      <c r="H54" s="111"/>
    </row>
    <row r="55" spans="1:9" s="23" customFormat="1" ht="33" hidden="1" customHeight="1" x14ac:dyDescent="0.25">
      <c r="A55" s="127" t="s">
        <v>161</v>
      </c>
      <c r="B55" s="128"/>
      <c r="C55" s="107" t="s">
        <v>338</v>
      </c>
      <c r="D55" s="109"/>
      <c r="E55" s="108"/>
      <c r="F55" s="18" t="s">
        <v>42</v>
      </c>
      <c r="G55" s="110">
        <v>45614</v>
      </c>
      <c r="H55" s="111"/>
    </row>
    <row r="56" spans="1:9" s="23" customFormat="1" ht="66.75" hidden="1" customHeight="1" x14ac:dyDescent="0.25">
      <c r="A56" s="129"/>
      <c r="B56" s="130"/>
      <c r="C56" s="107" t="s">
        <v>339</v>
      </c>
      <c r="D56" s="109"/>
      <c r="E56" s="108"/>
      <c r="F56" s="18" t="s">
        <v>124</v>
      </c>
      <c r="G56" s="110">
        <v>45875</v>
      </c>
      <c r="H56" s="111"/>
    </row>
    <row r="57" spans="1:9" s="23" customFormat="1" ht="33" customHeight="1" x14ac:dyDescent="0.25">
      <c r="A57" s="127" t="s">
        <v>161</v>
      </c>
      <c r="B57" s="128"/>
      <c r="C57" s="107" t="s">
        <v>343</v>
      </c>
      <c r="D57" s="109"/>
      <c r="E57" s="108"/>
      <c r="F57" s="18" t="s">
        <v>42</v>
      </c>
      <c r="G57" s="110">
        <v>45701</v>
      </c>
      <c r="H57" s="111"/>
    </row>
    <row r="58" spans="1:9" s="23" customFormat="1" ht="146.25" customHeight="1" x14ac:dyDescent="0.25">
      <c r="A58" s="129"/>
      <c r="B58" s="130"/>
      <c r="C58" s="107" t="s">
        <v>344</v>
      </c>
      <c r="D58" s="109"/>
      <c r="E58" s="108"/>
      <c r="F58" s="18" t="s">
        <v>124</v>
      </c>
      <c r="G58" s="110">
        <v>45875</v>
      </c>
      <c r="H58" s="111"/>
    </row>
    <row r="59" spans="1:9" s="23" customFormat="1" ht="32.25" customHeight="1" x14ac:dyDescent="0.25">
      <c r="A59" s="113" t="s">
        <v>253</v>
      </c>
      <c r="B59" s="114"/>
      <c r="C59" s="107" t="s">
        <v>254</v>
      </c>
      <c r="D59" s="109"/>
      <c r="E59" s="108"/>
      <c r="F59" s="18" t="s">
        <v>42</v>
      </c>
      <c r="G59" s="110">
        <v>44393</v>
      </c>
      <c r="H59" s="111"/>
    </row>
    <row r="60" spans="1:9" s="23" customFormat="1" ht="31.5" x14ac:dyDescent="0.25">
      <c r="A60" s="115"/>
      <c r="B60" s="116"/>
      <c r="C60" s="107" t="s">
        <v>255</v>
      </c>
      <c r="D60" s="109"/>
      <c r="E60" s="108"/>
      <c r="F60" s="18" t="s">
        <v>124</v>
      </c>
      <c r="G60" s="110">
        <v>47314</v>
      </c>
      <c r="H60" s="111"/>
    </row>
    <row r="61" spans="1:9" hidden="1" x14ac:dyDescent="0.25">
      <c r="A61" s="97" t="s">
        <v>44</v>
      </c>
      <c r="B61" s="98"/>
      <c r="C61" s="97" t="s">
        <v>106</v>
      </c>
      <c r="D61" s="99"/>
      <c r="E61" s="98"/>
      <c r="F61" s="46" t="s">
        <v>42</v>
      </c>
      <c r="G61" s="119" t="s">
        <v>29</v>
      </c>
      <c r="H61" s="120"/>
    </row>
    <row r="62" spans="1:9" x14ac:dyDescent="0.25">
      <c r="A62" s="112" t="s">
        <v>46</v>
      </c>
      <c r="B62" s="112"/>
      <c r="C62" s="112"/>
      <c r="D62" s="112"/>
      <c r="E62" s="112"/>
      <c r="F62" s="112"/>
      <c r="G62" s="112"/>
      <c r="H62" s="112"/>
    </row>
    <row r="63" spans="1:9" x14ac:dyDescent="0.25">
      <c r="A63" s="102" t="s">
        <v>91</v>
      </c>
      <c r="B63" s="102"/>
      <c r="C63" s="102"/>
      <c r="D63" s="96">
        <f>E45</f>
        <v>19150.43</v>
      </c>
      <c r="E63" s="96"/>
      <c r="F63" s="96"/>
      <c r="G63" s="96"/>
      <c r="H63" s="96"/>
    </row>
    <row r="64" spans="1:9" x14ac:dyDescent="0.25">
      <c r="A64" s="117" t="s">
        <v>47</v>
      </c>
      <c r="B64" s="118"/>
      <c r="C64" s="118"/>
      <c r="D64" s="118" t="s">
        <v>327</v>
      </c>
      <c r="E64" s="118"/>
      <c r="F64" s="118"/>
      <c r="G64" s="118"/>
      <c r="H64" s="118"/>
      <c r="I64" s="24"/>
    </row>
    <row r="65" spans="1:14" ht="80.25" customHeight="1" x14ac:dyDescent="0.25">
      <c r="A65" s="113" t="s">
        <v>48</v>
      </c>
      <c r="B65" s="219"/>
      <c r="C65" s="114"/>
      <c r="D65" s="131" t="s">
        <v>328</v>
      </c>
      <c r="E65" s="132"/>
      <c r="F65" s="132"/>
      <c r="G65" s="132"/>
      <c r="H65" s="132"/>
    </row>
    <row r="66" spans="1:14" ht="15.75" customHeight="1" x14ac:dyDescent="0.25">
      <c r="A66" s="113" t="s">
        <v>89</v>
      </c>
      <c r="B66" s="219"/>
      <c r="C66" s="114"/>
      <c r="D66" s="198" t="s">
        <v>312</v>
      </c>
      <c r="E66" s="199"/>
      <c r="F66" s="199"/>
      <c r="G66" s="199"/>
      <c r="H66" s="200"/>
    </row>
    <row r="67" spans="1:14" ht="15.75" hidden="1" customHeight="1" x14ac:dyDescent="0.25">
      <c r="A67" s="220"/>
      <c r="B67" s="221"/>
      <c r="C67" s="222"/>
      <c r="D67" s="124" t="s">
        <v>280</v>
      </c>
      <c r="E67" s="125"/>
      <c r="F67" s="125"/>
      <c r="G67" s="125"/>
      <c r="H67" s="126"/>
    </row>
    <row r="68" spans="1:14" ht="15.75" customHeight="1" x14ac:dyDescent="0.25">
      <c r="A68" s="220"/>
      <c r="B68" s="221"/>
      <c r="C68" s="222"/>
      <c r="D68" s="121" t="s">
        <v>311</v>
      </c>
      <c r="E68" s="122"/>
      <c r="F68" s="122"/>
      <c r="G68" s="122"/>
      <c r="H68" s="123"/>
    </row>
    <row r="69" spans="1:14" ht="15.75" customHeight="1" x14ac:dyDescent="0.25">
      <c r="A69" s="220"/>
      <c r="B69" s="221"/>
      <c r="C69" s="222"/>
      <c r="D69" s="198" t="s">
        <v>319</v>
      </c>
      <c r="E69" s="199"/>
      <c r="F69" s="199"/>
      <c r="G69" s="199"/>
      <c r="H69" s="200"/>
    </row>
    <row r="70" spans="1:14" ht="15.75" customHeight="1" x14ac:dyDescent="0.25">
      <c r="A70" s="115"/>
      <c r="B70" s="223"/>
      <c r="C70" s="116"/>
      <c r="D70" s="121" t="s">
        <v>318</v>
      </c>
      <c r="E70" s="122"/>
      <c r="F70" s="122"/>
      <c r="G70" s="122"/>
      <c r="H70" s="123"/>
    </row>
    <row r="71" spans="1:14" ht="15.75" customHeight="1" x14ac:dyDescent="0.25">
      <c r="A71" s="96" t="s">
        <v>45</v>
      </c>
      <c r="B71" s="96"/>
      <c r="C71" s="96"/>
      <c r="D71" s="216" t="s">
        <v>256</v>
      </c>
      <c r="E71" s="216"/>
      <c r="F71" s="216"/>
      <c r="G71" s="216"/>
      <c r="H71" s="216"/>
      <c r="J71" s="25"/>
      <c r="K71" s="24"/>
      <c r="N71" s="24"/>
    </row>
    <row r="72" spans="1:14" ht="15.75" customHeight="1" x14ac:dyDescent="0.25">
      <c r="A72" s="96" t="s">
        <v>87</v>
      </c>
      <c r="B72" s="96"/>
      <c r="C72" s="96"/>
      <c r="D72" s="217" t="str">
        <f>(IF(G61="NA","60 Years After Completion",IF(G61&lt;&gt;"NA",""&amp;60-ROUNDDOWN((E3-G61)/360,0)&amp;" Years"," ")))</f>
        <v>60 Years After Completion</v>
      </c>
      <c r="E72" s="217"/>
      <c r="F72" s="217"/>
      <c r="G72" s="217"/>
      <c r="H72" s="217"/>
      <c r="N72" s="24"/>
    </row>
    <row r="73" spans="1:14" ht="15.75" customHeight="1" x14ac:dyDescent="0.25">
      <c r="A73" s="96" t="s">
        <v>88</v>
      </c>
      <c r="B73" s="96"/>
      <c r="C73" s="96"/>
      <c r="D73" s="102" t="s">
        <v>24</v>
      </c>
      <c r="E73" s="102"/>
      <c r="F73" s="102"/>
      <c r="G73" s="102"/>
      <c r="H73" s="102"/>
      <c r="J73" s="26"/>
      <c r="K73" s="26"/>
    </row>
    <row r="74" spans="1:14" ht="81.75" customHeight="1" x14ac:dyDescent="0.25">
      <c r="A74" s="118" t="s">
        <v>283</v>
      </c>
      <c r="B74" s="118"/>
      <c r="C74" s="118"/>
      <c r="D74" s="117" t="s">
        <v>282</v>
      </c>
      <c r="E74" s="102"/>
      <c r="F74" s="102"/>
      <c r="G74" s="102"/>
      <c r="H74" s="102"/>
    </row>
    <row r="75" spans="1:14" x14ac:dyDescent="0.25">
      <c r="A75" s="102" t="s">
        <v>153</v>
      </c>
      <c r="B75" s="102"/>
      <c r="C75" s="102"/>
      <c r="D75" s="102" t="s">
        <v>29</v>
      </c>
      <c r="E75" s="102"/>
      <c r="F75" s="102"/>
      <c r="G75" s="102"/>
      <c r="H75" s="102"/>
      <c r="I75" s="27"/>
      <c r="J75" s="27"/>
      <c r="K75" s="27"/>
      <c r="L75" s="27"/>
      <c r="M75" s="27"/>
      <c r="N75" s="27"/>
    </row>
    <row r="76" spans="1:14" ht="15.75" customHeight="1" x14ac:dyDescent="0.25">
      <c r="A76" s="103" t="s">
        <v>86</v>
      </c>
      <c r="B76" s="103"/>
      <c r="C76" s="103"/>
      <c r="D76" s="131" t="str">
        <f ca="1">(IF(G110&gt;95%,"Nothing",IF(G110&gt;0%,"Cement, Aggregate, Steel, etc",IF(G110=0%,"Work not yet Started"))))</f>
        <v>Cement, Aggregate, Steel, etc</v>
      </c>
      <c r="E76" s="131"/>
      <c r="F76" s="131"/>
      <c r="G76" s="131"/>
      <c r="H76" s="131"/>
      <c r="J76" s="26"/>
    </row>
    <row r="77" spans="1:14" ht="33.75" customHeight="1" thickBot="1" x14ac:dyDescent="0.3">
      <c r="A77" s="243" t="s">
        <v>119</v>
      </c>
      <c r="B77" s="243"/>
      <c r="C77" s="243"/>
      <c r="D77" s="131" t="str">
        <f ca="1">(IF(D76="Nothing","Yes",IF(D76="Cement, Aggregate, Steel, etc","Under Construction",IF(D76="Work not yet Started","Work not yet Started"))))</f>
        <v>Under Construction</v>
      </c>
      <c r="E77" s="131"/>
      <c r="F77" s="131" t="str">
        <f ca="1">(IF(D76="Nothing","Yes",IF(D76="Cement, Aggregate, Steel, etc","Under Construction",IF(D76="Work not yet Started","Work not yet Started"))))</f>
        <v>Under Construction</v>
      </c>
      <c r="G77" s="131"/>
      <c r="H77" s="131"/>
    </row>
    <row r="78" spans="1:14" ht="15.75" customHeight="1" x14ac:dyDescent="0.25">
      <c r="A78" s="140" t="s">
        <v>143</v>
      </c>
      <c r="B78" s="141"/>
      <c r="C78" s="142" t="s">
        <v>335</v>
      </c>
      <c r="D78" s="143"/>
      <c r="E78" s="143"/>
      <c r="F78" s="143"/>
      <c r="G78" s="143"/>
      <c r="H78" s="144"/>
      <c r="I78" s="50" t="str">
        <f ca="1">IF(D91=100%,"All work Completed. Possession granted to the Building.",IF(D90=100%,"All work Completed, Waiting for OC",I79&amp;""&amp;I80&amp;""&amp;J79&amp;""&amp;J78&amp;" "&amp;J80))</f>
        <v>Excavation, Plinth Completed, RCC upto 5 Slab, Brickwork upto 4 Floor Completed</v>
      </c>
      <c r="J78" s="51" t="str">
        <f ca="1">(IF(C84=(D79+F79+H79),"",IF(C84&gt;0,", RCC upto "&amp;C84&amp;" Slab","")))&amp;(IF(C85=H79,"",IF(C85&gt;0,", Brickwork upto "&amp;C85&amp;" Floor","")))&amp;(IF(C86=H79,"",IF(C86&gt;0,", Internal Plaster upto "&amp;C86&amp;" Floor","")))&amp;(IF(C87=H79,"",IF(C87&gt;0,", External Plaster upto "&amp;C87&amp;" Floor","")))&amp;(IF(C88=H79,"",IF(C88&gt;0,", Flooring upto "&amp;C88&amp;" Floor","")))&amp;(IF(C89=H79,"",IF(C89&gt;0,", Painting upto "&amp;C89&amp;" Floor","")))&amp;(IF(C90=H79,"",IF(C90&gt;0,", Finishing upto "&amp;C90&amp;" Floor","")))&amp;(IF(C91=H79,"",IF(C91&gt;0,", Possession upto "&amp;C91&amp;" Floor","")))</f>
        <v>, RCC upto 5 Slab, Brickwork upto 4 Floor</v>
      </c>
    </row>
    <row r="79" spans="1:14" x14ac:dyDescent="0.25">
      <c r="A79" s="16" t="s">
        <v>145</v>
      </c>
      <c r="B79" s="48">
        <v>1</v>
      </c>
      <c r="C79" s="48" t="s">
        <v>72</v>
      </c>
      <c r="D79" s="48">
        <v>1</v>
      </c>
      <c r="E79" s="48" t="s">
        <v>71</v>
      </c>
      <c r="F79" s="48">
        <v>0</v>
      </c>
      <c r="G79" s="48" t="s">
        <v>80</v>
      </c>
      <c r="H79" s="17">
        <f ca="1">--TRIM(RIGHT(SUBSTITUTE(LEFT(C78,_xlfn.AGGREGATE(16,6,FIND({0,1,2,3,4,5,6,7,8,9},C78,ROW(INDIRECT("1:"&amp;LEN(C78)))),1))," ",REPT(" ",LEN(C78))),LEN(C78)))</f>
        <v>12</v>
      </c>
      <c r="I79" s="52" t="str">
        <f ca="1">IF(D82=100%,"Excavation","")&amp;IF(D83=100%,", Plinth","")&amp;IF(D84=100%,", RCC Slab","")&amp;IF(D85=100%,", Brickwork","")&amp;IF(D86=100%,", Internal Plaster","")&amp;IF(D87=100%,", External Plaster","")&amp;IF(D88=100%,", Flooring","")&amp;IF(D89=100%,", Painting","")&amp;IF(D90=100%,", Building common Amenities","")</f>
        <v>Excavation, Plinth</v>
      </c>
      <c r="J79" s="53" t="str">
        <f ca="1">(IF(C82=0,"Work not yet Started.",IF(D82=25%,"Piling work in process",IF(D82=50%,"Excavation work in process",IF(D82=100%,"","0")))))&amp;(IF(C83=0%,"",IF(C83=J84,", Footing work is process",IF(C83=J85,", Footing work Completed",IF(C83=J86,", 1st Basement Completed",IF(C83=J87,", 1st &amp; 2nd Basement Completed",IF(C83=J88,", 1st to 3rd Basement Completed",IF(C83=J89,", 1st to 4th Basement Completed",IF(C83=J90,", Plinth work is process",IF(C83=J91,"","0"))))))))))</f>
        <v/>
      </c>
    </row>
    <row r="80" spans="1:14" ht="17.25" customHeight="1" x14ac:dyDescent="0.25">
      <c r="A80" s="138" t="s">
        <v>90</v>
      </c>
      <c r="B80" s="139"/>
      <c r="C80" s="145" t="str">
        <f ca="1">I78</f>
        <v>Excavation, Plinth Completed, RCC upto 5 Slab, Brickwork upto 4 Floor Completed</v>
      </c>
      <c r="D80" s="145"/>
      <c r="E80" s="145"/>
      <c r="F80" s="145"/>
      <c r="G80" s="145"/>
      <c r="H80" s="146"/>
      <c r="I80" s="52" t="str">
        <f ca="1">IF(I79&lt;&gt;""," Completed","")</f>
        <v xml:space="preserve"> Completed</v>
      </c>
      <c r="J80" s="53" t="str">
        <f ca="1">IF(J78&lt;&gt;"","Completed","")</f>
        <v>Completed</v>
      </c>
    </row>
    <row r="81" spans="1:10" ht="15.75" customHeight="1" x14ac:dyDescent="0.25">
      <c r="A81" s="105" t="s">
        <v>49</v>
      </c>
      <c r="B81" s="106"/>
      <c r="C81" s="62" t="s">
        <v>142</v>
      </c>
      <c r="D81" s="62" t="s">
        <v>83</v>
      </c>
      <c r="E81" s="147" t="s">
        <v>85</v>
      </c>
      <c r="F81" s="147"/>
      <c r="G81" s="147" t="s">
        <v>84</v>
      </c>
      <c r="H81" s="159"/>
      <c r="I81" s="14" t="s">
        <v>144</v>
      </c>
      <c r="J81" s="28">
        <f ca="1">H79*25%</f>
        <v>3</v>
      </c>
    </row>
    <row r="82" spans="1:10" x14ac:dyDescent="0.25">
      <c r="A82" s="105" t="s">
        <v>131</v>
      </c>
      <c r="B82" s="106"/>
      <c r="C82" s="62">
        <v>12</v>
      </c>
      <c r="D82" s="63">
        <f ca="1">((100/H79)*C82)/100</f>
        <v>1</v>
      </c>
      <c r="E82" s="152">
        <f ca="1">(((C83/H79*10)+(40/(D79+F79+H79)*C84)+(7.5/(H79)*C85)+(7.5/(H79)*C86)+(10/H79*C87)+(10/H79*C88)+(5/H79*C89)+(5/H79*C90)+(5/H79*C91))/100)</f>
        <v>0.27884615384615385</v>
      </c>
      <c r="F82" s="153"/>
      <c r="G82" s="152">
        <f ca="1">((((C82/H79)*20)+((C83/H79)*25)+(30/(H79+F79+D79)*C84)+(5/H79*C85)+(5/H79*C86)+(5/H79*C87)+(5/H79*C88)+(0/H79*C89)+(0/H79*C90)+(5/H79*C91))/100)</f>
        <v>0.58205128205128198</v>
      </c>
      <c r="H82" s="211"/>
      <c r="I82" s="14" t="s">
        <v>101</v>
      </c>
      <c r="J82" s="29">
        <f ca="1">H79*50%</f>
        <v>6</v>
      </c>
    </row>
    <row r="83" spans="1:10" x14ac:dyDescent="0.25">
      <c r="A83" s="105" t="s">
        <v>50</v>
      </c>
      <c r="B83" s="106"/>
      <c r="C83" s="66">
        <f ca="1">J91</f>
        <v>12</v>
      </c>
      <c r="D83" s="63">
        <f ca="1">((100/H79)*C83)/100</f>
        <v>1</v>
      </c>
      <c r="E83" s="154"/>
      <c r="F83" s="155"/>
      <c r="G83" s="154"/>
      <c r="H83" s="212"/>
      <c r="I83" s="14" t="s">
        <v>102</v>
      </c>
      <c r="J83" s="29">
        <f ca="1">H79</f>
        <v>12</v>
      </c>
    </row>
    <row r="84" spans="1:10" ht="15.75" customHeight="1" x14ac:dyDescent="0.25">
      <c r="A84" s="105" t="s">
        <v>132</v>
      </c>
      <c r="B84" s="106"/>
      <c r="C84" s="62">
        <v>5</v>
      </c>
      <c r="D84" s="63">
        <f ca="1">((100/(D79+F79+H79))*C84)/100</f>
        <v>0.38461538461538458</v>
      </c>
      <c r="E84" s="154"/>
      <c r="F84" s="155"/>
      <c r="G84" s="154"/>
      <c r="H84" s="212"/>
      <c r="I84" s="14" t="s">
        <v>103</v>
      </c>
      <c r="J84" s="30">
        <f ca="1">(IF(B79&gt;1,(H79/(B79+2)),H79/4))</f>
        <v>3</v>
      </c>
    </row>
    <row r="85" spans="1:10" ht="15.75" customHeight="1" x14ac:dyDescent="0.25">
      <c r="A85" s="105" t="s">
        <v>139</v>
      </c>
      <c r="B85" s="106" t="s">
        <v>133</v>
      </c>
      <c r="C85" s="62">
        <v>4</v>
      </c>
      <c r="D85" s="63">
        <f ca="1">((100/H79)*C85)/100</f>
        <v>0.33333333333333337</v>
      </c>
      <c r="E85" s="154"/>
      <c r="F85" s="155"/>
      <c r="G85" s="154"/>
      <c r="H85" s="212"/>
      <c r="I85" s="14" t="s">
        <v>104</v>
      </c>
      <c r="J85" s="30">
        <f ca="1">(IF(B79&gt;1,(H79/(B79+2)+J84),H79/4+J84))</f>
        <v>6</v>
      </c>
    </row>
    <row r="86" spans="1:10" ht="15.75" customHeight="1" x14ac:dyDescent="0.25">
      <c r="A86" s="105" t="s">
        <v>140</v>
      </c>
      <c r="B86" s="106" t="s">
        <v>133</v>
      </c>
      <c r="C86" s="62">
        <v>0</v>
      </c>
      <c r="D86" s="63">
        <f ca="1">((100/H79)*C86)/100</f>
        <v>0</v>
      </c>
      <c r="E86" s="154"/>
      <c r="F86" s="155"/>
      <c r="G86" s="154"/>
      <c r="H86" s="212"/>
      <c r="I86" s="14" t="s">
        <v>151</v>
      </c>
      <c r="J86" s="30">
        <f>(IF(B79&gt;1,(H79/(B79+2)+J85),0))</f>
        <v>0</v>
      </c>
    </row>
    <row r="87" spans="1:10" ht="15" customHeight="1" x14ac:dyDescent="0.25">
      <c r="A87" s="105" t="s">
        <v>138</v>
      </c>
      <c r="B87" s="106" t="s">
        <v>135</v>
      </c>
      <c r="C87" s="62">
        <v>0</v>
      </c>
      <c r="D87" s="63">
        <f ca="1">((100/(H79))*C87)/100</f>
        <v>0</v>
      </c>
      <c r="E87" s="154"/>
      <c r="F87" s="155"/>
      <c r="G87" s="154"/>
      <c r="H87" s="212"/>
      <c r="I87" s="14" t="s">
        <v>146</v>
      </c>
      <c r="J87" s="30">
        <f>(IF(B79&gt;2,(H79/(B79+2)+J86),0))</f>
        <v>0</v>
      </c>
    </row>
    <row r="88" spans="1:10" ht="15.75" customHeight="1" x14ac:dyDescent="0.25">
      <c r="A88" s="105" t="s">
        <v>134</v>
      </c>
      <c r="B88" s="106" t="s">
        <v>134</v>
      </c>
      <c r="C88" s="62">
        <v>0</v>
      </c>
      <c r="D88" s="63">
        <f ca="1">((100/H79)*C88)/100</f>
        <v>0</v>
      </c>
      <c r="E88" s="154"/>
      <c r="F88" s="155"/>
      <c r="G88" s="154"/>
      <c r="H88" s="212"/>
      <c r="I88" s="14" t="s">
        <v>147</v>
      </c>
      <c r="J88" s="31">
        <f>(IF(B79&gt;3,(H79/(B79+2)+J87),0))</f>
        <v>0</v>
      </c>
    </row>
    <row r="89" spans="1:10" ht="15.75" customHeight="1" x14ac:dyDescent="0.25">
      <c r="A89" s="105" t="s">
        <v>141</v>
      </c>
      <c r="B89" s="106"/>
      <c r="C89" s="62">
        <v>0</v>
      </c>
      <c r="D89" s="63">
        <f ca="1">((100/H79)*C89)/100</f>
        <v>0</v>
      </c>
      <c r="E89" s="154"/>
      <c r="F89" s="155"/>
      <c r="G89" s="154"/>
      <c r="H89" s="212"/>
      <c r="I89" s="14" t="s">
        <v>148</v>
      </c>
      <c r="J89" s="30">
        <f>(IF(B79&gt;4,(H79/(B79+2)+J88),0))</f>
        <v>0</v>
      </c>
    </row>
    <row r="90" spans="1:10" ht="15.75" customHeight="1" x14ac:dyDescent="0.25">
      <c r="A90" s="105" t="s">
        <v>136</v>
      </c>
      <c r="B90" s="106" t="s">
        <v>136</v>
      </c>
      <c r="C90" s="62">
        <v>0</v>
      </c>
      <c r="D90" s="63">
        <f ca="1">((100/(H79))*C90)/100</f>
        <v>0</v>
      </c>
      <c r="E90" s="154"/>
      <c r="F90" s="155"/>
      <c r="G90" s="154"/>
      <c r="H90" s="212"/>
      <c r="I90" s="14" t="s">
        <v>152</v>
      </c>
      <c r="J90" s="30">
        <f ca="1">(IF(B79=1,(H79/(B79+3)+J85),IF(B79=0,(H79/4+J85),IF(B79&gt;1,0))))</f>
        <v>9</v>
      </c>
    </row>
    <row r="91" spans="1:10" ht="16.5" thickBot="1" x14ac:dyDescent="0.3">
      <c r="A91" s="135" t="s">
        <v>137</v>
      </c>
      <c r="B91" s="136"/>
      <c r="C91" s="64">
        <v>0</v>
      </c>
      <c r="D91" s="65">
        <f ca="1">((100/(H79))*C91)/100</f>
        <v>0</v>
      </c>
      <c r="E91" s="156"/>
      <c r="F91" s="157"/>
      <c r="G91" s="156"/>
      <c r="H91" s="213"/>
      <c r="I91" s="15" t="s">
        <v>105</v>
      </c>
      <c r="J91" s="32">
        <f ca="1">(IF(B79&gt;1.5,(H79/(B79+2)+J85+MAX(0,J86-J85)+MAX(0,J87-J86)+MAX(0,J88-J87)+MAX(0,J89-J88)+MAX(0,J90-J89)),IF(B79=1,(H79/(B79+3)+J90),IF(B79=0,H79/4+J90))))</f>
        <v>12</v>
      </c>
    </row>
    <row r="92" spans="1:10" ht="15.75" customHeight="1" x14ac:dyDescent="0.25">
      <c r="A92" s="140" t="s">
        <v>143</v>
      </c>
      <c r="B92" s="141"/>
      <c r="C92" s="148" t="s">
        <v>336</v>
      </c>
      <c r="D92" s="149"/>
      <c r="E92" s="149"/>
      <c r="F92" s="149"/>
      <c r="G92" s="149"/>
      <c r="H92" s="150"/>
      <c r="I92" s="50" t="str">
        <f ca="1">IF(D105=100%,"All work Completed. Possession granted to the Building.",IF(D104=100%,"All work Completed, Waiting for OC",I93&amp;""&amp;I94&amp;""&amp;J93&amp;""&amp;J92&amp;" "&amp;J94))</f>
        <v>Excavation, Plinth Completed, RCC upto 6 Slab, Brickwork upto 1 Floor Completed</v>
      </c>
      <c r="J92" s="51" t="str">
        <f ca="1">(IF(C98=(D93+F93+H93),"",IF(C98&gt;0,", RCC upto "&amp;C98&amp;" Slab","")))&amp;(IF(C99=H93,"",IF(C99&gt;0,", Brickwork upto "&amp;C99&amp;" Floor","")))&amp;(IF(C100=H93,"",IF(C100&gt;0,", Internal Plaster upto "&amp;C100&amp;" Floor","")))&amp;(IF(C101=H93,"",IF(C101&gt;0,", External Plaster upto "&amp;C101&amp;" Floor","")))&amp;(IF(C102=H93,"",IF(C102&gt;0,", Flooring upto "&amp;C102&amp;" Floor","")))&amp;(IF(C103=H93,"",IF(C103&gt;0,", Painting upto "&amp;C103&amp;" Floor","")))&amp;(IF(C104=H93,"",IF(C104&gt;0,", Finishing upto "&amp;C104&amp;" Floor","")))&amp;(IF(C105=H93,"",IF(C105&gt;0,", Possession upto "&amp;C105&amp;" Floor","")))</f>
        <v>, RCC upto 6 Slab, Brickwork upto 1 Floor</v>
      </c>
    </row>
    <row r="93" spans="1:10" x14ac:dyDescent="0.25">
      <c r="A93" s="16" t="s">
        <v>145</v>
      </c>
      <c r="B93" s="48">
        <v>1</v>
      </c>
      <c r="C93" s="48" t="s">
        <v>72</v>
      </c>
      <c r="D93" s="48">
        <v>1</v>
      </c>
      <c r="E93" s="48" t="s">
        <v>71</v>
      </c>
      <c r="F93" s="71">
        <v>0</v>
      </c>
      <c r="G93" s="49" t="s">
        <v>80</v>
      </c>
      <c r="H93" s="17">
        <f ca="1">--TRIM(RIGHT(SUBSTITUTE(LEFT(C92,_xlfn.AGGREGATE(16,6,FIND({0,1,2,3,4,5,6,7,8,9},C92,ROW(INDIRECT("1:"&amp;LEN(C92)))),1))," ",REPT(" ",LEN(C92))),LEN(C92)))</f>
        <v>12</v>
      </c>
      <c r="I93" s="52" t="str">
        <f ca="1">IF(D96=100%,"Excavation","")&amp;IF(D97=100%,", Plinth","")&amp;IF(D98=100%,", RCC Slab","")&amp;IF(D99=100%,", Brickwork","")&amp;IF(D100=100%,", Internal Plaster","")&amp;IF(D101=100%,", External Plaster","")&amp;IF(D102=100%,", Flooring","")&amp;IF(D103=100%,", Painting","")&amp;IF(D104=100%,", Building common Amenities","")</f>
        <v>Excavation, Plinth</v>
      </c>
      <c r="J93" s="53" t="str">
        <f ca="1">(IF(C96=0,"Work not yet Started.",IF(D96=25%,"Piling work in process",IF(D96=50%,"Excavation work in process",IF(D96=100%,"","0")))))&amp;(IF(C97=0%,"",IF(C97=J98,", Footing work is process",IF(C97=J99,", Footing work Completed",IF(C97=J100,", 1st Basement Completed",IF(C97=J101,", 1st &amp; 2nd Basement Completed",IF(C97=J102,", 1st to 3rd Basement Completed",IF(C97=J103,", 1st to 4th Basement Completed",IF(C97=J104,", Plinth work is process",IF(C97=J105,"","0"))))))))))</f>
        <v/>
      </c>
    </row>
    <row r="94" spans="1:10" x14ac:dyDescent="0.25">
      <c r="A94" s="138" t="s">
        <v>90</v>
      </c>
      <c r="B94" s="139"/>
      <c r="C94" s="145" t="str">
        <f ca="1">(IF($G$61="NA",I92,"All work Completed. OC Received."))</f>
        <v>Excavation, Plinth Completed, RCC upto 6 Slab, Brickwork upto 1 Floor Completed</v>
      </c>
      <c r="D94" s="145"/>
      <c r="E94" s="145"/>
      <c r="F94" s="145"/>
      <c r="G94" s="145"/>
      <c r="H94" s="146"/>
      <c r="I94" s="52" t="str">
        <f ca="1">IF(I93&lt;&gt;""," Completed","")</f>
        <v xml:space="preserve"> Completed</v>
      </c>
      <c r="J94" s="53" t="str">
        <f ca="1">IF(J92&lt;&gt;"","Completed","")</f>
        <v>Completed</v>
      </c>
    </row>
    <row r="95" spans="1:10" ht="15.75" customHeight="1" x14ac:dyDescent="0.25">
      <c r="A95" s="105" t="s">
        <v>49</v>
      </c>
      <c r="B95" s="106"/>
      <c r="C95" s="44" t="s">
        <v>142</v>
      </c>
      <c r="D95" s="44" t="s">
        <v>83</v>
      </c>
      <c r="E95" s="106" t="s">
        <v>85</v>
      </c>
      <c r="F95" s="106"/>
      <c r="G95" s="106" t="s">
        <v>84</v>
      </c>
      <c r="H95" s="151"/>
      <c r="I95" s="14" t="s">
        <v>144</v>
      </c>
      <c r="J95" s="28">
        <f ca="1">H93*25%</f>
        <v>3</v>
      </c>
    </row>
    <row r="96" spans="1:10" x14ac:dyDescent="0.25">
      <c r="A96" s="105" t="s">
        <v>131</v>
      </c>
      <c r="B96" s="106"/>
      <c r="C96" s="44">
        <f ca="1">J97</f>
        <v>12</v>
      </c>
      <c r="D96" s="19">
        <f ca="1">((100/H93)*C96)/100</f>
        <v>1</v>
      </c>
      <c r="E96" s="161">
        <f ca="1">(((C97/H93*10)+(40/(D93+F93+H93)*C98)+(7.5/(H93)*C99)+(7.5/(H93)*C100)+(10/H93*C101)+(10/H93*C102)+(5/H93*C103)+(5/H93*C104)+(5/H93*C105))/100)</f>
        <v>0.29086538461538464</v>
      </c>
      <c r="F96" s="162"/>
      <c r="G96" s="161">
        <f ca="1">((((C96/H93)*20)+((C97/H93)*25)+(30/(H93+F93+D93)*C98)+(5/H93*C99)+(5/H93*C100)+(5/H93*C101)+(5/H93*C102)+(0/H93*C103)+(0/H93*C104)+(5/H93*C105))/100)</f>
        <v>0.59262820512820513</v>
      </c>
      <c r="H96" s="240"/>
      <c r="I96" s="14" t="s">
        <v>101</v>
      </c>
      <c r="J96" s="29">
        <f ca="1">H93*50%</f>
        <v>6</v>
      </c>
    </row>
    <row r="97" spans="1:10" x14ac:dyDescent="0.25">
      <c r="A97" s="105" t="s">
        <v>50</v>
      </c>
      <c r="B97" s="106"/>
      <c r="C97" s="54">
        <f ca="1">J105</f>
        <v>12</v>
      </c>
      <c r="D97" s="19">
        <f ca="1">((100/H93)*C97)/100</f>
        <v>1</v>
      </c>
      <c r="E97" s="163"/>
      <c r="F97" s="164"/>
      <c r="G97" s="163"/>
      <c r="H97" s="241"/>
      <c r="I97" s="14" t="s">
        <v>102</v>
      </c>
      <c r="J97" s="29">
        <f ca="1">H93</f>
        <v>12</v>
      </c>
    </row>
    <row r="98" spans="1:10" ht="15.75" customHeight="1" x14ac:dyDescent="0.25">
      <c r="A98" s="105" t="s">
        <v>132</v>
      </c>
      <c r="B98" s="106"/>
      <c r="C98" s="44">
        <v>6</v>
      </c>
      <c r="D98" s="19">
        <f ca="1">((100/(D93+F93+H93))*C98)/100</f>
        <v>0.46153846153846151</v>
      </c>
      <c r="E98" s="163"/>
      <c r="F98" s="164"/>
      <c r="G98" s="163"/>
      <c r="H98" s="241"/>
      <c r="I98" s="14" t="s">
        <v>103</v>
      </c>
      <c r="J98" s="30">
        <f ca="1">(IF(B93&gt;1,(H93/(B93+2)),H93/4))</f>
        <v>3</v>
      </c>
    </row>
    <row r="99" spans="1:10" ht="15.75" customHeight="1" x14ac:dyDescent="0.25">
      <c r="A99" s="105" t="s">
        <v>139</v>
      </c>
      <c r="B99" s="106" t="s">
        <v>133</v>
      </c>
      <c r="C99" s="44">
        <v>1</v>
      </c>
      <c r="D99" s="19">
        <f ca="1">((100/H93)*C99)/100</f>
        <v>8.3333333333333343E-2</v>
      </c>
      <c r="E99" s="163"/>
      <c r="F99" s="164"/>
      <c r="G99" s="163"/>
      <c r="H99" s="241"/>
      <c r="I99" s="14" t="s">
        <v>104</v>
      </c>
      <c r="J99" s="30">
        <f ca="1">(IF(B93&gt;1,(H93/(B93+2)+J98),H93/4+J98))</f>
        <v>6</v>
      </c>
    </row>
    <row r="100" spans="1:10" ht="15.75" customHeight="1" x14ac:dyDescent="0.25">
      <c r="A100" s="105" t="s">
        <v>140</v>
      </c>
      <c r="B100" s="106" t="s">
        <v>133</v>
      </c>
      <c r="C100" s="44">
        <v>0</v>
      </c>
      <c r="D100" s="19">
        <f ca="1">((100/H93)*C100)/100</f>
        <v>0</v>
      </c>
      <c r="E100" s="163"/>
      <c r="F100" s="164"/>
      <c r="G100" s="163"/>
      <c r="H100" s="241"/>
      <c r="I100" s="14" t="s">
        <v>151</v>
      </c>
      <c r="J100" s="30">
        <f>(IF(B93&gt;1,(H93/(B93+2)+J99),0))</f>
        <v>0</v>
      </c>
    </row>
    <row r="101" spans="1:10" ht="15" customHeight="1" x14ac:dyDescent="0.25">
      <c r="A101" s="105" t="s">
        <v>138</v>
      </c>
      <c r="B101" s="106" t="s">
        <v>135</v>
      </c>
      <c r="C101" s="44">
        <v>0</v>
      </c>
      <c r="D101" s="19">
        <f ca="1">((100/(H93))*C101)/100</f>
        <v>0</v>
      </c>
      <c r="E101" s="163"/>
      <c r="F101" s="164"/>
      <c r="G101" s="163"/>
      <c r="H101" s="241"/>
      <c r="I101" s="14" t="s">
        <v>146</v>
      </c>
      <c r="J101" s="30">
        <f>(IF(B93&gt;2,(H93/(B93+2)+J100),0))</f>
        <v>0</v>
      </c>
    </row>
    <row r="102" spans="1:10" ht="15.75" customHeight="1" x14ac:dyDescent="0.25">
      <c r="A102" s="105" t="s">
        <v>134</v>
      </c>
      <c r="B102" s="106" t="s">
        <v>134</v>
      </c>
      <c r="C102" s="44">
        <v>0</v>
      </c>
      <c r="D102" s="19">
        <f ca="1">((100/H93)*C102)/100</f>
        <v>0</v>
      </c>
      <c r="E102" s="163"/>
      <c r="F102" s="164"/>
      <c r="G102" s="163"/>
      <c r="H102" s="241"/>
      <c r="I102" s="14" t="s">
        <v>147</v>
      </c>
      <c r="J102" s="31">
        <f>(IF(B93&gt;3,(H93/(B93+2)+J101),0))</f>
        <v>0</v>
      </c>
    </row>
    <row r="103" spans="1:10" ht="15.75" customHeight="1" x14ac:dyDescent="0.25">
      <c r="A103" s="105" t="s">
        <v>141</v>
      </c>
      <c r="B103" s="106"/>
      <c r="C103" s="44">
        <v>0</v>
      </c>
      <c r="D103" s="19">
        <f ca="1">((100/H93)*C103)/100</f>
        <v>0</v>
      </c>
      <c r="E103" s="163"/>
      <c r="F103" s="164"/>
      <c r="G103" s="163"/>
      <c r="H103" s="241"/>
      <c r="I103" s="14" t="s">
        <v>148</v>
      </c>
      <c r="J103" s="30">
        <f>(IF(B93&gt;4,(H93/(B93+2)+J102),0))</f>
        <v>0</v>
      </c>
    </row>
    <row r="104" spans="1:10" ht="15.75" customHeight="1" x14ac:dyDescent="0.25">
      <c r="A104" s="105" t="s">
        <v>136</v>
      </c>
      <c r="B104" s="106" t="s">
        <v>136</v>
      </c>
      <c r="C104" s="44">
        <v>0</v>
      </c>
      <c r="D104" s="19">
        <f ca="1">((100/(H93))*C104)/100</f>
        <v>0</v>
      </c>
      <c r="E104" s="163"/>
      <c r="F104" s="164"/>
      <c r="G104" s="163"/>
      <c r="H104" s="241"/>
      <c r="I104" s="14" t="s">
        <v>152</v>
      </c>
      <c r="J104" s="30">
        <f ca="1">(IF(B93=1,(H93/(B93+3)+J99),IF(B93=0,(H93/4+J99),IF(B93&gt;1,0))))</f>
        <v>9</v>
      </c>
    </row>
    <row r="105" spans="1:10" ht="16.5" thickBot="1" x14ac:dyDescent="0.3">
      <c r="A105" s="135" t="s">
        <v>137</v>
      </c>
      <c r="B105" s="136"/>
      <c r="C105" s="45">
        <v>0</v>
      </c>
      <c r="D105" s="20">
        <f ca="1">((100/(H93))*C105)/100</f>
        <v>0</v>
      </c>
      <c r="E105" s="165"/>
      <c r="F105" s="166"/>
      <c r="G105" s="165"/>
      <c r="H105" s="242"/>
      <c r="I105" s="15" t="s">
        <v>105</v>
      </c>
      <c r="J105" s="32">
        <f ca="1">(IF(B93&gt;1.5,(H93/(B93+2)+J99+MAX(0,J100-J99)+MAX(0,J101-J100)+MAX(0,J102-J101)+MAX(0,J103-J102)+MAX(0,J104-J103)),IF(B93=1,(H93/(B93+3)+J104),IF(B93=0,H93/4+J104))))</f>
        <v>12</v>
      </c>
    </row>
    <row r="106" spans="1:10" ht="15.75" customHeight="1" x14ac:dyDescent="0.25">
      <c r="A106" s="140" t="s">
        <v>143</v>
      </c>
      <c r="B106" s="141"/>
      <c r="C106" s="142" t="str">
        <f>D68</f>
        <v>Tower 3 = LG + Gr/Stilt + 1st to 12th Floor</v>
      </c>
      <c r="D106" s="143"/>
      <c r="E106" s="143"/>
      <c r="F106" s="143"/>
      <c r="G106" s="143"/>
      <c r="H106" s="144"/>
      <c r="I106" s="50" t="str">
        <f ca="1">IF(D119=100%,"All work Completed. Possession granted to the Building.",IF(D118=100%,"All work Completed, Waiting for OC",I107&amp;""&amp;I108&amp;""&amp;J107&amp;""&amp;J106&amp;" "&amp;J108))</f>
        <v>Excavation, Plinth Completed, RCC upto 12 Slab, Brickwork upto 11 Floor, Internal Plaster upto 9.9 Floor, External Plaster upto 8.25 Floor, Flooring upto 2 Floor Completed</v>
      </c>
      <c r="J106" s="51" t="str">
        <f ca="1">(IF(C112=(D107+F107+H107),"",IF(C112&gt;0,", RCC upto "&amp;C112&amp;" Slab","")))&amp;(IF(C113=H107,"",IF(C113&gt;0,", Brickwork upto "&amp;C113&amp;" Floor","")))&amp;(IF(C114=H107,"",IF(C114&gt;0,", Internal Plaster upto "&amp;C114&amp;" Floor","")))&amp;(IF(C115=H107,"",IF(C115&gt;0,", External Plaster upto "&amp;C115&amp;" Floor","")))&amp;(IF(C116=H107,"",IF(C116&gt;0,", Flooring upto "&amp;C116&amp;" Floor","")))&amp;(IF(C117=H107,"",IF(C117&gt;0,", Painting upto "&amp;C117&amp;" Floor","")))&amp;(IF(C118=H107,"",IF(C118&gt;0,", Finishing upto "&amp;C118&amp;" Floor","")))&amp;(IF(C119=H107,"",IF(C119&gt;0,", Possession upto "&amp;C119&amp;" Floor","")))</f>
        <v>, RCC upto 12 Slab, Brickwork upto 11 Floor, Internal Plaster upto 9.9 Floor, External Plaster upto 8.25 Floor, Flooring upto 2 Floor</v>
      </c>
    </row>
    <row r="107" spans="1:10" x14ac:dyDescent="0.25">
      <c r="A107" s="16" t="s">
        <v>145</v>
      </c>
      <c r="B107" s="48">
        <v>1</v>
      </c>
      <c r="C107" s="48" t="s">
        <v>72</v>
      </c>
      <c r="D107" s="48">
        <v>1</v>
      </c>
      <c r="E107" s="48" t="s">
        <v>71</v>
      </c>
      <c r="F107" s="48">
        <v>0</v>
      </c>
      <c r="G107" s="48" t="s">
        <v>80</v>
      </c>
      <c r="H107" s="17">
        <f ca="1">--TRIM(RIGHT(SUBSTITUTE(LEFT(C106,_xlfn.AGGREGATE(16,6,FIND({0,1,2,3,4,5,6,7,8,9},C106,ROW(INDIRECT("1:"&amp;LEN(C106)))),1))," ",REPT(" ",LEN(C106))),LEN(C106)))</f>
        <v>12</v>
      </c>
      <c r="I107" s="52" t="str">
        <f ca="1">IF(D110=100%,"Excavation","")&amp;IF(D111=100%,", Plinth","")&amp;IF(D112=100%,", RCC Slab","")&amp;IF(D113=100%,", Brickwork","")&amp;IF(D114=100%,", Internal Plaster","")&amp;IF(D115=100%,", External Plaster","")&amp;IF(D116=100%,", Flooring","")&amp;IF(D117=100%,", Painting","")&amp;IF(D118=100%,", Building common Amenities","")</f>
        <v>Excavation, Plinth</v>
      </c>
      <c r="J107" s="53" t="str">
        <f ca="1">(IF(C110=0,"Work not yet Started.",IF(D110=25%,"Piling work in process",IF(D110=50%,"Excavation work in process",IF(D110=100%,"","0")))))&amp;(IF(C111=0%,"",IF(C111=J112,", Footing work is process",IF(C111=J113,", Footing work Completed",IF(C111=J114,", 1st Basement Completed",IF(C111=J115,", 1st &amp; 2nd Basement Completed",IF(C111=J116,", 1st to 3rd Basement Completed",IF(C111=J117,", 1st to 4th Basement Completed",IF(C111=J118,", Plinth work is process",IF(C111=J119,"","0"))))))))))</f>
        <v/>
      </c>
    </row>
    <row r="108" spans="1:10" ht="48.75" customHeight="1" x14ac:dyDescent="0.25">
      <c r="A108" s="138" t="s">
        <v>90</v>
      </c>
      <c r="B108" s="139"/>
      <c r="C108" s="145" t="str">
        <f ca="1">(IF($G$61="NA",I106,"All work Completed. OC Received."))</f>
        <v>Excavation, Plinth Completed, RCC upto 12 Slab, Brickwork upto 11 Floor, Internal Plaster upto 9.9 Floor, External Plaster upto 8.25 Floor, Flooring upto 2 Floor Completed</v>
      </c>
      <c r="D108" s="145"/>
      <c r="E108" s="145"/>
      <c r="F108" s="145"/>
      <c r="G108" s="145"/>
      <c r="H108" s="146"/>
      <c r="I108" s="52" t="str">
        <f ca="1">IF(I107&lt;&gt;""," Completed","")</f>
        <v xml:space="preserve"> Completed</v>
      </c>
      <c r="J108" s="53" t="str">
        <f ca="1">IF(J106&lt;&gt;"","Completed","")</f>
        <v>Completed</v>
      </c>
    </row>
    <row r="109" spans="1:10" ht="15.75" customHeight="1" x14ac:dyDescent="0.25">
      <c r="A109" s="105" t="s">
        <v>49</v>
      </c>
      <c r="B109" s="106"/>
      <c r="C109" s="62" t="s">
        <v>142</v>
      </c>
      <c r="D109" s="62" t="s">
        <v>83</v>
      </c>
      <c r="E109" s="147" t="s">
        <v>85</v>
      </c>
      <c r="F109" s="147"/>
      <c r="G109" s="147" t="s">
        <v>84</v>
      </c>
      <c r="H109" s="159"/>
      <c r="I109" s="14" t="s">
        <v>144</v>
      </c>
      <c r="J109" s="28">
        <f ca="1">H107*25%</f>
        <v>3</v>
      </c>
    </row>
    <row r="110" spans="1:10" x14ac:dyDescent="0.25">
      <c r="A110" s="105" t="s">
        <v>131</v>
      </c>
      <c r="B110" s="106"/>
      <c r="C110" s="62">
        <v>12</v>
      </c>
      <c r="D110" s="63">
        <f ca="1">((100/H107)*C110)/100</f>
        <v>1</v>
      </c>
      <c r="E110" s="152">
        <f ca="1">(((C111/H107*10)+(40/(D107+F107+H107)*C112)+(7.5/(H107)*C113)+(7.5/(H107)*C114)+(10/H107*C115)+(10/H107*C116)+(5/H107*C117)+(5/H107*C118)+(5/H107*C119))/100)</f>
        <v>0.68527243589743603</v>
      </c>
      <c r="F110" s="153"/>
      <c r="G110" s="152">
        <f ca="1">((((C110/H107)*20)+((C111/H107)*25)+(30/(H107+F107+D107)*C112)+(5/H107*C113)+(5/H107*C114)+(5/H107*C115)+(5/H107*C116)+(0/H107*C117)+(0/H107*C118)+(5/H107*C119))/100)</f>
        <v>0.85671474358974353</v>
      </c>
      <c r="H110" s="211"/>
      <c r="I110" s="14" t="s">
        <v>101</v>
      </c>
      <c r="J110" s="29">
        <f ca="1">H107*50%</f>
        <v>6</v>
      </c>
    </row>
    <row r="111" spans="1:10" x14ac:dyDescent="0.25">
      <c r="A111" s="105" t="s">
        <v>50</v>
      </c>
      <c r="B111" s="106"/>
      <c r="C111" s="66">
        <f ca="1">J119</f>
        <v>12</v>
      </c>
      <c r="D111" s="63">
        <f ca="1">((100/H107)*C111)/100</f>
        <v>1</v>
      </c>
      <c r="E111" s="154"/>
      <c r="F111" s="155"/>
      <c r="G111" s="154"/>
      <c r="H111" s="212"/>
      <c r="I111" s="14" t="s">
        <v>102</v>
      </c>
      <c r="J111" s="29">
        <f ca="1">H107</f>
        <v>12</v>
      </c>
    </row>
    <row r="112" spans="1:10" ht="15.75" customHeight="1" x14ac:dyDescent="0.25">
      <c r="A112" s="105" t="s">
        <v>132</v>
      </c>
      <c r="B112" s="106"/>
      <c r="C112" s="62">
        <v>12</v>
      </c>
      <c r="D112" s="63">
        <f ca="1">((100/(D107+F107+H107))*C112)/100</f>
        <v>0.92307692307692302</v>
      </c>
      <c r="E112" s="154"/>
      <c r="F112" s="155"/>
      <c r="G112" s="154"/>
      <c r="H112" s="212"/>
      <c r="I112" s="14" t="s">
        <v>103</v>
      </c>
      <c r="J112" s="30">
        <f ca="1">(IF(B107&gt;1,(H107/(B107+2)),H107/4))</f>
        <v>3</v>
      </c>
    </row>
    <row r="113" spans="1:10" ht="15.75" customHeight="1" x14ac:dyDescent="0.25">
      <c r="A113" s="105" t="s">
        <v>139</v>
      </c>
      <c r="B113" s="106" t="s">
        <v>133</v>
      </c>
      <c r="C113" s="62">
        <f>C112-1</f>
        <v>11</v>
      </c>
      <c r="D113" s="63">
        <f ca="1">((100/H107)*C113)/100</f>
        <v>0.91666666666666674</v>
      </c>
      <c r="E113" s="154"/>
      <c r="F113" s="155"/>
      <c r="G113" s="154"/>
      <c r="H113" s="212"/>
      <c r="I113" s="14" t="s">
        <v>104</v>
      </c>
      <c r="J113" s="30">
        <f ca="1">(IF(B107&gt;1,(H107/(B107+2)+J112),H107/4+J112))</f>
        <v>6</v>
      </c>
    </row>
    <row r="114" spans="1:10" ht="15.75" customHeight="1" x14ac:dyDescent="0.25">
      <c r="A114" s="105" t="s">
        <v>140</v>
      </c>
      <c r="B114" s="106" t="s">
        <v>133</v>
      </c>
      <c r="C114" s="66">
        <f>C113*0.9</f>
        <v>9.9</v>
      </c>
      <c r="D114" s="63">
        <f ca="1">((100/H107)*C114)/100</f>
        <v>0.82500000000000018</v>
      </c>
      <c r="E114" s="154"/>
      <c r="F114" s="155"/>
      <c r="G114" s="154"/>
      <c r="H114" s="212"/>
      <c r="I114" s="14" t="s">
        <v>151</v>
      </c>
      <c r="J114" s="30">
        <f>(IF(B107&gt;1,(H107/(B107+2)+J113),0))</f>
        <v>0</v>
      </c>
    </row>
    <row r="115" spans="1:10" ht="15" customHeight="1" x14ac:dyDescent="0.25">
      <c r="A115" s="105" t="s">
        <v>138</v>
      </c>
      <c r="B115" s="106" t="s">
        <v>135</v>
      </c>
      <c r="C115" s="66">
        <f>C113*0.75</f>
        <v>8.25</v>
      </c>
      <c r="D115" s="63">
        <f ca="1">((100/(H107))*C115)/100</f>
        <v>0.6875</v>
      </c>
      <c r="E115" s="154"/>
      <c r="F115" s="155"/>
      <c r="G115" s="154"/>
      <c r="H115" s="212"/>
      <c r="I115" s="14" t="s">
        <v>146</v>
      </c>
      <c r="J115" s="30">
        <f>(IF(B107&gt;2,(H107/(B107+2)+J114),0))</f>
        <v>0</v>
      </c>
    </row>
    <row r="116" spans="1:10" ht="15.75" customHeight="1" x14ac:dyDescent="0.25">
      <c r="A116" s="105" t="s">
        <v>134</v>
      </c>
      <c r="B116" s="106" t="s">
        <v>134</v>
      </c>
      <c r="C116" s="62">
        <v>2</v>
      </c>
      <c r="D116" s="63">
        <f ca="1">((100/H107)*C116)/100</f>
        <v>0.16666666666666669</v>
      </c>
      <c r="E116" s="154"/>
      <c r="F116" s="155"/>
      <c r="G116" s="154"/>
      <c r="H116" s="212"/>
      <c r="I116" s="14" t="s">
        <v>147</v>
      </c>
      <c r="J116" s="31">
        <f>(IF(B107&gt;3,(H107/(B107+2)+J115),0))</f>
        <v>0</v>
      </c>
    </row>
    <row r="117" spans="1:10" ht="15.75" customHeight="1" x14ac:dyDescent="0.25">
      <c r="A117" s="105" t="s">
        <v>141</v>
      </c>
      <c r="B117" s="106"/>
      <c r="C117" s="62">
        <v>0</v>
      </c>
      <c r="D117" s="63">
        <f ca="1">((100/H107)*C117)/100</f>
        <v>0</v>
      </c>
      <c r="E117" s="154"/>
      <c r="F117" s="155"/>
      <c r="G117" s="154"/>
      <c r="H117" s="212"/>
      <c r="I117" s="14" t="s">
        <v>148</v>
      </c>
      <c r="J117" s="30">
        <f>(IF(B107&gt;4,(H107/(B107+2)+J116),0))</f>
        <v>0</v>
      </c>
    </row>
    <row r="118" spans="1:10" ht="15.75" customHeight="1" x14ac:dyDescent="0.25">
      <c r="A118" s="105" t="s">
        <v>136</v>
      </c>
      <c r="B118" s="106" t="s">
        <v>136</v>
      </c>
      <c r="C118" s="62">
        <v>0</v>
      </c>
      <c r="D118" s="63">
        <f ca="1">((100/(H107))*C118)/100</f>
        <v>0</v>
      </c>
      <c r="E118" s="154"/>
      <c r="F118" s="155"/>
      <c r="G118" s="154"/>
      <c r="H118" s="212"/>
      <c r="I118" s="14" t="s">
        <v>152</v>
      </c>
      <c r="J118" s="30">
        <f ca="1">(IF(B107=1,(H107/(B107+3)+J113),IF(B107=0,(H107/4+J113),IF(B107&gt;1,0))))</f>
        <v>9</v>
      </c>
    </row>
    <row r="119" spans="1:10" ht="16.5" thickBot="1" x14ac:dyDescent="0.3">
      <c r="A119" s="135" t="s">
        <v>137</v>
      </c>
      <c r="B119" s="136"/>
      <c r="C119" s="64">
        <v>0</v>
      </c>
      <c r="D119" s="65">
        <f ca="1">((100/(H107))*C119)/100</f>
        <v>0</v>
      </c>
      <c r="E119" s="156"/>
      <c r="F119" s="157"/>
      <c r="G119" s="156"/>
      <c r="H119" s="213"/>
      <c r="I119" s="15" t="s">
        <v>105</v>
      </c>
      <c r="J119" s="32">
        <f ca="1">(IF(B107&gt;1.5,(H107/(B107+2)+J113+MAX(0,J114-J113)+MAX(0,J115-J114)+MAX(0,J116-J115)+MAX(0,J117-J116)+MAX(0,J118-J117)),IF(B107=1,(H107/(B107+3)+J118),IF(B107=0,H107/4+J118))))</f>
        <v>12</v>
      </c>
    </row>
    <row r="120" spans="1:10" ht="15.75" customHeight="1" x14ac:dyDescent="0.25">
      <c r="A120" s="140" t="s">
        <v>143</v>
      </c>
      <c r="B120" s="141"/>
      <c r="C120" s="142" t="str">
        <f>D69</f>
        <v>Tower 4 = LG + Gr/Stilt + 1st to 12th Floor</v>
      </c>
      <c r="D120" s="143"/>
      <c r="E120" s="143"/>
      <c r="F120" s="143"/>
      <c r="G120" s="143"/>
      <c r="H120" s="144"/>
      <c r="I120" s="50" t="str">
        <f ca="1">IF(D133=100%,"All work Completed. Possession granted to the Building.",IF(D132=100%,"All work Completed, Waiting for OC",I121&amp;""&amp;I122&amp;""&amp;J121&amp;""&amp;J120&amp;" "&amp;J122))</f>
        <v>Excavation, Plinth, RCC Slab, Brickwork Completed, Internal Plaster upto 10 Floor, External Plaster upto 7.8 Floor Completed</v>
      </c>
      <c r="J120" s="51" t="str">
        <f ca="1">(IF(C126=(D121+F121+H121),"",IF(C126&gt;0,", RCC upto "&amp;C126&amp;" Slab","")))&amp;(IF(C127=H121,"",IF(C127&gt;0,", Brickwork upto "&amp;C127&amp;" Floor","")))&amp;(IF(C128=H121,"",IF(C128&gt;0,", Internal Plaster upto "&amp;C128&amp;" Floor","")))&amp;(IF(C129=H121,"",IF(C129&gt;0,", External Plaster upto "&amp;C129&amp;" Floor","")))&amp;(IF(C130=H121,"",IF(C130&gt;0,", Flooring upto "&amp;C130&amp;" Floor","")))&amp;(IF(C131=H121,"",IF(C131&gt;0,", Painting upto "&amp;C131&amp;" Floor","")))&amp;(IF(C132=H121,"",IF(C132&gt;0,", Finishing upto "&amp;C132&amp;" Floor","")))&amp;(IF(C133=H121,"",IF(C133&gt;0,", Possession upto "&amp;C133&amp;" Floor","")))</f>
        <v>, Internal Plaster upto 10 Floor, External Plaster upto 7.8 Floor</v>
      </c>
    </row>
    <row r="121" spans="1:10" x14ac:dyDescent="0.25">
      <c r="A121" s="16" t="s">
        <v>145</v>
      </c>
      <c r="B121" s="48">
        <v>1</v>
      </c>
      <c r="C121" s="48" t="s">
        <v>72</v>
      </c>
      <c r="D121" s="48">
        <v>1</v>
      </c>
      <c r="E121" s="48" t="s">
        <v>71</v>
      </c>
      <c r="F121" s="48">
        <v>0</v>
      </c>
      <c r="G121" s="48" t="s">
        <v>80</v>
      </c>
      <c r="H121" s="17">
        <f ca="1">--TRIM(RIGHT(SUBSTITUTE(LEFT(C120,_xlfn.AGGREGATE(16,6,FIND({0,1,2,3,4,5,6,7,8,9},C120,ROW(INDIRECT("1:"&amp;LEN(C120)))),1))," ",REPT(" ",LEN(C120))),LEN(C120)))</f>
        <v>12</v>
      </c>
      <c r="I121" s="52" t="str">
        <f ca="1">IF(D124=100%,"Excavation","")&amp;IF(D125=100%,", Plinth","")&amp;IF(D126=100%,", RCC Slab","")&amp;IF(D127=100%,", Brickwork","")&amp;IF(D128=100%,", Internal Plaster","")&amp;IF(D129=100%,", External Plaster","")&amp;IF(D130=100%,", Flooring","")&amp;IF(D131=100%,", Painting","")&amp;IF(D132=100%,", Building common Amenities","")</f>
        <v>Excavation, Plinth, RCC Slab, Brickwork</v>
      </c>
      <c r="J121" s="53" t="str">
        <f ca="1">(IF(C124=0,"Work not yet Started.",IF(D124=25%,"Piling work in process",IF(D124=50%,"Excavation work in process",IF(D124=100%,"","0")))))&amp;(IF(C125=0%,"",IF(C125=J126,", Footing work is process",IF(C125=J127,", Footing work Completed",IF(C125=J128,", 1st Basement Completed",IF(C125=J129,", 1st &amp; 2nd Basement Completed",IF(C125=J130,", 1st to 3rd Basement Completed",IF(C125=J131,", 1st to 4th Basement Completed",IF(C125=J132,", Plinth work is process",IF(C125=J133,"","0"))))))))))</f>
        <v/>
      </c>
    </row>
    <row r="122" spans="1:10" ht="33.75" customHeight="1" x14ac:dyDescent="0.25">
      <c r="A122" s="138" t="s">
        <v>90</v>
      </c>
      <c r="B122" s="139"/>
      <c r="C122" s="145" t="str">
        <f ca="1">(IF($G$61="NA",I120,"All work Completed. OC Received."))</f>
        <v>Excavation, Plinth, RCC Slab, Brickwork Completed, Internal Plaster upto 10 Floor, External Plaster upto 7.8 Floor Completed</v>
      </c>
      <c r="D122" s="145"/>
      <c r="E122" s="145"/>
      <c r="F122" s="145"/>
      <c r="G122" s="145"/>
      <c r="H122" s="146"/>
      <c r="I122" s="52" t="str">
        <f ca="1">IF(I121&lt;&gt;""," Completed","")</f>
        <v xml:space="preserve"> Completed</v>
      </c>
      <c r="J122" s="53" t="str">
        <f ca="1">IF(J120&lt;&gt;"","Completed","")</f>
        <v>Completed</v>
      </c>
    </row>
    <row r="123" spans="1:10" ht="15.75" customHeight="1" x14ac:dyDescent="0.25">
      <c r="A123" s="105" t="s">
        <v>49</v>
      </c>
      <c r="B123" s="106"/>
      <c r="C123" s="62" t="s">
        <v>142</v>
      </c>
      <c r="D123" s="62" t="s">
        <v>83</v>
      </c>
      <c r="E123" s="147" t="s">
        <v>85</v>
      </c>
      <c r="F123" s="147"/>
      <c r="G123" s="147" t="s">
        <v>84</v>
      </c>
      <c r="H123" s="159"/>
      <c r="I123" s="14" t="s">
        <v>144</v>
      </c>
      <c r="J123" s="28">
        <f ca="1">H121*25%</f>
        <v>3</v>
      </c>
    </row>
    <row r="124" spans="1:10" x14ac:dyDescent="0.25">
      <c r="A124" s="105" t="s">
        <v>131</v>
      </c>
      <c r="B124" s="106"/>
      <c r="C124" s="62">
        <f ca="1">J125</f>
        <v>12</v>
      </c>
      <c r="D124" s="63">
        <f ca="1">((100/H121)*C124)/100</f>
        <v>1</v>
      </c>
      <c r="E124" s="152">
        <f ca="1">(((C125/H121*10)+(40/(D121+F121+H121)*C126)+(7.5/(H121)*C127)+(7.5/(H121)*C128)+(10/H121*C129)+(10/H121*C130)+(5/H121*C131)+(5/H121*C132)+(5/H121*C133))/100)</f>
        <v>0.70250000000000001</v>
      </c>
      <c r="F124" s="153"/>
      <c r="G124" s="152">
        <f ca="1">((((C124/H121)*20)+((C125/H121)*25)+(30/(H121+F121+D121)*C126)+(5/H121*C127)+(5/H121*C128)+(5/H121*C129)+(5/H121*C130)+(0/H121*C131)+(0/H121*C132)+(5/H121*C133))/100)</f>
        <v>0.87416666666666676</v>
      </c>
      <c r="H124" s="211"/>
      <c r="I124" s="14" t="s">
        <v>101</v>
      </c>
      <c r="J124" s="29">
        <f ca="1">H121*50%</f>
        <v>6</v>
      </c>
    </row>
    <row r="125" spans="1:10" x14ac:dyDescent="0.25">
      <c r="A125" s="105" t="s">
        <v>50</v>
      </c>
      <c r="B125" s="106"/>
      <c r="C125" s="66">
        <f ca="1">J133</f>
        <v>12</v>
      </c>
      <c r="D125" s="63">
        <f ca="1">((100/H121)*C125)/100</f>
        <v>1</v>
      </c>
      <c r="E125" s="154"/>
      <c r="F125" s="155"/>
      <c r="G125" s="154"/>
      <c r="H125" s="212"/>
      <c r="I125" s="14" t="s">
        <v>102</v>
      </c>
      <c r="J125" s="29">
        <f ca="1">H121</f>
        <v>12</v>
      </c>
    </row>
    <row r="126" spans="1:10" ht="15.75" customHeight="1" x14ac:dyDescent="0.25">
      <c r="A126" s="105" t="s">
        <v>132</v>
      </c>
      <c r="B126" s="106"/>
      <c r="C126" s="62">
        <v>13</v>
      </c>
      <c r="D126" s="63">
        <f ca="1">((100/(D121+F121+H121))*C126)/100</f>
        <v>1</v>
      </c>
      <c r="E126" s="154"/>
      <c r="F126" s="155"/>
      <c r="G126" s="154"/>
      <c r="H126" s="212"/>
      <c r="I126" s="14" t="s">
        <v>103</v>
      </c>
      <c r="J126" s="30">
        <f ca="1">(IF(B121&gt;1,(H121/(B121+2)),H121/4))</f>
        <v>3</v>
      </c>
    </row>
    <row r="127" spans="1:10" ht="15.75" customHeight="1" x14ac:dyDescent="0.25">
      <c r="A127" s="105" t="s">
        <v>139</v>
      </c>
      <c r="B127" s="106" t="s">
        <v>133</v>
      </c>
      <c r="C127" s="62">
        <f>C126-1</f>
        <v>12</v>
      </c>
      <c r="D127" s="63">
        <f ca="1">((100/H121)*C127)/100</f>
        <v>1</v>
      </c>
      <c r="E127" s="154"/>
      <c r="F127" s="155"/>
      <c r="G127" s="154"/>
      <c r="H127" s="212"/>
      <c r="I127" s="14" t="s">
        <v>104</v>
      </c>
      <c r="J127" s="30">
        <f ca="1">(IF(B121&gt;1,(H121/(B121+2)+J126),H121/4+J126))</f>
        <v>6</v>
      </c>
    </row>
    <row r="128" spans="1:10" ht="15.75" customHeight="1" x14ac:dyDescent="0.25">
      <c r="A128" s="105" t="s">
        <v>140</v>
      </c>
      <c r="B128" s="106" t="s">
        <v>133</v>
      </c>
      <c r="C128" s="66">
        <v>10</v>
      </c>
      <c r="D128" s="63">
        <f ca="1">((100/H121)*C128)/100</f>
        <v>0.83333333333333348</v>
      </c>
      <c r="E128" s="154"/>
      <c r="F128" s="155"/>
      <c r="G128" s="154"/>
      <c r="H128" s="212"/>
      <c r="I128" s="14" t="s">
        <v>151</v>
      </c>
      <c r="J128" s="30">
        <f>(IF(B121&gt;1,(H121/(B121+2)+J127),0))</f>
        <v>0</v>
      </c>
    </row>
    <row r="129" spans="1:10" ht="15" customHeight="1" x14ac:dyDescent="0.25">
      <c r="A129" s="105" t="s">
        <v>138</v>
      </c>
      <c r="B129" s="106" t="s">
        <v>135</v>
      </c>
      <c r="C129" s="66">
        <f>C127*0.65</f>
        <v>7.8000000000000007</v>
      </c>
      <c r="D129" s="63">
        <f ca="1">((100/(H121))*C129)/100</f>
        <v>0.65000000000000013</v>
      </c>
      <c r="E129" s="154"/>
      <c r="F129" s="155"/>
      <c r="G129" s="154"/>
      <c r="H129" s="212"/>
      <c r="I129" s="14" t="s">
        <v>146</v>
      </c>
      <c r="J129" s="30">
        <f>(IF(B121&gt;2,(H121/(B121+2)+J128),0))</f>
        <v>0</v>
      </c>
    </row>
    <row r="130" spans="1:10" ht="15.75" customHeight="1" x14ac:dyDescent="0.25">
      <c r="A130" s="105" t="s">
        <v>134</v>
      </c>
      <c r="B130" s="106" t="s">
        <v>134</v>
      </c>
      <c r="C130" s="62">
        <v>0</v>
      </c>
      <c r="D130" s="63">
        <f ca="1">((100/H121)*C130)/100</f>
        <v>0</v>
      </c>
      <c r="E130" s="154"/>
      <c r="F130" s="155"/>
      <c r="G130" s="154"/>
      <c r="H130" s="212"/>
      <c r="I130" s="14" t="s">
        <v>147</v>
      </c>
      <c r="J130" s="31">
        <f>(IF(B121&gt;3,(H121/(B121+2)+J129),0))</f>
        <v>0</v>
      </c>
    </row>
    <row r="131" spans="1:10" ht="15.75" customHeight="1" x14ac:dyDescent="0.25">
      <c r="A131" s="105" t="s">
        <v>141</v>
      </c>
      <c r="B131" s="106"/>
      <c r="C131" s="62">
        <v>0</v>
      </c>
      <c r="D131" s="63">
        <f ca="1">((100/H121)*C131)/100</f>
        <v>0</v>
      </c>
      <c r="E131" s="154"/>
      <c r="F131" s="155"/>
      <c r="G131" s="154"/>
      <c r="H131" s="212"/>
      <c r="I131" s="14" t="s">
        <v>148</v>
      </c>
      <c r="J131" s="30">
        <f>(IF(B121&gt;4,(H121/(B121+2)+J130),0))</f>
        <v>0</v>
      </c>
    </row>
    <row r="132" spans="1:10" ht="15.75" customHeight="1" x14ac:dyDescent="0.25">
      <c r="A132" s="105" t="s">
        <v>136</v>
      </c>
      <c r="B132" s="106" t="s">
        <v>136</v>
      </c>
      <c r="C132" s="62">
        <v>0</v>
      </c>
      <c r="D132" s="63">
        <f ca="1">((100/(H121))*C132)/100</f>
        <v>0</v>
      </c>
      <c r="E132" s="154"/>
      <c r="F132" s="155"/>
      <c r="G132" s="154"/>
      <c r="H132" s="212"/>
      <c r="I132" s="14" t="s">
        <v>152</v>
      </c>
      <c r="J132" s="30">
        <f ca="1">(IF(B121=1,(H121/(B121+3)+J127),IF(B121=0,(H121/4+J127),IF(B121&gt;1,0))))</f>
        <v>9</v>
      </c>
    </row>
    <row r="133" spans="1:10" ht="16.5" thickBot="1" x14ac:dyDescent="0.3">
      <c r="A133" s="135" t="s">
        <v>137</v>
      </c>
      <c r="B133" s="136"/>
      <c r="C133" s="64">
        <v>0</v>
      </c>
      <c r="D133" s="65">
        <f ca="1">((100/(H121))*C133)/100</f>
        <v>0</v>
      </c>
      <c r="E133" s="156"/>
      <c r="F133" s="157"/>
      <c r="G133" s="156"/>
      <c r="H133" s="213"/>
      <c r="I133" s="15" t="s">
        <v>105</v>
      </c>
      <c r="J133" s="32">
        <f ca="1">(IF(B121&gt;1.5,(H121/(B121+2)+J127+MAX(0,J128-J127)+MAX(0,J129-J128)+MAX(0,J130-J129)+MAX(0,J131-J130)+MAX(0,J132-J131)),IF(B121=1,(H121/(B121+3)+J132),IF(B121=0,H121/4+J132))))</f>
        <v>12</v>
      </c>
    </row>
    <row r="134" spans="1:10" ht="15.75" customHeight="1" x14ac:dyDescent="0.25">
      <c r="A134" s="140" t="s">
        <v>143</v>
      </c>
      <c r="B134" s="141"/>
      <c r="C134" s="148" t="str">
        <f>D70</f>
        <v>Tower 5 = LG + Gr/Stilt + 1st to 12th Floor</v>
      </c>
      <c r="D134" s="149"/>
      <c r="E134" s="149"/>
      <c r="F134" s="149"/>
      <c r="G134" s="149"/>
      <c r="H134" s="150"/>
      <c r="I134" s="50" t="str">
        <f ca="1">IF(D147=100%,"All work Completed. Possession granted to the Building.",IF(D146=100%,"All work Completed, Waiting for OC",I135&amp;""&amp;I136&amp;""&amp;J135&amp;""&amp;J134&amp;" "&amp;J136))</f>
        <v>Excavation, Plinth, RCC Slab, Brickwork Completed, Internal Plaster upto 10 Floor, External Plaster upto 7.8 Floor, Flooring upto 2 Floor Completed</v>
      </c>
      <c r="J134" s="51" t="str">
        <f ca="1">(IF(C140=(D135+F135+H135),"",IF(C140&gt;0,", RCC upto "&amp;C140&amp;" Slab","")))&amp;(IF(C141=H135,"",IF(C141&gt;0,", Brickwork upto "&amp;C141&amp;" Floor","")))&amp;(IF(C142=H135,"",IF(C142&gt;0,", Internal Plaster upto "&amp;C142&amp;" Floor","")))&amp;(IF(C143=H135,"",IF(C143&gt;0,", External Plaster upto "&amp;C143&amp;" Floor","")))&amp;(IF(C144=H135,"",IF(C144&gt;0,", Flooring upto "&amp;C144&amp;" Floor","")))&amp;(IF(C145=H135,"",IF(C145&gt;0,", Painting upto "&amp;C145&amp;" Floor","")))&amp;(IF(C146=H135,"",IF(C146&gt;0,", Finishing upto "&amp;C146&amp;" Floor","")))&amp;(IF(C147=H135,"",IF(C147&gt;0,", Possession upto "&amp;C147&amp;" Floor","")))</f>
        <v>, Internal Plaster upto 10 Floor, External Plaster upto 7.8 Floor, Flooring upto 2 Floor</v>
      </c>
    </row>
    <row r="135" spans="1:10" x14ac:dyDescent="0.25">
      <c r="A135" s="16" t="s">
        <v>145</v>
      </c>
      <c r="B135" s="48">
        <v>1</v>
      </c>
      <c r="C135" s="48" t="s">
        <v>72</v>
      </c>
      <c r="D135" s="48">
        <v>1</v>
      </c>
      <c r="E135" s="48" t="s">
        <v>71</v>
      </c>
      <c r="F135" s="48">
        <v>0</v>
      </c>
      <c r="G135" s="49" t="s">
        <v>80</v>
      </c>
      <c r="H135" s="17">
        <f ca="1">--TRIM(RIGHT(SUBSTITUTE(LEFT(C134,_xlfn.AGGREGATE(16,6,FIND({0,1,2,3,4,5,6,7,8,9},C134,ROW(INDIRECT("1:"&amp;LEN(C134)))),1))," ",REPT(" ",LEN(C134))),LEN(C134)))</f>
        <v>12</v>
      </c>
      <c r="I135" s="52" t="str">
        <f ca="1">IF(D138=100%,"Excavation","")&amp;IF(D139=100%,", Plinth","")&amp;IF(D140=100%,", RCC Slab","")&amp;IF(D141=100%,", Brickwork","")&amp;IF(D142=100%,", Internal Plaster","")&amp;IF(D143=100%,", External Plaster","")&amp;IF(D144=100%,", Flooring","")&amp;IF(D145=100%,", Painting","")&amp;IF(D146=100%,", Building common Amenities","")</f>
        <v>Excavation, Plinth, RCC Slab, Brickwork</v>
      </c>
      <c r="J135" s="53" t="str">
        <f ca="1">(IF(C138=0,"Work not yet Started.",IF(D138=25%,"Piling work in process",IF(D138=50%,"Excavation work in process",IF(D138=100%,"","0")))))&amp;(IF(C139=0%,"",IF(C139=J140,", Footing work is process",IF(C139=J141,", Footing work Completed",IF(C139=J142,", 1st Basement Completed",IF(C139=J143,", 1st &amp; 2nd Basement Completed",IF(C139=J144,", 1st to 3rd Basement Completed",IF(C139=J145,", 1st to 4th Basement Completed",IF(C139=J146,", Plinth work is process",IF(C139=J147,"","0"))))))))))</f>
        <v/>
      </c>
    </row>
    <row r="136" spans="1:10" ht="34.5" customHeight="1" x14ac:dyDescent="0.25">
      <c r="A136" s="138" t="s">
        <v>90</v>
      </c>
      <c r="B136" s="139"/>
      <c r="C136" s="145" t="str">
        <f ca="1">(IF($G$61="NA",I134,"All work Completed. OC Received."))</f>
        <v>Excavation, Plinth, RCC Slab, Brickwork Completed, Internal Plaster upto 10 Floor, External Plaster upto 7.8 Floor, Flooring upto 2 Floor Completed</v>
      </c>
      <c r="D136" s="145"/>
      <c r="E136" s="145"/>
      <c r="F136" s="145"/>
      <c r="G136" s="145"/>
      <c r="H136" s="146"/>
      <c r="I136" s="52" t="str">
        <f ca="1">IF(I135&lt;&gt;""," Completed","")</f>
        <v xml:space="preserve"> Completed</v>
      </c>
      <c r="J136" s="53" t="str">
        <f ca="1">IF(J134&lt;&gt;"","Completed","")</f>
        <v>Completed</v>
      </c>
    </row>
    <row r="137" spans="1:10" ht="15.75" customHeight="1" x14ac:dyDescent="0.25">
      <c r="A137" s="105" t="s">
        <v>49</v>
      </c>
      <c r="B137" s="106"/>
      <c r="C137" s="44" t="s">
        <v>142</v>
      </c>
      <c r="D137" s="44" t="s">
        <v>83</v>
      </c>
      <c r="E137" s="106" t="s">
        <v>85</v>
      </c>
      <c r="F137" s="106"/>
      <c r="G137" s="106" t="s">
        <v>84</v>
      </c>
      <c r="H137" s="151"/>
      <c r="I137" s="14" t="s">
        <v>144</v>
      </c>
      <c r="J137" s="28">
        <f ca="1">H135*25%</f>
        <v>3</v>
      </c>
    </row>
    <row r="138" spans="1:10" x14ac:dyDescent="0.25">
      <c r="A138" s="105" t="s">
        <v>131</v>
      </c>
      <c r="B138" s="106"/>
      <c r="C138" s="44">
        <f ca="1">J139</f>
        <v>12</v>
      </c>
      <c r="D138" s="19">
        <f ca="1">((100/H135)*C138)/100</f>
        <v>1</v>
      </c>
      <c r="E138" s="161">
        <f ca="1">(((C139/H135*10)+(40/(D135+F135+H135)*C140)+(7.5/(H135)*C141)+(7.5/(H135)*C142)+(10/H135*C143)+(10/H135*C144)+(5/H135*C145)+(5/H135*C146)+(5/H135*C147))/100)</f>
        <v>0.71916666666666673</v>
      </c>
      <c r="F138" s="162"/>
      <c r="G138" s="161">
        <f ca="1">((((C138/H135)*20)+((C139/H135)*25)+(30/(H135+F135+D135)*C140)+(5/H135*C141)+(5/H135*C142)+(5/H135*C143)+(5/H135*C144)+(0/H135*C145)+(0/H135*C146)+(5/H135*C147))/100)</f>
        <v>0.88249999999999995</v>
      </c>
      <c r="H138" s="240"/>
      <c r="I138" s="14" t="s">
        <v>101</v>
      </c>
      <c r="J138" s="29">
        <f ca="1">H135*50%</f>
        <v>6</v>
      </c>
    </row>
    <row r="139" spans="1:10" x14ac:dyDescent="0.25">
      <c r="A139" s="105" t="s">
        <v>50</v>
      </c>
      <c r="B139" s="106"/>
      <c r="C139" s="54">
        <f ca="1">J147</f>
        <v>12</v>
      </c>
      <c r="D139" s="19">
        <f ca="1">((100/H135)*C139)/100</f>
        <v>1</v>
      </c>
      <c r="E139" s="163"/>
      <c r="F139" s="164"/>
      <c r="G139" s="163"/>
      <c r="H139" s="241"/>
      <c r="I139" s="14" t="s">
        <v>102</v>
      </c>
      <c r="J139" s="29">
        <f ca="1">H135</f>
        <v>12</v>
      </c>
    </row>
    <row r="140" spans="1:10" ht="15.75" customHeight="1" x14ac:dyDescent="0.25">
      <c r="A140" s="105" t="s">
        <v>132</v>
      </c>
      <c r="B140" s="106"/>
      <c r="C140" s="44">
        <v>13</v>
      </c>
      <c r="D140" s="19">
        <f ca="1">((100/(D135+F135+H135))*C140)/100</f>
        <v>1</v>
      </c>
      <c r="E140" s="163"/>
      <c r="F140" s="164"/>
      <c r="G140" s="163"/>
      <c r="H140" s="241"/>
      <c r="I140" s="14" t="s">
        <v>103</v>
      </c>
      <c r="J140" s="30">
        <f ca="1">(IF(B135&gt;1,(H135/(B135+2)),H135/4))</f>
        <v>3</v>
      </c>
    </row>
    <row r="141" spans="1:10" ht="15.75" customHeight="1" x14ac:dyDescent="0.25">
      <c r="A141" s="105" t="s">
        <v>139</v>
      </c>
      <c r="B141" s="106" t="s">
        <v>133</v>
      </c>
      <c r="C141" s="44">
        <f>C140-1</f>
        <v>12</v>
      </c>
      <c r="D141" s="19">
        <f ca="1">((100/H135)*C141)/100</f>
        <v>1</v>
      </c>
      <c r="E141" s="163"/>
      <c r="F141" s="164"/>
      <c r="G141" s="163"/>
      <c r="H141" s="241"/>
      <c r="I141" s="14" t="s">
        <v>104</v>
      </c>
      <c r="J141" s="30">
        <f ca="1">(IF(B135&gt;1,(H135/(B135+2)+J140),H135/4+J140))</f>
        <v>6</v>
      </c>
    </row>
    <row r="142" spans="1:10" ht="15.75" customHeight="1" x14ac:dyDescent="0.25">
      <c r="A142" s="105" t="s">
        <v>140</v>
      </c>
      <c r="B142" s="106" t="s">
        <v>133</v>
      </c>
      <c r="C142" s="54">
        <v>10</v>
      </c>
      <c r="D142" s="19">
        <f ca="1">((100/H135)*C142)/100</f>
        <v>0.83333333333333348</v>
      </c>
      <c r="E142" s="163"/>
      <c r="F142" s="164"/>
      <c r="G142" s="163"/>
      <c r="H142" s="241"/>
      <c r="I142" s="14" t="s">
        <v>151</v>
      </c>
      <c r="J142" s="30">
        <f>(IF(B135&gt;1,(H135/(B135+2)+J141),0))</f>
        <v>0</v>
      </c>
    </row>
    <row r="143" spans="1:10" ht="15" customHeight="1" x14ac:dyDescent="0.25">
      <c r="A143" s="105" t="s">
        <v>138</v>
      </c>
      <c r="B143" s="106" t="s">
        <v>135</v>
      </c>
      <c r="C143" s="54">
        <f>C141*0.65</f>
        <v>7.8000000000000007</v>
      </c>
      <c r="D143" s="19">
        <f ca="1">((100/(H135))*C143)/100</f>
        <v>0.65000000000000013</v>
      </c>
      <c r="E143" s="163"/>
      <c r="F143" s="164"/>
      <c r="G143" s="163"/>
      <c r="H143" s="241"/>
      <c r="I143" s="14" t="s">
        <v>146</v>
      </c>
      <c r="J143" s="30">
        <f>(IF(B135&gt;2,(H135/(B135+2)+J142),0))</f>
        <v>0</v>
      </c>
    </row>
    <row r="144" spans="1:10" ht="15.75" customHeight="1" x14ac:dyDescent="0.25">
      <c r="A144" s="105" t="s">
        <v>134</v>
      </c>
      <c r="B144" s="106" t="s">
        <v>134</v>
      </c>
      <c r="C144" s="44">
        <v>2</v>
      </c>
      <c r="D144" s="19">
        <f ca="1">((100/H135)*C144)/100</f>
        <v>0.16666666666666669</v>
      </c>
      <c r="E144" s="163"/>
      <c r="F144" s="164"/>
      <c r="G144" s="163"/>
      <c r="H144" s="241"/>
      <c r="I144" s="14" t="s">
        <v>147</v>
      </c>
      <c r="J144" s="31">
        <f>(IF(B135&gt;3,(H135/(B135+2)+J143),0))</f>
        <v>0</v>
      </c>
    </row>
    <row r="145" spans="1:13" ht="15.75" customHeight="1" x14ac:dyDescent="0.25">
      <c r="A145" s="105" t="s">
        <v>141</v>
      </c>
      <c r="B145" s="106"/>
      <c r="C145" s="44">
        <v>0</v>
      </c>
      <c r="D145" s="19">
        <f ca="1">((100/H135)*C145)/100</f>
        <v>0</v>
      </c>
      <c r="E145" s="163"/>
      <c r="F145" s="164"/>
      <c r="G145" s="163"/>
      <c r="H145" s="241"/>
      <c r="I145" s="14" t="s">
        <v>148</v>
      </c>
      <c r="J145" s="30">
        <f>(IF(B135&gt;4,(H135/(B135+2)+J144),0))</f>
        <v>0</v>
      </c>
    </row>
    <row r="146" spans="1:13" ht="15.75" customHeight="1" x14ac:dyDescent="0.25">
      <c r="A146" s="105" t="s">
        <v>136</v>
      </c>
      <c r="B146" s="106" t="s">
        <v>136</v>
      </c>
      <c r="C146" s="44">
        <v>0</v>
      </c>
      <c r="D146" s="19">
        <f ca="1">((100/(H135))*C146)/100</f>
        <v>0</v>
      </c>
      <c r="E146" s="163"/>
      <c r="F146" s="164"/>
      <c r="G146" s="163"/>
      <c r="H146" s="241"/>
      <c r="I146" s="14" t="s">
        <v>152</v>
      </c>
      <c r="J146" s="30">
        <f ca="1">(IF(B135=1,(H135/(B135+3)+J141),IF(B135=0,(H135/4+J141),IF(B135&gt;1,0))))</f>
        <v>9</v>
      </c>
    </row>
    <row r="147" spans="1:13" ht="16.5" thickBot="1" x14ac:dyDescent="0.3">
      <c r="A147" s="135" t="s">
        <v>137</v>
      </c>
      <c r="B147" s="136"/>
      <c r="C147" s="45">
        <v>0</v>
      </c>
      <c r="D147" s="20">
        <f ca="1">((100/(H135))*C147)/100</f>
        <v>0</v>
      </c>
      <c r="E147" s="165"/>
      <c r="F147" s="166"/>
      <c r="G147" s="165"/>
      <c r="H147" s="242"/>
      <c r="I147" s="15" t="s">
        <v>105</v>
      </c>
      <c r="J147" s="32">
        <f ca="1">(IF(B135&gt;1.5,(H135/(B135+2)+J141+MAX(0,J142-J141)+MAX(0,J143-J142)+MAX(0,J144-J143)+MAX(0,J145-J144)+MAX(0,J146-J145)),IF(B135=1,(H135/(B135+3)+J146),IF(B135=0,H135/4+J146))))</f>
        <v>12</v>
      </c>
    </row>
    <row r="148" spans="1:13" x14ac:dyDescent="0.25">
      <c r="A148" s="244" t="s">
        <v>163</v>
      </c>
      <c r="B148" s="244"/>
      <c r="C148" s="244"/>
      <c r="D148" s="244"/>
      <c r="E148" s="244"/>
      <c r="F148" s="160" t="s">
        <v>167</v>
      </c>
      <c r="G148" s="160"/>
      <c r="H148" s="160"/>
      <c r="I148" s="58"/>
      <c r="J148" s="58" t="s">
        <v>284</v>
      </c>
      <c r="K148" s="58" t="s">
        <v>285</v>
      </c>
      <c r="L148" s="58" t="s">
        <v>286</v>
      </c>
      <c r="M148" s="58" t="s">
        <v>287</v>
      </c>
    </row>
    <row r="149" spans="1:13" x14ac:dyDescent="0.25">
      <c r="A149" s="96" t="s">
        <v>165</v>
      </c>
      <c r="B149" s="96"/>
      <c r="C149" s="96"/>
      <c r="D149" s="96"/>
      <c r="E149" s="96"/>
      <c r="F149" s="93">
        <v>25000</v>
      </c>
      <c r="G149" s="93"/>
      <c r="H149" s="93"/>
      <c r="I149" s="61" t="e">
        <f>AVERAGE(J149:L149)</f>
        <v>#DIV/0!</v>
      </c>
      <c r="J149" s="61" t="e">
        <f>AVERAGE(J205,J256,J261,J397,J401,J436,J466,J475)</f>
        <v>#DIV/0!</v>
      </c>
      <c r="K149" s="61">
        <f>32000/1.5</f>
        <v>21333.333333333332</v>
      </c>
      <c r="L149" s="58">
        <v>26000</v>
      </c>
      <c r="M149" s="58"/>
    </row>
    <row r="150" spans="1:13" x14ac:dyDescent="0.25">
      <c r="A150" s="96" t="s">
        <v>164</v>
      </c>
      <c r="B150" s="96"/>
      <c r="C150" s="96"/>
      <c r="D150" s="96"/>
      <c r="E150" s="96"/>
      <c r="F150" s="93">
        <v>40000</v>
      </c>
      <c r="G150" s="93"/>
      <c r="H150" s="93"/>
      <c r="I150" s="58"/>
      <c r="J150" s="58"/>
      <c r="K150" s="58"/>
      <c r="L150" s="58"/>
      <c r="M150" s="58"/>
    </row>
    <row r="151" spans="1:13" x14ac:dyDescent="0.25">
      <c r="A151" s="96" t="s">
        <v>308</v>
      </c>
      <c r="B151" s="96"/>
      <c r="C151" s="96"/>
      <c r="D151" s="96"/>
      <c r="E151" s="96"/>
      <c r="F151" s="93">
        <v>35000</v>
      </c>
      <c r="G151" s="93"/>
      <c r="H151" s="93"/>
      <c r="I151" s="68"/>
      <c r="J151" s="68" t="s">
        <v>320</v>
      </c>
      <c r="K151" s="68"/>
      <c r="L151" s="58"/>
      <c r="M151" s="58"/>
    </row>
    <row r="152" spans="1:13" hidden="1" x14ac:dyDescent="0.25">
      <c r="A152" s="96" t="s">
        <v>166</v>
      </c>
      <c r="B152" s="96"/>
      <c r="C152" s="96"/>
      <c r="D152" s="96"/>
      <c r="E152" s="96"/>
      <c r="F152" s="93"/>
      <c r="G152" s="93"/>
      <c r="H152" s="93"/>
      <c r="I152" s="58"/>
      <c r="J152" s="58"/>
      <c r="K152" s="58"/>
      <c r="L152" s="58"/>
      <c r="M152" s="58"/>
    </row>
    <row r="153" spans="1:13" s="33" customFormat="1" hidden="1" x14ac:dyDescent="0.25">
      <c r="A153" s="96" t="s">
        <v>182</v>
      </c>
      <c r="B153" s="96"/>
      <c r="C153" s="96"/>
      <c r="D153" s="96"/>
      <c r="E153" s="96"/>
      <c r="F153" s="93"/>
      <c r="G153" s="93"/>
      <c r="H153" s="93"/>
      <c r="I153" s="59"/>
      <c r="J153" s="59"/>
      <c r="K153" s="59"/>
      <c r="L153" s="59"/>
      <c r="M153" s="59"/>
    </row>
    <row r="154" spans="1:13" s="33" customFormat="1" hidden="1" x14ac:dyDescent="0.25">
      <c r="A154" s="96" t="s">
        <v>95</v>
      </c>
      <c r="B154" s="96"/>
      <c r="C154" s="96"/>
      <c r="D154" s="96"/>
      <c r="E154" s="96"/>
      <c r="F154" s="93"/>
      <c r="G154" s="93"/>
      <c r="H154" s="93"/>
      <c r="I154" s="59"/>
      <c r="J154" s="59"/>
      <c r="K154" s="59"/>
      <c r="L154" s="59"/>
      <c r="M154" s="59"/>
    </row>
    <row r="155" spans="1:13" s="33" customFormat="1" hidden="1" x14ac:dyDescent="0.25">
      <c r="A155" s="96" t="s">
        <v>96</v>
      </c>
      <c r="B155" s="96"/>
      <c r="C155" s="96"/>
      <c r="D155" s="96"/>
      <c r="E155" s="96"/>
      <c r="F155" s="93"/>
      <c r="G155" s="93"/>
      <c r="H155" s="93"/>
      <c r="I155" s="59"/>
      <c r="J155" s="59"/>
      <c r="K155" s="59"/>
      <c r="L155" s="59"/>
      <c r="M155" s="59"/>
    </row>
    <row r="156" spans="1:13" s="33" customFormat="1" hidden="1" x14ac:dyDescent="0.25">
      <c r="A156" s="96" t="s">
        <v>168</v>
      </c>
      <c r="B156" s="96"/>
      <c r="C156" s="96"/>
      <c r="D156" s="96"/>
      <c r="E156" s="96"/>
      <c r="F156" s="93"/>
      <c r="G156" s="93"/>
      <c r="H156" s="93"/>
      <c r="I156" s="59"/>
      <c r="J156" s="59"/>
      <c r="K156" s="59"/>
      <c r="L156" s="59"/>
      <c r="M156" s="59"/>
    </row>
    <row r="157" spans="1:13" s="33" customFormat="1" hidden="1" x14ac:dyDescent="0.25">
      <c r="A157" s="96" t="s">
        <v>97</v>
      </c>
      <c r="B157" s="96"/>
      <c r="C157" s="96"/>
      <c r="D157" s="96"/>
      <c r="E157" s="96"/>
      <c r="F157" s="93"/>
      <c r="G157" s="93"/>
      <c r="H157" s="93"/>
      <c r="I157" s="59"/>
      <c r="J157" s="59"/>
      <c r="K157" s="59"/>
      <c r="L157" s="59"/>
      <c r="M157" s="59"/>
    </row>
    <row r="158" spans="1:13" s="33" customFormat="1" hidden="1" x14ac:dyDescent="0.25">
      <c r="A158" s="96" t="s">
        <v>98</v>
      </c>
      <c r="B158" s="96"/>
      <c r="C158" s="96"/>
      <c r="D158" s="96"/>
      <c r="E158" s="96"/>
      <c r="F158" s="93"/>
      <c r="G158" s="93"/>
      <c r="H158" s="93"/>
      <c r="I158" s="59"/>
      <c r="J158" s="59"/>
      <c r="K158" s="59"/>
      <c r="L158" s="59"/>
      <c r="M158" s="59"/>
    </row>
    <row r="159" spans="1:13" s="33" customFormat="1" hidden="1" x14ac:dyDescent="0.25">
      <c r="A159" s="96" t="s">
        <v>99</v>
      </c>
      <c r="B159" s="96"/>
      <c r="C159" s="96"/>
      <c r="D159" s="96"/>
      <c r="E159" s="96"/>
      <c r="F159" s="93"/>
      <c r="G159" s="93"/>
      <c r="H159" s="93"/>
      <c r="I159" s="59"/>
      <c r="J159" s="59"/>
      <c r="K159" s="59"/>
      <c r="L159" s="59"/>
      <c r="M159" s="59"/>
    </row>
    <row r="160" spans="1:13" s="33" customFormat="1" hidden="1" x14ac:dyDescent="0.25">
      <c r="A160" s="96" t="s">
        <v>100</v>
      </c>
      <c r="B160" s="96"/>
      <c r="C160" s="96"/>
      <c r="D160" s="96"/>
      <c r="E160" s="96"/>
      <c r="F160" s="93"/>
      <c r="G160" s="93"/>
      <c r="H160" s="93"/>
      <c r="I160" s="59"/>
      <c r="J160" s="59"/>
      <c r="K160" s="59"/>
      <c r="L160" s="59"/>
      <c r="M160" s="59"/>
    </row>
    <row r="161" spans="1:13" x14ac:dyDescent="0.25">
      <c r="A161" s="96" t="s">
        <v>51</v>
      </c>
      <c r="B161" s="96"/>
      <c r="C161" s="96"/>
      <c r="D161" s="96"/>
      <c r="E161" s="96"/>
      <c r="F161" s="93">
        <v>1200000</v>
      </c>
      <c r="G161" s="93"/>
      <c r="H161" s="93"/>
      <c r="I161" s="58"/>
      <c r="J161" s="58"/>
      <c r="K161" s="58"/>
      <c r="L161" s="58"/>
      <c r="M161" s="58"/>
    </row>
    <row r="162" spans="1:13" s="34" customFormat="1" x14ac:dyDescent="0.25">
      <c r="A162" s="215" t="s">
        <v>52</v>
      </c>
      <c r="B162" s="215"/>
      <c r="C162" s="215"/>
      <c r="D162" s="215"/>
      <c r="E162" s="215"/>
      <c r="F162" s="93">
        <f>F149*0.8</f>
        <v>20000</v>
      </c>
      <c r="G162" s="93"/>
      <c r="H162" s="93"/>
      <c r="I162" s="60"/>
      <c r="J162" s="60"/>
      <c r="K162" s="60"/>
      <c r="L162" s="60"/>
      <c r="M162" s="60"/>
    </row>
    <row r="163" spans="1:13" s="35" customFormat="1" ht="15.75" customHeight="1" x14ac:dyDescent="0.25">
      <c r="A163" s="232" t="s">
        <v>75</v>
      </c>
      <c r="B163" s="232"/>
      <c r="C163" s="232"/>
      <c r="D163" s="232"/>
      <c r="E163" s="232"/>
      <c r="F163" s="232"/>
      <c r="G163" s="232"/>
      <c r="H163" s="232"/>
      <c r="J163" s="35" t="s">
        <v>307</v>
      </c>
    </row>
    <row r="164" spans="1:13" s="35" customFormat="1" ht="15.75" customHeight="1" x14ac:dyDescent="0.25">
      <c r="A164" s="95" t="s">
        <v>53</v>
      </c>
      <c r="B164" s="95"/>
      <c r="C164" s="101" t="s">
        <v>78</v>
      </c>
      <c r="D164" s="101"/>
      <c r="E164" s="100" t="s">
        <v>54</v>
      </c>
      <c r="F164" s="100"/>
      <c r="G164" s="95" t="s">
        <v>55</v>
      </c>
      <c r="H164" s="95"/>
    </row>
    <row r="165" spans="1:13" s="35" customFormat="1" x14ac:dyDescent="0.25">
      <c r="A165" s="137" t="s">
        <v>257</v>
      </c>
      <c r="B165" s="137"/>
      <c r="C165" s="133">
        <f>COUNT(D183:D185)+COUNT(D187:D188)+COUNT(D190:D191)</f>
        <v>7</v>
      </c>
      <c r="D165" s="134"/>
      <c r="E165" s="133">
        <f>SUM(D183:D185)+SUM(D187:D188)+SUM(D190:D191)</f>
        <v>6439.5162842400005</v>
      </c>
      <c r="F165" s="134"/>
      <c r="G165" s="133">
        <f>SUM(F183:F185)+SUM(F187:F188)+SUM(F190:F191)</f>
        <v>9981.2502405720006</v>
      </c>
      <c r="H165" s="134"/>
    </row>
    <row r="166" spans="1:13" s="35" customFormat="1" x14ac:dyDescent="0.25">
      <c r="A166" s="229" t="s">
        <v>156</v>
      </c>
      <c r="B166" s="229"/>
      <c r="C166" s="230">
        <f>SUM(C165:C165)</f>
        <v>7</v>
      </c>
      <c r="D166" s="101"/>
      <c r="E166" s="231">
        <f>SUM(E165:E165)</f>
        <v>6439.5162842400005</v>
      </c>
      <c r="F166" s="100"/>
      <c r="G166" s="95">
        <f>SUM(G165:G165)</f>
        <v>9981.2502405720006</v>
      </c>
      <c r="H166" s="95"/>
    </row>
    <row r="167" spans="1:13" s="35" customFormat="1" x14ac:dyDescent="0.25">
      <c r="A167" s="229" t="s">
        <v>70</v>
      </c>
      <c r="B167" s="229"/>
      <c r="C167" s="229"/>
      <c r="D167" s="229"/>
      <c r="E167" s="229"/>
      <c r="F167" s="229"/>
      <c r="G167" s="229"/>
      <c r="H167" s="229"/>
    </row>
    <row r="168" spans="1:13" s="35" customFormat="1" ht="15.75" customHeight="1" x14ac:dyDescent="0.25">
      <c r="A168" s="95" t="s">
        <v>53</v>
      </c>
      <c r="B168" s="95"/>
      <c r="C168" s="101" t="s">
        <v>78</v>
      </c>
      <c r="D168" s="101"/>
      <c r="E168" s="100" t="s">
        <v>54</v>
      </c>
      <c r="F168" s="100"/>
      <c r="G168" s="95" t="s">
        <v>55</v>
      </c>
      <c r="H168" s="95"/>
    </row>
    <row r="169" spans="1:13" s="35" customFormat="1" x14ac:dyDescent="0.25">
      <c r="A169" s="192" t="s">
        <v>257</v>
      </c>
      <c r="B169" s="192"/>
      <c r="C169" s="133">
        <f>COUNT(D201)+COUNT(D204:D205)+COUNT(D208:D209)+COUNT(D216:D219)+COUNT(D221:D224)+COUNT(D226:D229)+COUNT(D231:D232,D234:D235)+COUNT(D237:D240)+COUNT(D242:D245)+COUNT(D247:D250)*2</f>
        <v>37</v>
      </c>
      <c r="D169" s="134"/>
      <c r="E169" s="133">
        <f t="shared" ref="E169" si="0">SUM(F201)+SUM(F204:F205)+SUM(F208:F209)+SUM(F216:F219)+SUM(F221:F224)+SUM(F226:F229)+SUM(F231:F232,F234:F235)+SUM(F237:F240)+SUM(F242:F245)+SUM(F247:F250)*2</f>
        <v>40842.43722</v>
      </c>
      <c r="F169" s="134"/>
      <c r="G169" s="133">
        <f>SUM(F201)+SUM(F204:F205)+SUM(F208:F209)+SUM(F216:F219)+SUM(F221:F224)+SUM(F226:F229)+SUM(F231:F232,F234:F235)+SUM(F237:F240)+SUM(F242:F245)+SUM(F247:F250)*2</f>
        <v>40842.43722</v>
      </c>
      <c r="H169" s="134"/>
    </row>
    <row r="170" spans="1:13" s="35" customFormat="1" x14ac:dyDescent="0.25">
      <c r="A170" s="192" t="s">
        <v>261</v>
      </c>
      <c r="B170" s="192"/>
      <c r="C170" s="133">
        <f>COUNT(D255,D257:D258)+COUNT(D260:D263)+COUNT(D265:D268)+COUNT(D270:D273)+COUNT(D275:D278)+COUNT(D280:D283)+COUNT(D285:D288)+COUNT(D291:D293)+COUNT(D295:D298)+COUNT(D300:D303)+COUNT(D305:D308)*2</f>
        <v>46</v>
      </c>
      <c r="D170" s="134"/>
      <c r="E170" s="133">
        <f t="shared" ref="E170" si="1">SUM(F255,F257:F258)+SUM(F260:F263)+SUM(F265:F268)+SUM(F270:F273)+SUM(F275:F278)+SUM(F280:F283)+SUM(F285:F288)+SUM(F291:F293)+SUM(F295:F298)+SUM(F300:F303)+SUM(F305:F308)*2</f>
        <v>59362.383599999994</v>
      </c>
      <c r="F170" s="134"/>
      <c r="G170" s="133">
        <f>SUM(F255,F257:F258)+SUM(F260:F263)+SUM(F265:F268)+SUM(F270:F273)+SUM(F275:F278)+SUM(F280:F283)+SUM(F285:F288)+SUM(F291:F293)+SUM(F295:F298)+SUM(F300:F303)+SUM(F305:F308)*2</f>
        <v>59362.383599999994</v>
      </c>
      <c r="H170" s="134"/>
    </row>
    <row r="171" spans="1:13" s="35" customFormat="1" x14ac:dyDescent="0.25">
      <c r="A171" s="192" t="s">
        <v>265</v>
      </c>
      <c r="B171" s="192"/>
      <c r="C171" s="133">
        <f>COUNT(D318,D320:D321)+COUNT(D323:D326)+COUNT(D328:D331)+COUNT(D333:D336)+COUNT(D338:D341)+COUNT(D343:D346)+COUNT(D348:D351)+COUNT(D353:D356)+COUNT(D358:D361)+COUNT(D363:D366)+COUNT(D368:D371)*2</f>
        <v>47</v>
      </c>
      <c r="D171" s="134"/>
      <c r="E171" s="133">
        <f t="shared" ref="E171" si="2">SUM(F318,F320:F321)+SUM(F323:F326)+SUM(F328:F331)+SUM(F333:F336)+SUM(F338:F341)+SUM(F343:F346)+SUM(F348:F351)+SUM(F353:F356)+SUM(F358:F361)+SUM(F363:F366)+SUM(F368:F371)*2</f>
        <v>59953.488659999988</v>
      </c>
      <c r="F171" s="134"/>
      <c r="G171" s="133">
        <f>SUM(F318,F320:F321)+SUM(F323:F326)+SUM(F328:F331)+SUM(F333:F336)+SUM(F338:F341)+SUM(F343:F346)+SUM(F348:F351)+SUM(F353:F356)+SUM(F358:F361)+SUM(F363:F366)+SUM(F368:F371)*2</f>
        <v>59953.488659999988</v>
      </c>
      <c r="H171" s="134"/>
    </row>
    <row r="172" spans="1:13" s="35" customFormat="1" x14ac:dyDescent="0.25">
      <c r="A172" s="192" t="s">
        <v>266</v>
      </c>
      <c r="B172" s="192"/>
      <c r="C172" s="133">
        <f>COUNT(D376,D378:D379)+COUNT(D381:D384)+COUNT(D386:D389)+COUNT(D391:D394)+COUNT(D396:D399)+COUNT(D401:D404)+COUNT(D406:D409)+COUNT(D412:D414)+COUNT(D416:D419)+COUNT(D421:D424)+COUNT(D426:D429)*2</f>
        <v>46</v>
      </c>
      <c r="D172" s="134"/>
      <c r="E172" s="133">
        <f t="shared" ref="E172" si="3">SUM(F376,F378:F379)+SUM(F381:F384)+SUM(F386:F389)+SUM(F391:F394)+SUM(F396:F399)+SUM(F401:F404)+SUM(F406:F409)+SUM(F412:F414)+SUM(F416:F419)+SUM(F421:F424)+SUM(F426:F429)*2</f>
        <v>59618.136239999993</v>
      </c>
      <c r="F172" s="134"/>
      <c r="G172" s="133">
        <f>SUM(F376,F378:F379)+SUM(F381:F384)+SUM(F386:F389)+SUM(F391:F394)+SUM(F396:F399)+SUM(F401:F404)+SUM(F406:F409)+SUM(F412:F414)+SUM(F416:F419)+SUM(F421:F424)+SUM(F426:F429)*2</f>
        <v>59618.136239999993</v>
      </c>
      <c r="H172" s="134"/>
    </row>
    <row r="173" spans="1:13" s="35" customFormat="1" x14ac:dyDescent="0.25">
      <c r="A173" s="192" t="s">
        <v>267</v>
      </c>
      <c r="B173" s="192"/>
      <c r="C173" s="133">
        <f>COUNT(D434,D436:D437)+COUNT(D439:D442)+COUNT(D444:D447)+COUNT(D449:D452)+COUNT(D454:D457)+COUNT(D459:D462)+COUNT(D464:D467)+COUNT(D469:D472)+COUNT(D474:D477)+COUNT(D479:D482)+COUNT(D513:D516)*2</f>
        <v>47</v>
      </c>
      <c r="D173" s="134"/>
      <c r="E173" s="133">
        <f t="shared" ref="E173" si="4">SUM(F434,F436:F437)+SUM(F439:F442)+SUM(F444:F447)+SUM(F449:F452)+SUM(F454:F457)+SUM(F459:F462)+SUM(F464:F467)+SUM(F469:F472)+SUM(F474:F477)+SUM(F479:F482)+SUM(F513:F516)*2</f>
        <v>59801.070419999989</v>
      </c>
      <c r="F173" s="134"/>
      <c r="G173" s="133">
        <f>SUM(F434,F436:F437)+SUM(F439:F442)+SUM(F444:F447)+SUM(F449:F452)+SUM(F454:F457)+SUM(F459:F462)+SUM(F464:F467)+SUM(F469:F472)+SUM(F474:F477)+SUM(F479:F482)+SUM(F513:F516)*2</f>
        <v>59801.070419999989</v>
      </c>
      <c r="H173" s="134"/>
    </row>
    <row r="174" spans="1:13" s="35" customFormat="1" ht="16.5" thickBot="1" x14ac:dyDescent="0.3">
      <c r="A174" s="226" t="s">
        <v>156</v>
      </c>
      <c r="B174" s="226"/>
      <c r="C174" s="186">
        <f>SUM(C169:C173)</f>
        <v>223</v>
      </c>
      <c r="D174" s="187"/>
      <c r="E174" s="233">
        <f>SUM(E169:E173)</f>
        <v>279577.51613999996</v>
      </c>
      <c r="F174" s="234"/>
      <c r="G174" s="228">
        <f>SUM(G169:G173)</f>
        <v>279577.51613999996</v>
      </c>
      <c r="H174" s="228"/>
    </row>
    <row r="175" spans="1:13" s="35" customFormat="1" ht="16.5" thickBot="1" x14ac:dyDescent="0.3">
      <c r="A175" s="224" t="s">
        <v>173</v>
      </c>
      <c r="B175" s="225"/>
      <c r="C175" s="167">
        <f>C166+C174</f>
        <v>230</v>
      </c>
      <c r="D175" s="167"/>
      <c r="E175" s="158">
        <f>E166+E174</f>
        <v>286017.03242423997</v>
      </c>
      <c r="F175" s="158"/>
      <c r="G175" s="170">
        <f>G166+G174</f>
        <v>289558.76638057199</v>
      </c>
      <c r="H175" s="171"/>
    </row>
    <row r="176" spans="1:13" s="34" customFormat="1" x14ac:dyDescent="0.25">
      <c r="A176" s="160" t="s">
        <v>56</v>
      </c>
      <c r="B176" s="160"/>
      <c r="C176" s="160"/>
      <c r="D176" s="160"/>
      <c r="E176" s="160"/>
      <c r="F176" s="160"/>
      <c r="G176" s="160"/>
      <c r="H176" s="160"/>
    </row>
    <row r="177" spans="1:14" x14ac:dyDescent="0.25">
      <c r="A177" s="94" t="s">
        <v>181</v>
      </c>
      <c r="B177" s="94"/>
      <c r="C177" s="94"/>
      <c r="D177" s="94"/>
      <c r="E177" s="94"/>
      <c r="F177" s="94"/>
      <c r="G177" s="94"/>
      <c r="H177" s="94"/>
    </row>
    <row r="178" spans="1:14" ht="47.25" customHeight="1" x14ac:dyDescent="0.25">
      <c r="A178" s="168" t="s">
        <v>122</v>
      </c>
      <c r="B178" s="168" t="s">
        <v>184</v>
      </c>
      <c r="C178" s="168" t="s">
        <v>57</v>
      </c>
      <c r="D178" s="168" t="s">
        <v>58</v>
      </c>
      <c r="E178" s="173" t="s">
        <v>162</v>
      </c>
      <c r="F178" s="43" t="s">
        <v>154</v>
      </c>
      <c r="G178" s="175" t="s">
        <v>60</v>
      </c>
      <c r="H178" s="176"/>
    </row>
    <row r="179" spans="1:14" s="37" customFormat="1" x14ac:dyDescent="0.25">
      <c r="A179" s="169"/>
      <c r="B179" s="169"/>
      <c r="C179" s="169"/>
      <c r="D179" s="169"/>
      <c r="E179" s="174"/>
      <c r="F179" s="13">
        <v>0.55000000000000004</v>
      </c>
      <c r="G179" s="177"/>
      <c r="H179" s="178"/>
      <c r="J179" s="57">
        <v>10.763999999999999</v>
      </c>
    </row>
    <row r="180" spans="1:14" s="37" customFormat="1" x14ac:dyDescent="0.25">
      <c r="A180" s="179" t="s">
        <v>257</v>
      </c>
      <c r="B180" s="180"/>
      <c r="C180" s="180"/>
      <c r="D180" s="180"/>
      <c r="E180" s="180"/>
      <c r="F180" s="180"/>
      <c r="G180" s="180"/>
      <c r="H180" s="181"/>
      <c r="J180" s="36"/>
    </row>
    <row r="181" spans="1:14" s="37" customFormat="1" x14ac:dyDescent="0.25">
      <c r="A181" s="79" t="s">
        <v>293</v>
      </c>
      <c r="B181" s="80"/>
      <c r="C181" s="80"/>
      <c r="D181" s="80"/>
      <c r="E181" s="80"/>
      <c r="F181" s="80"/>
      <c r="G181" s="80"/>
      <c r="H181" s="81"/>
      <c r="J181" s="36"/>
    </row>
    <row r="182" spans="1:14" s="37" customFormat="1" x14ac:dyDescent="0.25">
      <c r="A182" s="79" t="s">
        <v>294</v>
      </c>
      <c r="B182" s="80"/>
      <c r="C182" s="80"/>
      <c r="D182" s="80"/>
      <c r="E182" s="80"/>
      <c r="F182" s="80"/>
      <c r="G182" s="80"/>
      <c r="H182" s="81"/>
      <c r="J182" s="36"/>
    </row>
    <row r="183" spans="1:14" s="37" customFormat="1" ht="15.75" customHeight="1" x14ac:dyDescent="0.25">
      <c r="A183" s="76">
        <v>1</v>
      </c>
      <c r="B183" s="77"/>
      <c r="C183" s="42" t="s">
        <v>258</v>
      </c>
      <c r="D183" s="57">
        <f>(6.73*4.94+4.41*1.5+1.35*1.53+2.15*1.2)*10.764</f>
        <v>479.07011879999999</v>
      </c>
      <c r="E183" s="42">
        <v>0</v>
      </c>
      <c r="F183" s="42">
        <f>(D183+E183)*(($F$179)+1)</f>
        <v>742.55868413999997</v>
      </c>
      <c r="G183" s="82" t="str">
        <f>A182</f>
        <v>Ground Floor for Commercial &amp; Parking</v>
      </c>
      <c r="H183" s="83"/>
      <c r="I183" s="36"/>
      <c r="J183" s="36">
        <f>32000000/F184</f>
        <v>38397.613212718017</v>
      </c>
      <c r="L183" s="75"/>
      <c r="M183" s="75"/>
      <c r="N183" s="36"/>
    </row>
    <row r="184" spans="1:14" s="37" customFormat="1" x14ac:dyDescent="0.25">
      <c r="A184" s="76">
        <f t="shared" ref="A184:A185" si="5">A183+1</f>
        <v>2</v>
      </c>
      <c r="B184" s="77"/>
      <c r="C184" s="42" t="s">
        <v>258</v>
      </c>
      <c r="D184" s="57">
        <f>(7.02*5.6+0.72*3.86+((0.44*2.51)/0.5*2.2)+2.5*1.2)*10.764</f>
        <v>537.66782783999997</v>
      </c>
      <c r="E184" s="42">
        <v>0</v>
      </c>
      <c r="F184" s="42">
        <f t="shared" ref="F184" si="6">(D184+E184)*(($F$179)+1)</f>
        <v>833.38513315199998</v>
      </c>
      <c r="G184" s="84"/>
      <c r="H184" s="85"/>
      <c r="I184" s="36"/>
      <c r="L184" s="75"/>
      <c r="M184" s="75"/>
      <c r="N184" s="36"/>
    </row>
    <row r="185" spans="1:14" s="37" customFormat="1" x14ac:dyDescent="0.25">
      <c r="A185" s="76">
        <f t="shared" si="5"/>
        <v>3</v>
      </c>
      <c r="B185" s="77"/>
      <c r="C185" s="42" t="s">
        <v>258</v>
      </c>
      <c r="D185" s="57">
        <f>(10.89*5.85+(0.5*5.6*5.2)-(0.5*1.5*2))*10.764</f>
        <v>826.31460599999991</v>
      </c>
      <c r="E185" s="42">
        <v>0</v>
      </c>
      <c r="F185" s="42">
        <f t="shared" ref="F185" si="7">(D185+E185)*(($F$179)+1)</f>
        <v>1280.7876392999999</v>
      </c>
      <c r="G185" s="86"/>
      <c r="H185" s="87"/>
      <c r="I185" s="36"/>
      <c r="J185" s="37" t="s">
        <v>295</v>
      </c>
      <c r="L185" s="75"/>
      <c r="M185" s="75"/>
      <c r="N185" s="36"/>
    </row>
    <row r="186" spans="1:14" s="37" customFormat="1" x14ac:dyDescent="0.25">
      <c r="A186" s="79" t="s">
        <v>298</v>
      </c>
      <c r="B186" s="80"/>
      <c r="C186" s="80"/>
      <c r="D186" s="80"/>
      <c r="E186" s="80"/>
      <c r="F186" s="80"/>
      <c r="G186" s="80"/>
      <c r="H186" s="81"/>
      <c r="J186" s="36"/>
    </row>
    <row r="187" spans="1:14" s="37" customFormat="1" ht="15.75" customHeight="1" x14ac:dyDescent="0.25">
      <c r="A187" s="76">
        <v>1</v>
      </c>
      <c r="B187" s="77"/>
      <c r="C187" s="42" t="s">
        <v>258</v>
      </c>
      <c r="D187" s="57">
        <f>(((4.87+4.67)/2*6.57)+((4+4.67)/2*0.73)+5.95*3.9+2.15*1.2+(0.5*5.95*3.5))*10.764</f>
        <v>761.02502579999987</v>
      </c>
      <c r="E187" s="42">
        <v>0</v>
      </c>
      <c r="F187" s="42">
        <f>(D187+E187)*(($F$179)+1)</f>
        <v>1179.5887899899999</v>
      </c>
      <c r="G187" s="82" t="str">
        <f>A186</f>
        <v>1st Floor for Part Commercial</v>
      </c>
      <c r="H187" s="83"/>
      <c r="I187" s="36"/>
      <c r="J187" s="36">
        <f>60000000/F187</f>
        <v>50865.18328180167</v>
      </c>
      <c r="L187" s="75"/>
      <c r="M187" s="75"/>
      <c r="N187" s="36"/>
    </row>
    <row r="188" spans="1:14" s="37" customFormat="1" x14ac:dyDescent="0.25">
      <c r="A188" s="76">
        <f t="shared" ref="A188" si="8">A187+1</f>
        <v>2</v>
      </c>
      <c r="B188" s="77"/>
      <c r="C188" s="42" t="s">
        <v>258</v>
      </c>
      <c r="D188" s="57">
        <f>(11.5*5.8+(0.5*8.3*11.5)+(0.5*3.5*4.62)+5.8*3.5)*10.764</f>
        <v>1537.2068400000003</v>
      </c>
      <c r="E188" s="42">
        <v>0</v>
      </c>
      <c r="F188" s="42">
        <f t="shared" ref="F188" si="9">(D188+E188)*(($F$179)+1)</f>
        <v>2382.6706020000006</v>
      </c>
      <c r="G188" s="86"/>
      <c r="H188" s="87"/>
      <c r="I188" s="36"/>
      <c r="L188" s="75"/>
      <c r="M188" s="75"/>
      <c r="N188" s="36"/>
    </row>
    <row r="189" spans="1:14" s="37" customFormat="1" x14ac:dyDescent="0.25">
      <c r="A189" s="79" t="s">
        <v>300</v>
      </c>
      <c r="B189" s="80"/>
      <c r="C189" s="80"/>
      <c r="D189" s="80"/>
      <c r="E189" s="80"/>
      <c r="F189" s="80"/>
      <c r="G189" s="80"/>
      <c r="H189" s="81"/>
      <c r="J189" s="36"/>
    </row>
    <row r="190" spans="1:14" s="37" customFormat="1" ht="15.75" customHeight="1" x14ac:dyDescent="0.25">
      <c r="A190" s="76">
        <v>1</v>
      </c>
      <c r="B190" s="77"/>
      <c r="C190" s="42" t="s">
        <v>258</v>
      </c>
      <c r="D190" s="57">
        <f>(((4.87+4.67)/2*6.57)+((4+4.67)/2*0.73)+5.95*3.9+2.15*1.2+(0.5*5.95*3.5))*10.764</f>
        <v>761.02502579999987</v>
      </c>
      <c r="E190" s="42">
        <v>0</v>
      </c>
      <c r="F190" s="42">
        <f>(D190+E190)*(($F$179)+1)</f>
        <v>1179.5887899899999</v>
      </c>
      <c r="G190" s="82" t="str">
        <f>A189</f>
        <v>2nd Floor for Part Commercial</v>
      </c>
      <c r="H190" s="83"/>
      <c r="I190" s="36"/>
      <c r="J190" s="36"/>
      <c r="L190" s="75"/>
      <c r="M190" s="75"/>
      <c r="N190" s="36"/>
    </row>
    <row r="191" spans="1:14" s="37" customFormat="1" x14ac:dyDescent="0.25">
      <c r="A191" s="76">
        <f t="shared" ref="A191" si="10">A190+1</f>
        <v>2</v>
      </c>
      <c r="B191" s="77"/>
      <c r="C191" s="42" t="s">
        <v>258</v>
      </c>
      <c r="D191" s="57">
        <f>(11.5*5.8+(0.5*8.3*11.5)+(0.5*3.5*4.62)+5.8*3.5)*10.764</f>
        <v>1537.2068400000003</v>
      </c>
      <c r="E191" s="42">
        <v>0</v>
      </c>
      <c r="F191" s="42">
        <f t="shared" ref="F191" si="11">(D191+E191)*(($F$179)+1)</f>
        <v>2382.6706020000006</v>
      </c>
      <c r="G191" s="86"/>
      <c r="H191" s="87"/>
      <c r="I191" s="36"/>
      <c r="L191" s="75"/>
      <c r="M191" s="75"/>
      <c r="N191" s="36"/>
    </row>
    <row r="192" spans="1:14" s="37" customFormat="1" hidden="1" x14ac:dyDescent="0.25">
      <c r="A192" s="179" t="s">
        <v>261</v>
      </c>
      <c r="B192" s="180"/>
      <c r="C192" s="180"/>
      <c r="D192" s="180"/>
      <c r="E192" s="180"/>
      <c r="F192" s="180"/>
      <c r="G192" s="180"/>
      <c r="H192" s="181"/>
      <c r="J192" s="36"/>
    </row>
    <row r="193" spans="1:14" s="37" customFormat="1" hidden="1" x14ac:dyDescent="0.25">
      <c r="A193" s="79" t="s">
        <v>298</v>
      </c>
      <c r="B193" s="80"/>
      <c r="C193" s="80"/>
      <c r="D193" s="80"/>
      <c r="E193" s="80"/>
      <c r="F193" s="80"/>
      <c r="G193" s="80"/>
      <c r="H193" s="81"/>
      <c r="J193" s="36"/>
    </row>
    <row r="194" spans="1:14" s="37" customFormat="1" ht="15.75" hidden="1" customHeight="1" x14ac:dyDescent="0.25">
      <c r="A194" s="76">
        <v>1</v>
      </c>
      <c r="B194" s="77"/>
      <c r="C194" s="42" t="s">
        <v>258</v>
      </c>
      <c r="D194" s="57">
        <f>(((4.87+4.67)/2*6.57)+((4+4.67)/2*0.73)+5.95*3.9+2.15*1.2+10.41)*10.764</f>
        <v>760.99811579999994</v>
      </c>
      <c r="E194" s="42">
        <v>0</v>
      </c>
      <c r="F194" s="42">
        <f>(D194+E194)*(($F$179)+1)</f>
        <v>1179.54707949</v>
      </c>
      <c r="G194" s="82" t="str">
        <f>A193</f>
        <v>1st Floor for Part Commercial</v>
      </c>
      <c r="H194" s="83"/>
      <c r="I194" s="36"/>
      <c r="L194" s="75"/>
      <c r="M194" s="75"/>
      <c r="N194" s="36"/>
    </row>
    <row r="195" spans="1:14" s="37" customFormat="1" hidden="1" x14ac:dyDescent="0.25">
      <c r="A195" s="76">
        <f t="shared" ref="A195" si="12">A194+1</f>
        <v>2</v>
      </c>
      <c r="B195" s="77"/>
      <c r="C195" s="42" t="s">
        <v>258</v>
      </c>
      <c r="D195" s="57">
        <f>(11.5*5.8+(0.5*8.3*11.5)+(0.5*3.5*4.62)+5.8*3.6)*10.764</f>
        <v>1543.4499600000001</v>
      </c>
      <c r="E195" s="42">
        <v>0</v>
      </c>
      <c r="F195" s="42">
        <f t="shared" ref="F195" si="13">(D195+E195)*(($F$179)+1)</f>
        <v>2392.3474380000002</v>
      </c>
      <c r="G195" s="86"/>
      <c r="H195" s="87"/>
      <c r="I195" s="36"/>
      <c r="L195" s="75"/>
      <c r="M195" s="75"/>
      <c r="N195" s="36"/>
    </row>
    <row r="196" spans="1:14" s="37" customFormat="1" x14ac:dyDescent="0.25">
      <c r="A196" s="76"/>
      <c r="B196" s="78"/>
      <c r="C196" s="78"/>
      <c r="D196" s="78"/>
      <c r="E196" s="78"/>
      <c r="F196" s="78"/>
      <c r="G196" s="78"/>
      <c r="H196" s="77"/>
      <c r="I196" s="36"/>
      <c r="N196" s="36"/>
    </row>
    <row r="197" spans="1:14" ht="47.25" customHeight="1" x14ac:dyDescent="0.25">
      <c r="A197" s="175" t="s">
        <v>123</v>
      </c>
      <c r="B197" s="168" t="s">
        <v>185</v>
      </c>
      <c r="C197" s="168" t="s">
        <v>57</v>
      </c>
      <c r="D197" s="168" t="s">
        <v>58</v>
      </c>
      <c r="E197" s="173" t="s">
        <v>59</v>
      </c>
      <c r="F197" s="43" t="s">
        <v>154</v>
      </c>
      <c r="G197" s="175" t="s">
        <v>60</v>
      </c>
      <c r="H197" s="176"/>
      <c r="I197" s="36"/>
    </row>
    <row r="198" spans="1:14" s="37" customFormat="1" x14ac:dyDescent="0.25">
      <c r="A198" s="177"/>
      <c r="B198" s="169"/>
      <c r="C198" s="169"/>
      <c r="D198" s="169"/>
      <c r="E198" s="174"/>
      <c r="F198" s="13">
        <v>0.5</v>
      </c>
      <c r="G198" s="177"/>
      <c r="H198" s="178"/>
      <c r="I198" s="36"/>
    </row>
    <row r="199" spans="1:14" s="37" customFormat="1" x14ac:dyDescent="0.25">
      <c r="A199" s="179" t="s">
        <v>257</v>
      </c>
      <c r="B199" s="180"/>
      <c r="C199" s="180"/>
      <c r="D199" s="180"/>
      <c r="E199" s="180"/>
      <c r="F199" s="180"/>
      <c r="G199" s="180"/>
      <c r="H199" s="181"/>
      <c r="J199" s="36"/>
    </row>
    <row r="200" spans="1:14" s="37" customFormat="1" ht="15.75" customHeight="1" x14ac:dyDescent="0.25">
      <c r="A200" s="79" t="s">
        <v>299</v>
      </c>
      <c r="B200" s="80"/>
      <c r="C200" s="80"/>
      <c r="D200" s="80"/>
      <c r="E200" s="80"/>
      <c r="F200" s="80"/>
      <c r="G200" s="80"/>
      <c r="H200" s="81"/>
      <c r="J200" s="36"/>
    </row>
    <row r="201" spans="1:14" s="37" customFormat="1" ht="15.75" customHeight="1" x14ac:dyDescent="0.25">
      <c r="A201" s="76">
        <v>1</v>
      </c>
      <c r="B201" s="77"/>
      <c r="C201" s="42" t="s">
        <v>259</v>
      </c>
      <c r="D201" s="57">
        <f>(45.91)*10.764</f>
        <v>494.17523999999992</v>
      </c>
      <c r="E201" s="42">
        <v>0</v>
      </c>
      <c r="F201" s="42">
        <f>D201*(($F$198)+1)+(IF(E201&lt;101,E201,IF(E201&lt;201,E201/2,IF(E201&lt;=301,E201/3,E201/4))))</f>
        <v>741.26285999999982</v>
      </c>
      <c r="G201" s="82" t="str">
        <f>A200</f>
        <v>1st Floor for Part Residential</v>
      </c>
      <c r="H201" s="83"/>
      <c r="I201" s="67">
        <f>5.75*3.05+2.1*2.45+3.05*3.65+2.1*1.2+2*1.2+1.5*1.5+0.9*1.35+1.26*0.9</f>
        <v>43.334000000000003</v>
      </c>
      <c r="L201" s="75"/>
      <c r="M201" s="75"/>
      <c r="N201" s="36"/>
    </row>
    <row r="202" spans="1:14" s="37" customFormat="1" x14ac:dyDescent="0.25">
      <c r="A202" s="76">
        <f t="shared" ref="A202" si="14">A201+1</f>
        <v>2</v>
      </c>
      <c r="B202" s="77"/>
      <c r="C202" s="76" t="s">
        <v>323</v>
      </c>
      <c r="D202" s="78"/>
      <c r="E202" s="78"/>
      <c r="F202" s="77"/>
      <c r="G202" s="86"/>
      <c r="H202" s="87"/>
      <c r="I202" s="36">
        <f>5.75*3.05+3.35*2.15+2.4*2.3+3.95*3.05+2.4*1.35+3.05*3.65+1.2*2.15+3.2*1.05</f>
        <v>62.62</v>
      </c>
      <c r="L202" s="75"/>
      <c r="M202" s="75"/>
      <c r="N202" s="36"/>
    </row>
    <row r="203" spans="1:14" s="37" customFormat="1" ht="15.75" customHeight="1" x14ac:dyDescent="0.25">
      <c r="A203" s="79" t="s">
        <v>301</v>
      </c>
      <c r="B203" s="80"/>
      <c r="C203" s="80"/>
      <c r="D203" s="80"/>
      <c r="E203" s="80"/>
      <c r="F203" s="80"/>
      <c r="G203" s="80"/>
      <c r="H203" s="81"/>
      <c r="J203" s="36"/>
    </row>
    <row r="204" spans="1:14" s="37" customFormat="1" ht="15.75" customHeight="1" x14ac:dyDescent="0.25">
      <c r="A204" s="76">
        <v>1</v>
      </c>
      <c r="B204" s="77"/>
      <c r="C204" s="42" t="s">
        <v>259</v>
      </c>
      <c r="D204" s="57">
        <f>(45.91)*10.764</f>
        <v>494.17523999999992</v>
      </c>
      <c r="E204" s="42">
        <v>0</v>
      </c>
      <c r="F204" s="42">
        <f>D204*(($F$198)+1)+(IF(E204&lt;101,E204,IF(E204&lt;201,E204/2,IF(E204&lt;=301,E204/3,E204/4))))</f>
        <v>741.26285999999982</v>
      </c>
      <c r="G204" s="82" t="str">
        <f>A203</f>
        <v>2nd Floor for Part Residential</v>
      </c>
      <c r="H204" s="83"/>
      <c r="I204" s="36"/>
      <c r="L204" s="75"/>
      <c r="M204" s="75"/>
      <c r="N204" s="36"/>
    </row>
    <row r="205" spans="1:14" s="37" customFormat="1" x14ac:dyDescent="0.25">
      <c r="A205" s="76">
        <f t="shared" ref="A205:A206" si="15">A204+1</f>
        <v>2</v>
      </c>
      <c r="B205" s="77"/>
      <c r="C205" s="42" t="s">
        <v>260</v>
      </c>
      <c r="D205" s="57">
        <f>(65.47)*10.764</f>
        <v>704.71907999999996</v>
      </c>
      <c r="E205" s="42">
        <v>0</v>
      </c>
      <c r="F205" s="42">
        <f>D205*(($F$198)+1)+(IF(E205&lt;101,E205,IF(E205&lt;201,E205/2,IF(E205&lt;=301,E205/3,E205/4))))</f>
        <v>1057.07862</v>
      </c>
      <c r="G205" s="84"/>
      <c r="H205" s="85"/>
      <c r="I205" s="36"/>
      <c r="J205" s="37">
        <f>24400000/F205</f>
        <v>23082.483685082949</v>
      </c>
      <c r="L205" s="75"/>
      <c r="M205" s="75"/>
      <c r="N205" s="36"/>
    </row>
    <row r="206" spans="1:14" s="37" customFormat="1" x14ac:dyDescent="0.25">
      <c r="A206" s="76">
        <f t="shared" si="15"/>
        <v>3</v>
      </c>
      <c r="B206" s="77"/>
      <c r="C206" s="76" t="s">
        <v>302</v>
      </c>
      <c r="D206" s="78"/>
      <c r="E206" s="78"/>
      <c r="F206" s="77"/>
      <c r="G206" s="86"/>
      <c r="H206" s="87"/>
      <c r="I206" s="36"/>
      <c r="L206" s="75"/>
      <c r="M206" s="75"/>
      <c r="N206" s="36"/>
    </row>
    <row r="207" spans="1:14" s="37" customFormat="1" ht="15.75" customHeight="1" x14ac:dyDescent="0.25">
      <c r="A207" s="79" t="s">
        <v>306</v>
      </c>
      <c r="B207" s="80"/>
      <c r="C207" s="80"/>
      <c r="D207" s="80"/>
      <c r="E207" s="80"/>
      <c r="F207" s="80"/>
      <c r="G207" s="80"/>
      <c r="H207" s="81"/>
      <c r="J207" s="36"/>
    </row>
    <row r="208" spans="1:14" s="37" customFormat="1" ht="15.75" customHeight="1" x14ac:dyDescent="0.25">
      <c r="A208" s="76">
        <v>1</v>
      </c>
      <c r="B208" s="77"/>
      <c r="C208" s="42" t="s">
        <v>259</v>
      </c>
      <c r="D208" s="57">
        <f>(45.91)*10.764</f>
        <v>494.17523999999992</v>
      </c>
      <c r="E208" s="42">
        <v>0</v>
      </c>
      <c r="F208" s="42">
        <f>D208*(($F$198)+1)+(IF(E208&lt;101,E208,IF(E208&lt;201,E208/2,IF(E208&lt;=301,E208/3,E208/4))))</f>
        <v>741.26285999999982</v>
      </c>
      <c r="G208" s="82" t="str">
        <f>A207</f>
        <v>3rd Floor For Part Residential</v>
      </c>
      <c r="H208" s="83"/>
      <c r="I208" s="36"/>
      <c r="L208" s="75"/>
      <c r="M208" s="75"/>
      <c r="N208" s="36"/>
    </row>
    <row r="209" spans="1:14" s="37" customFormat="1" x14ac:dyDescent="0.25">
      <c r="A209" s="76">
        <f t="shared" ref="A209:A210" si="16">A208+1</f>
        <v>2</v>
      </c>
      <c r="B209" s="77"/>
      <c r="C209" s="42" t="s">
        <v>260</v>
      </c>
      <c r="D209" s="57">
        <f>(65.47)*10.764</f>
        <v>704.71907999999996</v>
      </c>
      <c r="E209" s="42">
        <v>0</v>
      </c>
      <c r="F209" s="42">
        <f>D209*(($F$198)+1)+(IF(E209&lt;101,E209,IF(E209&lt;201,E209/2,IF(E209&lt;=301,E209/3,E209/4))))</f>
        <v>1057.07862</v>
      </c>
      <c r="G209" s="84"/>
      <c r="H209" s="85"/>
      <c r="I209" s="36"/>
      <c r="L209" s="75"/>
      <c r="M209" s="75"/>
      <c r="N209" s="36"/>
    </row>
    <row r="210" spans="1:14" s="37" customFormat="1" x14ac:dyDescent="0.25">
      <c r="A210" s="76">
        <f t="shared" si="16"/>
        <v>3</v>
      </c>
      <c r="B210" s="77"/>
      <c r="C210" s="76" t="s">
        <v>314</v>
      </c>
      <c r="D210" s="78"/>
      <c r="E210" s="78"/>
      <c r="F210" s="77"/>
      <c r="G210" s="86"/>
      <c r="H210" s="87"/>
      <c r="I210" s="36"/>
      <c r="L210" s="75"/>
      <c r="M210" s="75"/>
      <c r="N210" s="36"/>
    </row>
    <row r="211" spans="1:14" s="37" customFormat="1" ht="15.75" customHeight="1" x14ac:dyDescent="0.25">
      <c r="A211" s="79" t="s">
        <v>324</v>
      </c>
      <c r="B211" s="80"/>
      <c r="C211" s="80"/>
      <c r="D211" s="80"/>
      <c r="E211" s="80"/>
      <c r="F211" s="80"/>
      <c r="G211" s="80"/>
      <c r="H211" s="81"/>
      <c r="J211" s="36"/>
    </row>
    <row r="212" spans="1:14" s="37" customFormat="1" ht="15.75" hidden="1" customHeight="1" x14ac:dyDescent="0.25">
      <c r="A212" s="76">
        <v>1</v>
      </c>
      <c r="B212" s="77"/>
      <c r="C212" s="42" t="s">
        <v>259</v>
      </c>
      <c r="D212" s="69">
        <f>(45.91)*10.764</f>
        <v>494.17523999999992</v>
      </c>
      <c r="E212" s="42">
        <v>0</v>
      </c>
      <c r="F212" s="42">
        <f>D212*(($F$198)+1)+(IF(E212&lt;101,E212,IF(E212&lt;201,E212/2,IF(E212&lt;=301,E212/3,E212/4))))</f>
        <v>741.26285999999982</v>
      </c>
      <c r="G212" s="82" t="str">
        <f>A211</f>
        <v>4th Floor For Fitness Centre</v>
      </c>
      <c r="H212" s="83"/>
      <c r="I212" s="36"/>
      <c r="L212" s="75"/>
      <c r="M212" s="75"/>
      <c r="N212" s="36"/>
    </row>
    <row r="213" spans="1:14" s="37" customFormat="1" hidden="1" x14ac:dyDescent="0.25">
      <c r="A213" s="76">
        <f t="shared" ref="A213" si="17">A212+1</f>
        <v>2</v>
      </c>
      <c r="B213" s="77"/>
      <c r="C213" s="42" t="s">
        <v>260</v>
      </c>
      <c r="D213" s="57">
        <f>(65.47)*10.764</f>
        <v>704.71907999999996</v>
      </c>
      <c r="E213" s="42">
        <v>0</v>
      </c>
      <c r="F213" s="42">
        <f>D213*(($F$198)+1)+(IF(E213&lt;101,E213,IF(E213&lt;201,E213/2,IF(E213&lt;=301,E213/3,E213/4))))</f>
        <v>1057.07862</v>
      </c>
      <c r="G213" s="84"/>
      <c r="H213" s="85"/>
      <c r="I213" s="36"/>
      <c r="L213" s="75"/>
      <c r="M213" s="75"/>
      <c r="N213" s="36"/>
    </row>
    <row r="214" spans="1:14" s="37" customFormat="1" hidden="1" x14ac:dyDescent="0.25">
      <c r="A214" s="76" t="s">
        <v>303</v>
      </c>
      <c r="B214" s="77"/>
      <c r="C214" s="76" t="s">
        <v>304</v>
      </c>
      <c r="D214" s="78"/>
      <c r="E214" s="78"/>
      <c r="F214" s="77"/>
      <c r="G214" s="86"/>
      <c r="H214" s="87"/>
      <c r="I214" s="36"/>
      <c r="L214" s="75"/>
      <c r="M214" s="75"/>
      <c r="N214" s="36"/>
    </row>
    <row r="215" spans="1:14" s="37" customFormat="1" ht="15.75" customHeight="1" x14ac:dyDescent="0.25">
      <c r="A215" s="79" t="s">
        <v>270</v>
      </c>
      <c r="B215" s="80"/>
      <c r="C215" s="80"/>
      <c r="D215" s="80"/>
      <c r="E215" s="80"/>
      <c r="F215" s="80"/>
      <c r="G215" s="80"/>
      <c r="H215" s="81"/>
      <c r="J215" s="36"/>
    </row>
    <row r="216" spans="1:14" s="37" customFormat="1" ht="15.75" customHeight="1" x14ac:dyDescent="0.25">
      <c r="A216" s="76">
        <v>1</v>
      </c>
      <c r="B216" s="77"/>
      <c r="C216" s="42" t="s">
        <v>259</v>
      </c>
      <c r="D216" s="57">
        <f>(45.91)*10.764</f>
        <v>494.17523999999992</v>
      </c>
      <c r="E216" s="42">
        <v>0</v>
      </c>
      <c r="F216" s="42">
        <f>D216*(($F$198)+1)+(IF(E216&lt;101,E216,IF(E216&lt;201,E216/2,IF(E216&lt;=301,E216/3,E216/4))))</f>
        <v>741.26285999999982</v>
      </c>
      <c r="G216" s="82" t="str">
        <f>A215</f>
        <v>5th Floor</v>
      </c>
      <c r="H216" s="83"/>
      <c r="I216" s="36"/>
      <c r="L216" s="75"/>
      <c r="M216" s="75"/>
      <c r="N216" s="36"/>
    </row>
    <row r="217" spans="1:14" s="37" customFormat="1" x14ac:dyDescent="0.25">
      <c r="A217" s="76">
        <f t="shared" ref="A217:A219" si="18">A216+1</f>
        <v>2</v>
      </c>
      <c r="B217" s="77"/>
      <c r="C217" s="42" t="s">
        <v>260</v>
      </c>
      <c r="D217" s="57">
        <f>(65.47)*10.764</f>
        <v>704.71907999999996</v>
      </c>
      <c r="E217" s="42">
        <v>0</v>
      </c>
      <c r="F217" s="42">
        <f>D217*(($F$198)+1)+(IF(E217&lt;101,E217,IF(E217&lt;201,E217/2,IF(E217&lt;=301,E217/3,E217/4))))</f>
        <v>1057.07862</v>
      </c>
      <c r="G217" s="84"/>
      <c r="H217" s="85"/>
      <c r="I217" s="36"/>
      <c r="J217" s="37">
        <f>27400000/F217</f>
        <v>25920.493974232493</v>
      </c>
      <c r="L217" s="75"/>
      <c r="M217" s="75"/>
      <c r="N217" s="36"/>
    </row>
    <row r="218" spans="1:14" s="37" customFormat="1" ht="15.75" customHeight="1" x14ac:dyDescent="0.25">
      <c r="A218" s="76">
        <f t="shared" si="18"/>
        <v>3</v>
      </c>
      <c r="B218" s="77"/>
      <c r="C218" s="42" t="s">
        <v>264</v>
      </c>
      <c r="D218" s="57">
        <f>(90.93)*10.764</f>
        <v>978.77052000000003</v>
      </c>
      <c r="E218" s="42">
        <v>0</v>
      </c>
      <c r="F218" s="42">
        <f>D218*(($F$198)+1)+(IF(E218&lt;101,E218,IF(E218&lt;201,E218/2,IF(E218&lt;=301,E218/3,E218/4))))</f>
        <v>1468.15578</v>
      </c>
      <c r="G218" s="84"/>
      <c r="H218" s="85"/>
      <c r="I218" s="36"/>
      <c r="L218" s="75"/>
      <c r="M218" s="75"/>
      <c r="N218" s="36"/>
    </row>
    <row r="219" spans="1:14" s="37" customFormat="1" x14ac:dyDescent="0.25">
      <c r="A219" s="76">
        <f t="shared" si="18"/>
        <v>4</v>
      </c>
      <c r="B219" s="77"/>
      <c r="C219" s="42" t="s">
        <v>264</v>
      </c>
      <c r="D219" s="57">
        <f>(85.38)*10.764</f>
        <v>919.03031999999985</v>
      </c>
      <c r="E219" s="42">
        <v>0</v>
      </c>
      <c r="F219" s="42">
        <f>D219*(($F$198)+1)+(IF(E219&lt;101,E219,IF(E219&lt;201,E219/2,IF(E219&lt;=301,E219/3,E219/4))))</f>
        <v>1378.5454799999998</v>
      </c>
      <c r="G219" s="86"/>
      <c r="H219" s="87"/>
      <c r="I219" s="36"/>
      <c r="J219" s="37">
        <f>36100000/F219</f>
        <v>26187.021410421661</v>
      </c>
      <c r="L219" s="75"/>
      <c r="M219" s="75"/>
      <c r="N219" s="36"/>
    </row>
    <row r="220" spans="1:14" s="37" customFormat="1" ht="15.75" customHeight="1" x14ac:dyDescent="0.25">
      <c r="A220" s="79" t="s">
        <v>271</v>
      </c>
      <c r="B220" s="80"/>
      <c r="C220" s="80"/>
      <c r="D220" s="80"/>
      <c r="E220" s="80"/>
      <c r="F220" s="80"/>
      <c r="G220" s="80"/>
      <c r="H220" s="81"/>
      <c r="J220" s="36"/>
    </row>
    <row r="221" spans="1:14" s="37" customFormat="1" ht="15.75" customHeight="1" x14ac:dyDescent="0.25">
      <c r="A221" s="76">
        <v>1</v>
      </c>
      <c r="B221" s="77"/>
      <c r="C221" s="42" t="s">
        <v>259</v>
      </c>
      <c r="D221" s="57">
        <f>(45.91)*10.764</f>
        <v>494.17523999999992</v>
      </c>
      <c r="E221" s="42">
        <v>0</v>
      </c>
      <c r="F221" s="42">
        <f>D221*(($F$198)+1)+(IF(E221&lt;101,E221,IF(E221&lt;201,E221/2,IF(E221&lt;=301,E221/3,E221/4))))</f>
        <v>741.26285999999982</v>
      </c>
      <c r="G221" s="82" t="str">
        <f>A220</f>
        <v>6th Floor</v>
      </c>
      <c r="H221" s="83"/>
      <c r="I221" s="36"/>
      <c r="L221" s="75"/>
      <c r="M221" s="75"/>
      <c r="N221" s="36"/>
    </row>
    <row r="222" spans="1:14" s="37" customFormat="1" x14ac:dyDescent="0.25">
      <c r="A222" s="76">
        <f t="shared" ref="A222:A224" si="19">A221+1</f>
        <v>2</v>
      </c>
      <c r="B222" s="77"/>
      <c r="C222" s="42" t="s">
        <v>260</v>
      </c>
      <c r="D222" s="57">
        <f>(65.47)*10.764</f>
        <v>704.71907999999996</v>
      </c>
      <c r="E222" s="42">
        <v>0</v>
      </c>
      <c r="F222" s="42">
        <f>D222*(($F$198)+1)+(IF(E222&lt;101,E222,IF(E222&lt;201,E222/2,IF(E222&lt;=301,E222/3,E222/4))))</f>
        <v>1057.07862</v>
      </c>
      <c r="G222" s="84"/>
      <c r="H222" s="85"/>
      <c r="I222" s="36"/>
      <c r="L222" s="75"/>
      <c r="M222" s="75"/>
      <c r="N222" s="36"/>
    </row>
    <row r="223" spans="1:14" s="37" customFormat="1" ht="15.75" customHeight="1" x14ac:dyDescent="0.25">
      <c r="A223" s="76">
        <f t="shared" si="19"/>
        <v>3</v>
      </c>
      <c r="B223" s="77"/>
      <c r="C223" s="42" t="s">
        <v>264</v>
      </c>
      <c r="D223" s="57">
        <f>(90.93)*10.764</f>
        <v>978.77052000000003</v>
      </c>
      <c r="E223" s="42">
        <v>0</v>
      </c>
      <c r="F223" s="42">
        <f>D223*(($F$198)+1)+(IF(E223&lt;101,E223,IF(E223&lt;201,E223/2,IF(E223&lt;=301,E223/3,E223/4))))</f>
        <v>1468.15578</v>
      </c>
      <c r="G223" s="84"/>
      <c r="H223" s="85"/>
      <c r="I223" s="36"/>
      <c r="L223" s="75"/>
      <c r="M223" s="75"/>
      <c r="N223" s="36"/>
    </row>
    <row r="224" spans="1:14" s="37" customFormat="1" x14ac:dyDescent="0.25">
      <c r="A224" s="76">
        <f t="shared" si="19"/>
        <v>4</v>
      </c>
      <c r="B224" s="77"/>
      <c r="C224" s="42" t="s">
        <v>264</v>
      </c>
      <c r="D224" s="57">
        <f>(85.38)*10.764</f>
        <v>919.03031999999985</v>
      </c>
      <c r="E224" s="42">
        <v>0</v>
      </c>
      <c r="F224" s="42">
        <f>D224*(($F$198)+1)+(IF(E224&lt;101,E224,IF(E224&lt;201,E224/2,IF(E224&lt;=301,E224/3,E224/4))))</f>
        <v>1378.5454799999998</v>
      </c>
      <c r="G224" s="86"/>
      <c r="H224" s="87"/>
      <c r="I224" s="36"/>
      <c r="L224" s="75"/>
      <c r="M224" s="75"/>
      <c r="N224" s="36"/>
    </row>
    <row r="225" spans="1:14" s="37" customFormat="1" ht="15.75" customHeight="1" x14ac:dyDescent="0.25">
      <c r="A225" s="79" t="s">
        <v>272</v>
      </c>
      <c r="B225" s="80"/>
      <c r="C225" s="80"/>
      <c r="D225" s="80"/>
      <c r="E225" s="80"/>
      <c r="F225" s="80"/>
      <c r="G225" s="80"/>
      <c r="H225" s="81"/>
      <c r="J225" s="36"/>
    </row>
    <row r="226" spans="1:14" s="37" customFormat="1" ht="15.75" customHeight="1" x14ac:dyDescent="0.25">
      <c r="A226" s="76">
        <v>1</v>
      </c>
      <c r="B226" s="77"/>
      <c r="C226" s="42" t="s">
        <v>259</v>
      </c>
      <c r="D226" s="57">
        <f>(45.91)*10.764</f>
        <v>494.17523999999992</v>
      </c>
      <c r="E226" s="42">
        <v>0</v>
      </c>
      <c r="F226" s="42">
        <f>D226*(($F$198)+1)+(IF(E226&lt;101,E226,IF(E226&lt;201,E226/2,IF(E226&lt;=301,E226/3,E226/4))))</f>
        <v>741.26285999999982</v>
      </c>
      <c r="G226" s="82" t="str">
        <f>A225</f>
        <v>7th Floor</v>
      </c>
      <c r="H226" s="83"/>
      <c r="I226" s="36"/>
      <c r="L226" s="75"/>
      <c r="M226" s="75"/>
      <c r="N226" s="36"/>
    </row>
    <row r="227" spans="1:14" s="37" customFormat="1" x14ac:dyDescent="0.25">
      <c r="A227" s="76">
        <f t="shared" ref="A227:A229" si="20">A226+1</f>
        <v>2</v>
      </c>
      <c r="B227" s="77"/>
      <c r="C227" s="42" t="s">
        <v>260</v>
      </c>
      <c r="D227" s="57">
        <f>(65.47)*10.764</f>
        <v>704.71907999999996</v>
      </c>
      <c r="E227" s="42">
        <v>0</v>
      </c>
      <c r="F227" s="42">
        <f>D227*(($F$198)+1)+(IF(E227&lt;101,E227,IF(E227&lt;201,E227/2,IF(E227&lt;=301,E227/3,E227/4))))</f>
        <v>1057.07862</v>
      </c>
      <c r="G227" s="84"/>
      <c r="H227" s="85"/>
      <c r="I227" s="36"/>
      <c r="L227" s="75"/>
      <c r="M227" s="75"/>
      <c r="N227" s="36"/>
    </row>
    <row r="228" spans="1:14" s="37" customFormat="1" ht="15.75" customHeight="1" x14ac:dyDescent="0.25">
      <c r="A228" s="76">
        <f t="shared" si="20"/>
        <v>3</v>
      </c>
      <c r="B228" s="77"/>
      <c r="C228" s="42" t="s">
        <v>264</v>
      </c>
      <c r="D228" s="57">
        <f>(90.93)*10.764</f>
        <v>978.77052000000003</v>
      </c>
      <c r="E228" s="42">
        <v>0</v>
      </c>
      <c r="F228" s="42">
        <f>D228*(($F$198)+1)+(IF(E228&lt;101,E228,IF(E228&lt;201,E228/2,IF(E228&lt;=301,E228/3,E228/4))))</f>
        <v>1468.15578</v>
      </c>
      <c r="G228" s="84"/>
      <c r="H228" s="85"/>
      <c r="I228" s="36"/>
      <c r="L228" s="75"/>
      <c r="M228" s="75"/>
      <c r="N228" s="36"/>
    </row>
    <row r="229" spans="1:14" s="37" customFormat="1" x14ac:dyDescent="0.25">
      <c r="A229" s="76">
        <f t="shared" si="20"/>
        <v>4</v>
      </c>
      <c r="B229" s="77"/>
      <c r="C229" s="42" t="s">
        <v>264</v>
      </c>
      <c r="D229" s="57">
        <f>(85.38)*10.764</f>
        <v>919.03031999999985</v>
      </c>
      <c r="E229" s="42">
        <v>0</v>
      </c>
      <c r="F229" s="42">
        <f>D229*(($F$198)+1)+(IF(E229&lt;101,E229,IF(E229&lt;201,E229/2,IF(E229&lt;=301,E229/3,E229/4))))</f>
        <v>1378.5454799999998</v>
      </c>
      <c r="G229" s="86"/>
      <c r="H229" s="87"/>
      <c r="I229" s="36"/>
      <c r="L229" s="75"/>
      <c r="M229" s="75"/>
      <c r="N229" s="36"/>
    </row>
    <row r="230" spans="1:14" s="37" customFormat="1" ht="15.75" customHeight="1" x14ac:dyDescent="0.25">
      <c r="A230" s="79" t="s">
        <v>273</v>
      </c>
      <c r="B230" s="80"/>
      <c r="C230" s="80"/>
      <c r="D230" s="80"/>
      <c r="E230" s="80"/>
      <c r="F230" s="80"/>
      <c r="G230" s="80"/>
      <c r="H230" s="81"/>
      <c r="J230" s="36"/>
    </row>
    <row r="231" spans="1:14" s="37" customFormat="1" ht="15.75" customHeight="1" x14ac:dyDescent="0.25">
      <c r="A231" s="76">
        <v>1</v>
      </c>
      <c r="B231" s="77"/>
      <c r="C231" s="42" t="s">
        <v>259</v>
      </c>
      <c r="D231" s="57">
        <f>(45.91)*10.764</f>
        <v>494.17523999999992</v>
      </c>
      <c r="E231" s="42">
        <v>0</v>
      </c>
      <c r="F231" s="42">
        <f>D231*(($F$198)+1)+(IF(E231&lt;101,E231,IF(E231&lt;201,E231/2,IF(E231&lt;=301,E231/3,E231/4))))</f>
        <v>741.26285999999982</v>
      </c>
      <c r="G231" s="82" t="str">
        <f>A230</f>
        <v>8th Floor (Part Refuge Area)</v>
      </c>
      <c r="H231" s="83"/>
      <c r="I231" s="36"/>
      <c r="L231" s="75"/>
      <c r="M231" s="75"/>
      <c r="N231" s="36"/>
    </row>
    <row r="232" spans="1:14" s="37" customFormat="1" x14ac:dyDescent="0.25">
      <c r="A232" s="76">
        <f t="shared" ref="A232:A235" si="21">A231+1</f>
        <v>2</v>
      </c>
      <c r="B232" s="77"/>
      <c r="C232" s="42" t="s">
        <v>260</v>
      </c>
      <c r="D232" s="57">
        <f>(65.47)*10.764</f>
        <v>704.71907999999996</v>
      </c>
      <c r="E232" s="42">
        <v>0</v>
      </c>
      <c r="F232" s="42">
        <f>D232*(($F$198)+1)+(IF(E232&lt;101,E232,IF(E232&lt;201,E232/2,IF(E232&lt;=301,E232/3,E232/4))))</f>
        <v>1057.07862</v>
      </c>
      <c r="G232" s="84"/>
      <c r="H232" s="85"/>
      <c r="I232" s="36"/>
      <c r="L232" s="75"/>
      <c r="M232" s="75"/>
      <c r="N232" s="36"/>
    </row>
    <row r="233" spans="1:14" s="37" customFormat="1" ht="15.75" customHeight="1" x14ac:dyDescent="0.25">
      <c r="A233" s="76" t="s">
        <v>315</v>
      </c>
      <c r="B233" s="77"/>
      <c r="C233" s="76" t="s">
        <v>275</v>
      </c>
      <c r="D233" s="78"/>
      <c r="E233" s="78"/>
      <c r="F233" s="77"/>
      <c r="G233" s="84"/>
      <c r="H233" s="85"/>
      <c r="I233" s="36"/>
      <c r="L233" s="75"/>
      <c r="M233" s="75"/>
      <c r="N233" s="36"/>
    </row>
    <row r="234" spans="1:14" s="37" customFormat="1" ht="15.75" customHeight="1" x14ac:dyDescent="0.25">
      <c r="A234" s="76">
        <f>A232+1</f>
        <v>3</v>
      </c>
      <c r="B234" s="77"/>
      <c r="C234" s="42" t="s">
        <v>274</v>
      </c>
      <c r="D234" s="57">
        <f>(38.11)*10.764</f>
        <v>410.21603999999996</v>
      </c>
      <c r="E234" s="42">
        <v>0</v>
      </c>
      <c r="F234" s="42">
        <f>D234*(($F$198)+1)+(IF(E234&lt;101,E234,IF(E234&lt;201,E234/2,IF(E234&lt;=301,E234/3,E234/4))))</f>
        <v>615.32405999999992</v>
      </c>
      <c r="G234" s="84"/>
      <c r="H234" s="85"/>
      <c r="I234" s="36"/>
      <c r="L234" s="75"/>
      <c r="M234" s="75"/>
      <c r="N234" s="36"/>
    </row>
    <row r="235" spans="1:14" s="37" customFormat="1" x14ac:dyDescent="0.25">
      <c r="A235" s="76">
        <f t="shared" si="21"/>
        <v>4</v>
      </c>
      <c r="B235" s="77"/>
      <c r="C235" s="42" t="s">
        <v>264</v>
      </c>
      <c r="D235" s="57">
        <f>(85.38)*10.764</f>
        <v>919.03031999999985</v>
      </c>
      <c r="E235" s="42">
        <v>0</v>
      </c>
      <c r="F235" s="42">
        <f>D235*(($F$198)+1)+(IF(E235&lt;101,E235,IF(E235&lt;201,E235/2,IF(E235&lt;=301,E235/3,E235/4))))</f>
        <v>1378.5454799999998</v>
      </c>
      <c r="G235" s="86"/>
      <c r="H235" s="87"/>
      <c r="I235" s="36"/>
      <c r="L235" s="75"/>
      <c r="M235" s="75"/>
      <c r="N235" s="36"/>
    </row>
    <row r="236" spans="1:14" s="37" customFormat="1" ht="15.75" customHeight="1" x14ac:dyDescent="0.25">
      <c r="A236" s="79" t="s">
        <v>276</v>
      </c>
      <c r="B236" s="80"/>
      <c r="C236" s="80"/>
      <c r="D236" s="80"/>
      <c r="E236" s="80"/>
      <c r="F236" s="80"/>
      <c r="G236" s="80"/>
      <c r="H236" s="81"/>
      <c r="J236" s="36"/>
    </row>
    <row r="237" spans="1:14" s="37" customFormat="1" ht="15.75" customHeight="1" x14ac:dyDescent="0.25">
      <c r="A237" s="76">
        <v>1</v>
      </c>
      <c r="B237" s="77"/>
      <c r="C237" s="42" t="s">
        <v>259</v>
      </c>
      <c r="D237" s="57">
        <f>(45.91)*10.764</f>
        <v>494.17523999999992</v>
      </c>
      <c r="E237" s="42">
        <v>0</v>
      </c>
      <c r="F237" s="42">
        <f>D237*(($F$198)+1)+(IF(E237&lt;101,E237,IF(E237&lt;201,E237/2,IF(E237&lt;=301,E237/3,E237/4))))</f>
        <v>741.26285999999982</v>
      </c>
      <c r="G237" s="82" t="str">
        <f>A236</f>
        <v>9th Floor</v>
      </c>
      <c r="H237" s="83"/>
      <c r="I237" s="36"/>
      <c r="L237" s="75"/>
      <c r="M237" s="75"/>
      <c r="N237" s="36"/>
    </row>
    <row r="238" spans="1:14" s="37" customFormat="1" x14ac:dyDescent="0.25">
      <c r="A238" s="76">
        <f t="shared" ref="A238:A240" si="22">A237+1</f>
        <v>2</v>
      </c>
      <c r="B238" s="77"/>
      <c r="C238" s="42" t="s">
        <v>260</v>
      </c>
      <c r="D238" s="57">
        <f>(65.47)*10.764</f>
        <v>704.71907999999996</v>
      </c>
      <c r="E238" s="42">
        <v>0</v>
      </c>
      <c r="F238" s="42">
        <f>D238*(($F$198)+1)+(IF(E238&lt;101,E238,IF(E238&lt;201,E238/2,IF(E238&lt;=301,E238/3,E238/4))))</f>
        <v>1057.07862</v>
      </c>
      <c r="G238" s="84"/>
      <c r="H238" s="85"/>
      <c r="I238" s="36"/>
      <c r="L238" s="75"/>
      <c r="M238" s="75"/>
      <c r="N238" s="36"/>
    </row>
    <row r="239" spans="1:14" s="37" customFormat="1" ht="15.75" customHeight="1" x14ac:dyDescent="0.25">
      <c r="A239" s="76">
        <f t="shared" si="22"/>
        <v>3</v>
      </c>
      <c r="B239" s="77"/>
      <c r="C239" s="42" t="s">
        <v>264</v>
      </c>
      <c r="D239" s="57">
        <f>(90.93)*10.764</f>
        <v>978.77052000000003</v>
      </c>
      <c r="E239" s="42">
        <v>0</v>
      </c>
      <c r="F239" s="42">
        <f>D239*(($F$198)+1)+(IF(E239&lt;101,E239,IF(E239&lt;201,E239/2,IF(E239&lt;=301,E239/3,E239/4))))</f>
        <v>1468.15578</v>
      </c>
      <c r="G239" s="84"/>
      <c r="H239" s="85"/>
      <c r="I239" s="36"/>
      <c r="L239" s="75"/>
      <c r="M239" s="75"/>
      <c r="N239" s="36"/>
    </row>
    <row r="240" spans="1:14" s="37" customFormat="1" x14ac:dyDescent="0.25">
      <c r="A240" s="76">
        <f t="shared" si="22"/>
        <v>4</v>
      </c>
      <c r="B240" s="77"/>
      <c r="C240" s="42" t="s">
        <v>264</v>
      </c>
      <c r="D240" s="57">
        <f>(85.38)*10.764</f>
        <v>919.03031999999985</v>
      </c>
      <c r="E240" s="42">
        <v>0</v>
      </c>
      <c r="F240" s="42">
        <f>D240*(($F$198)+1)+(IF(E240&lt;101,E240,IF(E240&lt;201,E240/2,IF(E240&lt;=301,E240/3,E240/4))))</f>
        <v>1378.5454799999998</v>
      </c>
      <c r="G240" s="86"/>
      <c r="H240" s="87"/>
      <c r="I240" s="36"/>
      <c r="L240" s="75"/>
      <c r="M240" s="75"/>
      <c r="N240" s="36"/>
    </row>
    <row r="241" spans="1:14" s="37" customFormat="1" ht="15.75" customHeight="1" x14ac:dyDescent="0.25">
      <c r="A241" s="79" t="s">
        <v>277</v>
      </c>
      <c r="B241" s="80"/>
      <c r="C241" s="80"/>
      <c r="D241" s="80"/>
      <c r="E241" s="80"/>
      <c r="F241" s="80"/>
      <c r="G241" s="80"/>
      <c r="H241" s="81"/>
      <c r="J241" s="36"/>
    </row>
    <row r="242" spans="1:14" s="37" customFormat="1" ht="15.75" customHeight="1" x14ac:dyDescent="0.25">
      <c r="A242" s="76">
        <v>1</v>
      </c>
      <c r="B242" s="77"/>
      <c r="C242" s="42" t="s">
        <v>259</v>
      </c>
      <c r="D242" s="57">
        <f>(45.91)*10.764</f>
        <v>494.17523999999992</v>
      </c>
      <c r="E242" s="42">
        <v>0</v>
      </c>
      <c r="F242" s="42">
        <f>D242*(($F$198)+1)+(IF(E242&lt;101,E242,IF(E242&lt;201,E242/2,IF(E242&lt;=301,E242/3,E242/4))))</f>
        <v>741.26285999999982</v>
      </c>
      <c r="G242" s="82" t="str">
        <f>A241</f>
        <v>10th Floor</v>
      </c>
      <c r="H242" s="83"/>
      <c r="I242" s="36"/>
      <c r="L242" s="75"/>
      <c r="M242" s="75"/>
      <c r="N242" s="36"/>
    </row>
    <row r="243" spans="1:14" s="37" customFormat="1" x14ac:dyDescent="0.25">
      <c r="A243" s="76">
        <f t="shared" ref="A243:A245" si="23">A242+1</f>
        <v>2</v>
      </c>
      <c r="B243" s="77"/>
      <c r="C243" s="42" t="s">
        <v>260</v>
      </c>
      <c r="D243" s="57">
        <f>(65.47)*10.764</f>
        <v>704.71907999999996</v>
      </c>
      <c r="E243" s="42">
        <v>0</v>
      </c>
      <c r="F243" s="42">
        <f>D243*(($F$198)+1)+(IF(E243&lt;101,E243,IF(E243&lt;201,E243/2,IF(E243&lt;=301,E243/3,E243/4))))</f>
        <v>1057.07862</v>
      </c>
      <c r="G243" s="84"/>
      <c r="H243" s="85"/>
      <c r="I243" s="36"/>
      <c r="L243" s="75"/>
      <c r="M243" s="75"/>
      <c r="N243" s="36"/>
    </row>
    <row r="244" spans="1:14" s="37" customFormat="1" ht="15.75" customHeight="1" x14ac:dyDescent="0.25">
      <c r="A244" s="76">
        <f t="shared" si="23"/>
        <v>3</v>
      </c>
      <c r="B244" s="77"/>
      <c r="C244" s="42" t="s">
        <v>264</v>
      </c>
      <c r="D244" s="57">
        <f>(90.93)*10.764</f>
        <v>978.77052000000003</v>
      </c>
      <c r="E244" s="42">
        <v>0</v>
      </c>
      <c r="F244" s="42">
        <f>D244*(($F$198)+1)+(IF(E244&lt;101,E244,IF(E244&lt;201,E244/2,IF(E244&lt;=301,E244/3,E244/4))))</f>
        <v>1468.15578</v>
      </c>
      <c r="G244" s="84"/>
      <c r="H244" s="85"/>
      <c r="I244" s="36"/>
      <c r="L244" s="75"/>
      <c r="M244" s="75"/>
      <c r="N244" s="36"/>
    </row>
    <row r="245" spans="1:14" s="37" customFormat="1" x14ac:dyDescent="0.25">
      <c r="A245" s="76">
        <f t="shared" si="23"/>
        <v>4</v>
      </c>
      <c r="B245" s="77"/>
      <c r="C245" s="42" t="s">
        <v>264</v>
      </c>
      <c r="D245" s="57">
        <f>(85.38)*10.764</f>
        <v>919.03031999999985</v>
      </c>
      <c r="E245" s="42">
        <v>0</v>
      </c>
      <c r="F245" s="42">
        <f>D245*(($F$198)+1)+(IF(E245&lt;101,E245,IF(E245&lt;201,E245/2,IF(E245&lt;=301,E245/3,E245/4))))</f>
        <v>1378.5454799999998</v>
      </c>
      <c r="G245" s="86"/>
      <c r="H245" s="87"/>
      <c r="I245" s="36"/>
      <c r="L245" s="75"/>
      <c r="M245" s="75"/>
      <c r="N245" s="36"/>
    </row>
    <row r="246" spans="1:14" s="37" customFormat="1" ht="15.75" customHeight="1" x14ac:dyDescent="0.25">
      <c r="A246" s="79" t="s">
        <v>322</v>
      </c>
      <c r="B246" s="80"/>
      <c r="C246" s="80"/>
      <c r="D246" s="80"/>
      <c r="E246" s="80"/>
      <c r="F246" s="80"/>
      <c r="G246" s="80"/>
      <c r="H246" s="81"/>
      <c r="J246" s="36"/>
    </row>
    <row r="247" spans="1:14" s="37" customFormat="1" ht="15.75" customHeight="1" x14ac:dyDescent="0.25">
      <c r="A247" s="76">
        <v>1</v>
      </c>
      <c r="B247" s="77"/>
      <c r="C247" s="42" t="s">
        <v>259</v>
      </c>
      <c r="D247" s="57">
        <f>(45.91)*10.764</f>
        <v>494.17523999999992</v>
      </c>
      <c r="E247" s="42">
        <v>0</v>
      </c>
      <c r="F247" s="42">
        <f>D247*(($F$198)+1)+(IF(E247&lt;101,E247,IF(E247&lt;201,E247/2,IF(E247&lt;=301,E247/3,E247/4))))</f>
        <v>741.26285999999982</v>
      </c>
      <c r="G247" s="82" t="str">
        <f>A246</f>
        <v>11th &amp; 12th Floor</v>
      </c>
      <c r="H247" s="83"/>
      <c r="I247" s="36"/>
      <c r="J247" s="37">
        <f>18000000/F247</f>
        <v>24282.883942141663</v>
      </c>
      <c r="L247" s="75"/>
      <c r="M247" s="75"/>
      <c r="N247" s="36"/>
    </row>
    <row r="248" spans="1:14" s="37" customFormat="1" x14ac:dyDescent="0.25">
      <c r="A248" s="76">
        <f t="shared" ref="A248:A250" si="24">A247+1</f>
        <v>2</v>
      </c>
      <c r="B248" s="77"/>
      <c r="C248" s="42" t="s">
        <v>260</v>
      </c>
      <c r="D248" s="57">
        <f>(65.47)*10.764</f>
        <v>704.71907999999996</v>
      </c>
      <c r="E248" s="42">
        <v>0</v>
      </c>
      <c r="F248" s="42">
        <f>D248*(($F$198)+1)+(IF(E248&lt;101,E248,IF(E248&lt;201,E248/2,IF(E248&lt;=301,E248/3,E248/4))))</f>
        <v>1057.07862</v>
      </c>
      <c r="G248" s="84"/>
      <c r="H248" s="85"/>
      <c r="I248" s="36"/>
      <c r="J248" s="37">
        <f>24000000/Report!F248</f>
        <v>22704.082313196344</v>
      </c>
      <c r="L248" s="75"/>
      <c r="M248" s="75"/>
      <c r="N248" s="36"/>
    </row>
    <row r="249" spans="1:14" s="37" customFormat="1" ht="15.75" customHeight="1" x14ac:dyDescent="0.25">
      <c r="A249" s="76">
        <f t="shared" si="24"/>
        <v>3</v>
      </c>
      <c r="B249" s="77"/>
      <c r="C249" s="42" t="s">
        <v>264</v>
      </c>
      <c r="D249" s="57">
        <f>(96.65)*10.764</f>
        <v>1040.3406</v>
      </c>
      <c r="E249" s="42">
        <v>0</v>
      </c>
      <c r="F249" s="42">
        <f>D249*(($F$198)+1)+(IF(E249&lt;101,E249,IF(E249&lt;201,E249/2,IF(E249&lt;=301,E249/3,E249/4))))</f>
        <v>1560.5109</v>
      </c>
      <c r="G249" s="84"/>
      <c r="H249" s="85"/>
      <c r="I249" s="36"/>
      <c r="L249" s="75"/>
      <c r="M249" s="75"/>
      <c r="N249" s="36"/>
    </row>
    <row r="250" spans="1:14" s="37" customFormat="1" x14ac:dyDescent="0.25">
      <c r="A250" s="76">
        <f t="shared" si="24"/>
        <v>4</v>
      </c>
      <c r="B250" s="77"/>
      <c r="C250" s="42" t="s">
        <v>264</v>
      </c>
      <c r="D250" s="57">
        <f>(85.76)*10.764</f>
        <v>923.12063999999998</v>
      </c>
      <c r="E250" s="42">
        <v>0</v>
      </c>
      <c r="F250" s="42">
        <f>D250*(($F$198)+1)+(IF(E250&lt;101,E250,IF(E250&lt;201,E250/2,IF(E250&lt;=301,E250/3,E250/4))))</f>
        <v>1384.6809599999999</v>
      </c>
      <c r="G250" s="86"/>
      <c r="H250" s="87"/>
      <c r="I250" s="36"/>
      <c r="L250" s="75"/>
      <c r="M250" s="75"/>
      <c r="N250" s="36"/>
    </row>
    <row r="251" spans="1:14" s="37" customFormat="1" x14ac:dyDescent="0.25">
      <c r="A251" s="189" t="s">
        <v>261</v>
      </c>
      <c r="B251" s="190"/>
      <c r="C251" s="190"/>
      <c r="D251" s="190"/>
      <c r="E251" s="190"/>
      <c r="F251" s="190"/>
      <c r="G251" s="190"/>
      <c r="H251" s="191"/>
      <c r="J251" s="36"/>
    </row>
    <row r="252" spans="1:14" s="37" customFormat="1" x14ac:dyDescent="0.25">
      <c r="A252" s="79" t="s">
        <v>296</v>
      </c>
      <c r="B252" s="80"/>
      <c r="C252" s="80"/>
      <c r="D252" s="80"/>
      <c r="E252" s="80"/>
      <c r="F252" s="80"/>
      <c r="G252" s="80"/>
      <c r="H252" s="81"/>
      <c r="J252" s="36"/>
    </row>
    <row r="253" spans="1:14" s="37" customFormat="1" x14ac:dyDescent="0.25">
      <c r="A253" s="79" t="s">
        <v>297</v>
      </c>
      <c r="B253" s="80"/>
      <c r="C253" s="80"/>
      <c r="D253" s="80"/>
      <c r="E253" s="80"/>
      <c r="F253" s="80"/>
      <c r="G253" s="80"/>
      <c r="H253" s="81"/>
      <c r="J253" s="36"/>
    </row>
    <row r="254" spans="1:14" s="37" customFormat="1" ht="15.75" customHeight="1" x14ac:dyDescent="0.25">
      <c r="A254" s="79" t="s">
        <v>262</v>
      </c>
      <c r="B254" s="80"/>
      <c r="C254" s="80"/>
      <c r="D254" s="80"/>
      <c r="E254" s="80"/>
      <c r="F254" s="80"/>
      <c r="G254" s="80"/>
      <c r="H254" s="81"/>
      <c r="J254" s="36"/>
    </row>
    <row r="255" spans="1:14" s="37" customFormat="1" ht="15.75" customHeight="1" x14ac:dyDescent="0.25">
      <c r="A255" s="76">
        <v>1</v>
      </c>
      <c r="B255" s="77"/>
      <c r="C255" s="42" t="s">
        <v>263</v>
      </c>
      <c r="D255" s="57">
        <f>(75.23)*10.764</f>
        <v>809.77571999999998</v>
      </c>
      <c r="E255" s="42">
        <v>0</v>
      </c>
      <c r="F255" s="42">
        <f>D255*(($F$198)+1)+(IF(E255&lt;101,E255,IF(E255&lt;201,E255/2,IF(E255&lt;=301,E255/3,E255/4))))</f>
        <v>1214.6635799999999</v>
      </c>
      <c r="G255" s="82" t="str">
        <f>A254</f>
        <v>1st Floor for Residential</v>
      </c>
      <c r="H255" s="83"/>
      <c r="I255" s="36">
        <f>3.05*4.6+2.3*3.35+3.05*3.95+3.65*3.05+3.35*2.4+2.35*3.2+1.35*2.15+2.25*1.2+2.75*1.15</f>
        <v>69.239999999999995</v>
      </c>
      <c r="L255" s="75"/>
      <c r="M255" s="75"/>
      <c r="N255" s="36"/>
    </row>
    <row r="256" spans="1:14" s="37" customFormat="1" x14ac:dyDescent="0.25">
      <c r="A256" s="76">
        <f t="shared" ref="A256:A258" si="25">A255+1</f>
        <v>2</v>
      </c>
      <c r="B256" s="77"/>
      <c r="C256" s="76" t="s">
        <v>323</v>
      </c>
      <c r="D256" s="78"/>
      <c r="E256" s="78"/>
      <c r="F256" s="77"/>
      <c r="G256" s="84"/>
      <c r="H256" s="85"/>
      <c r="I256" s="36"/>
      <c r="J256" s="37" t="e">
        <f>26700000/F256</f>
        <v>#DIV/0!</v>
      </c>
      <c r="L256" s="75"/>
      <c r="M256" s="75"/>
      <c r="N256" s="36"/>
    </row>
    <row r="257" spans="1:14" s="37" customFormat="1" x14ac:dyDescent="0.25">
      <c r="A257" s="76">
        <f t="shared" si="25"/>
        <v>3</v>
      </c>
      <c r="B257" s="77"/>
      <c r="C257" s="42" t="s">
        <v>264</v>
      </c>
      <c r="D257" s="57">
        <f>(90.87)*10.764</f>
        <v>978.12468000000001</v>
      </c>
      <c r="E257" s="42">
        <v>0</v>
      </c>
      <c r="F257" s="42">
        <f>D257*(($F$198)+1)+(IF(E257&lt;101,E257,IF(E257&lt;201,E257/2,IF(E257&lt;=301,E257/3,E257/4))))</f>
        <v>1467.1870200000001</v>
      </c>
      <c r="G257" s="84"/>
      <c r="H257" s="85"/>
      <c r="I257" s="36"/>
      <c r="L257" s="75"/>
      <c r="M257" s="75"/>
      <c r="N257" s="36"/>
    </row>
    <row r="258" spans="1:14" s="37" customFormat="1" x14ac:dyDescent="0.25">
      <c r="A258" s="76">
        <f t="shared" si="25"/>
        <v>4</v>
      </c>
      <c r="B258" s="77"/>
      <c r="C258" s="42" t="s">
        <v>263</v>
      </c>
      <c r="D258" s="57">
        <f>(75.52)*10.764</f>
        <v>812.89727999999991</v>
      </c>
      <c r="E258" s="42">
        <v>0</v>
      </c>
      <c r="F258" s="42">
        <f>D258*(($F$198)+1)+(IF(E258&lt;101,E258,IF(E258&lt;201,E258/2,IF(E258&lt;=301,E258/3,E258/4))))</f>
        <v>1219.3459199999998</v>
      </c>
      <c r="G258" s="86"/>
      <c r="H258" s="87"/>
      <c r="I258" s="36"/>
      <c r="L258" s="75"/>
      <c r="M258" s="75"/>
      <c r="N258" s="36"/>
    </row>
    <row r="259" spans="1:14" s="37" customFormat="1" x14ac:dyDescent="0.25">
      <c r="A259" s="79" t="s">
        <v>121</v>
      </c>
      <c r="B259" s="80"/>
      <c r="C259" s="80"/>
      <c r="D259" s="80"/>
      <c r="E259" s="80"/>
      <c r="F259" s="80"/>
      <c r="G259" s="80"/>
      <c r="H259" s="81"/>
      <c r="J259" s="36"/>
    </row>
    <row r="260" spans="1:14" s="37" customFormat="1" ht="15.75" customHeight="1" x14ac:dyDescent="0.25">
      <c r="A260" s="76">
        <v>1</v>
      </c>
      <c r="B260" s="77"/>
      <c r="C260" s="42" t="s">
        <v>263</v>
      </c>
      <c r="D260" s="57">
        <f>(75.23)*10.764</f>
        <v>809.77571999999998</v>
      </c>
      <c r="E260" s="42">
        <v>0</v>
      </c>
      <c r="F260" s="42">
        <f>D260*(($F$198)+1)+(IF(E260&lt;101,E260,IF(E260&lt;201,E260/2,IF(E260&lt;=301,E260/3,E260/4))))</f>
        <v>1214.6635799999999</v>
      </c>
      <c r="G260" s="82" t="str">
        <f>A259</f>
        <v>2nd Floor</v>
      </c>
      <c r="H260" s="83"/>
      <c r="I260" s="36"/>
      <c r="L260" s="75"/>
      <c r="M260" s="75"/>
      <c r="N260" s="36"/>
    </row>
    <row r="261" spans="1:14" s="37" customFormat="1" x14ac:dyDescent="0.25">
      <c r="A261" s="76">
        <f t="shared" ref="A261:A263" si="26">A260+1</f>
        <v>2</v>
      </c>
      <c r="B261" s="77"/>
      <c r="C261" s="42" t="s">
        <v>260</v>
      </c>
      <c r="D261" s="57">
        <f>(68.83)*10.764</f>
        <v>740.88611999999989</v>
      </c>
      <c r="E261" s="42">
        <v>0</v>
      </c>
      <c r="F261" s="42">
        <f>D261*(($F$198)+1)+(IF(E261&lt;101,E261,IF(E261&lt;201,E261/2,IF(E261&lt;=301,E261/3,E261/4))))</f>
        <v>1111.3291799999997</v>
      </c>
      <c r="G261" s="84"/>
      <c r="H261" s="85"/>
      <c r="I261" s="36"/>
      <c r="J261" s="37">
        <f>29900000/F261</f>
        <v>26904.719625916787</v>
      </c>
      <c r="L261" s="75"/>
      <c r="M261" s="75"/>
      <c r="N261" s="36"/>
    </row>
    <row r="262" spans="1:14" s="37" customFormat="1" x14ac:dyDescent="0.25">
      <c r="A262" s="76">
        <f t="shared" si="26"/>
        <v>3</v>
      </c>
      <c r="B262" s="77"/>
      <c r="C262" s="42" t="s">
        <v>264</v>
      </c>
      <c r="D262" s="57">
        <f>(90.87)*10.764</f>
        <v>978.12468000000001</v>
      </c>
      <c r="E262" s="42">
        <v>0</v>
      </c>
      <c r="F262" s="42">
        <f>D262*(($F$198)+1)+(IF(E262&lt;101,E262,IF(E262&lt;201,E262/2,IF(E262&lt;=301,E262/3,E262/4))))</f>
        <v>1467.1870200000001</v>
      </c>
      <c r="G262" s="84"/>
      <c r="H262" s="85"/>
      <c r="I262" s="36"/>
      <c r="L262" s="75"/>
      <c r="M262" s="75"/>
      <c r="N262" s="36"/>
    </row>
    <row r="263" spans="1:14" s="37" customFormat="1" x14ac:dyDescent="0.25">
      <c r="A263" s="76">
        <f t="shared" si="26"/>
        <v>4</v>
      </c>
      <c r="B263" s="77"/>
      <c r="C263" s="42" t="s">
        <v>263</v>
      </c>
      <c r="D263" s="57">
        <f>(75.52)*10.764</f>
        <v>812.89727999999991</v>
      </c>
      <c r="E263" s="42">
        <v>0</v>
      </c>
      <c r="F263" s="42">
        <f>D263*(($F$198)+1)+(IF(E263&lt;101,E263,IF(E263&lt;201,E263/2,IF(E263&lt;=301,E263/3,E263/4))))</f>
        <v>1219.3459199999998</v>
      </c>
      <c r="G263" s="86"/>
      <c r="H263" s="87"/>
      <c r="I263" s="36"/>
      <c r="L263" s="75"/>
      <c r="M263" s="75"/>
      <c r="N263" s="36"/>
    </row>
    <row r="264" spans="1:14" s="37" customFormat="1" x14ac:dyDescent="0.25">
      <c r="A264" s="79" t="s">
        <v>268</v>
      </c>
      <c r="B264" s="80"/>
      <c r="C264" s="80"/>
      <c r="D264" s="80"/>
      <c r="E264" s="80"/>
      <c r="F264" s="80"/>
      <c r="G264" s="80"/>
      <c r="H264" s="81"/>
      <c r="J264" s="36"/>
    </row>
    <row r="265" spans="1:14" s="37" customFormat="1" ht="15.75" customHeight="1" x14ac:dyDescent="0.25">
      <c r="A265" s="76">
        <v>1</v>
      </c>
      <c r="B265" s="77"/>
      <c r="C265" s="42" t="s">
        <v>263</v>
      </c>
      <c r="D265" s="57">
        <f>(75.23)*10.764</f>
        <v>809.77571999999998</v>
      </c>
      <c r="E265" s="42">
        <v>0</v>
      </c>
      <c r="F265" s="42">
        <f>D265*(($F$198)+1)+(IF(E265&lt;101,E265,IF(E265&lt;201,E265/2,IF(E265&lt;=301,E265/3,E265/4))))</f>
        <v>1214.6635799999999</v>
      </c>
      <c r="G265" s="82" t="str">
        <f>A264</f>
        <v>3rd Floor</v>
      </c>
      <c r="H265" s="83"/>
      <c r="I265" s="36"/>
      <c r="L265" s="75"/>
      <c r="M265" s="75"/>
      <c r="N265" s="36"/>
    </row>
    <row r="266" spans="1:14" s="37" customFormat="1" x14ac:dyDescent="0.25">
      <c r="A266" s="76">
        <f t="shared" ref="A266:A268" si="27">A265+1</f>
        <v>2</v>
      </c>
      <c r="B266" s="77"/>
      <c r="C266" s="42" t="s">
        <v>260</v>
      </c>
      <c r="D266" s="57">
        <f>(68.83)*10.764</f>
        <v>740.88611999999989</v>
      </c>
      <c r="E266" s="42">
        <v>0</v>
      </c>
      <c r="F266" s="42">
        <f>D266*(($F$198)+1)+(IF(E266&lt;101,E266,IF(E266&lt;201,E266/2,IF(E266&lt;=301,E266/3,E266/4))))</f>
        <v>1111.3291799999997</v>
      </c>
      <c r="G266" s="84"/>
      <c r="H266" s="85"/>
      <c r="I266" s="36"/>
      <c r="L266" s="75"/>
      <c r="M266" s="75"/>
      <c r="N266" s="36"/>
    </row>
    <row r="267" spans="1:14" s="37" customFormat="1" x14ac:dyDescent="0.25">
      <c r="A267" s="76">
        <f t="shared" si="27"/>
        <v>3</v>
      </c>
      <c r="B267" s="77"/>
      <c r="C267" s="42" t="s">
        <v>264</v>
      </c>
      <c r="D267" s="57">
        <f>(89.55)*10.764</f>
        <v>963.91619999999989</v>
      </c>
      <c r="E267" s="42">
        <v>0</v>
      </c>
      <c r="F267" s="42">
        <f>D267*(($F$198)+1)+(IF(E267&lt;101,E267,IF(E267&lt;201,E267/2,IF(E267&lt;=301,E267/3,E267/4))))</f>
        <v>1445.8742999999999</v>
      </c>
      <c r="G267" s="84"/>
      <c r="H267" s="85"/>
      <c r="I267" s="36"/>
      <c r="L267" s="75"/>
      <c r="M267" s="75"/>
      <c r="N267" s="36"/>
    </row>
    <row r="268" spans="1:14" s="37" customFormat="1" x14ac:dyDescent="0.25">
      <c r="A268" s="76">
        <f t="shared" si="27"/>
        <v>4</v>
      </c>
      <c r="B268" s="77"/>
      <c r="C268" s="42" t="s">
        <v>263</v>
      </c>
      <c r="D268" s="57">
        <f>(75.52)*10.764</f>
        <v>812.89727999999991</v>
      </c>
      <c r="E268" s="42">
        <v>0</v>
      </c>
      <c r="F268" s="42">
        <f>D268*(($F$198)+1)+(IF(E268&lt;101,E268,IF(E268&lt;201,E268/2,IF(E268&lt;=301,E268/3,E268/4))))</f>
        <v>1219.3459199999998</v>
      </c>
      <c r="G268" s="86"/>
      <c r="H268" s="87"/>
      <c r="I268" s="36"/>
      <c r="L268" s="75"/>
      <c r="M268" s="75"/>
      <c r="N268" s="36"/>
    </row>
    <row r="269" spans="1:14" s="37" customFormat="1" x14ac:dyDescent="0.25">
      <c r="A269" s="79" t="s">
        <v>269</v>
      </c>
      <c r="B269" s="80"/>
      <c r="C269" s="80"/>
      <c r="D269" s="80"/>
      <c r="E269" s="80"/>
      <c r="F269" s="80"/>
      <c r="G269" s="80"/>
      <c r="H269" s="81"/>
      <c r="J269" s="36"/>
    </row>
    <row r="270" spans="1:14" s="37" customFormat="1" ht="15.75" customHeight="1" x14ac:dyDescent="0.25">
      <c r="A270" s="76">
        <v>1</v>
      </c>
      <c r="B270" s="77"/>
      <c r="C270" s="42" t="s">
        <v>263</v>
      </c>
      <c r="D270" s="57">
        <f>(75.23)*10.764</f>
        <v>809.77571999999998</v>
      </c>
      <c r="E270" s="42">
        <v>0</v>
      </c>
      <c r="F270" s="42">
        <f>D270*(($F$198)+1)+(IF(E270&lt;101,E270,IF(E270&lt;201,E270/2,IF(E270&lt;=301,E270/3,E270/4))))</f>
        <v>1214.6635799999999</v>
      </c>
      <c r="G270" s="82" t="str">
        <f>A269</f>
        <v>4th Floor</v>
      </c>
      <c r="H270" s="83"/>
      <c r="I270" s="36"/>
      <c r="L270" s="75"/>
      <c r="M270" s="75"/>
      <c r="N270" s="36"/>
    </row>
    <row r="271" spans="1:14" s="37" customFormat="1" x14ac:dyDescent="0.25">
      <c r="A271" s="76">
        <f t="shared" ref="A271:A273" si="28">A270+1</f>
        <v>2</v>
      </c>
      <c r="B271" s="77"/>
      <c r="C271" s="42" t="s">
        <v>260</v>
      </c>
      <c r="D271" s="57">
        <f>(68.83)*10.764</f>
        <v>740.88611999999989</v>
      </c>
      <c r="E271" s="42">
        <v>0</v>
      </c>
      <c r="F271" s="42">
        <f>D271*(($F$198)+1)+(IF(E271&lt;101,E271,IF(E271&lt;201,E271/2,IF(E271&lt;=301,E271/3,E271/4))))</f>
        <v>1111.3291799999997</v>
      </c>
      <c r="G271" s="84"/>
      <c r="H271" s="85"/>
      <c r="I271" s="36"/>
      <c r="L271" s="75"/>
      <c r="M271" s="75"/>
      <c r="N271" s="36"/>
    </row>
    <row r="272" spans="1:14" s="37" customFormat="1" x14ac:dyDescent="0.25">
      <c r="A272" s="76">
        <f t="shared" si="28"/>
        <v>3</v>
      </c>
      <c r="B272" s="77"/>
      <c r="C272" s="42" t="s">
        <v>264</v>
      </c>
      <c r="D272" s="57">
        <f>(90.87)*10.764</f>
        <v>978.12468000000001</v>
      </c>
      <c r="E272" s="42">
        <v>0</v>
      </c>
      <c r="F272" s="42">
        <f>D272*(($F$198)+1)+(IF(E272&lt;101,E272,IF(E272&lt;201,E272/2,IF(E272&lt;=301,E272/3,E272/4))))</f>
        <v>1467.1870200000001</v>
      </c>
      <c r="G272" s="84"/>
      <c r="H272" s="85"/>
      <c r="I272" s="36"/>
      <c r="L272" s="75"/>
      <c r="M272" s="75"/>
      <c r="N272" s="36"/>
    </row>
    <row r="273" spans="1:14" s="37" customFormat="1" x14ac:dyDescent="0.25">
      <c r="A273" s="76">
        <f t="shared" si="28"/>
        <v>4</v>
      </c>
      <c r="B273" s="77"/>
      <c r="C273" s="42" t="s">
        <v>263</v>
      </c>
      <c r="D273" s="57">
        <f>(75.52)*10.764</f>
        <v>812.89727999999991</v>
      </c>
      <c r="E273" s="42">
        <v>0</v>
      </c>
      <c r="F273" s="42">
        <f>D273*(($F$198)+1)+(IF(E273&lt;101,E273,IF(E273&lt;201,E273/2,IF(E273&lt;=301,E273/3,E273/4))))</f>
        <v>1219.3459199999998</v>
      </c>
      <c r="G273" s="86"/>
      <c r="H273" s="87"/>
      <c r="I273" s="36"/>
      <c r="L273" s="75"/>
      <c r="M273" s="75"/>
      <c r="N273" s="36"/>
    </row>
    <row r="274" spans="1:14" s="37" customFormat="1" x14ac:dyDescent="0.25">
      <c r="A274" s="79" t="s">
        <v>270</v>
      </c>
      <c r="B274" s="80"/>
      <c r="C274" s="80"/>
      <c r="D274" s="80"/>
      <c r="E274" s="80"/>
      <c r="F274" s="80"/>
      <c r="G274" s="80"/>
      <c r="H274" s="81"/>
      <c r="J274" s="36"/>
    </row>
    <row r="275" spans="1:14" s="37" customFormat="1" ht="15.75" customHeight="1" x14ac:dyDescent="0.25">
      <c r="A275" s="76">
        <v>1</v>
      </c>
      <c r="B275" s="77"/>
      <c r="C275" s="42" t="s">
        <v>263</v>
      </c>
      <c r="D275" s="57">
        <f>(75.23)*10.764</f>
        <v>809.77571999999998</v>
      </c>
      <c r="E275" s="42">
        <v>0</v>
      </c>
      <c r="F275" s="42">
        <f>D275*(($F$198)+1)+(IF(E275&lt;101,E275,IF(E275&lt;201,E275/2,IF(E275&lt;=301,E275/3,E275/4))))</f>
        <v>1214.6635799999999</v>
      </c>
      <c r="G275" s="82" t="str">
        <f>A274</f>
        <v>5th Floor</v>
      </c>
      <c r="H275" s="83"/>
      <c r="I275" s="36"/>
      <c r="L275" s="75"/>
      <c r="M275" s="75"/>
      <c r="N275" s="36"/>
    </row>
    <row r="276" spans="1:14" s="37" customFormat="1" x14ac:dyDescent="0.25">
      <c r="A276" s="76">
        <f t="shared" ref="A276:A278" si="29">A275+1</f>
        <v>2</v>
      </c>
      <c r="B276" s="77"/>
      <c r="C276" s="42" t="s">
        <v>260</v>
      </c>
      <c r="D276" s="57">
        <f>(68.83)*10.764</f>
        <v>740.88611999999989</v>
      </c>
      <c r="E276" s="42">
        <v>0</v>
      </c>
      <c r="F276" s="42">
        <f>D276*(($F$198)+1)+(IF(E276&lt;101,E276,IF(E276&lt;201,E276/2,IF(E276&lt;=301,E276/3,E276/4))))</f>
        <v>1111.3291799999997</v>
      </c>
      <c r="G276" s="84"/>
      <c r="H276" s="85"/>
      <c r="I276" s="36"/>
      <c r="L276" s="75"/>
      <c r="M276" s="75"/>
      <c r="N276" s="36"/>
    </row>
    <row r="277" spans="1:14" s="37" customFormat="1" x14ac:dyDescent="0.25">
      <c r="A277" s="76">
        <f t="shared" si="29"/>
        <v>3</v>
      </c>
      <c r="B277" s="77"/>
      <c r="C277" s="42" t="s">
        <v>264</v>
      </c>
      <c r="D277" s="57">
        <f>(90.87)*10.764</f>
        <v>978.12468000000001</v>
      </c>
      <c r="E277" s="42">
        <v>0</v>
      </c>
      <c r="F277" s="42">
        <f>D277*(($F$198)+1)+(IF(E277&lt;101,E277,IF(E277&lt;201,E277/2,IF(E277&lt;=301,E277/3,E277/4))))</f>
        <v>1467.1870200000001</v>
      </c>
      <c r="G277" s="84"/>
      <c r="H277" s="85"/>
      <c r="I277" s="36"/>
      <c r="L277" s="75"/>
      <c r="M277" s="75"/>
      <c r="N277" s="36"/>
    </row>
    <row r="278" spans="1:14" s="37" customFormat="1" x14ac:dyDescent="0.25">
      <c r="A278" s="76">
        <f t="shared" si="29"/>
        <v>4</v>
      </c>
      <c r="B278" s="77"/>
      <c r="C278" s="42" t="s">
        <v>263</v>
      </c>
      <c r="D278" s="57">
        <f>(75.52)*10.764</f>
        <v>812.89727999999991</v>
      </c>
      <c r="E278" s="42">
        <v>0</v>
      </c>
      <c r="F278" s="42">
        <f>D278*(($F$198)+1)+(IF(E278&lt;101,E278,IF(E278&lt;201,E278/2,IF(E278&lt;=301,E278/3,E278/4))))</f>
        <v>1219.3459199999998</v>
      </c>
      <c r="G278" s="86"/>
      <c r="H278" s="87"/>
      <c r="I278" s="36"/>
      <c r="L278" s="75"/>
      <c r="M278" s="75"/>
      <c r="N278" s="36"/>
    </row>
    <row r="279" spans="1:14" s="37" customFormat="1" x14ac:dyDescent="0.25">
      <c r="A279" s="79" t="s">
        <v>271</v>
      </c>
      <c r="B279" s="80"/>
      <c r="C279" s="80"/>
      <c r="D279" s="80"/>
      <c r="E279" s="80"/>
      <c r="F279" s="80"/>
      <c r="G279" s="80"/>
      <c r="H279" s="81"/>
      <c r="J279" s="36"/>
    </row>
    <row r="280" spans="1:14" s="37" customFormat="1" ht="15.75" customHeight="1" x14ac:dyDescent="0.25">
      <c r="A280" s="76">
        <v>1</v>
      </c>
      <c r="B280" s="77"/>
      <c r="C280" s="42" t="s">
        <v>264</v>
      </c>
      <c r="D280" s="57">
        <f>(84.09)*10.764</f>
        <v>905.14476000000002</v>
      </c>
      <c r="E280" s="42">
        <v>0</v>
      </c>
      <c r="F280" s="42">
        <f>D280*(($F$198)+1)+(IF(E280&lt;101,E280,IF(E280&lt;201,E280/2,IF(E280&lt;=301,E280/3,E280/4))))</f>
        <v>1357.71714</v>
      </c>
      <c r="G280" s="82" t="str">
        <f>A279</f>
        <v>6th Floor</v>
      </c>
      <c r="H280" s="83"/>
      <c r="I280" s="36"/>
      <c r="L280" s="75"/>
      <c r="M280" s="75"/>
      <c r="N280" s="36"/>
    </row>
    <row r="281" spans="1:14" s="37" customFormat="1" x14ac:dyDescent="0.25">
      <c r="A281" s="76">
        <f t="shared" ref="A281:A283" si="30">A280+1</f>
        <v>2</v>
      </c>
      <c r="B281" s="77"/>
      <c r="C281" s="42" t="s">
        <v>260</v>
      </c>
      <c r="D281" s="57">
        <f>(68.83)*10.764</f>
        <v>740.88611999999989</v>
      </c>
      <c r="E281" s="42">
        <v>0</v>
      </c>
      <c r="F281" s="42">
        <f>D281*(($F$198)+1)+(IF(E281&lt;101,E281,IF(E281&lt;201,E281/2,IF(E281&lt;=301,E281/3,E281/4))))</f>
        <v>1111.3291799999997</v>
      </c>
      <c r="G281" s="84"/>
      <c r="H281" s="85"/>
      <c r="I281" s="36"/>
      <c r="L281" s="75"/>
      <c r="M281" s="75"/>
      <c r="N281" s="36"/>
    </row>
    <row r="282" spans="1:14" s="37" customFormat="1" x14ac:dyDescent="0.25">
      <c r="A282" s="76">
        <f t="shared" si="30"/>
        <v>3</v>
      </c>
      <c r="B282" s="77"/>
      <c r="C282" s="42" t="s">
        <v>264</v>
      </c>
      <c r="D282" s="57">
        <f>(90.87)*10.764</f>
        <v>978.12468000000001</v>
      </c>
      <c r="E282" s="42">
        <v>0</v>
      </c>
      <c r="F282" s="42">
        <f>D282*(($F$198)+1)+(IF(E282&lt;101,E282,IF(E282&lt;201,E282/2,IF(E282&lt;=301,E282/3,E282/4))))</f>
        <v>1467.1870200000001</v>
      </c>
      <c r="G282" s="84"/>
      <c r="H282" s="85"/>
      <c r="I282" s="36"/>
      <c r="L282" s="75"/>
      <c r="M282" s="75"/>
      <c r="N282" s="36"/>
    </row>
    <row r="283" spans="1:14" s="37" customFormat="1" x14ac:dyDescent="0.25">
      <c r="A283" s="76">
        <f t="shared" si="30"/>
        <v>4</v>
      </c>
      <c r="B283" s="77"/>
      <c r="C283" s="42" t="s">
        <v>263</v>
      </c>
      <c r="D283" s="57">
        <f>(75.52)*10.764</f>
        <v>812.89727999999991</v>
      </c>
      <c r="E283" s="42">
        <v>0</v>
      </c>
      <c r="F283" s="42">
        <f>D283*(($F$198)+1)+(IF(E283&lt;101,E283,IF(E283&lt;201,E283/2,IF(E283&lt;=301,E283/3,E283/4))))</f>
        <v>1219.3459199999998</v>
      </c>
      <c r="G283" s="86"/>
      <c r="H283" s="87"/>
      <c r="I283" s="36"/>
      <c r="L283" s="75"/>
      <c r="M283" s="75"/>
      <c r="N283" s="36"/>
    </row>
    <row r="284" spans="1:14" s="37" customFormat="1" x14ac:dyDescent="0.25">
      <c r="A284" s="79" t="s">
        <v>272</v>
      </c>
      <c r="B284" s="80"/>
      <c r="C284" s="80"/>
      <c r="D284" s="80"/>
      <c r="E284" s="80"/>
      <c r="F284" s="80"/>
      <c r="G284" s="80"/>
      <c r="H284" s="81"/>
      <c r="J284" s="36"/>
    </row>
    <row r="285" spans="1:14" s="37" customFormat="1" ht="15.75" customHeight="1" x14ac:dyDescent="0.25">
      <c r="A285" s="76">
        <v>1</v>
      </c>
      <c r="B285" s="77"/>
      <c r="C285" s="42" t="s">
        <v>264</v>
      </c>
      <c r="D285" s="57">
        <f>(84.09)*10.764</f>
        <v>905.14476000000002</v>
      </c>
      <c r="E285" s="42">
        <v>0</v>
      </c>
      <c r="F285" s="42">
        <f>D285*(($F$198)+1)+(IF(E285&lt;101,E285,IF(E285&lt;201,E285/2,IF(E285&lt;=301,E285/3,E285/4))))</f>
        <v>1357.71714</v>
      </c>
      <c r="G285" s="82" t="str">
        <f>A284</f>
        <v>7th Floor</v>
      </c>
      <c r="H285" s="83"/>
      <c r="I285" s="36"/>
      <c r="L285" s="75"/>
      <c r="M285" s="75"/>
      <c r="N285" s="36"/>
    </row>
    <row r="286" spans="1:14" s="37" customFormat="1" x14ac:dyDescent="0.25">
      <c r="A286" s="76">
        <f t="shared" ref="A286:A288" si="31">A285+1</f>
        <v>2</v>
      </c>
      <c r="B286" s="77"/>
      <c r="C286" s="42" t="s">
        <v>260</v>
      </c>
      <c r="D286" s="57">
        <f>(68.83)*10.764</f>
        <v>740.88611999999989</v>
      </c>
      <c r="E286" s="42">
        <v>0</v>
      </c>
      <c r="F286" s="42">
        <f>D286*(($F$198)+1)+(IF(E286&lt;101,E286,IF(E286&lt;201,E286/2,IF(E286&lt;=301,E286/3,E286/4))))</f>
        <v>1111.3291799999997</v>
      </c>
      <c r="G286" s="84"/>
      <c r="H286" s="85"/>
      <c r="I286" s="36"/>
      <c r="L286" s="75"/>
      <c r="M286" s="75"/>
      <c r="N286" s="36"/>
    </row>
    <row r="287" spans="1:14" s="37" customFormat="1" x14ac:dyDescent="0.25">
      <c r="A287" s="76">
        <f t="shared" si="31"/>
        <v>3</v>
      </c>
      <c r="B287" s="77"/>
      <c r="C287" s="42" t="s">
        <v>264</v>
      </c>
      <c r="D287" s="57">
        <f>(90.87)*10.764</f>
        <v>978.12468000000001</v>
      </c>
      <c r="E287" s="42">
        <v>0</v>
      </c>
      <c r="F287" s="42">
        <f>D287*(($F$198)+1)+(IF(E287&lt;101,E287,IF(E287&lt;201,E287/2,IF(E287&lt;=301,E287/3,E287/4))))</f>
        <v>1467.1870200000001</v>
      </c>
      <c r="G287" s="84"/>
      <c r="H287" s="85"/>
      <c r="I287" s="36"/>
      <c r="L287" s="75"/>
      <c r="M287" s="75"/>
      <c r="N287" s="36"/>
    </row>
    <row r="288" spans="1:14" s="37" customFormat="1" x14ac:dyDescent="0.25">
      <c r="A288" s="76">
        <f t="shared" si="31"/>
        <v>4</v>
      </c>
      <c r="B288" s="77"/>
      <c r="C288" s="42" t="s">
        <v>263</v>
      </c>
      <c r="D288" s="57">
        <f>(81.67)*10.764</f>
        <v>879.09587999999997</v>
      </c>
      <c r="E288" s="42">
        <v>0</v>
      </c>
      <c r="F288" s="42">
        <f>D288*(($F$198)+1)+(IF(E288&lt;101,E288,IF(E288&lt;201,E288/2,IF(E288&lt;=301,E288/3,E288/4))))</f>
        <v>1318.64382</v>
      </c>
      <c r="G288" s="86"/>
      <c r="H288" s="87"/>
      <c r="I288" s="36"/>
      <c r="L288" s="75"/>
      <c r="M288" s="75"/>
      <c r="N288" s="36"/>
    </row>
    <row r="289" spans="1:14" s="37" customFormat="1" x14ac:dyDescent="0.25">
      <c r="A289" s="79" t="s">
        <v>273</v>
      </c>
      <c r="B289" s="80"/>
      <c r="C289" s="80"/>
      <c r="D289" s="80"/>
      <c r="E289" s="80"/>
      <c r="F289" s="80"/>
      <c r="G289" s="80"/>
      <c r="H289" s="81"/>
      <c r="J289" s="36"/>
    </row>
    <row r="290" spans="1:14" s="37" customFormat="1" ht="15.75" customHeight="1" x14ac:dyDescent="0.25">
      <c r="A290" s="76">
        <v>1</v>
      </c>
      <c r="B290" s="77"/>
      <c r="C290" s="76" t="s">
        <v>275</v>
      </c>
      <c r="D290" s="78"/>
      <c r="E290" s="78"/>
      <c r="F290" s="77"/>
      <c r="G290" s="82" t="str">
        <f>A289</f>
        <v>8th Floor (Part Refuge Area)</v>
      </c>
      <c r="H290" s="83"/>
      <c r="I290" s="36"/>
      <c r="L290" s="75"/>
      <c r="M290" s="75"/>
      <c r="N290" s="36"/>
    </row>
    <row r="291" spans="1:14" s="37" customFormat="1" x14ac:dyDescent="0.25">
      <c r="A291" s="76">
        <f t="shared" ref="A291:A293" si="32">A290+1</f>
        <v>2</v>
      </c>
      <c r="B291" s="77"/>
      <c r="C291" s="42" t="s">
        <v>260</v>
      </c>
      <c r="D291" s="57">
        <f>(73.25)*10.764</f>
        <v>788.46299999999997</v>
      </c>
      <c r="E291" s="42">
        <v>0</v>
      </c>
      <c r="F291" s="42">
        <f>D291*(($F$198)+1)+(IF(E291&lt;101,E291,IF(E291&lt;201,E291/2,IF(E291&lt;=301,E291/3,E291/4))))</f>
        <v>1182.6945000000001</v>
      </c>
      <c r="G291" s="84"/>
      <c r="H291" s="85"/>
      <c r="I291" s="36"/>
      <c r="L291" s="75"/>
      <c r="M291" s="75"/>
      <c r="N291" s="36"/>
    </row>
    <row r="292" spans="1:14" s="37" customFormat="1" x14ac:dyDescent="0.25">
      <c r="A292" s="76">
        <f t="shared" si="32"/>
        <v>3</v>
      </c>
      <c r="B292" s="77"/>
      <c r="C292" s="42" t="s">
        <v>264</v>
      </c>
      <c r="D292" s="57">
        <f>(90.87)*10.764</f>
        <v>978.12468000000001</v>
      </c>
      <c r="E292" s="42">
        <v>0</v>
      </c>
      <c r="F292" s="42">
        <f>D292*(($F$198)+1)+(IF(E292&lt;101,E292,IF(E292&lt;201,E292/2,IF(E292&lt;=301,E292/3,E292/4))))</f>
        <v>1467.1870200000001</v>
      </c>
      <c r="G292" s="84"/>
      <c r="H292" s="85"/>
      <c r="I292" s="36"/>
      <c r="L292" s="75"/>
      <c r="M292" s="75"/>
      <c r="N292" s="36"/>
    </row>
    <row r="293" spans="1:14" s="37" customFormat="1" x14ac:dyDescent="0.25">
      <c r="A293" s="76">
        <f t="shared" si="32"/>
        <v>4</v>
      </c>
      <c r="B293" s="77"/>
      <c r="C293" s="42" t="s">
        <v>263</v>
      </c>
      <c r="D293" s="57">
        <f>(81.67)*10.764</f>
        <v>879.09587999999997</v>
      </c>
      <c r="E293" s="42">
        <v>0</v>
      </c>
      <c r="F293" s="42">
        <f>D293*(($F$198)+1)+(IF(E293&lt;101,E293,IF(E293&lt;201,E293/2,IF(E293&lt;=301,E293/3,E293/4))))</f>
        <v>1318.64382</v>
      </c>
      <c r="G293" s="86"/>
      <c r="H293" s="87"/>
      <c r="I293" s="36"/>
      <c r="L293" s="75"/>
      <c r="M293" s="75"/>
      <c r="N293" s="36"/>
    </row>
    <row r="294" spans="1:14" s="37" customFormat="1" x14ac:dyDescent="0.25">
      <c r="A294" s="79" t="s">
        <v>276</v>
      </c>
      <c r="B294" s="80"/>
      <c r="C294" s="80"/>
      <c r="D294" s="80"/>
      <c r="E294" s="80"/>
      <c r="F294" s="80"/>
      <c r="G294" s="80"/>
      <c r="H294" s="81"/>
      <c r="J294" s="36"/>
    </row>
    <row r="295" spans="1:14" s="37" customFormat="1" ht="15.75" customHeight="1" x14ac:dyDescent="0.25">
      <c r="A295" s="76">
        <v>1</v>
      </c>
      <c r="B295" s="77"/>
      <c r="C295" s="42" t="s">
        <v>264</v>
      </c>
      <c r="D295" s="57">
        <f>(84.09)*10.764</f>
        <v>905.14476000000002</v>
      </c>
      <c r="E295" s="42">
        <v>0</v>
      </c>
      <c r="F295" s="42">
        <f>D295*(($F$198)+1)+(IF(E295&lt;101,E295,IF(E295&lt;201,E295/2,IF(E295&lt;=301,E295/3,E295/4))))</f>
        <v>1357.71714</v>
      </c>
      <c r="G295" s="82" t="str">
        <f>A294</f>
        <v>9th Floor</v>
      </c>
      <c r="H295" s="83"/>
      <c r="I295" s="36"/>
      <c r="L295" s="75"/>
      <c r="M295" s="75"/>
      <c r="N295" s="36"/>
    </row>
    <row r="296" spans="1:14" s="37" customFormat="1" x14ac:dyDescent="0.25">
      <c r="A296" s="76">
        <f t="shared" ref="A296:A298" si="33">A295+1</f>
        <v>2</v>
      </c>
      <c r="B296" s="77"/>
      <c r="C296" s="42" t="s">
        <v>260</v>
      </c>
      <c r="D296" s="57">
        <f>(68.83)*10.764</f>
        <v>740.88611999999989</v>
      </c>
      <c r="E296" s="42">
        <v>0</v>
      </c>
      <c r="F296" s="42">
        <f>D296*(($F$198)+1)+(IF(E296&lt;101,E296,IF(E296&lt;201,E296/2,IF(E296&lt;=301,E296/3,E296/4))))</f>
        <v>1111.3291799999997</v>
      </c>
      <c r="G296" s="84"/>
      <c r="H296" s="85"/>
      <c r="I296" s="36"/>
      <c r="L296" s="75"/>
      <c r="M296" s="75"/>
      <c r="N296" s="36"/>
    </row>
    <row r="297" spans="1:14" s="37" customFormat="1" x14ac:dyDescent="0.25">
      <c r="A297" s="76">
        <f t="shared" si="33"/>
        <v>3</v>
      </c>
      <c r="B297" s="77"/>
      <c r="C297" s="42" t="s">
        <v>264</v>
      </c>
      <c r="D297" s="57">
        <f>(90.87)*10.764</f>
        <v>978.12468000000001</v>
      </c>
      <c r="E297" s="42">
        <v>0</v>
      </c>
      <c r="F297" s="42">
        <f>D297*(($F$198)+1)+(IF(E297&lt;101,E297,IF(E297&lt;201,E297/2,IF(E297&lt;=301,E297/3,E297/4))))</f>
        <v>1467.1870200000001</v>
      </c>
      <c r="G297" s="84"/>
      <c r="H297" s="85"/>
      <c r="I297" s="36"/>
      <c r="L297" s="75"/>
      <c r="M297" s="75"/>
      <c r="N297" s="36"/>
    </row>
    <row r="298" spans="1:14" s="37" customFormat="1" x14ac:dyDescent="0.25">
      <c r="A298" s="76">
        <f t="shared" si="33"/>
        <v>4</v>
      </c>
      <c r="B298" s="77"/>
      <c r="C298" s="42" t="s">
        <v>263</v>
      </c>
      <c r="D298" s="57">
        <f>(81.67)*10.764</f>
        <v>879.09587999999997</v>
      </c>
      <c r="E298" s="42">
        <v>0</v>
      </c>
      <c r="F298" s="42">
        <f>D298*(($F$198)+1)+(IF(E298&lt;101,E298,IF(E298&lt;201,E298/2,IF(E298&lt;=301,E298/3,E298/4))))</f>
        <v>1318.64382</v>
      </c>
      <c r="G298" s="86"/>
      <c r="H298" s="87"/>
      <c r="I298" s="36"/>
      <c r="J298" s="37">
        <f>33500000/F298</f>
        <v>25404.889092795354</v>
      </c>
      <c r="L298" s="75"/>
      <c r="M298" s="75"/>
      <c r="N298" s="36"/>
    </row>
    <row r="299" spans="1:14" s="37" customFormat="1" x14ac:dyDescent="0.25">
      <c r="A299" s="79" t="s">
        <v>277</v>
      </c>
      <c r="B299" s="80"/>
      <c r="C299" s="80"/>
      <c r="D299" s="80"/>
      <c r="E299" s="80"/>
      <c r="F299" s="80"/>
      <c r="G299" s="80"/>
      <c r="H299" s="81"/>
      <c r="J299" s="36"/>
    </row>
    <row r="300" spans="1:14" s="37" customFormat="1" ht="15.75" customHeight="1" x14ac:dyDescent="0.25">
      <c r="A300" s="76">
        <v>1</v>
      </c>
      <c r="B300" s="77"/>
      <c r="C300" s="42" t="s">
        <v>264</v>
      </c>
      <c r="D300" s="57">
        <f>(84.44)*10.764</f>
        <v>908.91215999999997</v>
      </c>
      <c r="E300" s="42">
        <v>0</v>
      </c>
      <c r="F300" s="42">
        <f>D300*(($F$198)+1)+(IF(E300&lt;101,E300,IF(E300&lt;201,E300/2,IF(E300&lt;=301,E300/3,E300/4))))</f>
        <v>1363.36824</v>
      </c>
      <c r="G300" s="82" t="str">
        <f>A299</f>
        <v>10th Floor</v>
      </c>
      <c r="H300" s="83"/>
      <c r="I300" s="36"/>
      <c r="L300" s="75"/>
      <c r="M300" s="75"/>
      <c r="N300" s="36"/>
    </row>
    <row r="301" spans="1:14" s="37" customFormat="1" x14ac:dyDescent="0.25">
      <c r="A301" s="76">
        <f t="shared" ref="A301:A303" si="34">A300+1</f>
        <v>2</v>
      </c>
      <c r="B301" s="77"/>
      <c r="C301" s="42" t="s">
        <v>260</v>
      </c>
      <c r="D301" s="57">
        <f>(69.18)*10.764</f>
        <v>744.65352000000007</v>
      </c>
      <c r="E301" s="42">
        <v>0</v>
      </c>
      <c r="F301" s="42">
        <f>D301*(($F$198)+1)+(IF(E301&lt;101,E301,IF(E301&lt;201,E301/2,IF(E301&lt;=301,E301/3,E301/4))))</f>
        <v>1116.9802800000002</v>
      </c>
      <c r="G301" s="84"/>
      <c r="H301" s="85"/>
      <c r="I301" s="36"/>
      <c r="L301" s="75"/>
      <c r="M301" s="75"/>
      <c r="N301" s="36"/>
    </row>
    <row r="302" spans="1:14" s="37" customFormat="1" x14ac:dyDescent="0.25">
      <c r="A302" s="76">
        <f t="shared" si="34"/>
        <v>3</v>
      </c>
      <c r="B302" s="77"/>
      <c r="C302" s="42" t="s">
        <v>264</v>
      </c>
      <c r="D302" s="57">
        <f>(90.87)*10.764</f>
        <v>978.12468000000001</v>
      </c>
      <c r="E302" s="42">
        <v>0</v>
      </c>
      <c r="F302" s="42">
        <f>D302*(($F$198)+1)+(IF(E302&lt;101,E302,IF(E302&lt;201,E302/2,IF(E302&lt;=301,E302/3,E302/4))))</f>
        <v>1467.1870200000001</v>
      </c>
      <c r="G302" s="84"/>
      <c r="H302" s="85"/>
      <c r="I302" s="36"/>
      <c r="L302" s="75"/>
      <c r="M302" s="75"/>
      <c r="N302" s="36"/>
    </row>
    <row r="303" spans="1:14" s="37" customFormat="1" x14ac:dyDescent="0.25">
      <c r="A303" s="76">
        <f t="shared" si="34"/>
        <v>4</v>
      </c>
      <c r="B303" s="77"/>
      <c r="C303" s="42" t="s">
        <v>263</v>
      </c>
      <c r="D303" s="57">
        <f>(81.67)*10.764</f>
        <v>879.09587999999997</v>
      </c>
      <c r="E303" s="42">
        <v>0</v>
      </c>
      <c r="F303" s="42">
        <f>D303*(($F$198)+1)+(IF(E303&lt;101,E303,IF(E303&lt;201,E303/2,IF(E303&lt;=301,E303/3,E303/4))))</f>
        <v>1318.64382</v>
      </c>
      <c r="G303" s="86"/>
      <c r="H303" s="87"/>
      <c r="I303" s="36"/>
      <c r="L303" s="75"/>
      <c r="M303" s="75"/>
      <c r="N303" s="36"/>
    </row>
    <row r="304" spans="1:14" s="37" customFormat="1" x14ac:dyDescent="0.25">
      <c r="A304" s="79" t="s">
        <v>322</v>
      </c>
      <c r="B304" s="80"/>
      <c r="C304" s="80"/>
      <c r="D304" s="80"/>
      <c r="E304" s="80"/>
      <c r="F304" s="80"/>
      <c r="G304" s="80"/>
      <c r="H304" s="81"/>
      <c r="J304" s="36"/>
    </row>
    <row r="305" spans="1:14" s="37" customFormat="1" ht="15.75" customHeight="1" x14ac:dyDescent="0.25">
      <c r="A305" s="76">
        <v>1</v>
      </c>
      <c r="B305" s="77"/>
      <c r="C305" s="42" t="s">
        <v>264</v>
      </c>
      <c r="D305" s="57">
        <f>(84.44)*10.764</f>
        <v>908.91215999999997</v>
      </c>
      <c r="E305" s="42">
        <v>0</v>
      </c>
      <c r="F305" s="42">
        <f>D305*(($F$198)+1)+(IF(E305&lt;101,E305,IF(E305&lt;201,E305/2,IF(E305&lt;=301,E305/3,E305/4))))</f>
        <v>1363.36824</v>
      </c>
      <c r="G305" s="82" t="str">
        <f>A304</f>
        <v>11th &amp; 12th Floor</v>
      </c>
      <c r="H305" s="83"/>
      <c r="I305" s="36"/>
      <c r="L305" s="75"/>
      <c r="M305" s="75"/>
      <c r="N305" s="36"/>
    </row>
    <row r="306" spans="1:14" s="37" customFormat="1" x14ac:dyDescent="0.25">
      <c r="A306" s="76">
        <f t="shared" ref="A306:A308" si="35">A305+1</f>
        <v>2</v>
      </c>
      <c r="B306" s="77"/>
      <c r="C306" s="42" t="s">
        <v>260</v>
      </c>
      <c r="D306" s="57">
        <f>(69.18)*10.764</f>
        <v>744.65352000000007</v>
      </c>
      <c r="E306" s="42">
        <v>0</v>
      </c>
      <c r="F306" s="42">
        <f>D306*(($F$198)+1)+(IF(E306&lt;101,E306,IF(E306&lt;201,E306/2,IF(E306&lt;=301,E306/3,E306/4))))</f>
        <v>1116.9802800000002</v>
      </c>
      <c r="G306" s="84"/>
      <c r="H306" s="85"/>
      <c r="I306" s="36"/>
      <c r="L306" s="75"/>
      <c r="M306" s="75"/>
      <c r="N306" s="36"/>
    </row>
    <row r="307" spans="1:14" s="37" customFormat="1" x14ac:dyDescent="0.25">
      <c r="A307" s="76">
        <f t="shared" si="35"/>
        <v>3</v>
      </c>
      <c r="B307" s="77"/>
      <c r="C307" s="42" t="s">
        <v>264</v>
      </c>
      <c r="D307" s="57">
        <f>(90.87)*10.764</f>
        <v>978.12468000000001</v>
      </c>
      <c r="E307" s="42">
        <v>0</v>
      </c>
      <c r="F307" s="42">
        <f>D307*(($F$198)+1)+(IF(E307&lt;101,E307,IF(E307&lt;201,E307/2,IF(E307&lt;=301,E307/3,E307/4))))</f>
        <v>1467.1870200000001</v>
      </c>
      <c r="G307" s="84"/>
      <c r="H307" s="85"/>
      <c r="I307" s="36"/>
      <c r="L307" s="75"/>
      <c r="M307" s="75"/>
      <c r="N307" s="36"/>
    </row>
    <row r="308" spans="1:14" s="37" customFormat="1" x14ac:dyDescent="0.25">
      <c r="A308" s="76">
        <f t="shared" si="35"/>
        <v>4</v>
      </c>
      <c r="B308" s="77"/>
      <c r="C308" s="42" t="s">
        <v>263</v>
      </c>
      <c r="D308" s="57">
        <f>(81.67)*10.764</f>
        <v>879.09587999999997</v>
      </c>
      <c r="E308" s="42">
        <v>0</v>
      </c>
      <c r="F308" s="42">
        <f>D308*(($F$198)+1)+(IF(E308&lt;101,E308,IF(E308&lt;201,E308/2,IF(E308&lt;=301,E308/3,E308/4))))</f>
        <v>1318.64382</v>
      </c>
      <c r="G308" s="86"/>
      <c r="H308" s="87"/>
      <c r="I308" s="36"/>
      <c r="L308" s="75"/>
      <c r="M308" s="75"/>
      <c r="N308" s="36"/>
    </row>
    <row r="309" spans="1:14" s="37" customFormat="1" hidden="1" x14ac:dyDescent="0.25">
      <c r="A309" s="79" t="s">
        <v>278</v>
      </c>
      <c r="B309" s="80"/>
      <c r="C309" s="80"/>
      <c r="D309" s="80"/>
      <c r="E309" s="80"/>
      <c r="F309" s="80"/>
      <c r="G309" s="80"/>
      <c r="H309" s="81"/>
      <c r="J309" s="36"/>
    </row>
    <row r="310" spans="1:14" s="37" customFormat="1" ht="15.75" hidden="1" customHeight="1" x14ac:dyDescent="0.25">
      <c r="A310" s="76">
        <v>1</v>
      </c>
      <c r="B310" s="77"/>
      <c r="C310" s="42" t="s">
        <v>264</v>
      </c>
      <c r="D310" s="57">
        <f>(84.09)*10.764</f>
        <v>905.14476000000002</v>
      </c>
      <c r="E310" s="42">
        <v>0</v>
      </c>
      <c r="F310" s="42">
        <f>D310*(($F$198)+1)+(IF(E310&lt;101,E310,IF(E310&lt;201,E310/2,IF(E310&lt;=301,E310/3,E310/4))))</f>
        <v>1357.71714</v>
      </c>
      <c r="G310" s="82" t="str">
        <f>A309</f>
        <v>12th Floor (Part Terrace Area)</v>
      </c>
      <c r="H310" s="83"/>
      <c r="I310" s="36"/>
      <c r="L310" s="75"/>
      <c r="M310" s="75"/>
      <c r="N310" s="36"/>
    </row>
    <row r="311" spans="1:14" s="37" customFormat="1" hidden="1" x14ac:dyDescent="0.25">
      <c r="A311" s="76">
        <f t="shared" ref="A311:A313" si="36">A310+1</f>
        <v>2</v>
      </c>
      <c r="B311" s="77"/>
      <c r="C311" s="42" t="s">
        <v>260</v>
      </c>
      <c r="D311" s="57">
        <f>(68.83)*10.764</f>
        <v>740.88611999999989</v>
      </c>
      <c r="E311" s="42">
        <v>0</v>
      </c>
      <c r="F311" s="42">
        <f>D311*(($F$198)+1)+(IF(E311&lt;101,E311,IF(E311&lt;201,E311/2,IF(E311&lt;=301,E311/3,E311/4))))</f>
        <v>1111.3291799999997</v>
      </c>
      <c r="G311" s="84"/>
      <c r="H311" s="85"/>
      <c r="I311" s="36"/>
      <c r="L311" s="75"/>
      <c r="M311" s="75"/>
      <c r="N311" s="36"/>
    </row>
    <row r="312" spans="1:14" s="37" customFormat="1" hidden="1" x14ac:dyDescent="0.25">
      <c r="A312" s="76">
        <f t="shared" si="36"/>
        <v>3</v>
      </c>
      <c r="B312" s="77"/>
      <c r="C312" s="42" t="s">
        <v>264</v>
      </c>
      <c r="D312" s="57">
        <f>(89.55)*10.764</f>
        <v>963.91619999999989</v>
      </c>
      <c r="E312" s="42">
        <v>0</v>
      </c>
      <c r="F312" s="42">
        <f>D312*(($F$198)+1)+(IF(E312&lt;101,E312,IF(E312&lt;201,E312/2,IF(E312&lt;=301,E312/3,E312/4))))</f>
        <v>1445.8742999999999</v>
      </c>
      <c r="G312" s="84"/>
      <c r="H312" s="85"/>
      <c r="I312" s="36"/>
      <c r="L312" s="75"/>
      <c r="M312" s="75"/>
      <c r="N312" s="36"/>
    </row>
    <row r="313" spans="1:14" s="37" customFormat="1" hidden="1" x14ac:dyDescent="0.25">
      <c r="A313" s="76">
        <f t="shared" si="36"/>
        <v>4</v>
      </c>
      <c r="B313" s="77"/>
      <c r="C313" s="76" t="s">
        <v>279</v>
      </c>
      <c r="D313" s="78"/>
      <c r="E313" s="78"/>
      <c r="F313" s="77"/>
      <c r="G313" s="86"/>
      <c r="H313" s="87"/>
      <c r="I313" s="36"/>
      <c r="L313" s="75"/>
      <c r="M313" s="75"/>
      <c r="N313" s="36"/>
    </row>
    <row r="314" spans="1:14" s="37" customFormat="1" x14ac:dyDescent="0.25">
      <c r="A314" s="179" t="s">
        <v>265</v>
      </c>
      <c r="B314" s="180"/>
      <c r="C314" s="180"/>
      <c r="D314" s="180"/>
      <c r="E314" s="180"/>
      <c r="F314" s="180"/>
      <c r="G314" s="180"/>
      <c r="H314" s="181"/>
      <c r="J314" s="36"/>
    </row>
    <row r="315" spans="1:14" s="37" customFormat="1" ht="15.75" customHeight="1" x14ac:dyDescent="0.25">
      <c r="A315" s="79" t="s">
        <v>296</v>
      </c>
      <c r="B315" s="80"/>
      <c r="C315" s="80"/>
      <c r="D315" s="80"/>
      <c r="E315" s="80"/>
      <c r="F315" s="80"/>
      <c r="G315" s="80"/>
      <c r="H315" s="81"/>
      <c r="J315" s="36"/>
    </row>
    <row r="316" spans="1:14" s="37" customFormat="1" ht="15.75" customHeight="1" x14ac:dyDescent="0.25">
      <c r="A316" s="79" t="s">
        <v>297</v>
      </c>
      <c r="B316" s="80"/>
      <c r="C316" s="80"/>
      <c r="D316" s="80"/>
      <c r="E316" s="80"/>
      <c r="F316" s="80"/>
      <c r="G316" s="80"/>
      <c r="H316" s="81"/>
      <c r="J316" s="36"/>
    </row>
    <row r="317" spans="1:14" s="37" customFormat="1" x14ac:dyDescent="0.25">
      <c r="A317" s="79" t="s">
        <v>262</v>
      </c>
      <c r="B317" s="80"/>
      <c r="C317" s="80"/>
      <c r="D317" s="80"/>
      <c r="E317" s="80"/>
      <c r="F317" s="80"/>
      <c r="G317" s="80"/>
      <c r="H317" s="81"/>
      <c r="J317" s="36"/>
    </row>
    <row r="318" spans="1:14" s="37" customFormat="1" ht="15.75" customHeight="1" x14ac:dyDescent="0.25">
      <c r="A318" s="76">
        <v>1</v>
      </c>
      <c r="B318" s="77"/>
      <c r="C318" s="42" t="s">
        <v>263</v>
      </c>
      <c r="D318" s="57">
        <f>(75.3)*10.764</f>
        <v>810.52919999999995</v>
      </c>
      <c r="E318" s="42">
        <v>0</v>
      </c>
      <c r="F318" s="42">
        <f>D318*(($F$198)+1)+(IF(E318&lt;101,E318,IF(E318&lt;201,E318/2,IF(E318&lt;=301,E318/3,E318/4))))</f>
        <v>1215.7937999999999</v>
      </c>
      <c r="G318" s="82" t="str">
        <f>A317</f>
        <v>1st Floor for Residential</v>
      </c>
      <c r="H318" s="83"/>
      <c r="I318" s="36"/>
      <c r="L318" s="75"/>
      <c r="M318" s="75"/>
      <c r="N318" s="36"/>
    </row>
    <row r="319" spans="1:14" s="37" customFormat="1" x14ac:dyDescent="0.25">
      <c r="A319" s="76">
        <f t="shared" ref="A319:A321" si="37">A318+1</f>
        <v>2</v>
      </c>
      <c r="B319" s="77"/>
      <c r="C319" s="76" t="s">
        <v>323</v>
      </c>
      <c r="D319" s="78"/>
      <c r="E319" s="78"/>
      <c r="F319" s="77"/>
      <c r="G319" s="84"/>
      <c r="H319" s="85"/>
      <c r="I319" s="36"/>
      <c r="L319" s="75"/>
      <c r="M319" s="75"/>
      <c r="N319" s="36"/>
    </row>
    <row r="320" spans="1:14" s="37" customFormat="1" x14ac:dyDescent="0.25">
      <c r="A320" s="76">
        <f t="shared" si="37"/>
        <v>3</v>
      </c>
      <c r="B320" s="77"/>
      <c r="C320" s="42" t="s">
        <v>264</v>
      </c>
      <c r="D320" s="57">
        <f>(85.87)*10.764</f>
        <v>924.30467999999996</v>
      </c>
      <c r="E320" s="42">
        <v>0</v>
      </c>
      <c r="F320" s="42">
        <f>D320*(($F$198)+1)+(IF(E320&lt;101,E320,IF(E320&lt;201,E320/2,IF(E320&lt;=301,E320/3,E320/4))))</f>
        <v>1386.4570199999998</v>
      </c>
      <c r="G320" s="84"/>
      <c r="H320" s="85"/>
      <c r="I320" s="36"/>
      <c r="L320" s="75"/>
      <c r="M320" s="75"/>
      <c r="N320" s="36"/>
    </row>
    <row r="321" spans="1:14" s="37" customFormat="1" x14ac:dyDescent="0.25">
      <c r="A321" s="76">
        <f t="shared" si="37"/>
        <v>4</v>
      </c>
      <c r="B321" s="77"/>
      <c r="C321" s="42" t="s">
        <v>263</v>
      </c>
      <c r="D321" s="57">
        <f>(75.32)*10.764</f>
        <v>810.74447999999984</v>
      </c>
      <c r="E321" s="42">
        <v>0</v>
      </c>
      <c r="F321" s="42">
        <f>D321*(($F$198)+1)+(IF(E321&lt;101,E321,IF(E321&lt;201,E321/2,IF(E321&lt;=301,E321/3,E321/4))))</f>
        <v>1216.1167199999998</v>
      </c>
      <c r="G321" s="86"/>
      <c r="H321" s="87"/>
      <c r="I321" s="36"/>
      <c r="L321" s="75"/>
      <c r="M321" s="75"/>
      <c r="N321" s="36"/>
    </row>
    <row r="322" spans="1:14" s="37" customFormat="1" x14ac:dyDescent="0.25">
      <c r="A322" s="79" t="s">
        <v>121</v>
      </c>
      <c r="B322" s="80"/>
      <c r="C322" s="80"/>
      <c r="D322" s="80"/>
      <c r="E322" s="80"/>
      <c r="F322" s="80"/>
      <c r="G322" s="80"/>
      <c r="H322" s="81"/>
      <c r="J322" s="36"/>
    </row>
    <row r="323" spans="1:14" s="37" customFormat="1" ht="15.75" customHeight="1" x14ac:dyDescent="0.25">
      <c r="A323" s="76">
        <v>1</v>
      </c>
      <c r="B323" s="77"/>
      <c r="C323" s="42" t="s">
        <v>263</v>
      </c>
      <c r="D323" s="57">
        <f>(75.3)*10.764</f>
        <v>810.52919999999995</v>
      </c>
      <c r="E323" s="42">
        <v>0</v>
      </c>
      <c r="F323" s="42">
        <f>D323*(($F$198)+1)+(IF(E323&lt;101,E323,IF(E323&lt;201,E323/2,IF(E323&lt;=301,E323/3,E323/4))))</f>
        <v>1215.7937999999999</v>
      </c>
      <c r="G323" s="82" t="str">
        <f>A322</f>
        <v>2nd Floor</v>
      </c>
      <c r="H323" s="83"/>
      <c r="I323" s="36"/>
      <c r="L323" s="75"/>
      <c r="M323" s="75"/>
      <c r="N323" s="36"/>
    </row>
    <row r="324" spans="1:14" s="37" customFormat="1" x14ac:dyDescent="0.25">
      <c r="A324" s="76">
        <f t="shared" ref="A324:A326" si="38">A323+1</f>
        <v>2</v>
      </c>
      <c r="B324" s="77"/>
      <c r="C324" s="42" t="s">
        <v>260</v>
      </c>
      <c r="D324" s="57">
        <f>(71.54)*10.764</f>
        <v>770.05655999999999</v>
      </c>
      <c r="E324" s="42">
        <v>0</v>
      </c>
      <c r="F324" s="42">
        <f>D324*(($F$198)+1)+(IF(E324&lt;101,E324,IF(E324&lt;201,E324/2,IF(E324&lt;=301,E324/3,E324/4))))</f>
        <v>1155.08484</v>
      </c>
      <c r="G324" s="84"/>
      <c r="H324" s="85"/>
      <c r="I324" s="36"/>
      <c r="L324" s="75"/>
      <c r="M324" s="75"/>
      <c r="N324" s="36"/>
    </row>
    <row r="325" spans="1:14" s="37" customFormat="1" x14ac:dyDescent="0.25">
      <c r="A325" s="76">
        <f t="shared" si="38"/>
        <v>3</v>
      </c>
      <c r="B325" s="77"/>
      <c r="C325" s="42" t="s">
        <v>264</v>
      </c>
      <c r="D325" s="57">
        <f>(85.87)*10.764</f>
        <v>924.30467999999996</v>
      </c>
      <c r="E325" s="42">
        <v>0</v>
      </c>
      <c r="F325" s="42">
        <f>D325*(($F$198)+1)+(IF(E325&lt;101,E325,IF(E325&lt;201,E325/2,IF(E325&lt;=301,E325/3,E325/4))))</f>
        <v>1386.4570199999998</v>
      </c>
      <c r="G325" s="84"/>
      <c r="H325" s="85"/>
      <c r="I325" s="36"/>
      <c r="L325" s="75"/>
      <c r="M325" s="75"/>
      <c r="N325" s="36"/>
    </row>
    <row r="326" spans="1:14" s="37" customFormat="1" x14ac:dyDescent="0.25">
      <c r="A326" s="76">
        <f t="shared" si="38"/>
        <v>4</v>
      </c>
      <c r="B326" s="77"/>
      <c r="C326" s="42" t="s">
        <v>263</v>
      </c>
      <c r="D326" s="57">
        <f>(75.32)*10.764</f>
        <v>810.74447999999984</v>
      </c>
      <c r="E326" s="42">
        <v>0</v>
      </c>
      <c r="F326" s="42">
        <f>D326*(($F$198)+1)+(IF(E326&lt;101,E326,IF(E326&lt;201,E326/2,IF(E326&lt;=301,E326/3,E326/4))))</f>
        <v>1216.1167199999998</v>
      </c>
      <c r="G326" s="86"/>
      <c r="H326" s="87"/>
      <c r="I326" s="36"/>
      <c r="L326" s="75"/>
      <c r="M326" s="75"/>
      <c r="N326" s="36"/>
    </row>
    <row r="327" spans="1:14" s="37" customFormat="1" x14ac:dyDescent="0.25">
      <c r="A327" s="79" t="s">
        <v>268</v>
      </c>
      <c r="B327" s="80"/>
      <c r="C327" s="80"/>
      <c r="D327" s="80"/>
      <c r="E327" s="80"/>
      <c r="F327" s="80"/>
      <c r="G327" s="80"/>
      <c r="H327" s="81"/>
      <c r="J327" s="36"/>
    </row>
    <row r="328" spans="1:14" s="37" customFormat="1" ht="15.75" customHeight="1" x14ac:dyDescent="0.25">
      <c r="A328" s="76">
        <v>1</v>
      </c>
      <c r="B328" s="77"/>
      <c r="C328" s="42" t="s">
        <v>263</v>
      </c>
      <c r="D328" s="57">
        <f>(75.3)*10.764</f>
        <v>810.52919999999995</v>
      </c>
      <c r="E328" s="42">
        <v>0</v>
      </c>
      <c r="F328" s="42">
        <f>D328*(($F$198)+1)+(IF(E328&lt;101,E328,IF(E328&lt;201,E328/2,IF(E328&lt;=301,E328/3,E328/4))))</f>
        <v>1215.7937999999999</v>
      </c>
      <c r="G328" s="82" t="str">
        <f>A327</f>
        <v>3rd Floor</v>
      </c>
      <c r="H328" s="83"/>
      <c r="I328" s="36"/>
      <c r="L328" s="75"/>
      <c r="M328" s="75"/>
      <c r="N328" s="36"/>
    </row>
    <row r="329" spans="1:14" s="37" customFormat="1" x14ac:dyDescent="0.25">
      <c r="A329" s="76">
        <f t="shared" ref="A329:A331" si="39">A328+1</f>
        <v>2</v>
      </c>
      <c r="B329" s="77"/>
      <c r="C329" s="42" t="s">
        <v>260</v>
      </c>
      <c r="D329" s="57">
        <f>(71.54)*10.764</f>
        <v>770.05655999999999</v>
      </c>
      <c r="E329" s="42">
        <v>0</v>
      </c>
      <c r="F329" s="42">
        <f>D329*(($F$198)+1)+(IF(E329&lt;101,E329,IF(E329&lt;201,E329/2,IF(E329&lt;=301,E329/3,E329/4))))</f>
        <v>1155.08484</v>
      </c>
      <c r="G329" s="84"/>
      <c r="H329" s="85"/>
      <c r="I329" s="36"/>
      <c r="L329" s="75"/>
      <c r="M329" s="75"/>
      <c r="N329" s="36"/>
    </row>
    <row r="330" spans="1:14" s="37" customFormat="1" x14ac:dyDescent="0.25">
      <c r="A330" s="76">
        <f t="shared" si="39"/>
        <v>3</v>
      </c>
      <c r="B330" s="77"/>
      <c r="C330" s="42" t="s">
        <v>264</v>
      </c>
      <c r="D330" s="57">
        <f>(85.87)*10.764</f>
        <v>924.30467999999996</v>
      </c>
      <c r="E330" s="42">
        <v>0</v>
      </c>
      <c r="F330" s="42">
        <f>D330*(($F$198)+1)+(IF(E330&lt;101,E330,IF(E330&lt;201,E330/2,IF(E330&lt;=301,E330/3,E330/4))))</f>
        <v>1386.4570199999998</v>
      </c>
      <c r="G330" s="84"/>
      <c r="H330" s="85"/>
      <c r="I330" s="36"/>
      <c r="L330" s="75"/>
      <c r="M330" s="75"/>
      <c r="N330" s="36"/>
    </row>
    <row r="331" spans="1:14" s="37" customFormat="1" x14ac:dyDescent="0.25">
      <c r="A331" s="76">
        <f t="shared" si="39"/>
        <v>4</v>
      </c>
      <c r="B331" s="77"/>
      <c r="C331" s="42" t="s">
        <v>263</v>
      </c>
      <c r="D331" s="57">
        <f>(75.32)*10.764</f>
        <v>810.74447999999984</v>
      </c>
      <c r="E331" s="42">
        <v>0</v>
      </c>
      <c r="F331" s="42">
        <f>D331*(($F$198)+1)+(IF(E331&lt;101,E331,IF(E331&lt;201,E331/2,IF(E331&lt;=301,E331/3,E331/4))))</f>
        <v>1216.1167199999998</v>
      </c>
      <c r="G331" s="86"/>
      <c r="H331" s="87"/>
      <c r="I331" s="36"/>
      <c r="L331" s="75"/>
      <c r="M331" s="75"/>
      <c r="N331" s="36"/>
    </row>
    <row r="332" spans="1:14" s="37" customFormat="1" x14ac:dyDescent="0.25">
      <c r="A332" s="79" t="s">
        <v>269</v>
      </c>
      <c r="B332" s="80"/>
      <c r="C332" s="80"/>
      <c r="D332" s="80"/>
      <c r="E332" s="80"/>
      <c r="F332" s="80"/>
      <c r="G332" s="80"/>
      <c r="H332" s="81"/>
      <c r="J332" s="36"/>
    </row>
    <row r="333" spans="1:14" s="37" customFormat="1" ht="15.75" customHeight="1" x14ac:dyDescent="0.25">
      <c r="A333" s="76">
        <v>1</v>
      </c>
      <c r="B333" s="77"/>
      <c r="C333" s="42" t="s">
        <v>263</v>
      </c>
      <c r="D333" s="57">
        <f>(75.3)*10.764</f>
        <v>810.52919999999995</v>
      </c>
      <c r="E333" s="42">
        <v>0</v>
      </c>
      <c r="F333" s="42">
        <f>D333*(($F$198)+1)+(IF(E333&lt;101,E333,IF(E333&lt;201,E333/2,IF(E333&lt;=301,E333/3,E333/4))))</f>
        <v>1215.7937999999999</v>
      </c>
      <c r="G333" s="82" t="str">
        <f>A332</f>
        <v>4th Floor</v>
      </c>
      <c r="H333" s="83"/>
      <c r="I333" s="36"/>
      <c r="L333" s="75"/>
      <c r="M333" s="75"/>
      <c r="N333" s="36"/>
    </row>
    <row r="334" spans="1:14" s="37" customFormat="1" x14ac:dyDescent="0.25">
      <c r="A334" s="76">
        <f t="shared" ref="A334:A336" si="40">A333+1</f>
        <v>2</v>
      </c>
      <c r="B334" s="77"/>
      <c r="C334" s="42" t="s">
        <v>260</v>
      </c>
      <c r="D334" s="57">
        <f>(71.54)*10.764</f>
        <v>770.05655999999999</v>
      </c>
      <c r="E334" s="42">
        <v>0</v>
      </c>
      <c r="F334" s="42">
        <f>D334*(($F$198)+1)+(IF(E334&lt;101,E334,IF(E334&lt;201,E334/2,IF(E334&lt;=301,E334/3,E334/4))))</f>
        <v>1155.08484</v>
      </c>
      <c r="G334" s="84"/>
      <c r="H334" s="85"/>
      <c r="I334" s="36"/>
      <c r="L334" s="75"/>
      <c r="M334" s="75"/>
      <c r="N334" s="36"/>
    </row>
    <row r="335" spans="1:14" s="37" customFormat="1" x14ac:dyDescent="0.25">
      <c r="A335" s="76">
        <f t="shared" si="40"/>
        <v>3</v>
      </c>
      <c r="B335" s="77"/>
      <c r="C335" s="42" t="s">
        <v>264</v>
      </c>
      <c r="D335" s="57">
        <f>(85.87)*10.764</f>
        <v>924.30467999999996</v>
      </c>
      <c r="E335" s="42">
        <v>0</v>
      </c>
      <c r="F335" s="42">
        <f>D335*(($F$198)+1)+(IF(E335&lt;101,E335,IF(E335&lt;201,E335/2,IF(E335&lt;=301,E335/3,E335/4))))</f>
        <v>1386.4570199999998</v>
      </c>
      <c r="G335" s="84"/>
      <c r="H335" s="85"/>
      <c r="I335" s="36"/>
      <c r="L335" s="75"/>
      <c r="M335" s="75"/>
      <c r="N335" s="36"/>
    </row>
    <row r="336" spans="1:14" s="37" customFormat="1" x14ac:dyDescent="0.25">
      <c r="A336" s="76">
        <f t="shared" si="40"/>
        <v>4</v>
      </c>
      <c r="B336" s="77"/>
      <c r="C336" s="42" t="s">
        <v>263</v>
      </c>
      <c r="D336" s="57">
        <f>(75.32)*10.764</f>
        <v>810.74447999999984</v>
      </c>
      <c r="E336" s="42">
        <v>0</v>
      </c>
      <c r="F336" s="42">
        <f>D336*(($F$198)+1)+(IF(E336&lt;101,E336,IF(E336&lt;201,E336/2,IF(E336&lt;=301,E336/3,E336/4))))</f>
        <v>1216.1167199999998</v>
      </c>
      <c r="G336" s="86"/>
      <c r="H336" s="87"/>
      <c r="I336" s="36"/>
      <c r="L336" s="75"/>
      <c r="M336" s="75"/>
      <c r="N336" s="36"/>
    </row>
    <row r="337" spans="1:14" s="37" customFormat="1" x14ac:dyDescent="0.25">
      <c r="A337" s="79" t="s">
        <v>270</v>
      </c>
      <c r="B337" s="80"/>
      <c r="C337" s="80"/>
      <c r="D337" s="80"/>
      <c r="E337" s="80"/>
      <c r="F337" s="80"/>
      <c r="G337" s="80"/>
      <c r="H337" s="81"/>
      <c r="J337" s="36"/>
    </row>
    <row r="338" spans="1:14" s="37" customFormat="1" ht="15.75" customHeight="1" x14ac:dyDescent="0.25">
      <c r="A338" s="76">
        <v>1</v>
      </c>
      <c r="B338" s="77"/>
      <c r="C338" s="42" t="s">
        <v>263</v>
      </c>
      <c r="D338" s="57">
        <f>(75.3)*10.764</f>
        <v>810.52919999999995</v>
      </c>
      <c r="E338" s="42">
        <v>0</v>
      </c>
      <c r="F338" s="42">
        <f>D338*(($F$198)+1)+(IF(E338&lt;101,E338,IF(E338&lt;201,E338/2,IF(E338&lt;=301,E338/3,E338/4))))</f>
        <v>1215.7937999999999</v>
      </c>
      <c r="G338" s="82" t="str">
        <f>A337</f>
        <v>5th Floor</v>
      </c>
      <c r="H338" s="83"/>
      <c r="I338" s="36"/>
      <c r="L338" s="75"/>
      <c r="M338" s="75"/>
      <c r="N338" s="36"/>
    </row>
    <row r="339" spans="1:14" s="37" customFormat="1" x14ac:dyDescent="0.25">
      <c r="A339" s="76">
        <f t="shared" ref="A339:A341" si="41">A338+1</f>
        <v>2</v>
      </c>
      <c r="B339" s="77"/>
      <c r="C339" s="42" t="s">
        <v>260</v>
      </c>
      <c r="D339" s="57">
        <f>(71.54)*10.764</f>
        <v>770.05655999999999</v>
      </c>
      <c r="E339" s="42">
        <v>0</v>
      </c>
      <c r="F339" s="42">
        <f>D339*(($F$198)+1)+(IF(E339&lt;101,E339,IF(E339&lt;201,E339/2,IF(E339&lt;=301,E339/3,E339/4))))</f>
        <v>1155.08484</v>
      </c>
      <c r="G339" s="84"/>
      <c r="H339" s="85"/>
      <c r="I339" s="36"/>
      <c r="L339" s="75"/>
      <c r="M339" s="75"/>
      <c r="N339" s="36"/>
    </row>
    <row r="340" spans="1:14" s="37" customFormat="1" x14ac:dyDescent="0.25">
      <c r="A340" s="76">
        <f t="shared" si="41"/>
        <v>3</v>
      </c>
      <c r="B340" s="77"/>
      <c r="C340" s="42" t="s">
        <v>264</v>
      </c>
      <c r="D340" s="57">
        <f>(85.87)*10.764</f>
        <v>924.30467999999996</v>
      </c>
      <c r="E340" s="42">
        <v>0</v>
      </c>
      <c r="F340" s="42">
        <f>D340*(($F$198)+1)+(IF(E340&lt;101,E340,IF(E340&lt;201,E340/2,IF(E340&lt;=301,E340/3,E340/4))))</f>
        <v>1386.4570199999998</v>
      </c>
      <c r="G340" s="84"/>
      <c r="H340" s="85"/>
      <c r="I340" s="36"/>
      <c r="L340" s="75"/>
      <c r="M340" s="75"/>
      <c r="N340" s="36"/>
    </row>
    <row r="341" spans="1:14" s="37" customFormat="1" x14ac:dyDescent="0.25">
      <c r="A341" s="76">
        <f t="shared" si="41"/>
        <v>4</v>
      </c>
      <c r="B341" s="77"/>
      <c r="C341" s="42" t="s">
        <v>263</v>
      </c>
      <c r="D341" s="57">
        <f>(75.32)*10.764</f>
        <v>810.74447999999984</v>
      </c>
      <c r="E341" s="42">
        <v>0</v>
      </c>
      <c r="F341" s="42">
        <f>D341*(($F$198)+1)+(IF(E341&lt;101,E341,IF(E341&lt;201,E341/2,IF(E341&lt;=301,E341/3,E341/4))))</f>
        <v>1216.1167199999998</v>
      </c>
      <c r="G341" s="86"/>
      <c r="H341" s="87"/>
      <c r="I341" s="36"/>
      <c r="L341" s="75"/>
      <c r="M341" s="75"/>
      <c r="N341" s="36"/>
    </row>
    <row r="342" spans="1:14" s="37" customFormat="1" x14ac:dyDescent="0.25">
      <c r="A342" s="79" t="s">
        <v>271</v>
      </c>
      <c r="B342" s="80"/>
      <c r="C342" s="80"/>
      <c r="D342" s="80"/>
      <c r="E342" s="80"/>
      <c r="F342" s="80"/>
      <c r="G342" s="80"/>
      <c r="H342" s="81"/>
      <c r="J342" s="36"/>
    </row>
    <row r="343" spans="1:14" s="37" customFormat="1" ht="15.75" customHeight="1" x14ac:dyDescent="0.25">
      <c r="A343" s="76">
        <v>1</v>
      </c>
      <c r="B343" s="77"/>
      <c r="C343" s="42" t="s">
        <v>264</v>
      </c>
      <c r="D343" s="57">
        <f>(84.09)*10.764</f>
        <v>905.14476000000002</v>
      </c>
      <c r="E343" s="42">
        <v>0</v>
      </c>
      <c r="F343" s="42">
        <f>D343*(($F$198)+1)+(IF(E343&lt;101,E343,IF(E343&lt;201,E343/2,IF(E343&lt;=301,E343/3,E343/4))))</f>
        <v>1357.71714</v>
      </c>
      <c r="G343" s="82" t="str">
        <f>A342</f>
        <v>6th Floor</v>
      </c>
      <c r="H343" s="83"/>
      <c r="I343" s="36"/>
      <c r="L343" s="75"/>
      <c r="M343" s="75"/>
      <c r="N343" s="36"/>
    </row>
    <row r="344" spans="1:14" s="37" customFormat="1" x14ac:dyDescent="0.25">
      <c r="A344" s="76">
        <f t="shared" ref="A344:A346" si="42">A343+1</f>
        <v>2</v>
      </c>
      <c r="B344" s="77"/>
      <c r="C344" s="42" t="s">
        <v>260</v>
      </c>
      <c r="D344" s="57">
        <f>(71.54)*10.764</f>
        <v>770.05655999999999</v>
      </c>
      <c r="E344" s="42">
        <v>0</v>
      </c>
      <c r="F344" s="42">
        <f>D344*(($F$198)+1)+(IF(E344&lt;101,E344,IF(E344&lt;201,E344/2,IF(E344&lt;=301,E344/3,E344/4))))</f>
        <v>1155.08484</v>
      </c>
      <c r="G344" s="84"/>
      <c r="H344" s="85"/>
      <c r="I344" s="36"/>
      <c r="L344" s="75"/>
      <c r="M344" s="75"/>
      <c r="N344" s="36"/>
    </row>
    <row r="345" spans="1:14" s="37" customFormat="1" x14ac:dyDescent="0.25">
      <c r="A345" s="76">
        <f t="shared" si="42"/>
        <v>3</v>
      </c>
      <c r="B345" s="77"/>
      <c r="C345" s="42" t="s">
        <v>264</v>
      </c>
      <c r="D345" s="57">
        <f>(85.87)*10.764</f>
        <v>924.30467999999996</v>
      </c>
      <c r="E345" s="42">
        <v>0</v>
      </c>
      <c r="F345" s="42">
        <f>D345*(($F$198)+1)+(IF(E345&lt;101,E345,IF(E345&lt;201,E345/2,IF(E345&lt;=301,E345/3,E345/4))))</f>
        <v>1386.4570199999998</v>
      </c>
      <c r="G345" s="84"/>
      <c r="H345" s="85"/>
      <c r="I345" s="36"/>
      <c r="L345" s="75"/>
      <c r="M345" s="75"/>
      <c r="N345" s="36"/>
    </row>
    <row r="346" spans="1:14" s="37" customFormat="1" x14ac:dyDescent="0.25">
      <c r="A346" s="76">
        <f t="shared" si="42"/>
        <v>4</v>
      </c>
      <c r="B346" s="77"/>
      <c r="C346" s="42" t="s">
        <v>263</v>
      </c>
      <c r="D346" s="57">
        <f>(75.32)*10.764</f>
        <v>810.74447999999984</v>
      </c>
      <c r="E346" s="42">
        <v>0</v>
      </c>
      <c r="F346" s="42">
        <f>D346*(($F$198)+1)+(IF(E346&lt;101,E346,IF(E346&lt;201,E346/2,IF(E346&lt;=301,E346/3,E346/4))))</f>
        <v>1216.1167199999998</v>
      </c>
      <c r="G346" s="86"/>
      <c r="H346" s="87"/>
      <c r="I346" s="36"/>
      <c r="L346" s="75"/>
      <c r="M346" s="75"/>
      <c r="N346" s="36"/>
    </row>
    <row r="347" spans="1:14" s="37" customFormat="1" x14ac:dyDescent="0.25">
      <c r="A347" s="79" t="s">
        <v>272</v>
      </c>
      <c r="B347" s="80"/>
      <c r="C347" s="80"/>
      <c r="D347" s="80"/>
      <c r="E347" s="80"/>
      <c r="F347" s="80"/>
      <c r="G347" s="80"/>
      <c r="H347" s="81"/>
      <c r="J347" s="36"/>
    </row>
    <row r="348" spans="1:14" s="37" customFormat="1" ht="15.75" customHeight="1" x14ac:dyDescent="0.25">
      <c r="A348" s="76">
        <v>1</v>
      </c>
      <c r="B348" s="77"/>
      <c r="C348" s="42" t="s">
        <v>264</v>
      </c>
      <c r="D348" s="57">
        <f>(84.09)*10.764</f>
        <v>905.14476000000002</v>
      </c>
      <c r="E348" s="42">
        <v>0</v>
      </c>
      <c r="F348" s="42">
        <f>D348*(($F$198)+1)+(IF(E348&lt;101,E348,IF(E348&lt;201,E348/2,IF(E348&lt;=301,E348/3,E348/4))))</f>
        <v>1357.71714</v>
      </c>
      <c r="G348" s="82" t="str">
        <f>A347</f>
        <v>7th Floor</v>
      </c>
      <c r="H348" s="83"/>
      <c r="I348" s="36"/>
      <c r="L348" s="75"/>
      <c r="M348" s="75"/>
      <c r="N348" s="36"/>
    </row>
    <row r="349" spans="1:14" s="37" customFormat="1" x14ac:dyDescent="0.25">
      <c r="A349" s="76">
        <f t="shared" ref="A349:A351" si="43">A348+1</f>
        <v>2</v>
      </c>
      <c r="B349" s="77"/>
      <c r="C349" s="42" t="s">
        <v>260</v>
      </c>
      <c r="D349" s="57">
        <f>(71.54)*10.764</f>
        <v>770.05655999999999</v>
      </c>
      <c r="E349" s="42">
        <v>0</v>
      </c>
      <c r="F349" s="42">
        <f>D349*(($F$198)+1)+(IF(E349&lt;101,E349,IF(E349&lt;201,E349/2,IF(E349&lt;=301,E349/3,E349/4))))</f>
        <v>1155.08484</v>
      </c>
      <c r="G349" s="84"/>
      <c r="H349" s="85"/>
      <c r="I349" s="36"/>
      <c r="L349" s="75"/>
      <c r="M349" s="75"/>
      <c r="N349" s="36"/>
    </row>
    <row r="350" spans="1:14" s="37" customFormat="1" x14ac:dyDescent="0.25">
      <c r="A350" s="76">
        <f t="shared" si="43"/>
        <v>3</v>
      </c>
      <c r="B350" s="77"/>
      <c r="C350" s="42" t="s">
        <v>264</v>
      </c>
      <c r="D350" s="57">
        <f>(85.87)*10.764</f>
        <v>924.30467999999996</v>
      </c>
      <c r="E350" s="42">
        <v>0</v>
      </c>
      <c r="F350" s="42">
        <f>D350*(($F$198)+1)+(IF(E350&lt;101,E350,IF(E350&lt;201,E350/2,IF(E350&lt;=301,E350/3,E350/4))))</f>
        <v>1386.4570199999998</v>
      </c>
      <c r="G350" s="84"/>
      <c r="H350" s="85"/>
      <c r="I350" s="36"/>
      <c r="L350" s="75"/>
      <c r="M350" s="75"/>
      <c r="N350" s="36"/>
    </row>
    <row r="351" spans="1:14" s="37" customFormat="1" x14ac:dyDescent="0.25">
      <c r="A351" s="76">
        <f t="shared" si="43"/>
        <v>4</v>
      </c>
      <c r="B351" s="77"/>
      <c r="C351" s="42" t="s">
        <v>263</v>
      </c>
      <c r="D351" s="57">
        <f>(75.32)*10.764</f>
        <v>810.74447999999984</v>
      </c>
      <c r="E351" s="42">
        <v>0</v>
      </c>
      <c r="F351" s="42">
        <f>D351*(($F$198)+1)+(IF(E351&lt;101,E351,IF(E351&lt;201,E351/2,IF(E351&lt;=301,E351/3,E351/4))))</f>
        <v>1216.1167199999998</v>
      </c>
      <c r="G351" s="86"/>
      <c r="H351" s="87"/>
      <c r="I351" s="36"/>
      <c r="L351" s="75"/>
      <c r="M351" s="75"/>
      <c r="N351" s="36"/>
    </row>
    <row r="352" spans="1:14" s="37" customFormat="1" x14ac:dyDescent="0.25">
      <c r="A352" s="79" t="s">
        <v>273</v>
      </c>
      <c r="B352" s="80"/>
      <c r="C352" s="80"/>
      <c r="D352" s="80"/>
      <c r="E352" s="80"/>
      <c r="F352" s="80"/>
      <c r="G352" s="80"/>
      <c r="H352" s="81"/>
      <c r="J352" s="36"/>
    </row>
    <row r="353" spans="1:14" s="37" customFormat="1" ht="15.75" customHeight="1" x14ac:dyDescent="0.25">
      <c r="A353" s="76">
        <v>1</v>
      </c>
      <c r="B353" s="77"/>
      <c r="C353" s="42" t="s">
        <v>264</v>
      </c>
      <c r="D353" s="57">
        <f>(84.09)*10.764</f>
        <v>905.14476000000002</v>
      </c>
      <c r="E353" s="42">
        <v>0</v>
      </c>
      <c r="F353" s="42">
        <f>D353*(($F$198)+1)+(IF(E353&lt;101,E353,IF(E353&lt;201,E353/2,IF(E353&lt;=301,E353/3,E353/4))))</f>
        <v>1357.71714</v>
      </c>
      <c r="G353" s="82" t="str">
        <f>A352</f>
        <v>8th Floor (Part Refuge Area)</v>
      </c>
      <c r="H353" s="83"/>
      <c r="I353" s="36"/>
      <c r="L353" s="75"/>
      <c r="M353" s="75"/>
      <c r="N353" s="36"/>
    </row>
    <row r="354" spans="1:14" s="37" customFormat="1" x14ac:dyDescent="0.25">
      <c r="A354" s="76">
        <f t="shared" ref="A354:A356" si="44">A353+1</f>
        <v>2</v>
      </c>
      <c r="B354" s="77"/>
      <c r="C354" s="42" t="s">
        <v>260</v>
      </c>
      <c r="D354" s="57">
        <f>(71.54)*10.764</f>
        <v>770.05655999999999</v>
      </c>
      <c r="E354" s="42">
        <v>0</v>
      </c>
      <c r="F354" s="42">
        <f>D354*(($F$198)+1)+(IF(E354&lt;101,E354,IF(E354&lt;201,E354/2,IF(E354&lt;=301,E354/3,E354/4))))</f>
        <v>1155.08484</v>
      </c>
      <c r="G354" s="84"/>
      <c r="H354" s="85"/>
      <c r="I354" s="36"/>
      <c r="L354" s="75"/>
      <c r="M354" s="75"/>
      <c r="N354" s="36"/>
    </row>
    <row r="355" spans="1:14" s="37" customFormat="1" x14ac:dyDescent="0.25">
      <c r="A355" s="76">
        <f t="shared" si="44"/>
        <v>3</v>
      </c>
      <c r="B355" s="77"/>
      <c r="C355" s="42" t="s">
        <v>274</v>
      </c>
      <c r="D355" s="57">
        <f>(36.03)*10.764</f>
        <v>387.82691999999997</v>
      </c>
      <c r="E355" s="42">
        <v>0</v>
      </c>
      <c r="F355" s="42">
        <f>D355*(($F$198)+1)+(IF(E355&lt;101,E355,IF(E355&lt;201,E355/2,IF(E355&lt;=301,E355/3,E355/4))))</f>
        <v>581.74037999999996</v>
      </c>
      <c r="G355" s="84"/>
      <c r="H355" s="85"/>
      <c r="I355" s="36"/>
      <c r="L355" s="75"/>
      <c r="M355" s="75"/>
      <c r="N355" s="36"/>
    </row>
    <row r="356" spans="1:14" s="37" customFormat="1" x14ac:dyDescent="0.25">
      <c r="A356" s="76">
        <f t="shared" si="44"/>
        <v>4</v>
      </c>
      <c r="B356" s="77"/>
      <c r="C356" s="42" t="s">
        <v>264</v>
      </c>
      <c r="D356" s="57">
        <f>(84.09)*10.764</f>
        <v>905.14476000000002</v>
      </c>
      <c r="E356" s="42">
        <v>0</v>
      </c>
      <c r="F356" s="42">
        <f>D356*(($F$198)+1)+(IF(E356&lt;101,E356,IF(E356&lt;201,E356/2,IF(E356&lt;=301,E356/3,E356/4))))</f>
        <v>1357.71714</v>
      </c>
      <c r="G356" s="86"/>
      <c r="H356" s="87"/>
      <c r="I356" s="36"/>
      <c r="L356" s="75"/>
      <c r="M356" s="75"/>
      <c r="N356" s="36"/>
    </row>
    <row r="357" spans="1:14" s="37" customFormat="1" x14ac:dyDescent="0.25">
      <c r="A357" s="79" t="s">
        <v>276</v>
      </c>
      <c r="B357" s="80"/>
      <c r="C357" s="80"/>
      <c r="D357" s="80"/>
      <c r="E357" s="80"/>
      <c r="F357" s="80"/>
      <c r="G357" s="80"/>
      <c r="H357" s="81"/>
      <c r="J357" s="36"/>
    </row>
    <row r="358" spans="1:14" s="37" customFormat="1" ht="15.75" customHeight="1" x14ac:dyDescent="0.25">
      <c r="A358" s="76">
        <v>1</v>
      </c>
      <c r="B358" s="77"/>
      <c r="C358" s="42" t="s">
        <v>264</v>
      </c>
      <c r="D358" s="57">
        <f>(84.09)*10.764</f>
        <v>905.14476000000002</v>
      </c>
      <c r="E358" s="42">
        <v>0</v>
      </c>
      <c r="F358" s="42">
        <f>D358*(($F$198)+1)+(IF(E358&lt;101,E358,IF(E358&lt;201,E358/2,IF(E358&lt;=301,E358/3,E358/4))))</f>
        <v>1357.71714</v>
      </c>
      <c r="G358" s="82" t="str">
        <f>A357</f>
        <v>9th Floor</v>
      </c>
      <c r="H358" s="83"/>
      <c r="I358" s="36"/>
      <c r="L358" s="75"/>
      <c r="M358" s="75"/>
      <c r="N358" s="36"/>
    </row>
    <row r="359" spans="1:14" s="37" customFormat="1" x14ac:dyDescent="0.25">
      <c r="A359" s="76">
        <f t="shared" ref="A359:A361" si="45">A358+1</f>
        <v>2</v>
      </c>
      <c r="B359" s="77"/>
      <c r="C359" s="42" t="s">
        <v>260</v>
      </c>
      <c r="D359" s="57">
        <f>(71.54)*10.764</f>
        <v>770.05655999999999</v>
      </c>
      <c r="E359" s="42">
        <v>0</v>
      </c>
      <c r="F359" s="42">
        <f>D359*(($F$198)+1)+(IF(E359&lt;101,E359,IF(E359&lt;201,E359/2,IF(E359&lt;=301,E359/3,E359/4))))</f>
        <v>1155.08484</v>
      </c>
      <c r="G359" s="84"/>
      <c r="H359" s="85"/>
      <c r="I359" s="36"/>
      <c r="L359" s="75"/>
      <c r="M359" s="75"/>
      <c r="N359" s="36"/>
    </row>
    <row r="360" spans="1:14" s="37" customFormat="1" x14ac:dyDescent="0.25">
      <c r="A360" s="76">
        <f t="shared" si="45"/>
        <v>3</v>
      </c>
      <c r="B360" s="77"/>
      <c r="C360" s="42" t="s">
        <v>264</v>
      </c>
      <c r="D360" s="57">
        <f>(85.87)*10.764</f>
        <v>924.30467999999996</v>
      </c>
      <c r="E360" s="42">
        <v>0</v>
      </c>
      <c r="F360" s="42">
        <f>D360*(($F$198)+1)+(IF(E360&lt;101,E360,IF(E360&lt;201,E360/2,IF(E360&lt;=301,E360/3,E360/4))))</f>
        <v>1386.4570199999998</v>
      </c>
      <c r="G360" s="84"/>
      <c r="H360" s="85"/>
      <c r="I360" s="36"/>
      <c r="L360" s="75"/>
      <c r="M360" s="75"/>
      <c r="N360" s="36"/>
    </row>
    <row r="361" spans="1:14" s="37" customFormat="1" x14ac:dyDescent="0.25">
      <c r="A361" s="76">
        <f t="shared" si="45"/>
        <v>4</v>
      </c>
      <c r="B361" s="77"/>
      <c r="C361" s="42" t="s">
        <v>264</v>
      </c>
      <c r="D361" s="57">
        <f>(84.09)*10.764</f>
        <v>905.14476000000002</v>
      </c>
      <c r="E361" s="42">
        <v>0</v>
      </c>
      <c r="F361" s="42">
        <f>D361*(($F$198)+1)+(IF(E361&lt;101,E361,IF(E361&lt;201,E361/2,IF(E361&lt;=301,E361/3,E361/4))))</f>
        <v>1357.71714</v>
      </c>
      <c r="G361" s="86"/>
      <c r="H361" s="87"/>
      <c r="I361" s="36"/>
      <c r="L361" s="75"/>
      <c r="M361" s="75"/>
      <c r="N361" s="36"/>
    </row>
    <row r="362" spans="1:14" s="37" customFormat="1" x14ac:dyDescent="0.25">
      <c r="A362" s="79" t="s">
        <v>277</v>
      </c>
      <c r="B362" s="80"/>
      <c r="C362" s="80"/>
      <c r="D362" s="80"/>
      <c r="E362" s="80"/>
      <c r="F362" s="80"/>
      <c r="G362" s="80"/>
      <c r="H362" s="81"/>
      <c r="J362" s="36"/>
    </row>
    <row r="363" spans="1:14" s="37" customFormat="1" ht="15.75" customHeight="1" x14ac:dyDescent="0.25">
      <c r="A363" s="76">
        <v>1</v>
      </c>
      <c r="B363" s="77"/>
      <c r="C363" s="42" t="s">
        <v>264</v>
      </c>
      <c r="D363" s="57">
        <f>(84.44)*10.764</f>
        <v>908.91215999999997</v>
      </c>
      <c r="E363" s="42">
        <v>0</v>
      </c>
      <c r="F363" s="42">
        <f>D363*(($F$198)+1)+(IF(E363&lt;101,E363,IF(E363&lt;201,E363/2,IF(E363&lt;=301,E363/3,E363/4))))</f>
        <v>1363.36824</v>
      </c>
      <c r="G363" s="82" t="str">
        <f>A362</f>
        <v>10th Floor</v>
      </c>
      <c r="H363" s="83"/>
      <c r="I363" s="36"/>
      <c r="L363" s="75"/>
      <c r="M363" s="75"/>
      <c r="N363" s="36"/>
    </row>
    <row r="364" spans="1:14" s="37" customFormat="1" x14ac:dyDescent="0.25">
      <c r="A364" s="76">
        <f t="shared" ref="A364:A366" si="46">A363+1</f>
        <v>2</v>
      </c>
      <c r="B364" s="77"/>
      <c r="C364" s="42" t="s">
        <v>260</v>
      </c>
      <c r="D364" s="57">
        <f>(71.94)*10.764</f>
        <v>774.3621599999999</v>
      </c>
      <c r="E364" s="42">
        <v>0</v>
      </c>
      <c r="F364" s="42">
        <f>D364*(($F$198)+1)+(IF(E364&lt;101,E364,IF(E364&lt;201,E364/2,IF(E364&lt;=301,E364/3,E364/4))))</f>
        <v>1161.54324</v>
      </c>
      <c r="G364" s="84"/>
      <c r="H364" s="85"/>
      <c r="I364" s="36"/>
      <c r="L364" s="75"/>
      <c r="M364" s="75"/>
      <c r="N364" s="36"/>
    </row>
    <row r="365" spans="1:14" s="37" customFormat="1" x14ac:dyDescent="0.25">
      <c r="A365" s="76">
        <f t="shared" si="46"/>
        <v>3</v>
      </c>
      <c r="B365" s="77"/>
      <c r="C365" s="42" t="s">
        <v>264</v>
      </c>
      <c r="D365" s="57">
        <f>(96.07)*10.764</f>
        <v>1034.0974799999999</v>
      </c>
      <c r="E365" s="42">
        <v>0</v>
      </c>
      <c r="F365" s="42">
        <f>D365*(($F$198)+1)+(IF(E365&lt;101,E365,IF(E365&lt;201,E365/2,IF(E365&lt;=301,E365/3,E365/4))))</f>
        <v>1551.1462199999999</v>
      </c>
      <c r="G365" s="84"/>
      <c r="H365" s="85"/>
      <c r="I365" s="36"/>
      <c r="L365" s="75"/>
      <c r="M365" s="75"/>
      <c r="N365" s="36"/>
    </row>
    <row r="366" spans="1:14" s="37" customFormat="1" x14ac:dyDescent="0.25">
      <c r="A366" s="76">
        <f t="shared" si="46"/>
        <v>4</v>
      </c>
      <c r="B366" s="77"/>
      <c r="C366" s="42" t="s">
        <v>264</v>
      </c>
      <c r="D366" s="57">
        <f>(84.09)*10.764</f>
        <v>905.14476000000002</v>
      </c>
      <c r="E366" s="42">
        <v>0</v>
      </c>
      <c r="F366" s="42">
        <f>D366*(($F$198)+1)+(IF(E366&lt;101,E366,IF(E366&lt;201,E366/2,IF(E366&lt;=301,E366/3,E366/4))))</f>
        <v>1357.71714</v>
      </c>
      <c r="G366" s="86"/>
      <c r="H366" s="87"/>
      <c r="I366" s="36"/>
      <c r="L366" s="75"/>
      <c r="M366" s="75"/>
      <c r="N366" s="36"/>
    </row>
    <row r="367" spans="1:14" s="37" customFormat="1" x14ac:dyDescent="0.25">
      <c r="A367" s="79" t="s">
        <v>322</v>
      </c>
      <c r="B367" s="80"/>
      <c r="C367" s="80"/>
      <c r="D367" s="80"/>
      <c r="E367" s="80"/>
      <c r="F367" s="80"/>
      <c r="G367" s="80"/>
      <c r="H367" s="81"/>
      <c r="J367" s="36"/>
    </row>
    <row r="368" spans="1:14" s="37" customFormat="1" ht="15.75" customHeight="1" x14ac:dyDescent="0.25">
      <c r="A368" s="76">
        <v>1</v>
      </c>
      <c r="B368" s="77"/>
      <c r="C368" s="42" t="s">
        <v>264</v>
      </c>
      <c r="D368" s="57">
        <f>(84.44)*10.764</f>
        <v>908.91215999999997</v>
      </c>
      <c r="E368" s="42">
        <v>0</v>
      </c>
      <c r="F368" s="42">
        <f>D368*(($F$198)+1)+(IF(E368&lt;101,E368,IF(E368&lt;201,E368/2,IF(E368&lt;=301,E368/3,E368/4))))</f>
        <v>1363.36824</v>
      </c>
      <c r="G368" s="82" t="str">
        <f>A367</f>
        <v>11th &amp; 12th Floor</v>
      </c>
      <c r="H368" s="83"/>
      <c r="I368" s="36"/>
      <c r="L368" s="75"/>
      <c r="M368" s="75"/>
      <c r="N368" s="36"/>
    </row>
    <row r="369" spans="1:14" s="37" customFormat="1" x14ac:dyDescent="0.25">
      <c r="A369" s="76">
        <f t="shared" ref="A369:A371" si="47">A368+1</f>
        <v>2</v>
      </c>
      <c r="B369" s="77"/>
      <c r="C369" s="42" t="s">
        <v>260</v>
      </c>
      <c r="D369" s="57">
        <f>(71.94)*10.764</f>
        <v>774.3621599999999</v>
      </c>
      <c r="E369" s="42">
        <v>0</v>
      </c>
      <c r="F369" s="42">
        <f>D369*(($F$198)+1)+(IF(E369&lt;101,E369,IF(E369&lt;201,E369/2,IF(E369&lt;=301,E369/3,E369/4))))</f>
        <v>1161.54324</v>
      </c>
      <c r="G369" s="84"/>
      <c r="H369" s="85"/>
      <c r="I369" s="36"/>
      <c r="L369" s="75"/>
      <c r="M369" s="75"/>
      <c r="N369" s="36"/>
    </row>
    <row r="370" spans="1:14" s="37" customFormat="1" x14ac:dyDescent="0.25">
      <c r="A370" s="76">
        <f t="shared" si="47"/>
        <v>3</v>
      </c>
      <c r="B370" s="77"/>
      <c r="C370" s="42" t="s">
        <v>264</v>
      </c>
      <c r="D370" s="57">
        <f>(96.07)*10.764</f>
        <v>1034.0974799999999</v>
      </c>
      <c r="E370" s="42">
        <v>0</v>
      </c>
      <c r="F370" s="42">
        <f>D370*(($F$198)+1)+(IF(E370&lt;101,E370,IF(E370&lt;201,E370/2,IF(E370&lt;=301,E370/3,E370/4))))</f>
        <v>1551.1462199999999</v>
      </c>
      <c r="G370" s="84"/>
      <c r="H370" s="85"/>
      <c r="I370" s="36"/>
      <c r="L370" s="75"/>
      <c r="M370" s="75"/>
      <c r="N370" s="36"/>
    </row>
    <row r="371" spans="1:14" s="37" customFormat="1" x14ac:dyDescent="0.25">
      <c r="A371" s="76">
        <f t="shared" si="47"/>
        <v>4</v>
      </c>
      <c r="B371" s="77"/>
      <c r="C371" s="42" t="s">
        <v>264</v>
      </c>
      <c r="D371" s="57">
        <f>(84.09)*10.764</f>
        <v>905.14476000000002</v>
      </c>
      <c r="E371" s="42">
        <v>0</v>
      </c>
      <c r="F371" s="42">
        <f>D371*(($F$198)+1)+(IF(E371&lt;101,E371,IF(E371&lt;201,E371/2,IF(E371&lt;=301,E371/3,E371/4))))</f>
        <v>1357.71714</v>
      </c>
      <c r="G371" s="86"/>
      <c r="H371" s="87"/>
      <c r="I371" s="36"/>
      <c r="L371" s="75"/>
      <c r="M371" s="75"/>
      <c r="N371" s="36"/>
    </row>
    <row r="372" spans="1:14" s="37" customFormat="1" x14ac:dyDescent="0.25">
      <c r="A372" s="179" t="s">
        <v>266</v>
      </c>
      <c r="B372" s="180"/>
      <c r="C372" s="180"/>
      <c r="D372" s="180"/>
      <c r="E372" s="180"/>
      <c r="F372" s="180"/>
      <c r="G372" s="180"/>
      <c r="H372" s="181"/>
      <c r="J372" s="36"/>
    </row>
    <row r="373" spans="1:14" s="37" customFormat="1" x14ac:dyDescent="0.25">
      <c r="A373" s="79" t="s">
        <v>296</v>
      </c>
      <c r="B373" s="80"/>
      <c r="C373" s="80"/>
      <c r="D373" s="80"/>
      <c r="E373" s="80"/>
      <c r="F373" s="80"/>
      <c r="G373" s="80"/>
      <c r="H373" s="81"/>
      <c r="J373" s="36"/>
    </row>
    <row r="374" spans="1:14" s="37" customFormat="1" ht="15.75" customHeight="1" x14ac:dyDescent="0.25">
      <c r="A374" s="79" t="s">
        <v>297</v>
      </c>
      <c r="B374" s="80"/>
      <c r="C374" s="80"/>
      <c r="D374" s="80"/>
      <c r="E374" s="80"/>
      <c r="F374" s="80"/>
      <c r="G374" s="80"/>
      <c r="H374" s="81"/>
      <c r="J374" s="36"/>
    </row>
    <row r="375" spans="1:14" s="37" customFormat="1" x14ac:dyDescent="0.25">
      <c r="A375" s="79" t="s">
        <v>262</v>
      </c>
      <c r="B375" s="80"/>
      <c r="C375" s="80"/>
      <c r="D375" s="80"/>
      <c r="E375" s="80"/>
      <c r="F375" s="80"/>
      <c r="G375" s="80"/>
      <c r="H375" s="81"/>
      <c r="J375" s="36"/>
    </row>
    <row r="376" spans="1:14" s="37" customFormat="1" ht="15.75" customHeight="1" x14ac:dyDescent="0.25">
      <c r="A376" s="76">
        <v>1</v>
      </c>
      <c r="B376" s="77"/>
      <c r="C376" s="42" t="s">
        <v>263</v>
      </c>
      <c r="D376" s="57">
        <f>(75.3)*10.764</f>
        <v>810.52919999999995</v>
      </c>
      <c r="E376" s="42">
        <v>0</v>
      </c>
      <c r="F376" s="42">
        <f>D376*(($F$198)+1)+(IF(E376&lt;101,E376,IF(E376&lt;201,E376/2,IF(E376&lt;=301,E376/3,E376/4))))</f>
        <v>1215.7937999999999</v>
      </c>
      <c r="G376" s="82" t="str">
        <f>A375</f>
        <v>1st Floor for Residential</v>
      </c>
      <c r="H376" s="83"/>
      <c r="I376" s="36"/>
      <c r="L376" s="75"/>
      <c r="M376" s="75"/>
      <c r="N376" s="36"/>
    </row>
    <row r="377" spans="1:14" s="37" customFormat="1" x14ac:dyDescent="0.25">
      <c r="A377" s="76">
        <f t="shared" ref="A377:A379" si="48">A376+1</f>
        <v>2</v>
      </c>
      <c r="B377" s="77"/>
      <c r="C377" s="76" t="s">
        <v>323</v>
      </c>
      <c r="D377" s="78"/>
      <c r="E377" s="78"/>
      <c r="F377" s="77"/>
      <c r="G377" s="84"/>
      <c r="H377" s="85"/>
      <c r="I377" s="36"/>
      <c r="L377" s="75"/>
      <c r="M377" s="75"/>
      <c r="N377" s="36"/>
    </row>
    <row r="378" spans="1:14" s="37" customFormat="1" x14ac:dyDescent="0.25">
      <c r="A378" s="76">
        <f t="shared" si="48"/>
        <v>3</v>
      </c>
      <c r="B378" s="77"/>
      <c r="C378" s="42" t="s">
        <v>264</v>
      </c>
      <c r="D378" s="57">
        <f>(85.79)*10.764</f>
        <v>923.44356000000005</v>
      </c>
      <c r="E378" s="42">
        <v>0</v>
      </c>
      <c r="F378" s="42">
        <f>D378*(($F$198)+1)+(IF(E378&lt;101,E378,IF(E378&lt;201,E378/2,IF(E378&lt;=301,E378/3,E378/4))))</f>
        <v>1385.16534</v>
      </c>
      <c r="G378" s="84"/>
      <c r="H378" s="85"/>
      <c r="I378" s="36"/>
      <c r="L378" s="75"/>
      <c r="M378" s="75"/>
      <c r="N378" s="36"/>
    </row>
    <row r="379" spans="1:14" s="37" customFormat="1" x14ac:dyDescent="0.25">
      <c r="A379" s="76">
        <f t="shared" si="48"/>
        <v>4</v>
      </c>
      <c r="B379" s="77"/>
      <c r="C379" s="42" t="s">
        <v>263</v>
      </c>
      <c r="D379" s="57">
        <f>(75.33)*10.764</f>
        <v>810.8521199999999</v>
      </c>
      <c r="E379" s="42">
        <v>0</v>
      </c>
      <c r="F379" s="42">
        <f>D379*(($F$198)+1)+(IF(E379&lt;101,E379,IF(E379&lt;201,E379/2,IF(E379&lt;=301,E379/3,E379/4))))</f>
        <v>1216.2781799999998</v>
      </c>
      <c r="G379" s="86"/>
      <c r="H379" s="87"/>
      <c r="I379" s="36"/>
      <c r="L379" s="75"/>
      <c r="M379" s="75"/>
      <c r="N379" s="36"/>
    </row>
    <row r="380" spans="1:14" s="37" customFormat="1" x14ac:dyDescent="0.25">
      <c r="A380" s="79" t="s">
        <v>121</v>
      </c>
      <c r="B380" s="80"/>
      <c r="C380" s="80"/>
      <c r="D380" s="80"/>
      <c r="E380" s="80"/>
      <c r="F380" s="80"/>
      <c r="G380" s="80"/>
      <c r="H380" s="81"/>
      <c r="J380" s="36"/>
    </row>
    <row r="381" spans="1:14" s="37" customFormat="1" ht="15.75" customHeight="1" x14ac:dyDescent="0.25">
      <c r="A381" s="76">
        <v>1</v>
      </c>
      <c r="B381" s="77"/>
      <c r="C381" s="42" t="s">
        <v>263</v>
      </c>
      <c r="D381" s="57">
        <f>(75.3)*10.764</f>
        <v>810.52919999999995</v>
      </c>
      <c r="E381" s="42">
        <v>0</v>
      </c>
      <c r="F381" s="42">
        <f>D381*(($F$198)+1)+(IF(E381&lt;101,E381,IF(E381&lt;201,E381/2,IF(E381&lt;=301,E381/3,E381/4))))</f>
        <v>1215.7937999999999</v>
      </c>
      <c r="G381" s="82" t="str">
        <f>A380</f>
        <v>2nd Floor</v>
      </c>
      <c r="H381" s="83"/>
      <c r="I381" s="36"/>
      <c r="L381" s="75"/>
      <c r="M381" s="75"/>
      <c r="N381" s="36"/>
    </row>
    <row r="382" spans="1:14" s="37" customFormat="1" x14ac:dyDescent="0.25">
      <c r="A382" s="76">
        <f t="shared" ref="A382:A384" si="49">A381+1</f>
        <v>2</v>
      </c>
      <c r="B382" s="77"/>
      <c r="C382" s="42" t="s">
        <v>260</v>
      </c>
      <c r="D382" s="57">
        <f>(71.55)*10.764</f>
        <v>770.16419999999994</v>
      </c>
      <c r="E382" s="42">
        <v>0</v>
      </c>
      <c r="F382" s="42">
        <f>D382*(($F$198)+1)+(IF(E382&lt;101,E382,IF(E382&lt;201,E382/2,IF(E382&lt;=301,E382/3,E382/4))))</f>
        <v>1155.2462999999998</v>
      </c>
      <c r="G382" s="84"/>
      <c r="H382" s="85"/>
      <c r="I382" s="36"/>
      <c r="L382" s="75"/>
      <c r="M382" s="75"/>
      <c r="N382" s="36"/>
    </row>
    <row r="383" spans="1:14" s="37" customFormat="1" x14ac:dyDescent="0.25">
      <c r="A383" s="76">
        <f t="shared" si="49"/>
        <v>3</v>
      </c>
      <c r="B383" s="77"/>
      <c r="C383" s="42" t="s">
        <v>264</v>
      </c>
      <c r="D383" s="57">
        <f>(85.79)*10.764</f>
        <v>923.44356000000005</v>
      </c>
      <c r="E383" s="42">
        <v>0</v>
      </c>
      <c r="F383" s="42">
        <f>D383*(($F$198)+1)+(IF(E383&lt;101,E383,IF(E383&lt;201,E383/2,IF(E383&lt;=301,E383/3,E383/4))))</f>
        <v>1385.16534</v>
      </c>
      <c r="G383" s="84"/>
      <c r="H383" s="85"/>
      <c r="I383" s="36"/>
      <c r="L383" s="75"/>
      <c r="M383" s="75"/>
      <c r="N383" s="36"/>
    </row>
    <row r="384" spans="1:14" s="37" customFormat="1" x14ac:dyDescent="0.25">
      <c r="A384" s="76">
        <f t="shared" si="49"/>
        <v>4</v>
      </c>
      <c r="B384" s="77"/>
      <c r="C384" s="42" t="s">
        <v>263</v>
      </c>
      <c r="D384" s="57">
        <f>(75.33)*10.764</f>
        <v>810.8521199999999</v>
      </c>
      <c r="E384" s="42">
        <v>0</v>
      </c>
      <c r="F384" s="42">
        <f>D384*(($F$198)+1)+(IF(E384&lt;101,E384,IF(E384&lt;201,E384/2,IF(E384&lt;=301,E384/3,E384/4))))</f>
        <v>1216.2781799999998</v>
      </c>
      <c r="G384" s="86"/>
      <c r="H384" s="87"/>
      <c r="I384" s="36"/>
      <c r="L384" s="75"/>
      <c r="M384" s="75"/>
      <c r="N384" s="36"/>
    </row>
    <row r="385" spans="1:14" s="37" customFormat="1" x14ac:dyDescent="0.25">
      <c r="A385" s="79" t="s">
        <v>268</v>
      </c>
      <c r="B385" s="80"/>
      <c r="C385" s="80"/>
      <c r="D385" s="80"/>
      <c r="E385" s="80"/>
      <c r="F385" s="80"/>
      <c r="G385" s="80"/>
      <c r="H385" s="81"/>
      <c r="J385" s="36"/>
    </row>
    <row r="386" spans="1:14" s="37" customFormat="1" ht="15.75" customHeight="1" x14ac:dyDescent="0.25">
      <c r="A386" s="76">
        <v>1</v>
      </c>
      <c r="B386" s="77"/>
      <c r="C386" s="42" t="s">
        <v>263</v>
      </c>
      <c r="D386" s="57">
        <f>(75.3)*10.764</f>
        <v>810.52919999999995</v>
      </c>
      <c r="E386" s="42">
        <v>0</v>
      </c>
      <c r="F386" s="42">
        <f>D386*(($F$198)+1)+(IF(E386&lt;101,E386,IF(E386&lt;201,E386/2,IF(E386&lt;=301,E386/3,E386/4))))</f>
        <v>1215.7937999999999</v>
      </c>
      <c r="G386" s="82" t="str">
        <f>A385</f>
        <v>3rd Floor</v>
      </c>
      <c r="H386" s="83"/>
      <c r="I386" s="36"/>
      <c r="L386" s="75"/>
      <c r="M386" s="75"/>
      <c r="N386" s="36"/>
    </row>
    <row r="387" spans="1:14" s="37" customFormat="1" x14ac:dyDescent="0.25">
      <c r="A387" s="76">
        <f t="shared" ref="A387:A389" si="50">A386+1</f>
        <v>2</v>
      </c>
      <c r="B387" s="77"/>
      <c r="C387" s="42" t="s">
        <v>260</v>
      </c>
      <c r="D387" s="57">
        <f>(71.55)*10.764</f>
        <v>770.16419999999994</v>
      </c>
      <c r="E387" s="42">
        <v>0</v>
      </c>
      <c r="F387" s="42">
        <f>D387*(($F$198)+1)+(IF(E387&lt;101,E387,IF(E387&lt;201,E387/2,IF(E387&lt;=301,E387/3,E387/4))))</f>
        <v>1155.2462999999998</v>
      </c>
      <c r="G387" s="84"/>
      <c r="H387" s="85"/>
      <c r="I387" s="36"/>
      <c r="L387" s="75"/>
      <c r="M387" s="75"/>
      <c r="N387" s="36"/>
    </row>
    <row r="388" spans="1:14" s="37" customFormat="1" x14ac:dyDescent="0.25">
      <c r="A388" s="76">
        <f t="shared" si="50"/>
        <v>3</v>
      </c>
      <c r="B388" s="77"/>
      <c r="C388" s="42" t="s">
        <v>264</v>
      </c>
      <c r="D388" s="57">
        <f>(85.79)*10.764</f>
        <v>923.44356000000005</v>
      </c>
      <c r="E388" s="42">
        <v>0</v>
      </c>
      <c r="F388" s="42">
        <f>D388*(($F$198)+1)+(IF(E388&lt;101,E388,IF(E388&lt;201,E388/2,IF(E388&lt;=301,E388/3,E388/4))))</f>
        <v>1385.16534</v>
      </c>
      <c r="G388" s="84"/>
      <c r="H388" s="85"/>
      <c r="I388" s="36"/>
      <c r="L388" s="75"/>
      <c r="M388" s="75"/>
      <c r="N388" s="36"/>
    </row>
    <row r="389" spans="1:14" s="37" customFormat="1" x14ac:dyDescent="0.25">
      <c r="A389" s="76">
        <f t="shared" si="50"/>
        <v>4</v>
      </c>
      <c r="B389" s="77"/>
      <c r="C389" s="42" t="s">
        <v>263</v>
      </c>
      <c r="D389" s="57">
        <f>(75.33)*10.764</f>
        <v>810.8521199999999</v>
      </c>
      <c r="E389" s="42">
        <v>0</v>
      </c>
      <c r="F389" s="42">
        <f>D389*(($F$198)+1)+(IF(E389&lt;101,E389,IF(E389&lt;201,E389/2,IF(E389&lt;=301,E389/3,E389/4))))</f>
        <v>1216.2781799999998</v>
      </c>
      <c r="G389" s="86"/>
      <c r="H389" s="87"/>
      <c r="I389" s="36"/>
      <c r="L389" s="75"/>
      <c r="M389" s="75"/>
      <c r="N389" s="36"/>
    </row>
    <row r="390" spans="1:14" s="37" customFormat="1" x14ac:dyDescent="0.25">
      <c r="A390" s="79" t="s">
        <v>269</v>
      </c>
      <c r="B390" s="80"/>
      <c r="C390" s="80"/>
      <c r="D390" s="80"/>
      <c r="E390" s="80"/>
      <c r="F390" s="80"/>
      <c r="G390" s="80"/>
      <c r="H390" s="81"/>
      <c r="J390" s="36"/>
    </row>
    <row r="391" spans="1:14" s="37" customFormat="1" ht="15.75" customHeight="1" x14ac:dyDescent="0.25">
      <c r="A391" s="76">
        <v>1</v>
      </c>
      <c r="B391" s="77"/>
      <c r="C391" s="42" t="s">
        <v>263</v>
      </c>
      <c r="D391" s="57">
        <f>(75.3)*10.764</f>
        <v>810.52919999999995</v>
      </c>
      <c r="E391" s="42">
        <v>0</v>
      </c>
      <c r="F391" s="42">
        <f>D391*(($F$198)+1)+(IF(E391&lt;101,E391,IF(E391&lt;201,E391/2,IF(E391&lt;=301,E391/3,E391/4))))</f>
        <v>1215.7937999999999</v>
      </c>
      <c r="G391" s="82" t="str">
        <f>A390</f>
        <v>4th Floor</v>
      </c>
      <c r="H391" s="83"/>
      <c r="I391" s="36"/>
      <c r="L391" s="75"/>
      <c r="M391" s="75"/>
      <c r="N391" s="36"/>
    </row>
    <row r="392" spans="1:14" s="37" customFormat="1" x14ac:dyDescent="0.25">
      <c r="A392" s="76">
        <f t="shared" ref="A392:A394" si="51">A391+1</f>
        <v>2</v>
      </c>
      <c r="B392" s="77"/>
      <c r="C392" s="42" t="s">
        <v>260</v>
      </c>
      <c r="D392" s="57">
        <f>(71.55)*10.764</f>
        <v>770.16419999999994</v>
      </c>
      <c r="E392" s="42">
        <v>0</v>
      </c>
      <c r="F392" s="42">
        <f>D392*(($F$198)+1)+(IF(E392&lt;101,E392,IF(E392&lt;201,E392/2,IF(E392&lt;=301,E392/3,E392/4))))</f>
        <v>1155.2462999999998</v>
      </c>
      <c r="G392" s="84"/>
      <c r="H392" s="85"/>
      <c r="I392" s="36"/>
      <c r="L392" s="75"/>
      <c r="M392" s="75"/>
      <c r="N392" s="36"/>
    </row>
    <row r="393" spans="1:14" s="37" customFormat="1" x14ac:dyDescent="0.25">
      <c r="A393" s="76">
        <f t="shared" si="51"/>
        <v>3</v>
      </c>
      <c r="B393" s="77"/>
      <c r="C393" s="42" t="s">
        <v>264</v>
      </c>
      <c r="D393" s="57">
        <f>(85.79)*10.764</f>
        <v>923.44356000000005</v>
      </c>
      <c r="E393" s="42">
        <v>0</v>
      </c>
      <c r="F393" s="42">
        <f>D393*(($F$198)+1)+(IF(E393&lt;101,E393,IF(E393&lt;201,E393/2,IF(E393&lt;=301,E393/3,E393/4))))</f>
        <v>1385.16534</v>
      </c>
      <c r="G393" s="84"/>
      <c r="H393" s="85"/>
      <c r="I393" s="36"/>
      <c r="L393" s="75"/>
      <c r="M393" s="75"/>
      <c r="N393" s="36"/>
    </row>
    <row r="394" spans="1:14" s="37" customFormat="1" x14ac:dyDescent="0.25">
      <c r="A394" s="76">
        <f t="shared" si="51"/>
        <v>4</v>
      </c>
      <c r="B394" s="77"/>
      <c r="C394" s="42" t="s">
        <v>263</v>
      </c>
      <c r="D394" s="57">
        <f>(75.33)*10.764</f>
        <v>810.8521199999999</v>
      </c>
      <c r="E394" s="42">
        <v>0</v>
      </c>
      <c r="F394" s="42">
        <f>D394*(($F$198)+1)+(IF(E394&lt;101,E394,IF(E394&lt;201,E394/2,IF(E394&lt;=301,E394/3,E394/4))))</f>
        <v>1216.2781799999998</v>
      </c>
      <c r="G394" s="86"/>
      <c r="H394" s="87"/>
      <c r="I394" s="36"/>
      <c r="L394" s="75"/>
      <c r="M394" s="75"/>
      <c r="N394" s="36"/>
    </row>
    <row r="395" spans="1:14" s="37" customFormat="1" x14ac:dyDescent="0.25">
      <c r="A395" s="79" t="s">
        <v>270</v>
      </c>
      <c r="B395" s="80"/>
      <c r="C395" s="80"/>
      <c r="D395" s="80"/>
      <c r="E395" s="80"/>
      <c r="F395" s="80"/>
      <c r="G395" s="80"/>
      <c r="H395" s="81"/>
      <c r="J395" s="36"/>
    </row>
    <row r="396" spans="1:14" s="37" customFormat="1" ht="15.75" customHeight="1" x14ac:dyDescent="0.25">
      <c r="A396" s="76">
        <v>1</v>
      </c>
      <c r="B396" s="77"/>
      <c r="C396" s="42" t="s">
        <v>263</v>
      </c>
      <c r="D396" s="57">
        <f>(75.3)*10.764</f>
        <v>810.52919999999995</v>
      </c>
      <c r="E396" s="42">
        <v>0</v>
      </c>
      <c r="F396" s="42">
        <f>D396*(($F$198)+1)+(IF(E396&lt;101,E396,IF(E396&lt;201,E396/2,IF(E396&lt;=301,E396/3,E396/4))))</f>
        <v>1215.7937999999999</v>
      </c>
      <c r="G396" s="82" t="str">
        <f>A395</f>
        <v>5th Floor</v>
      </c>
      <c r="H396" s="83"/>
      <c r="I396" s="36"/>
      <c r="L396" s="75"/>
      <c r="M396" s="75"/>
      <c r="N396" s="36"/>
    </row>
    <row r="397" spans="1:14" s="37" customFormat="1" x14ac:dyDescent="0.25">
      <c r="A397" s="76">
        <f t="shared" ref="A397:A399" si="52">A396+1</f>
        <v>2</v>
      </c>
      <c r="B397" s="77"/>
      <c r="C397" s="42" t="s">
        <v>260</v>
      </c>
      <c r="D397" s="57">
        <f>(71.55)*10.764</f>
        <v>770.16419999999994</v>
      </c>
      <c r="E397" s="42">
        <v>0</v>
      </c>
      <c r="F397" s="42">
        <f>D397*(($F$198)+1)+(IF(E397&lt;101,E397,IF(E397&lt;201,E397/2,IF(E397&lt;=301,E397/3,E397/4))))</f>
        <v>1155.2462999999998</v>
      </c>
      <c r="G397" s="84"/>
      <c r="H397" s="85"/>
      <c r="I397" s="36"/>
      <c r="J397" s="37">
        <f>27900000/F397</f>
        <v>24150.69409873895</v>
      </c>
      <c r="L397" s="75"/>
      <c r="M397" s="75"/>
      <c r="N397" s="36"/>
    </row>
    <row r="398" spans="1:14" s="37" customFormat="1" x14ac:dyDescent="0.25">
      <c r="A398" s="76">
        <f t="shared" si="52"/>
        <v>3</v>
      </c>
      <c r="B398" s="77"/>
      <c r="C398" s="42" t="s">
        <v>264</v>
      </c>
      <c r="D398" s="57">
        <f>(85.79)*10.764</f>
        <v>923.44356000000005</v>
      </c>
      <c r="E398" s="42">
        <v>0</v>
      </c>
      <c r="F398" s="42">
        <f>D398*(($F$198)+1)+(IF(E398&lt;101,E398,IF(E398&lt;201,E398/2,IF(E398&lt;=301,E398/3,E398/4))))</f>
        <v>1385.16534</v>
      </c>
      <c r="G398" s="84"/>
      <c r="H398" s="85"/>
      <c r="I398" s="36"/>
      <c r="L398" s="75"/>
      <c r="M398" s="75"/>
      <c r="N398" s="36"/>
    </row>
    <row r="399" spans="1:14" s="37" customFormat="1" x14ac:dyDescent="0.25">
      <c r="A399" s="76">
        <f t="shared" si="52"/>
        <v>4</v>
      </c>
      <c r="B399" s="77"/>
      <c r="C399" s="42" t="s">
        <v>263</v>
      </c>
      <c r="D399" s="57">
        <f>(75.33)*10.764</f>
        <v>810.8521199999999</v>
      </c>
      <c r="E399" s="42">
        <v>0</v>
      </c>
      <c r="F399" s="42">
        <f>D399*(($F$198)+1)+(IF(E399&lt;101,E399,IF(E399&lt;201,E399/2,IF(E399&lt;=301,E399/3,E399/4))))</f>
        <v>1216.2781799999998</v>
      </c>
      <c r="G399" s="86"/>
      <c r="H399" s="87"/>
      <c r="I399" s="36"/>
      <c r="L399" s="75"/>
      <c r="M399" s="75"/>
      <c r="N399" s="36"/>
    </row>
    <row r="400" spans="1:14" s="37" customFormat="1" x14ac:dyDescent="0.25">
      <c r="A400" s="79" t="s">
        <v>271</v>
      </c>
      <c r="B400" s="80"/>
      <c r="C400" s="80"/>
      <c r="D400" s="80"/>
      <c r="E400" s="80"/>
      <c r="F400" s="80"/>
      <c r="G400" s="80"/>
      <c r="H400" s="81"/>
      <c r="J400" s="36"/>
    </row>
    <row r="401" spans="1:14" s="37" customFormat="1" ht="15.75" customHeight="1" x14ac:dyDescent="0.25">
      <c r="A401" s="76">
        <v>1</v>
      </c>
      <c r="B401" s="77"/>
      <c r="C401" s="42" t="s">
        <v>264</v>
      </c>
      <c r="D401" s="57">
        <f>(84.09)*10.764</f>
        <v>905.14476000000002</v>
      </c>
      <c r="E401" s="42">
        <v>0</v>
      </c>
      <c r="F401" s="42">
        <f>D401*(($F$198)+1)+(IF(E401&lt;101,E401,IF(E401&lt;201,E401/2,IF(E401&lt;=301,E401/3,E401/4))))</f>
        <v>1357.71714</v>
      </c>
      <c r="G401" s="82" t="str">
        <f>A400</f>
        <v>6th Floor</v>
      </c>
      <c r="H401" s="83"/>
      <c r="I401" s="36"/>
      <c r="J401" s="37">
        <f>32600000/F401</f>
        <v>24010.892283498757</v>
      </c>
      <c r="L401" s="75"/>
      <c r="M401" s="75"/>
      <c r="N401" s="36"/>
    </row>
    <row r="402" spans="1:14" s="37" customFormat="1" x14ac:dyDescent="0.25">
      <c r="A402" s="76">
        <f t="shared" ref="A402:A404" si="53">A401+1</f>
        <v>2</v>
      </c>
      <c r="B402" s="77"/>
      <c r="C402" s="42" t="s">
        <v>260</v>
      </c>
      <c r="D402" s="57">
        <f>(71.55)*10.764</f>
        <v>770.16419999999994</v>
      </c>
      <c r="E402" s="42">
        <v>0</v>
      </c>
      <c r="F402" s="42">
        <f>D402*(($F$198)+1)+(IF(E402&lt;101,E402,IF(E402&lt;201,E402/2,IF(E402&lt;=301,E402/3,E402/4))))</f>
        <v>1155.2462999999998</v>
      </c>
      <c r="G402" s="84"/>
      <c r="H402" s="85"/>
      <c r="I402" s="36"/>
      <c r="L402" s="75"/>
      <c r="M402" s="75"/>
      <c r="N402" s="36"/>
    </row>
    <row r="403" spans="1:14" s="37" customFormat="1" x14ac:dyDescent="0.25">
      <c r="A403" s="76">
        <f t="shared" si="53"/>
        <v>3</v>
      </c>
      <c r="B403" s="77"/>
      <c r="C403" s="42" t="s">
        <v>264</v>
      </c>
      <c r="D403" s="57">
        <f>(85.79)*10.764</f>
        <v>923.44356000000005</v>
      </c>
      <c r="E403" s="42">
        <v>0</v>
      </c>
      <c r="F403" s="42">
        <f>D403*(($F$198)+1)+(IF(E403&lt;101,E403,IF(E403&lt;201,E403/2,IF(E403&lt;=301,E403/3,E403/4))))</f>
        <v>1385.16534</v>
      </c>
      <c r="G403" s="84"/>
      <c r="H403" s="85"/>
      <c r="I403" s="36"/>
      <c r="L403" s="75"/>
      <c r="M403" s="75"/>
      <c r="N403" s="36"/>
    </row>
    <row r="404" spans="1:14" s="37" customFormat="1" x14ac:dyDescent="0.25">
      <c r="A404" s="76">
        <f t="shared" si="53"/>
        <v>4</v>
      </c>
      <c r="B404" s="77"/>
      <c r="C404" s="42" t="s">
        <v>263</v>
      </c>
      <c r="D404" s="57">
        <f>(75.33)*10.764</f>
        <v>810.8521199999999</v>
      </c>
      <c r="E404" s="42">
        <v>0</v>
      </c>
      <c r="F404" s="42">
        <f>D404*(($F$198)+1)+(IF(E404&lt;101,E404,IF(E404&lt;201,E404/2,IF(E404&lt;=301,E404/3,E404/4))))</f>
        <v>1216.2781799999998</v>
      </c>
      <c r="G404" s="86"/>
      <c r="H404" s="87"/>
      <c r="I404" s="36"/>
      <c r="L404" s="75"/>
      <c r="M404" s="75"/>
      <c r="N404" s="36"/>
    </row>
    <row r="405" spans="1:14" s="37" customFormat="1" x14ac:dyDescent="0.25">
      <c r="A405" s="79" t="s">
        <v>272</v>
      </c>
      <c r="B405" s="80"/>
      <c r="C405" s="80"/>
      <c r="D405" s="80"/>
      <c r="E405" s="80"/>
      <c r="F405" s="80"/>
      <c r="G405" s="80"/>
      <c r="H405" s="81"/>
      <c r="J405" s="36"/>
    </row>
    <row r="406" spans="1:14" s="37" customFormat="1" ht="15.75" customHeight="1" x14ac:dyDescent="0.25">
      <c r="A406" s="76">
        <v>1</v>
      </c>
      <c r="B406" s="77"/>
      <c r="C406" s="42" t="s">
        <v>264</v>
      </c>
      <c r="D406" s="57">
        <f>(84.09)*10.764</f>
        <v>905.14476000000002</v>
      </c>
      <c r="E406" s="42">
        <v>0</v>
      </c>
      <c r="F406" s="42">
        <f>D406*(($F$198)+1)+(IF(E406&lt;101,E406,IF(E406&lt;201,E406/2,IF(E406&lt;=301,E406/3,E406/4))))</f>
        <v>1357.71714</v>
      </c>
      <c r="G406" s="82" t="str">
        <f>A405</f>
        <v>7th Floor</v>
      </c>
      <c r="H406" s="83"/>
      <c r="I406" s="36"/>
      <c r="L406" s="75"/>
      <c r="M406" s="75"/>
      <c r="N406" s="36"/>
    </row>
    <row r="407" spans="1:14" s="37" customFormat="1" x14ac:dyDescent="0.25">
      <c r="A407" s="76">
        <f t="shared" ref="A407:A409" si="54">A406+1</f>
        <v>2</v>
      </c>
      <c r="B407" s="77"/>
      <c r="C407" s="42" t="s">
        <v>260</v>
      </c>
      <c r="D407" s="57">
        <f>(71.55)*10.764</f>
        <v>770.16419999999994</v>
      </c>
      <c r="E407" s="42">
        <v>0</v>
      </c>
      <c r="F407" s="42">
        <f>D407*(($F$198)+1)+(IF(E407&lt;101,E407,IF(E407&lt;201,E407/2,IF(E407&lt;=301,E407/3,E407/4))))</f>
        <v>1155.2462999999998</v>
      </c>
      <c r="G407" s="84"/>
      <c r="H407" s="85"/>
      <c r="I407" s="36"/>
      <c r="L407" s="75"/>
      <c r="M407" s="75"/>
      <c r="N407" s="36"/>
    </row>
    <row r="408" spans="1:14" s="37" customFormat="1" x14ac:dyDescent="0.25">
      <c r="A408" s="76">
        <f t="shared" si="54"/>
        <v>3</v>
      </c>
      <c r="B408" s="77"/>
      <c r="C408" s="42" t="s">
        <v>264</v>
      </c>
      <c r="D408" s="57">
        <f>(85.79)*10.764</f>
        <v>923.44356000000005</v>
      </c>
      <c r="E408" s="42">
        <v>0</v>
      </c>
      <c r="F408" s="42">
        <f>D408*(($F$198)+1)+(IF(E408&lt;101,E408,IF(E408&lt;201,E408/2,IF(E408&lt;=301,E408/3,E408/4))))</f>
        <v>1385.16534</v>
      </c>
      <c r="G408" s="84"/>
      <c r="H408" s="85"/>
      <c r="I408" s="36"/>
      <c r="L408" s="75"/>
      <c r="M408" s="75"/>
      <c r="N408" s="36"/>
    </row>
    <row r="409" spans="1:14" s="37" customFormat="1" x14ac:dyDescent="0.25">
      <c r="A409" s="76">
        <f t="shared" si="54"/>
        <v>4</v>
      </c>
      <c r="B409" s="77"/>
      <c r="C409" s="42" t="s">
        <v>263</v>
      </c>
      <c r="D409" s="57">
        <f>(75.33)*10.764</f>
        <v>810.8521199999999</v>
      </c>
      <c r="E409" s="42">
        <v>0</v>
      </c>
      <c r="F409" s="42">
        <f>D409*(($F$198)+1)+(IF(E409&lt;101,E409,IF(E409&lt;201,E409/2,IF(E409&lt;=301,E409/3,E409/4))))</f>
        <v>1216.2781799999998</v>
      </c>
      <c r="G409" s="86"/>
      <c r="H409" s="87"/>
      <c r="I409" s="36"/>
      <c r="L409" s="75"/>
      <c r="M409" s="75"/>
      <c r="N409" s="36"/>
    </row>
    <row r="410" spans="1:14" s="37" customFormat="1" x14ac:dyDescent="0.25">
      <c r="A410" s="79" t="s">
        <v>273</v>
      </c>
      <c r="B410" s="80"/>
      <c r="C410" s="80"/>
      <c r="D410" s="80"/>
      <c r="E410" s="80"/>
      <c r="F410" s="80"/>
      <c r="G410" s="80"/>
      <c r="H410" s="81"/>
      <c r="J410" s="36"/>
    </row>
    <row r="411" spans="1:14" s="37" customFormat="1" ht="15.75" customHeight="1" x14ac:dyDescent="0.25">
      <c r="A411" s="76">
        <v>1</v>
      </c>
      <c r="B411" s="77"/>
      <c r="C411" s="76" t="s">
        <v>275</v>
      </c>
      <c r="D411" s="78"/>
      <c r="E411" s="78"/>
      <c r="F411" s="77"/>
      <c r="G411" s="82" t="str">
        <f>A410</f>
        <v>8th Floor (Part Refuge Area)</v>
      </c>
      <c r="H411" s="83"/>
      <c r="I411" s="36"/>
      <c r="L411" s="75"/>
      <c r="M411" s="75"/>
      <c r="N411" s="36"/>
    </row>
    <row r="412" spans="1:14" s="37" customFormat="1" x14ac:dyDescent="0.25">
      <c r="A412" s="76">
        <f t="shared" ref="A412:A414" si="55">A411+1</f>
        <v>2</v>
      </c>
      <c r="B412" s="77"/>
      <c r="C412" s="42" t="s">
        <v>260</v>
      </c>
      <c r="D412" s="57">
        <f>(76.01)*10.764</f>
        <v>818.17164000000002</v>
      </c>
      <c r="E412" s="42">
        <v>0</v>
      </c>
      <c r="F412" s="42">
        <f>D412*(($F$198)+1)+(IF(E412&lt;101,E412,IF(E412&lt;201,E412/2,IF(E412&lt;=301,E412/3,E412/4))))</f>
        <v>1227.25746</v>
      </c>
      <c r="G412" s="84"/>
      <c r="H412" s="85"/>
      <c r="I412" s="36"/>
      <c r="L412" s="75"/>
      <c r="M412" s="75"/>
      <c r="N412" s="36"/>
    </row>
    <row r="413" spans="1:14" s="37" customFormat="1" x14ac:dyDescent="0.25">
      <c r="A413" s="76">
        <f t="shared" si="55"/>
        <v>3</v>
      </c>
      <c r="B413" s="77"/>
      <c r="C413" s="42" t="s">
        <v>264</v>
      </c>
      <c r="D413" s="57">
        <f>(85.79)*10.764</f>
        <v>923.44356000000005</v>
      </c>
      <c r="E413" s="42">
        <v>0</v>
      </c>
      <c r="F413" s="42">
        <f>D413*(($F$198)+1)+(IF(E413&lt;101,E413,IF(E413&lt;201,E413/2,IF(E413&lt;=301,E413/3,E413/4))))</f>
        <v>1385.16534</v>
      </c>
      <c r="G413" s="84"/>
      <c r="H413" s="85"/>
      <c r="I413" s="36"/>
      <c r="L413" s="75"/>
      <c r="M413" s="75"/>
      <c r="N413" s="36"/>
    </row>
    <row r="414" spans="1:14" s="37" customFormat="1" x14ac:dyDescent="0.25">
      <c r="A414" s="76">
        <f t="shared" si="55"/>
        <v>4</v>
      </c>
      <c r="B414" s="77"/>
      <c r="C414" s="42" t="s">
        <v>264</v>
      </c>
      <c r="D414" s="57">
        <f>(84.09)*10.764</f>
        <v>905.14476000000002</v>
      </c>
      <c r="E414" s="42">
        <v>0</v>
      </c>
      <c r="F414" s="42">
        <f>D414*(($F$198)+1)+(IF(E414&lt;101,E414,IF(E414&lt;201,E414/2,IF(E414&lt;=301,E414/3,E414/4))))</f>
        <v>1357.71714</v>
      </c>
      <c r="G414" s="86"/>
      <c r="H414" s="87"/>
      <c r="I414" s="36"/>
      <c r="L414" s="75"/>
      <c r="M414" s="75"/>
      <c r="N414" s="36"/>
    </row>
    <row r="415" spans="1:14" s="37" customFormat="1" x14ac:dyDescent="0.25">
      <c r="A415" s="79" t="s">
        <v>276</v>
      </c>
      <c r="B415" s="80"/>
      <c r="C415" s="80"/>
      <c r="D415" s="80"/>
      <c r="E415" s="80"/>
      <c r="F415" s="80"/>
      <c r="G415" s="80"/>
      <c r="H415" s="81"/>
      <c r="J415" s="36"/>
    </row>
    <row r="416" spans="1:14" s="37" customFormat="1" ht="15.75" customHeight="1" x14ac:dyDescent="0.25">
      <c r="A416" s="76">
        <v>1</v>
      </c>
      <c r="B416" s="77"/>
      <c r="C416" s="42" t="s">
        <v>264</v>
      </c>
      <c r="D416" s="57">
        <f>(84.09)*10.764</f>
        <v>905.14476000000002</v>
      </c>
      <c r="E416" s="42">
        <v>0</v>
      </c>
      <c r="F416" s="42">
        <f>D416*(($F$198)+1)+(IF(E416&lt;101,E416,IF(E416&lt;201,E416/2,IF(E416&lt;=301,E416/3,E416/4))))</f>
        <v>1357.71714</v>
      </c>
      <c r="G416" s="82" t="str">
        <f>A415</f>
        <v>9th Floor</v>
      </c>
      <c r="H416" s="83"/>
      <c r="I416" s="36"/>
      <c r="L416" s="75"/>
      <c r="M416" s="75"/>
      <c r="N416" s="36"/>
    </row>
    <row r="417" spans="1:14" s="37" customFormat="1" x14ac:dyDescent="0.25">
      <c r="A417" s="76">
        <f t="shared" ref="A417:A419" si="56">A416+1</f>
        <v>2</v>
      </c>
      <c r="B417" s="77"/>
      <c r="C417" s="42" t="s">
        <v>260</v>
      </c>
      <c r="D417" s="57">
        <f>(71.95)*10.764</f>
        <v>774.46979999999996</v>
      </c>
      <c r="E417" s="42">
        <v>0</v>
      </c>
      <c r="F417" s="42">
        <f>D417*(($F$198)+1)+(IF(E417&lt;101,E417,IF(E417&lt;201,E417/2,IF(E417&lt;=301,E417/3,E417/4))))</f>
        <v>1161.7047</v>
      </c>
      <c r="G417" s="84"/>
      <c r="H417" s="85"/>
      <c r="I417" s="36"/>
      <c r="L417" s="75"/>
      <c r="M417" s="75"/>
      <c r="N417" s="36"/>
    </row>
    <row r="418" spans="1:14" s="37" customFormat="1" x14ac:dyDescent="0.25">
      <c r="A418" s="76">
        <f t="shared" si="56"/>
        <v>3</v>
      </c>
      <c r="B418" s="77"/>
      <c r="C418" s="42" t="s">
        <v>264</v>
      </c>
      <c r="D418" s="57">
        <f>(95.99)*10.764</f>
        <v>1033.2363599999999</v>
      </c>
      <c r="E418" s="42">
        <v>0</v>
      </c>
      <c r="F418" s="42">
        <f>D418*(($F$198)+1)+(IF(E418&lt;101,E418,IF(E418&lt;201,E418/2,IF(E418&lt;=301,E418/3,E418/4))))</f>
        <v>1549.8545399999998</v>
      </c>
      <c r="G418" s="84"/>
      <c r="H418" s="85"/>
      <c r="I418" s="36"/>
      <c r="L418" s="75"/>
      <c r="M418" s="75"/>
      <c r="N418" s="36"/>
    </row>
    <row r="419" spans="1:14" s="37" customFormat="1" x14ac:dyDescent="0.25">
      <c r="A419" s="76">
        <f t="shared" si="56"/>
        <v>4</v>
      </c>
      <c r="B419" s="77"/>
      <c r="C419" s="42" t="s">
        <v>264</v>
      </c>
      <c r="D419" s="57">
        <f>(84.09)*10.764</f>
        <v>905.14476000000002</v>
      </c>
      <c r="E419" s="42">
        <v>0</v>
      </c>
      <c r="F419" s="42">
        <f>D419*(($F$198)+1)+(IF(E419&lt;101,E419,IF(E419&lt;201,E419/2,IF(E419&lt;=301,E419/3,E419/4))))</f>
        <v>1357.71714</v>
      </c>
      <c r="G419" s="86"/>
      <c r="H419" s="87"/>
      <c r="I419" s="36"/>
      <c r="L419" s="75"/>
      <c r="M419" s="75"/>
      <c r="N419" s="36"/>
    </row>
    <row r="420" spans="1:14" s="37" customFormat="1" x14ac:dyDescent="0.25">
      <c r="A420" s="79" t="s">
        <v>277</v>
      </c>
      <c r="B420" s="80"/>
      <c r="C420" s="80"/>
      <c r="D420" s="80"/>
      <c r="E420" s="80"/>
      <c r="F420" s="80"/>
      <c r="G420" s="80"/>
      <c r="H420" s="81"/>
      <c r="J420" s="36"/>
    </row>
    <row r="421" spans="1:14" s="37" customFormat="1" ht="15.75" customHeight="1" x14ac:dyDescent="0.25">
      <c r="A421" s="76">
        <v>1</v>
      </c>
      <c r="B421" s="77"/>
      <c r="C421" s="42" t="s">
        <v>264</v>
      </c>
      <c r="D421" s="57">
        <f>(84.44)*10.764</f>
        <v>908.91215999999997</v>
      </c>
      <c r="E421" s="42">
        <v>0</v>
      </c>
      <c r="F421" s="42">
        <f>D421*(($F$198)+1)+(IF(E421&lt;101,E421,IF(E421&lt;201,E421/2,IF(E421&lt;=301,E421/3,E421/4))))</f>
        <v>1363.36824</v>
      </c>
      <c r="G421" s="82" t="str">
        <f>A420</f>
        <v>10th Floor</v>
      </c>
      <c r="H421" s="83"/>
      <c r="I421" s="36"/>
      <c r="L421" s="75"/>
      <c r="M421" s="75"/>
      <c r="N421" s="36"/>
    </row>
    <row r="422" spans="1:14" s="37" customFormat="1" x14ac:dyDescent="0.25">
      <c r="A422" s="76">
        <f t="shared" ref="A422:A424" si="57">A421+1</f>
        <v>2</v>
      </c>
      <c r="B422" s="77"/>
      <c r="C422" s="42" t="s">
        <v>260</v>
      </c>
      <c r="D422" s="57">
        <f>(71.95)*10.764</f>
        <v>774.46979999999996</v>
      </c>
      <c r="E422" s="42">
        <v>0</v>
      </c>
      <c r="F422" s="42">
        <f>D422*(($F$198)+1)+(IF(E422&lt;101,E422,IF(E422&lt;201,E422/2,IF(E422&lt;=301,E422/3,E422/4))))</f>
        <v>1161.7047</v>
      </c>
      <c r="G422" s="84"/>
      <c r="H422" s="85"/>
      <c r="I422" s="36"/>
      <c r="L422" s="75"/>
      <c r="M422" s="75"/>
      <c r="N422" s="36"/>
    </row>
    <row r="423" spans="1:14" s="37" customFormat="1" x14ac:dyDescent="0.25">
      <c r="A423" s="76">
        <f t="shared" si="57"/>
        <v>3</v>
      </c>
      <c r="B423" s="77"/>
      <c r="C423" s="42" t="s">
        <v>264</v>
      </c>
      <c r="D423" s="57">
        <f>(95.99)*10.764</f>
        <v>1033.2363599999999</v>
      </c>
      <c r="E423" s="42">
        <v>0</v>
      </c>
      <c r="F423" s="42">
        <f>D423*(($F$198)+1)+(IF(E423&lt;101,E423,IF(E423&lt;201,E423/2,IF(E423&lt;=301,E423/3,E423/4))))</f>
        <v>1549.8545399999998</v>
      </c>
      <c r="G423" s="84"/>
      <c r="H423" s="85"/>
      <c r="I423" s="36"/>
      <c r="L423" s="75"/>
      <c r="M423" s="75"/>
      <c r="N423" s="36"/>
    </row>
    <row r="424" spans="1:14" s="37" customFormat="1" x14ac:dyDescent="0.25">
      <c r="A424" s="76">
        <f t="shared" si="57"/>
        <v>4</v>
      </c>
      <c r="B424" s="77"/>
      <c r="C424" s="42" t="s">
        <v>264</v>
      </c>
      <c r="D424" s="57">
        <f>(84.09)*10.764</f>
        <v>905.14476000000002</v>
      </c>
      <c r="E424" s="42">
        <v>0</v>
      </c>
      <c r="F424" s="42">
        <f>D424*(($F$198)+1)+(IF(E424&lt;101,E424,IF(E424&lt;201,E424/2,IF(E424&lt;=301,E424/3,E424/4))))</f>
        <v>1357.71714</v>
      </c>
      <c r="G424" s="86"/>
      <c r="H424" s="87"/>
      <c r="I424" s="36"/>
      <c r="L424" s="75"/>
      <c r="M424" s="75"/>
      <c r="N424" s="36"/>
    </row>
    <row r="425" spans="1:14" s="37" customFormat="1" x14ac:dyDescent="0.25">
      <c r="A425" s="79" t="s">
        <v>322</v>
      </c>
      <c r="B425" s="80"/>
      <c r="C425" s="80"/>
      <c r="D425" s="80"/>
      <c r="E425" s="80"/>
      <c r="F425" s="80"/>
      <c r="G425" s="80"/>
      <c r="H425" s="81"/>
      <c r="J425" s="36"/>
    </row>
    <row r="426" spans="1:14" s="37" customFormat="1" ht="15.75" customHeight="1" x14ac:dyDescent="0.25">
      <c r="A426" s="76">
        <v>1</v>
      </c>
      <c r="B426" s="77"/>
      <c r="C426" s="42" t="s">
        <v>264</v>
      </c>
      <c r="D426" s="57">
        <f>(84.44)*10.764</f>
        <v>908.91215999999997</v>
      </c>
      <c r="E426" s="42">
        <v>0</v>
      </c>
      <c r="F426" s="42">
        <f>D426*(($F$198)+1)+(IF(E426&lt;101,E426,IF(E426&lt;201,E426/2,IF(E426&lt;=301,E426/3,E426/4))))</f>
        <v>1363.36824</v>
      </c>
      <c r="G426" s="82" t="str">
        <f>A425</f>
        <v>11th &amp; 12th Floor</v>
      </c>
      <c r="H426" s="83"/>
      <c r="I426" s="36"/>
      <c r="L426" s="75"/>
      <c r="M426" s="75"/>
      <c r="N426" s="36"/>
    </row>
    <row r="427" spans="1:14" s="37" customFormat="1" x14ac:dyDescent="0.25">
      <c r="A427" s="76">
        <f t="shared" ref="A427:A429" si="58">A426+1</f>
        <v>2</v>
      </c>
      <c r="B427" s="77"/>
      <c r="C427" s="42" t="s">
        <v>260</v>
      </c>
      <c r="D427" s="57">
        <f>(71.55)*10.764</f>
        <v>770.16419999999994</v>
      </c>
      <c r="E427" s="42">
        <v>0</v>
      </c>
      <c r="F427" s="42">
        <f>D427*(($F$198)+1)+(IF(E427&lt;101,E427,IF(E427&lt;201,E427/2,IF(E427&lt;=301,E427/3,E427/4))))</f>
        <v>1155.2462999999998</v>
      </c>
      <c r="G427" s="84"/>
      <c r="H427" s="85"/>
      <c r="I427" s="36"/>
      <c r="L427" s="75"/>
      <c r="M427" s="75"/>
      <c r="N427" s="36"/>
    </row>
    <row r="428" spans="1:14" s="37" customFormat="1" x14ac:dyDescent="0.25">
      <c r="A428" s="76">
        <f t="shared" si="58"/>
        <v>3</v>
      </c>
      <c r="B428" s="77"/>
      <c r="C428" s="42" t="s">
        <v>264</v>
      </c>
      <c r="D428" s="57">
        <f>(95.99)*10.764</f>
        <v>1033.2363599999999</v>
      </c>
      <c r="E428" s="42">
        <v>0</v>
      </c>
      <c r="F428" s="42">
        <f>D428*(($F$198)+1)+(IF(E428&lt;101,E428,IF(E428&lt;201,E428/2,IF(E428&lt;=301,E428/3,E428/4))))</f>
        <v>1549.8545399999998</v>
      </c>
      <c r="G428" s="84"/>
      <c r="H428" s="85"/>
      <c r="I428" s="36"/>
      <c r="L428" s="75"/>
      <c r="M428" s="75"/>
      <c r="N428" s="36"/>
    </row>
    <row r="429" spans="1:14" s="37" customFormat="1" x14ac:dyDescent="0.25">
      <c r="A429" s="76">
        <f t="shared" si="58"/>
        <v>4</v>
      </c>
      <c r="B429" s="77"/>
      <c r="C429" s="42" t="s">
        <v>264</v>
      </c>
      <c r="D429" s="57">
        <f>(84.09)*10.764</f>
        <v>905.14476000000002</v>
      </c>
      <c r="E429" s="42">
        <v>0</v>
      </c>
      <c r="F429" s="42">
        <f>D429*(($F$198)+1)+(IF(E429&lt;101,E429,IF(E429&lt;201,E429/2,IF(E429&lt;=301,E429/3,E429/4))))</f>
        <v>1357.71714</v>
      </c>
      <c r="G429" s="86"/>
      <c r="H429" s="87"/>
      <c r="I429" s="36"/>
      <c r="L429" s="75"/>
      <c r="M429" s="75"/>
      <c r="N429" s="36"/>
    </row>
    <row r="430" spans="1:14" s="37" customFormat="1" x14ac:dyDescent="0.25">
      <c r="A430" s="179" t="s">
        <v>267</v>
      </c>
      <c r="B430" s="180"/>
      <c r="C430" s="180"/>
      <c r="D430" s="180"/>
      <c r="E430" s="180"/>
      <c r="F430" s="180"/>
      <c r="G430" s="180"/>
      <c r="H430" s="181"/>
      <c r="J430" s="36"/>
    </row>
    <row r="431" spans="1:14" s="37" customFormat="1" x14ac:dyDescent="0.25">
      <c r="A431" s="79" t="s">
        <v>296</v>
      </c>
      <c r="B431" s="80"/>
      <c r="C431" s="80"/>
      <c r="D431" s="80"/>
      <c r="E431" s="80"/>
      <c r="F431" s="80"/>
      <c r="G431" s="80"/>
      <c r="H431" s="81"/>
      <c r="J431" s="36"/>
    </row>
    <row r="432" spans="1:14" s="37" customFormat="1" ht="15.75" customHeight="1" x14ac:dyDescent="0.25">
      <c r="A432" s="79" t="s">
        <v>297</v>
      </c>
      <c r="B432" s="80"/>
      <c r="C432" s="80"/>
      <c r="D432" s="80"/>
      <c r="E432" s="80"/>
      <c r="F432" s="80"/>
      <c r="G432" s="80"/>
      <c r="H432" s="81"/>
      <c r="J432" s="36"/>
    </row>
    <row r="433" spans="1:14" s="37" customFormat="1" x14ac:dyDescent="0.25">
      <c r="A433" s="79" t="s">
        <v>262</v>
      </c>
      <c r="B433" s="80"/>
      <c r="C433" s="80"/>
      <c r="D433" s="80"/>
      <c r="E433" s="80"/>
      <c r="F433" s="80"/>
      <c r="G433" s="80"/>
      <c r="H433" s="81"/>
      <c r="J433" s="36"/>
    </row>
    <row r="434" spans="1:14" s="37" customFormat="1" ht="15.75" customHeight="1" x14ac:dyDescent="0.25">
      <c r="A434" s="76">
        <v>1</v>
      </c>
      <c r="B434" s="77"/>
      <c r="C434" s="42" t="s">
        <v>263</v>
      </c>
      <c r="D434" s="57">
        <f>(75.31)*10.764</f>
        <v>810.63684000000001</v>
      </c>
      <c r="E434" s="42">
        <v>0</v>
      </c>
      <c r="F434" s="42">
        <f>D434*(($F$198)+1)+(IF(E434&lt;101,E434,IF(E434&lt;201,E434/2,IF(E434&lt;=301,E434/3,E434/4))))</f>
        <v>1215.95526</v>
      </c>
      <c r="G434" s="82" t="str">
        <f>A433</f>
        <v>1st Floor for Residential</v>
      </c>
      <c r="H434" s="83"/>
      <c r="I434" s="36"/>
      <c r="L434" s="75"/>
      <c r="M434" s="75"/>
      <c r="N434" s="36"/>
    </row>
    <row r="435" spans="1:14" s="37" customFormat="1" x14ac:dyDescent="0.25">
      <c r="A435" s="76">
        <f t="shared" ref="A435:A437" si="59">A434+1</f>
        <v>2</v>
      </c>
      <c r="B435" s="77"/>
      <c r="C435" s="76" t="s">
        <v>323</v>
      </c>
      <c r="D435" s="78"/>
      <c r="E435" s="78"/>
      <c r="F435" s="77"/>
      <c r="G435" s="84"/>
      <c r="H435" s="85"/>
      <c r="I435" s="36"/>
      <c r="L435" s="75"/>
      <c r="M435" s="75"/>
      <c r="N435" s="36"/>
    </row>
    <row r="436" spans="1:14" s="37" customFormat="1" x14ac:dyDescent="0.25">
      <c r="A436" s="76">
        <f t="shared" si="59"/>
        <v>3</v>
      </c>
      <c r="B436" s="77"/>
      <c r="C436" s="42" t="s">
        <v>264</v>
      </c>
      <c r="D436" s="57">
        <f>(85.84)*10.764</f>
        <v>923.98176000000001</v>
      </c>
      <c r="E436" s="42">
        <v>0</v>
      </c>
      <c r="F436" s="42">
        <f>D436*(($F$198)+1)+(IF(E436&lt;101,E436,IF(E436&lt;201,E436/2,IF(E436&lt;=301,E436/3,E436/4))))</f>
        <v>1385.97264</v>
      </c>
      <c r="G436" s="84"/>
      <c r="H436" s="85"/>
      <c r="I436" s="36"/>
      <c r="J436" s="37">
        <f>33100000/F436</f>
        <v>23882.145321425684</v>
      </c>
      <c r="L436" s="75"/>
      <c r="M436" s="75"/>
      <c r="N436" s="36"/>
    </row>
    <row r="437" spans="1:14" s="37" customFormat="1" x14ac:dyDescent="0.25">
      <c r="A437" s="76">
        <f t="shared" si="59"/>
        <v>4</v>
      </c>
      <c r="B437" s="77"/>
      <c r="C437" s="42" t="s">
        <v>263</v>
      </c>
      <c r="D437" s="57">
        <f>(75.33)*10.764</f>
        <v>810.8521199999999</v>
      </c>
      <c r="E437" s="42">
        <v>0</v>
      </c>
      <c r="F437" s="42">
        <f>D437*(($F$198)+1)+(IF(E437&lt;101,E437,IF(E437&lt;201,E437/2,IF(E437&lt;=301,E437/3,E437/4))))</f>
        <v>1216.2781799999998</v>
      </c>
      <c r="G437" s="86"/>
      <c r="H437" s="87"/>
      <c r="I437" s="36"/>
      <c r="L437" s="75"/>
      <c r="M437" s="75"/>
      <c r="N437" s="36"/>
    </row>
    <row r="438" spans="1:14" s="37" customFormat="1" x14ac:dyDescent="0.25">
      <c r="A438" s="79" t="s">
        <v>121</v>
      </c>
      <c r="B438" s="80"/>
      <c r="C438" s="80"/>
      <c r="D438" s="80"/>
      <c r="E438" s="80"/>
      <c r="F438" s="80"/>
      <c r="G438" s="80"/>
      <c r="H438" s="81"/>
      <c r="J438" s="36"/>
    </row>
    <row r="439" spans="1:14" s="37" customFormat="1" ht="15.75" customHeight="1" x14ac:dyDescent="0.25">
      <c r="A439" s="76">
        <v>1</v>
      </c>
      <c r="B439" s="77"/>
      <c r="C439" s="42" t="s">
        <v>263</v>
      </c>
      <c r="D439" s="57">
        <f>(75.31)*10.764</f>
        <v>810.63684000000001</v>
      </c>
      <c r="E439" s="42">
        <v>0</v>
      </c>
      <c r="F439" s="42">
        <f>D439*(($F$198)+1)+(IF(E439&lt;101,E439,IF(E439&lt;201,E439/2,IF(E439&lt;=301,E439/3,E439/4))))</f>
        <v>1215.95526</v>
      </c>
      <c r="G439" s="82" t="str">
        <f>A438</f>
        <v>2nd Floor</v>
      </c>
      <c r="H439" s="83"/>
      <c r="I439" s="36"/>
      <c r="L439" s="75"/>
      <c r="M439" s="75"/>
      <c r="N439" s="36"/>
    </row>
    <row r="440" spans="1:14" s="37" customFormat="1" x14ac:dyDescent="0.25">
      <c r="A440" s="76">
        <f t="shared" ref="A440:A442" si="60">A439+1</f>
        <v>2</v>
      </c>
      <c r="B440" s="77"/>
      <c r="C440" s="42" t="s">
        <v>260</v>
      </c>
      <c r="D440" s="57">
        <f>(71.6)*10.764</f>
        <v>770.7023999999999</v>
      </c>
      <c r="E440" s="42">
        <v>0</v>
      </c>
      <c r="F440" s="42">
        <f>D440*(($F$198)+1)+(IF(E440&lt;101,E440,IF(E440&lt;201,E440/2,IF(E440&lt;=301,E440/3,E440/4))))</f>
        <v>1156.0535999999997</v>
      </c>
      <c r="G440" s="84"/>
      <c r="H440" s="85"/>
      <c r="I440" s="36"/>
      <c r="L440" s="75"/>
      <c r="M440" s="75"/>
      <c r="N440" s="36"/>
    </row>
    <row r="441" spans="1:14" s="37" customFormat="1" x14ac:dyDescent="0.25">
      <c r="A441" s="76">
        <f t="shared" si="60"/>
        <v>3</v>
      </c>
      <c r="B441" s="77"/>
      <c r="C441" s="42" t="s">
        <v>264</v>
      </c>
      <c r="D441" s="57">
        <f>(85.84)*10.764</f>
        <v>923.98176000000001</v>
      </c>
      <c r="E441" s="42">
        <v>0</v>
      </c>
      <c r="F441" s="42">
        <f>D441*(($F$198)+1)+(IF(E441&lt;101,E441,IF(E441&lt;201,E441/2,IF(E441&lt;=301,E441/3,E441/4))))</f>
        <v>1385.97264</v>
      </c>
      <c r="G441" s="84"/>
      <c r="H441" s="85"/>
      <c r="I441" s="36"/>
      <c r="L441" s="75"/>
      <c r="M441" s="75"/>
      <c r="N441" s="36"/>
    </row>
    <row r="442" spans="1:14" s="37" customFormat="1" x14ac:dyDescent="0.25">
      <c r="A442" s="76">
        <f t="shared" si="60"/>
        <v>4</v>
      </c>
      <c r="B442" s="77"/>
      <c r="C442" s="42" t="s">
        <v>263</v>
      </c>
      <c r="D442" s="57">
        <f>(75.33)*10.764</f>
        <v>810.8521199999999</v>
      </c>
      <c r="E442" s="42">
        <v>0</v>
      </c>
      <c r="F442" s="42">
        <f>D442*(($F$198)+1)+(IF(E442&lt;101,E442,IF(E442&lt;201,E442/2,IF(E442&lt;=301,E442/3,E442/4))))</f>
        <v>1216.2781799999998</v>
      </c>
      <c r="G442" s="86"/>
      <c r="H442" s="87"/>
      <c r="I442" s="36"/>
      <c r="L442" s="75"/>
      <c r="M442" s="75"/>
      <c r="N442" s="36"/>
    </row>
    <row r="443" spans="1:14" s="37" customFormat="1" x14ac:dyDescent="0.25">
      <c r="A443" s="79" t="s">
        <v>268</v>
      </c>
      <c r="B443" s="80"/>
      <c r="C443" s="80"/>
      <c r="D443" s="80"/>
      <c r="E443" s="80"/>
      <c r="F443" s="80"/>
      <c r="G443" s="80"/>
      <c r="H443" s="81"/>
      <c r="J443" s="36"/>
    </row>
    <row r="444" spans="1:14" s="37" customFormat="1" ht="15.75" customHeight="1" x14ac:dyDescent="0.25">
      <c r="A444" s="76">
        <v>1</v>
      </c>
      <c r="B444" s="77"/>
      <c r="C444" s="42" t="s">
        <v>263</v>
      </c>
      <c r="D444" s="57">
        <f>(75.31)*10.764</f>
        <v>810.63684000000001</v>
      </c>
      <c r="E444" s="42">
        <v>0</v>
      </c>
      <c r="F444" s="42">
        <f>D444*(($F$198)+1)+(IF(E444&lt;101,E444,IF(E444&lt;201,E444/2,IF(E444&lt;=301,E444/3,E444/4))))</f>
        <v>1215.95526</v>
      </c>
      <c r="G444" s="82" t="str">
        <f>A443</f>
        <v>3rd Floor</v>
      </c>
      <c r="H444" s="83"/>
      <c r="I444" s="36"/>
      <c r="L444" s="75"/>
      <c r="M444" s="75"/>
      <c r="N444" s="36"/>
    </row>
    <row r="445" spans="1:14" s="37" customFormat="1" x14ac:dyDescent="0.25">
      <c r="A445" s="76">
        <f t="shared" ref="A445:A447" si="61">A444+1</f>
        <v>2</v>
      </c>
      <c r="B445" s="77"/>
      <c r="C445" s="42" t="s">
        <v>260</v>
      </c>
      <c r="D445" s="57">
        <f>(71.6)*10.764</f>
        <v>770.7023999999999</v>
      </c>
      <c r="E445" s="42">
        <v>0</v>
      </c>
      <c r="F445" s="42">
        <f>D445*(($F$198)+1)+(IF(E445&lt;101,E445,IF(E445&lt;201,E445/2,IF(E445&lt;=301,E445/3,E445/4))))</f>
        <v>1156.0535999999997</v>
      </c>
      <c r="G445" s="84"/>
      <c r="H445" s="85"/>
      <c r="I445" s="36"/>
      <c r="L445" s="75"/>
      <c r="M445" s="75"/>
      <c r="N445" s="36"/>
    </row>
    <row r="446" spans="1:14" s="37" customFormat="1" x14ac:dyDescent="0.25">
      <c r="A446" s="76">
        <f t="shared" si="61"/>
        <v>3</v>
      </c>
      <c r="B446" s="77"/>
      <c r="C446" s="42" t="s">
        <v>264</v>
      </c>
      <c r="D446" s="57">
        <f>(85.84)*10.764</f>
        <v>923.98176000000001</v>
      </c>
      <c r="E446" s="42">
        <v>0</v>
      </c>
      <c r="F446" s="42">
        <f>D446*(($F$198)+1)+(IF(E446&lt;101,E446,IF(E446&lt;201,E446/2,IF(E446&lt;=301,E446/3,E446/4))))</f>
        <v>1385.97264</v>
      </c>
      <c r="G446" s="84"/>
      <c r="H446" s="85"/>
      <c r="I446" s="36"/>
      <c r="L446" s="75"/>
      <c r="M446" s="75"/>
      <c r="N446" s="36"/>
    </row>
    <row r="447" spans="1:14" s="37" customFormat="1" x14ac:dyDescent="0.25">
      <c r="A447" s="76">
        <f t="shared" si="61"/>
        <v>4</v>
      </c>
      <c r="B447" s="77"/>
      <c r="C447" s="42" t="s">
        <v>263</v>
      </c>
      <c r="D447" s="57">
        <f>(75.33)*10.764</f>
        <v>810.8521199999999</v>
      </c>
      <c r="E447" s="42">
        <v>0</v>
      </c>
      <c r="F447" s="42">
        <f>D447*(($F$198)+1)+(IF(E447&lt;101,E447,IF(E447&lt;201,E447/2,IF(E447&lt;=301,E447/3,E447/4))))</f>
        <v>1216.2781799999998</v>
      </c>
      <c r="G447" s="86"/>
      <c r="H447" s="87"/>
      <c r="I447" s="36"/>
      <c r="L447" s="75"/>
      <c r="M447" s="75"/>
      <c r="N447" s="36"/>
    </row>
    <row r="448" spans="1:14" s="37" customFormat="1" x14ac:dyDescent="0.25">
      <c r="A448" s="79" t="s">
        <v>269</v>
      </c>
      <c r="B448" s="80"/>
      <c r="C448" s="80"/>
      <c r="D448" s="80"/>
      <c r="E448" s="80"/>
      <c r="F448" s="80"/>
      <c r="G448" s="80"/>
      <c r="H448" s="81"/>
      <c r="J448" s="36"/>
    </row>
    <row r="449" spans="1:14" s="37" customFormat="1" ht="15.75" customHeight="1" x14ac:dyDescent="0.25">
      <c r="A449" s="76">
        <v>1</v>
      </c>
      <c r="B449" s="77"/>
      <c r="C449" s="42" t="s">
        <v>263</v>
      </c>
      <c r="D449" s="57">
        <f>(75.31)*10.764</f>
        <v>810.63684000000001</v>
      </c>
      <c r="E449" s="42">
        <v>0</v>
      </c>
      <c r="F449" s="42">
        <f>D449*(($F$198)+1)+(IF(E449&lt;101,E449,IF(E449&lt;201,E449/2,IF(E449&lt;=301,E449/3,E449/4))))</f>
        <v>1215.95526</v>
      </c>
      <c r="G449" s="82" t="str">
        <f>A448</f>
        <v>4th Floor</v>
      </c>
      <c r="H449" s="83"/>
      <c r="I449" s="36"/>
      <c r="L449" s="75"/>
      <c r="M449" s="75"/>
      <c r="N449" s="36"/>
    </row>
    <row r="450" spans="1:14" s="37" customFormat="1" x14ac:dyDescent="0.25">
      <c r="A450" s="76">
        <f t="shared" ref="A450:A452" si="62">A449+1</f>
        <v>2</v>
      </c>
      <c r="B450" s="77"/>
      <c r="C450" s="42" t="s">
        <v>260</v>
      </c>
      <c r="D450" s="57">
        <f>(71.6)*10.764</f>
        <v>770.7023999999999</v>
      </c>
      <c r="E450" s="42">
        <v>0</v>
      </c>
      <c r="F450" s="42">
        <f>D450*(($F$198)+1)+(IF(E450&lt;101,E450,IF(E450&lt;201,E450/2,IF(E450&lt;=301,E450/3,E450/4))))</f>
        <v>1156.0535999999997</v>
      </c>
      <c r="G450" s="84"/>
      <c r="H450" s="85"/>
      <c r="I450" s="36"/>
      <c r="L450" s="75"/>
      <c r="M450" s="75"/>
      <c r="N450" s="36"/>
    </row>
    <row r="451" spans="1:14" s="37" customFormat="1" x14ac:dyDescent="0.25">
      <c r="A451" s="76">
        <f t="shared" si="62"/>
        <v>3</v>
      </c>
      <c r="B451" s="77"/>
      <c r="C451" s="42" t="s">
        <v>264</v>
      </c>
      <c r="D451" s="57">
        <f>(85.84)*10.764</f>
        <v>923.98176000000001</v>
      </c>
      <c r="E451" s="42">
        <v>0</v>
      </c>
      <c r="F451" s="42">
        <f>D451*(($F$198)+1)+(IF(E451&lt;101,E451,IF(E451&lt;201,E451/2,IF(E451&lt;=301,E451/3,E451/4))))</f>
        <v>1385.97264</v>
      </c>
      <c r="G451" s="84"/>
      <c r="H451" s="85"/>
      <c r="I451" s="36"/>
      <c r="L451" s="75"/>
      <c r="M451" s="75"/>
      <c r="N451" s="36"/>
    </row>
    <row r="452" spans="1:14" s="37" customFormat="1" x14ac:dyDescent="0.25">
      <c r="A452" s="76">
        <f t="shared" si="62"/>
        <v>4</v>
      </c>
      <c r="B452" s="77"/>
      <c r="C452" s="42" t="s">
        <v>263</v>
      </c>
      <c r="D452" s="57">
        <f>(75.33)*10.764</f>
        <v>810.8521199999999</v>
      </c>
      <c r="E452" s="42">
        <v>0</v>
      </c>
      <c r="F452" s="42">
        <f>D452*(($F$198)+1)+(IF(E452&lt;101,E452,IF(E452&lt;201,E452/2,IF(E452&lt;=301,E452/3,E452/4))))</f>
        <v>1216.2781799999998</v>
      </c>
      <c r="G452" s="86"/>
      <c r="H452" s="87"/>
      <c r="I452" s="36"/>
      <c r="L452" s="75"/>
      <c r="M452" s="75"/>
      <c r="N452" s="36"/>
    </row>
    <row r="453" spans="1:14" s="37" customFormat="1" x14ac:dyDescent="0.25">
      <c r="A453" s="79" t="s">
        <v>270</v>
      </c>
      <c r="B453" s="80"/>
      <c r="C453" s="80"/>
      <c r="D453" s="80"/>
      <c r="E453" s="80"/>
      <c r="F453" s="80"/>
      <c r="G453" s="80"/>
      <c r="H453" s="81"/>
      <c r="J453" s="36"/>
    </row>
    <row r="454" spans="1:14" s="37" customFormat="1" ht="15.75" customHeight="1" x14ac:dyDescent="0.25">
      <c r="A454" s="76">
        <v>1</v>
      </c>
      <c r="B454" s="77"/>
      <c r="C454" s="42" t="s">
        <v>263</v>
      </c>
      <c r="D454" s="57">
        <f>(75.31)*10.764</f>
        <v>810.63684000000001</v>
      </c>
      <c r="E454" s="42">
        <v>0</v>
      </c>
      <c r="F454" s="42">
        <f>D454*(($F$198)+1)+(IF(E454&lt;101,E454,IF(E454&lt;201,E454/2,IF(E454&lt;=301,E454/3,E454/4))))</f>
        <v>1215.95526</v>
      </c>
      <c r="G454" s="82" t="str">
        <f>A453</f>
        <v>5th Floor</v>
      </c>
      <c r="H454" s="83"/>
      <c r="I454" s="36"/>
      <c r="L454" s="75"/>
      <c r="M454" s="75"/>
      <c r="N454" s="36"/>
    </row>
    <row r="455" spans="1:14" s="37" customFormat="1" x14ac:dyDescent="0.25">
      <c r="A455" s="76">
        <f t="shared" ref="A455:A457" si="63">A454+1</f>
        <v>2</v>
      </c>
      <c r="B455" s="77"/>
      <c r="C455" s="42" t="s">
        <v>260</v>
      </c>
      <c r="D455" s="57">
        <f>(71.6)*10.764</f>
        <v>770.7023999999999</v>
      </c>
      <c r="E455" s="42">
        <v>0</v>
      </c>
      <c r="F455" s="42">
        <f>D455*(($F$198)+1)+(IF(E455&lt;101,E455,IF(E455&lt;201,E455/2,IF(E455&lt;=301,E455/3,E455/4))))</f>
        <v>1156.0535999999997</v>
      </c>
      <c r="G455" s="84"/>
      <c r="H455" s="85"/>
      <c r="I455" s="36"/>
      <c r="L455" s="75"/>
      <c r="M455" s="75"/>
      <c r="N455" s="36"/>
    </row>
    <row r="456" spans="1:14" s="37" customFormat="1" x14ac:dyDescent="0.25">
      <c r="A456" s="76">
        <f t="shared" si="63"/>
        <v>3</v>
      </c>
      <c r="B456" s="77"/>
      <c r="C456" s="42" t="s">
        <v>264</v>
      </c>
      <c r="D456" s="57">
        <f>(85.84)*10.764</f>
        <v>923.98176000000001</v>
      </c>
      <c r="E456" s="42">
        <v>0</v>
      </c>
      <c r="F456" s="42">
        <f>D456*(($F$198)+1)+(IF(E456&lt;101,E456,IF(E456&lt;201,E456/2,IF(E456&lt;=301,E456/3,E456/4))))</f>
        <v>1385.97264</v>
      </c>
      <c r="G456" s="84"/>
      <c r="H456" s="85"/>
      <c r="I456" s="36"/>
      <c r="L456" s="75"/>
      <c r="M456" s="75"/>
      <c r="N456" s="36"/>
    </row>
    <row r="457" spans="1:14" s="37" customFormat="1" x14ac:dyDescent="0.25">
      <c r="A457" s="76">
        <f t="shared" si="63"/>
        <v>4</v>
      </c>
      <c r="B457" s="77"/>
      <c r="C457" s="42" t="s">
        <v>263</v>
      </c>
      <c r="D457" s="57">
        <f>(75.33)*10.764</f>
        <v>810.8521199999999</v>
      </c>
      <c r="E457" s="42">
        <v>0</v>
      </c>
      <c r="F457" s="42">
        <f>D457*(($F$198)+1)+(IF(E457&lt;101,E457,IF(E457&lt;201,E457/2,IF(E457&lt;=301,E457/3,E457/4))))</f>
        <v>1216.2781799999998</v>
      </c>
      <c r="G457" s="86"/>
      <c r="H457" s="87"/>
      <c r="I457" s="36"/>
      <c r="L457" s="75"/>
      <c r="M457" s="75"/>
      <c r="N457" s="36"/>
    </row>
    <row r="458" spans="1:14" s="37" customFormat="1" x14ac:dyDescent="0.25">
      <c r="A458" s="79" t="s">
        <v>271</v>
      </c>
      <c r="B458" s="80"/>
      <c r="C458" s="80"/>
      <c r="D458" s="80"/>
      <c r="E458" s="80"/>
      <c r="F458" s="80"/>
      <c r="G458" s="80"/>
      <c r="H458" s="81"/>
      <c r="J458" s="36"/>
    </row>
    <row r="459" spans="1:14" s="37" customFormat="1" ht="15.75" customHeight="1" x14ac:dyDescent="0.25">
      <c r="A459" s="76">
        <v>1</v>
      </c>
      <c r="B459" s="77"/>
      <c r="C459" s="42" t="s">
        <v>264</v>
      </c>
      <c r="D459" s="57">
        <f>(84.12)*10.764</f>
        <v>905.46767999999997</v>
      </c>
      <c r="E459" s="42">
        <v>0</v>
      </c>
      <c r="F459" s="42">
        <f>D459*(($F$198)+1)+(IF(E459&lt;101,E459,IF(E459&lt;201,E459/2,IF(E459&lt;=301,E459/3,E459/4))))</f>
        <v>1358.2015200000001</v>
      </c>
      <c r="G459" s="82" t="str">
        <f>A458</f>
        <v>6th Floor</v>
      </c>
      <c r="H459" s="83"/>
      <c r="I459" s="36"/>
      <c r="L459" s="75"/>
      <c r="M459" s="75"/>
      <c r="N459" s="36"/>
    </row>
    <row r="460" spans="1:14" s="37" customFormat="1" x14ac:dyDescent="0.25">
      <c r="A460" s="76">
        <f t="shared" ref="A460:A462" si="64">A459+1</f>
        <v>2</v>
      </c>
      <c r="B460" s="77"/>
      <c r="C460" s="42" t="s">
        <v>260</v>
      </c>
      <c r="D460" s="57">
        <f>(71.6)*10.764</f>
        <v>770.7023999999999</v>
      </c>
      <c r="E460" s="42">
        <v>0</v>
      </c>
      <c r="F460" s="42">
        <f>D460*(($F$198)+1)+(IF(E460&lt;101,E460,IF(E460&lt;201,E460/2,IF(E460&lt;=301,E460/3,E460/4))))</f>
        <v>1156.0535999999997</v>
      </c>
      <c r="G460" s="84"/>
      <c r="H460" s="85"/>
      <c r="I460" s="36"/>
      <c r="L460" s="75"/>
      <c r="M460" s="75"/>
      <c r="N460" s="36"/>
    </row>
    <row r="461" spans="1:14" s="37" customFormat="1" x14ac:dyDescent="0.25">
      <c r="A461" s="76">
        <f t="shared" si="64"/>
        <v>3</v>
      </c>
      <c r="B461" s="77"/>
      <c r="C461" s="42" t="s">
        <v>264</v>
      </c>
      <c r="D461" s="57">
        <f>(85.84)*10.764</f>
        <v>923.98176000000001</v>
      </c>
      <c r="E461" s="42">
        <v>0</v>
      </c>
      <c r="F461" s="42">
        <f>D461*(($F$198)+1)+(IF(E461&lt;101,E461,IF(E461&lt;201,E461/2,IF(E461&lt;=301,E461/3,E461/4))))</f>
        <v>1385.97264</v>
      </c>
      <c r="G461" s="84"/>
      <c r="H461" s="85"/>
      <c r="I461" s="36"/>
      <c r="L461" s="75"/>
      <c r="M461" s="75"/>
      <c r="N461" s="36"/>
    </row>
    <row r="462" spans="1:14" s="37" customFormat="1" x14ac:dyDescent="0.25">
      <c r="A462" s="76">
        <f t="shared" si="64"/>
        <v>4</v>
      </c>
      <c r="B462" s="77"/>
      <c r="C462" s="42" t="s">
        <v>263</v>
      </c>
      <c r="D462" s="57">
        <f>(75.33)*10.764</f>
        <v>810.8521199999999</v>
      </c>
      <c r="E462" s="42">
        <v>0</v>
      </c>
      <c r="F462" s="42">
        <f>D462*(($F$198)+1)+(IF(E462&lt;101,E462,IF(E462&lt;201,E462/2,IF(E462&lt;=301,E462/3,E462/4))))</f>
        <v>1216.2781799999998</v>
      </c>
      <c r="G462" s="86"/>
      <c r="H462" s="87"/>
      <c r="I462" s="36"/>
      <c r="L462" s="75"/>
      <c r="M462" s="75"/>
      <c r="N462" s="36"/>
    </row>
    <row r="463" spans="1:14" s="37" customFormat="1" x14ac:dyDescent="0.25">
      <c r="A463" s="79" t="s">
        <v>272</v>
      </c>
      <c r="B463" s="80"/>
      <c r="C463" s="80"/>
      <c r="D463" s="80"/>
      <c r="E463" s="80"/>
      <c r="F463" s="80"/>
      <c r="G463" s="80"/>
      <c r="H463" s="81"/>
      <c r="J463" s="36"/>
    </row>
    <row r="464" spans="1:14" s="37" customFormat="1" ht="15.75" customHeight="1" x14ac:dyDescent="0.25">
      <c r="A464" s="76">
        <v>1</v>
      </c>
      <c r="B464" s="77"/>
      <c r="C464" s="42" t="s">
        <v>264</v>
      </c>
      <c r="D464" s="57">
        <f>(84.12)*10.764</f>
        <v>905.46767999999997</v>
      </c>
      <c r="E464" s="42">
        <v>0</v>
      </c>
      <c r="F464" s="42">
        <f>D464*(($F$198)+1)+(IF(E464&lt;101,E464,IF(E464&lt;201,E464/2,IF(E464&lt;=301,E464/3,E464/4))))</f>
        <v>1358.2015200000001</v>
      </c>
      <c r="G464" s="82" t="str">
        <f>A463</f>
        <v>7th Floor</v>
      </c>
      <c r="H464" s="83"/>
      <c r="I464" s="36"/>
      <c r="L464" s="75"/>
      <c r="M464" s="75"/>
      <c r="N464" s="36"/>
    </row>
    <row r="465" spans="1:14" s="37" customFormat="1" x14ac:dyDescent="0.25">
      <c r="A465" s="76">
        <f t="shared" ref="A465:A467" si="65">A464+1</f>
        <v>2</v>
      </c>
      <c r="B465" s="77"/>
      <c r="C465" s="42" t="s">
        <v>260</v>
      </c>
      <c r="D465" s="57">
        <f>(71.6)*10.764</f>
        <v>770.7023999999999</v>
      </c>
      <c r="E465" s="42">
        <v>0</v>
      </c>
      <c r="F465" s="42">
        <f>D465*(($F$198)+1)+(IF(E465&lt;101,E465,IF(E465&lt;201,E465/2,IF(E465&lt;=301,E465/3,E465/4))))</f>
        <v>1156.0535999999997</v>
      </c>
      <c r="G465" s="84"/>
      <c r="H465" s="85"/>
      <c r="I465" s="36"/>
      <c r="L465" s="75"/>
      <c r="M465" s="75"/>
      <c r="N465" s="36"/>
    </row>
    <row r="466" spans="1:14" s="37" customFormat="1" x14ac:dyDescent="0.25">
      <c r="A466" s="76">
        <f t="shared" si="65"/>
        <v>3</v>
      </c>
      <c r="B466" s="77"/>
      <c r="C466" s="42" t="s">
        <v>264</v>
      </c>
      <c r="D466" s="57">
        <f>(85.84)*10.764</f>
        <v>923.98176000000001</v>
      </c>
      <c r="E466" s="42">
        <v>0</v>
      </c>
      <c r="F466" s="42">
        <f>D466*(($F$198)+1)+(IF(E466&lt;101,E466,IF(E466&lt;201,E466/2,IF(E466&lt;=301,E466/3,E466/4))))</f>
        <v>1385.97264</v>
      </c>
      <c r="G466" s="84"/>
      <c r="H466" s="85"/>
      <c r="I466" s="36"/>
      <c r="J466" s="37">
        <f>37100000/F466</f>
        <v>26768.205178999782</v>
      </c>
      <c r="L466" s="75"/>
      <c r="M466" s="75"/>
      <c r="N466" s="36"/>
    </row>
    <row r="467" spans="1:14" s="37" customFormat="1" x14ac:dyDescent="0.25">
      <c r="A467" s="76">
        <f t="shared" si="65"/>
        <v>4</v>
      </c>
      <c r="B467" s="77"/>
      <c r="C467" s="42" t="s">
        <v>263</v>
      </c>
      <c r="D467" s="57">
        <f>(75.33)*10.764</f>
        <v>810.8521199999999</v>
      </c>
      <c r="E467" s="42">
        <v>0</v>
      </c>
      <c r="F467" s="42">
        <f>D467*(($F$198)+1)+(IF(E467&lt;101,E467,IF(E467&lt;201,E467/2,IF(E467&lt;=301,E467/3,E467/4))))</f>
        <v>1216.2781799999998</v>
      </c>
      <c r="G467" s="86"/>
      <c r="H467" s="87"/>
      <c r="I467" s="36"/>
      <c r="L467" s="75"/>
      <c r="M467" s="75"/>
      <c r="N467" s="36"/>
    </row>
    <row r="468" spans="1:14" s="37" customFormat="1" x14ac:dyDescent="0.25">
      <c r="A468" s="79" t="s">
        <v>273</v>
      </c>
      <c r="B468" s="80"/>
      <c r="C468" s="80"/>
      <c r="D468" s="80"/>
      <c r="E468" s="80"/>
      <c r="F468" s="80"/>
      <c r="G468" s="80"/>
      <c r="H468" s="81"/>
      <c r="J468" s="36"/>
    </row>
    <row r="469" spans="1:14" s="37" customFormat="1" ht="15.75" customHeight="1" x14ac:dyDescent="0.25">
      <c r="A469" s="76">
        <v>1</v>
      </c>
      <c r="B469" s="77"/>
      <c r="C469" s="42" t="s">
        <v>264</v>
      </c>
      <c r="D469" s="57">
        <f>(84.12)*10.764</f>
        <v>905.46767999999997</v>
      </c>
      <c r="E469" s="42">
        <v>0</v>
      </c>
      <c r="F469" s="42">
        <f>D469*(($F$198)+1)+(IF(E469&lt;101,E469,IF(E469&lt;201,E469/2,IF(E469&lt;=301,E469/3,E469/4))))</f>
        <v>1358.2015200000001</v>
      </c>
      <c r="G469" s="82" t="str">
        <f>A468</f>
        <v>8th Floor (Part Refuge Area)</v>
      </c>
      <c r="H469" s="83"/>
      <c r="I469" s="36"/>
      <c r="L469" s="75"/>
      <c r="M469" s="75"/>
      <c r="N469" s="36"/>
    </row>
    <row r="470" spans="1:14" s="37" customFormat="1" x14ac:dyDescent="0.25">
      <c r="A470" s="76">
        <f t="shared" ref="A470:A472" si="66">A469+1</f>
        <v>2</v>
      </c>
      <c r="B470" s="77"/>
      <c r="C470" s="42" t="s">
        <v>260</v>
      </c>
      <c r="D470" s="57">
        <f>(71.6)*10.764</f>
        <v>770.7023999999999</v>
      </c>
      <c r="E470" s="42">
        <v>0</v>
      </c>
      <c r="F470" s="42">
        <f>D470*(($F$198)+1)+(IF(E470&lt;101,E470,IF(E470&lt;201,E470/2,IF(E470&lt;=301,E470/3,E470/4))))</f>
        <v>1156.0535999999997</v>
      </c>
      <c r="G470" s="84"/>
      <c r="H470" s="85"/>
      <c r="I470" s="36"/>
      <c r="L470" s="75"/>
      <c r="M470" s="75"/>
      <c r="N470" s="36"/>
    </row>
    <row r="471" spans="1:14" s="37" customFormat="1" x14ac:dyDescent="0.25">
      <c r="A471" s="76">
        <f t="shared" si="66"/>
        <v>3</v>
      </c>
      <c r="B471" s="77"/>
      <c r="C471" s="42" t="s">
        <v>274</v>
      </c>
      <c r="D471" s="57">
        <f>(36.01)*10.764</f>
        <v>387.61163999999997</v>
      </c>
      <c r="E471" s="42">
        <v>0</v>
      </c>
      <c r="F471" s="42">
        <f>D471*(($F$198)+1)+(IF(E471&lt;101,E471,IF(E471&lt;201,E471/2,IF(E471&lt;=301,E471/3,E471/4))))</f>
        <v>581.41745999999989</v>
      </c>
      <c r="G471" s="84"/>
      <c r="H471" s="85"/>
      <c r="I471" s="36"/>
      <c r="L471" s="75"/>
      <c r="M471" s="75"/>
      <c r="N471" s="36"/>
    </row>
    <row r="472" spans="1:14" s="37" customFormat="1" x14ac:dyDescent="0.25">
      <c r="A472" s="76">
        <f t="shared" si="66"/>
        <v>4</v>
      </c>
      <c r="B472" s="77"/>
      <c r="C472" s="42" t="s">
        <v>264</v>
      </c>
      <c r="D472" s="57">
        <f>(84.12)*10.764</f>
        <v>905.46767999999997</v>
      </c>
      <c r="E472" s="42">
        <v>0</v>
      </c>
      <c r="F472" s="42">
        <f>D472*(($F$198)+1)+(IF(E472&lt;101,E472,IF(E472&lt;201,E472/2,IF(E472&lt;=301,E472/3,E472/4))))</f>
        <v>1358.2015200000001</v>
      </c>
      <c r="G472" s="86"/>
      <c r="H472" s="87"/>
      <c r="I472" s="36"/>
      <c r="L472" s="75"/>
      <c r="M472" s="75"/>
      <c r="N472" s="36"/>
    </row>
    <row r="473" spans="1:14" s="37" customFormat="1" x14ac:dyDescent="0.25">
      <c r="A473" s="79" t="s">
        <v>276</v>
      </c>
      <c r="B473" s="80"/>
      <c r="C473" s="80"/>
      <c r="D473" s="80"/>
      <c r="E473" s="80"/>
      <c r="F473" s="80"/>
      <c r="G473" s="80"/>
      <c r="H473" s="81"/>
      <c r="J473" s="36"/>
    </row>
    <row r="474" spans="1:14" s="37" customFormat="1" ht="15.75" customHeight="1" x14ac:dyDescent="0.25">
      <c r="A474" s="76">
        <v>1</v>
      </c>
      <c r="B474" s="77"/>
      <c r="C474" s="42" t="s">
        <v>264</v>
      </c>
      <c r="D474" s="57">
        <f>(84.12)*10.764</f>
        <v>905.46767999999997</v>
      </c>
      <c r="E474" s="42">
        <v>0</v>
      </c>
      <c r="F474" s="42">
        <f>D474*(($F$198)+1)+(IF(E474&lt;101,E474,IF(E474&lt;201,E474/2,IF(E474&lt;=301,E474/3,E474/4))))</f>
        <v>1358.2015200000001</v>
      </c>
      <c r="G474" s="82" t="str">
        <f>A473</f>
        <v>9th Floor</v>
      </c>
      <c r="H474" s="83"/>
      <c r="I474" s="36"/>
      <c r="L474" s="75"/>
      <c r="M474" s="75"/>
      <c r="N474" s="36"/>
    </row>
    <row r="475" spans="1:14" s="37" customFormat="1" x14ac:dyDescent="0.25">
      <c r="A475" s="76">
        <f t="shared" ref="A475:A477" si="67">A474+1</f>
        <v>2</v>
      </c>
      <c r="B475" s="77"/>
      <c r="C475" s="42" t="s">
        <v>260</v>
      </c>
      <c r="D475" s="57">
        <f>(71.6)*10.764</f>
        <v>770.7023999999999</v>
      </c>
      <c r="E475" s="42">
        <v>0</v>
      </c>
      <c r="F475" s="42">
        <f>D475*(($F$198)+1)+(IF(E475&lt;101,E475,IF(E475&lt;201,E475/2,IF(E475&lt;=301,E475/3,E475/4))))</f>
        <v>1156.0535999999997</v>
      </c>
      <c r="G475" s="84"/>
      <c r="H475" s="85"/>
      <c r="I475" s="36"/>
      <c r="J475" s="37">
        <f>31200000/F475</f>
        <v>26988.368013386236</v>
      </c>
      <c r="L475" s="75"/>
      <c r="M475" s="75"/>
      <c r="N475" s="36"/>
    </row>
    <row r="476" spans="1:14" s="37" customFormat="1" x14ac:dyDescent="0.25">
      <c r="A476" s="76">
        <f t="shared" si="67"/>
        <v>3</v>
      </c>
      <c r="B476" s="77"/>
      <c r="C476" s="42" t="s">
        <v>264</v>
      </c>
      <c r="D476" s="57">
        <f>(85.84)*10.764</f>
        <v>923.98176000000001</v>
      </c>
      <c r="E476" s="42">
        <v>0</v>
      </c>
      <c r="F476" s="42">
        <f>D476*(($F$198)+1)+(IF(E476&lt;101,E476,IF(E476&lt;201,E476/2,IF(E476&lt;=301,E476/3,E476/4))))</f>
        <v>1385.97264</v>
      </c>
      <c r="G476" s="84"/>
      <c r="H476" s="85"/>
      <c r="I476" s="36"/>
      <c r="L476" s="75"/>
      <c r="M476" s="75"/>
      <c r="N476" s="36"/>
    </row>
    <row r="477" spans="1:14" s="37" customFormat="1" x14ac:dyDescent="0.25">
      <c r="A477" s="76">
        <f t="shared" si="67"/>
        <v>4</v>
      </c>
      <c r="B477" s="77"/>
      <c r="C477" s="42" t="s">
        <v>264</v>
      </c>
      <c r="D477" s="57">
        <f>(84.12)*10.764</f>
        <v>905.46767999999997</v>
      </c>
      <c r="E477" s="42">
        <v>0</v>
      </c>
      <c r="F477" s="42">
        <f>D477*(($F$198)+1)+(IF(E477&lt;101,E477,IF(E477&lt;201,E477/2,IF(E477&lt;=301,E477/3,E477/4))))</f>
        <v>1358.2015200000001</v>
      </c>
      <c r="G477" s="86"/>
      <c r="H477" s="87"/>
      <c r="I477" s="36"/>
      <c r="L477" s="75"/>
      <c r="M477" s="75"/>
      <c r="N477" s="36"/>
    </row>
    <row r="478" spans="1:14" s="37" customFormat="1" x14ac:dyDescent="0.25">
      <c r="A478" s="79" t="s">
        <v>277</v>
      </c>
      <c r="B478" s="80"/>
      <c r="C478" s="80"/>
      <c r="D478" s="80"/>
      <c r="E478" s="80"/>
      <c r="F478" s="80"/>
      <c r="G478" s="80"/>
      <c r="H478" s="81"/>
      <c r="J478" s="36"/>
    </row>
    <row r="479" spans="1:14" s="37" customFormat="1" ht="15.75" customHeight="1" x14ac:dyDescent="0.25">
      <c r="A479" s="76">
        <v>1</v>
      </c>
      <c r="B479" s="77"/>
      <c r="C479" s="42" t="s">
        <v>264</v>
      </c>
      <c r="D479" s="57">
        <f>(84.47)*10.764</f>
        <v>909.23507999999993</v>
      </c>
      <c r="E479" s="42">
        <v>0</v>
      </c>
      <c r="F479" s="42">
        <f>D479*(($F$198)+1)+(IF(E479&lt;101,E479,IF(E479&lt;201,E479/2,IF(E479&lt;=301,E479/3,E479/4))))</f>
        <v>1363.8526199999999</v>
      </c>
      <c r="G479" s="82" t="str">
        <f>A478</f>
        <v>10th Floor</v>
      </c>
      <c r="H479" s="83"/>
      <c r="I479" s="36"/>
      <c r="L479" s="75"/>
      <c r="M479" s="75"/>
      <c r="N479" s="36"/>
    </row>
    <row r="480" spans="1:14" s="37" customFormat="1" x14ac:dyDescent="0.25">
      <c r="A480" s="76">
        <f t="shared" ref="A480:A482" si="68">A479+1</f>
        <v>2</v>
      </c>
      <c r="B480" s="77"/>
      <c r="C480" s="42" t="s">
        <v>260</v>
      </c>
      <c r="D480" s="57">
        <f>(71.95)*10.764</f>
        <v>774.46979999999996</v>
      </c>
      <c r="E480" s="42">
        <v>0</v>
      </c>
      <c r="F480" s="42">
        <f>D480*(($F$198)+1)+(IF(E480&lt;101,E480,IF(E480&lt;201,E480/2,IF(E480&lt;=301,E480/3,E480/4))))</f>
        <v>1161.7047</v>
      </c>
      <c r="G480" s="84"/>
      <c r="H480" s="85"/>
      <c r="I480" s="36"/>
      <c r="L480" s="75"/>
      <c r="M480" s="75"/>
      <c r="N480" s="36"/>
    </row>
    <row r="481" spans="1:14" s="37" customFormat="1" x14ac:dyDescent="0.25">
      <c r="A481" s="76">
        <f t="shared" si="68"/>
        <v>3</v>
      </c>
      <c r="B481" s="77"/>
      <c r="C481" s="42" t="s">
        <v>264</v>
      </c>
      <c r="D481" s="57">
        <f>(85.84)*10.764</f>
        <v>923.98176000000001</v>
      </c>
      <c r="E481" s="42">
        <v>0</v>
      </c>
      <c r="F481" s="42">
        <f>D481*(($F$198)+1)+(IF(E481&lt;101,E481,IF(E481&lt;201,E481/2,IF(E481&lt;=301,E481/3,E481/4))))</f>
        <v>1385.97264</v>
      </c>
      <c r="G481" s="84"/>
      <c r="H481" s="85"/>
      <c r="I481" s="36"/>
      <c r="L481" s="75"/>
      <c r="M481" s="75"/>
      <c r="N481" s="36"/>
    </row>
    <row r="482" spans="1:14" s="37" customFormat="1" x14ac:dyDescent="0.25">
      <c r="A482" s="76">
        <f t="shared" si="68"/>
        <v>4</v>
      </c>
      <c r="B482" s="77"/>
      <c r="C482" s="42" t="s">
        <v>264</v>
      </c>
      <c r="D482" s="57">
        <f>(84.12)*10.764</f>
        <v>905.46767999999997</v>
      </c>
      <c r="E482" s="42">
        <v>0</v>
      </c>
      <c r="F482" s="42">
        <f>D482*(($F$198)+1)+(IF(E482&lt;101,E482,IF(E482&lt;201,E482/2,IF(E482&lt;=301,E482/3,E482/4))))</f>
        <v>1358.2015200000001</v>
      </c>
      <c r="G482" s="86"/>
      <c r="H482" s="87"/>
      <c r="I482" s="36"/>
      <c r="L482" s="75"/>
      <c r="M482" s="75"/>
      <c r="N482" s="36"/>
    </row>
    <row r="483" spans="1:14" s="37" customFormat="1" hidden="1" x14ac:dyDescent="0.25">
      <c r="A483" s="79" t="s">
        <v>120</v>
      </c>
      <c r="B483" s="80"/>
      <c r="C483" s="80"/>
      <c r="D483" s="80"/>
      <c r="E483" s="80"/>
      <c r="F483" s="80"/>
      <c r="G483" s="80"/>
      <c r="H483" s="81"/>
      <c r="J483" s="36"/>
    </row>
    <row r="484" spans="1:14" s="37" customFormat="1" hidden="1" x14ac:dyDescent="0.25">
      <c r="A484" s="76">
        <v>1</v>
      </c>
      <c r="B484" s="77"/>
      <c r="C484" s="42"/>
      <c r="D484" s="42"/>
      <c r="E484" s="42">
        <v>0</v>
      </c>
      <c r="F484" s="42">
        <f>D484*(($F$198)+1)+(IF(E484&lt;101,E484,IF(E484&lt;201,E484/2,IF(E484&lt;=301,E484/3,E484/4))))</f>
        <v>0</v>
      </c>
      <c r="G484" s="76" t="str">
        <f>A483</f>
        <v>Ground Floor</v>
      </c>
      <c r="H484" s="77"/>
      <c r="I484" s="36"/>
      <c r="L484" s="75"/>
      <c r="M484" s="75"/>
      <c r="N484" s="36"/>
    </row>
    <row r="485" spans="1:14" s="37" customFormat="1" hidden="1" x14ac:dyDescent="0.25">
      <c r="A485" s="76">
        <f t="shared" ref="A485:A487" si="69">A484+1</f>
        <v>2</v>
      </c>
      <c r="B485" s="77"/>
      <c r="C485" s="42"/>
      <c r="D485" s="42"/>
      <c r="E485" s="42">
        <v>0</v>
      </c>
      <c r="F485" s="42">
        <f>D485*(($F$198)+1)+(IF(E485&lt;101,E485,IF(E485&lt;201,E485/2,IF(E485&lt;=301,E485/3,E485/4))))</f>
        <v>0</v>
      </c>
      <c r="G485" s="76" t="str">
        <f t="shared" ref="G485:G487" si="70">G484</f>
        <v>Ground Floor</v>
      </c>
      <c r="H485" s="77"/>
      <c r="I485" s="36"/>
      <c r="L485" s="75"/>
      <c r="M485" s="75"/>
      <c r="N485" s="36"/>
    </row>
    <row r="486" spans="1:14" s="37" customFormat="1" hidden="1" x14ac:dyDescent="0.25">
      <c r="A486" s="76">
        <f t="shared" si="69"/>
        <v>3</v>
      </c>
      <c r="B486" s="77"/>
      <c r="C486" s="42"/>
      <c r="D486" s="42"/>
      <c r="E486" s="42">
        <v>0</v>
      </c>
      <c r="F486" s="42">
        <f>D486*(($F$198)+1)+(IF(E486&lt;101,E486,IF(E486&lt;201,E486/2,IF(E486&lt;=301,E486/3,E486/4))))</f>
        <v>0</v>
      </c>
      <c r="G486" s="76" t="str">
        <f t="shared" si="70"/>
        <v>Ground Floor</v>
      </c>
      <c r="H486" s="77"/>
      <c r="I486" s="36"/>
      <c r="L486" s="75"/>
      <c r="M486" s="75"/>
      <c r="N486" s="36"/>
    </row>
    <row r="487" spans="1:14" s="37" customFormat="1" hidden="1" x14ac:dyDescent="0.25">
      <c r="A487" s="76">
        <f t="shared" si="69"/>
        <v>4</v>
      </c>
      <c r="B487" s="77"/>
      <c r="C487" s="42"/>
      <c r="D487" s="42"/>
      <c r="E487" s="42">
        <v>0</v>
      </c>
      <c r="F487" s="42">
        <f>D487*(($F$198)+1)+(IF(E487&lt;101,E487,IF(E487&lt;201,E487/2,IF(E487&lt;=301,E487/3,E487/4))))</f>
        <v>0</v>
      </c>
      <c r="G487" s="76" t="str">
        <f t="shared" si="70"/>
        <v>Ground Floor</v>
      </c>
      <c r="H487" s="77"/>
      <c r="I487" s="36"/>
      <c r="L487" s="75"/>
      <c r="M487" s="75"/>
      <c r="N487" s="36"/>
    </row>
    <row r="488" spans="1:14" s="37" customFormat="1" hidden="1" x14ac:dyDescent="0.25">
      <c r="A488" s="227" t="s">
        <v>121</v>
      </c>
      <c r="B488" s="227"/>
      <c r="C488" s="227"/>
      <c r="D488" s="227"/>
      <c r="E488" s="227"/>
      <c r="F488" s="227"/>
      <c r="G488" s="227"/>
      <c r="H488" s="227"/>
      <c r="I488" s="36"/>
      <c r="L488" s="75"/>
      <c r="M488" s="75"/>
    </row>
    <row r="489" spans="1:14" s="37" customFormat="1" hidden="1" x14ac:dyDescent="0.25">
      <c r="A489" s="172">
        <f>LEFT(A488,SUM(LEN(A488)-LEN(SUBSTITUTE(A488,{"0","1","2","3","4","5","6","7","8","9"},""))))*100+1</f>
        <v>201</v>
      </c>
      <c r="B489" s="172"/>
      <c r="C489" s="42"/>
      <c r="D489" s="42"/>
      <c r="E489" s="42">
        <v>0</v>
      </c>
      <c r="F489" s="42">
        <f t="shared" ref="F489:F490" si="71">D489*(($F$198)+1)+(IF(E489&lt;101,E489,IF(E489&lt;201,E489/2,IF(E489&lt;=301,E489/3,E489/4))))</f>
        <v>0</v>
      </c>
      <c r="G489" s="172" t="str">
        <f>A488</f>
        <v>2nd Floor</v>
      </c>
      <c r="H489" s="172"/>
      <c r="I489" s="36"/>
      <c r="N489" s="36"/>
    </row>
    <row r="490" spans="1:14" s="37" customFormat="1" hidden="1" x14ac:dyDescent="0.25">
      <c r="A490" s="172">
        <f>A489+1</f>
        <v>202</v>
      </c>
      <c r="B490" s="172"/>
      <c r="C490" s="42"/>
      <c r="D490" s="42"/>
      <c r="E490" s="42">
        <v>0</v>
      </c>
      <c r="F490" s="42">
        <f t="shared" si="71"/>
        <v>0</v>
      </c>
      <c r="G490" s="172" t="str">
        <f>G489</f>
        <v>2nd Floor</v>
      </c>
      <c r="H490" s="172"/>
      <c r="I490" s="36"/>
      <c r="N490" s="36"/>
    </row>
    <row r="491" spans="1:14" s="37" customFormat="1" hidden="1" x14ac:dyDescent="0.25">
      <c r="A491" s="172">
        <f>A490+1</f>
        <v>203</v>
      </c>
      <c r="B491" s="172"/>
      <c r="C491" s="42"/>
      <c r="D491" s="42"/>
      <c r="E491" s="42">
        <v>0</v>
      </c>
      <c r="F491" s="42">
        <f>D491*(($F$198)+1)+(IF(E491&lt;101,E491,IF(E491&lt;201,E491/2,IF(E491&lt;=301,E491/3,E491/4))))</f>
        <v>0</v>
      </c>
      <c r="G491" s="172" t="str">
        <f>G490</f>
        <v>2nd Floor</v>
      </c>
      <c r="H491" s="172"/>
      <c r="I491" s="36"/>
      <c r="N491" s="36"/>
    </row>
    <row r="492" spans="1:14" s="37" customFormat="1" hidden="1" x14ac:dyDescent="0.25">
      <c r="A492" s="172">
        <f>A491+1</f>
        <v>204</v>
      </c>
      <c r="B492" s="172"/>
      <c r="C492" s="42"/>
      <c r="D492" s="42"/>
      <c r="E492" s="42">
        <v>0</v>
      </c>
      <c r="F492" s="42">
        <f>D492*(($F$198)+1)+(IF(E492&lt;101,E492,IF(E492&lt;201,E492/2,IF(E492&lt;=301,E492/3,E492/4))))</f>
        <v>0</v>
      </c>
      <c r="G492" s="172" t="str">
        <f>G491</f>
        <v>2nd Floor</v>
      </c>
      <c r="H492" s="172"/>
      <c r="I492" s="36"/>
      <c r="N492" s="36"/>
    </row>
    <row r="493" spans="1:14" s="37" customFormat="1" hidden="1" x14ac:dyDescent="0.25">
      <c r="A493" s="172">
        <f>A492+1</f>
        <v>205</v>
      </c>
      <c r="B493" s="172"/>
      <c r="C493" s="42"/>
      <c r="D493" s="42"/>
      <c r="E493" s="42">
        <v>0</v>
      </c>
      <c r="F493" s="42">
        <f>D493*(($F$198)+1)+(IF(E493&lt;101,E493,IF(E493&lt;201,E493/2,IF(E493&lt;=301,E493/3,E493/4))))</f>
        <v>0</v>
      </c>
      <c r="G493" s="172" t="str">
        <f>G492</f>
        <v>2nd Floor</v>
      </c>
      <c r="H493" s="172"/>
      <c r="I493" s="36"/>
      <c r="N493" s="36"/>
    </row>
    <row r="494" spans="1:14" s="37" customFormat="1" ht="15.75" hidden="1" customHeight="1" x14ac:dyDescent="0.25">
      <c r="A494" s="79" t="s">
        <v>155</v>
      </c>
      <c r="B494" s="80"/>
      <c r="C494" s="80"/>
      <c r="D494" s="80"/>
      <c r="E494" s="80"/>
      <c r="F494" s="80"/>
      <c r="G494" s="80"/>
      <c r="H494" s="81"/>
      <c r="I494" s="36"/>
    </row>
    <row r="495" spans="1:14" s="37" customFormat="1" hidden="1" x14ac:dyDescent="0.25">
      <c r="A495" s="76" t="str">
        <f ca="1">(SUMPRODUCT(MID(0&amp;(LEFT(A494,SUM(LEN(A494)-LEN(SUBSTITUTE(A494,{"0","1","2"},""))))), LARGE(INDEX(ISNUMBER(--MID((LEFT(A494,SUM(LEN(A494)-LEN(SUBSTITUTE(A494,{"0","1","2"},""))))), ROW(INDIRECT("1:"&amp;LEN((LEFT(A494,SUM(LEN(A494)-LEN(SUBSTITUTE(A494,{"0","1","2"},"")))))))), 1)) * ROW(INDIRECT("1:"&amp;LEN((LEFT(A494,SUM(LEN(A494)-LEN(SUBSTITUTE(A494,{"0","1","2"},"")))))))), 0), ROW(INDIRECT("1:"&amp;LEN((LEFT(A494,SUM(LEN(A494)-LEN(SUBSTITUTE(A494,{"0","1","2"},"")))))))))+1, 1) * 10^ROW(INDIRECT("1:"&amp;LEN((LEFT(A494,SUM(LEN(A494)-LEN(SUBSTITUTE(A494,{"0","1","2"},""))))))))/10))*100+1&amp;""&amp;" ,.., "&amp;""&amp;(SUMPRODUCT(MID(0&amp;(--TRIM(RIGHT(SUBSTITUTE(LEFT(A494,_xlfn.AGGREGATE(16,6,FIND({0,1,2,3,4,5,6,7,8,9},A494,ROW(INDIRECT("1:"&amp;LEN(A494)))),1))," ",REPT(" ",LEN(A494))),LEN(A494)))), LARGE(INDEX(ISNUMBER(--MID((--TRIM(RIGHT(SUBSTITUTE(LEFT(A494,_xlfn.AGGREGATE(16,6,FIND({0,1,2,3,4,5,6,7,8,9},A494,ROW(INDIRECT("1:"&amp;LEN(A494)))),1))," ",REPT(" ",LEN(A494))),LEN(A494)))), ROW(INDIRECT("1:"&amp;LEN((--TRIM(RIGHT(SUBSTITUTE(LEFT(A494,_xlfn.AGGREGATE(16,6,FIND({0,1,2,3,4,5,6,7,8,9},A494,ROW(INDIRECT("1:"&amp;LEN(A494)))),1))," ",REPT(" ",LEN(A494))),LEN(A494))))))), 1)) * ROW(INDIRECT("1:"&amp;LEN((--TRIM(RIGHT(SUBSTITUTE(LEFT(A494,_xlfn.AGGREGATE(16,6,FIND({0,1,2,3,4,5,6,7,8,9},A494,ROW(INDIRECT("1:"&amp;LEN(A494)))),1))," ",REPT(" ",LEN(A494))),LEN(A494))))))), 0), ROW(INDIRECT("1:"&amp;LEN((--TRIM(RIGHT(SUBSTITUTE(LEFT(A494,_xlfn.AGGREGATE(16,6,FIND({0,1,2,3,4,5,6,7,8,9},A494,ROW(INDIRECT("1:"&amp;LEN(A494)))),1))," ",REPT(" ",LEN(A494))),LEN(A494))))))))+1, 1) * 10^ROW(INDIRECT("1:"&amp;LEN((--TRIM(RIGHT(SUBSTITUTE(LEFT(A494,_xlfn.AGGREGATE(16,6,FIND({0,1,2,3,4,5,6,7,8,9},A494,ROW(INDIRECT("1:"&amp;LEN(A494)))),1))," ",REPT(" ",LEN(A494))),LEN(A494)))))))/10))*100+1</f>
        <v>301 ,.., 1501</v>
      </c>
      <c r="B495" s="77"/>
      <c r="C495" s="42"/>
      <c r="D495" s="42"/>
      <c r="E495" s="42">
        <v>0</v>
      </c>
      <c r="F495" s="42">
        <f>D495*(($F$198)+1)+(IF(E495&lt;101,E495,IF(E495&lt;201,E495/2,IF(E495&lt;=301,E495/3,E495/4))))</f>
        <v>0</v>
      </c>
      <c r="G495" s="76" t="str">
        <f>A494</f>
        <v>3rd, 5th, 7th, 9th, 11th, 13th, 15th Floor</v>
      </c>
      <c r="H495" s="77"/>
      <c r="I495" s="36"/>
    </row>
    <row r="496" spans="1:14" s="37" customFormat="1" hidden="1" x14ac:dyDescent="0.25">
      <c r="A496" s="76" t="str">
        <f ca="1">(SUMPRODUCT(MID(0&amp;(LEFT(A495,SUM(LEN(A495)-LEN(SUBSTITUTE(A495,{"0","1","2"},""))))), LARGE(INDEX(ISNUMBER(--MID((LEFT(A495,SUM(LEN(A495)-LEN(SUBSTITUTE(A495,{"0","1","2"},""))))), ROW(INDIRECT("1:"&amp;LEN((LEFT(A495,SUM(LEN(A495)-LEN(SUBSTITUTE(A495,{"0","1","2"},"")))))))), 1)) * ROW(INDIRECT("1:"&amp;LEN((LEFT(A495,SUM(LEN(A495)-LEN(SUBSTITUTE(A495,{"0","1","2"},"")))))))), 0), ROW(INDIRECT("1:"&amp;LEN((LEFT(A495,SUM(LEN(A495)-LEN(SUBSTITUTE(A495,{"0","1","2"},"")))))))))+1, 1) * 10^ROW(INDIRECT("1:"&amp;LEN((LEFT(A495,SUM(LEN(A495)-LEN(SUBSTITUTE(A495,{"0","1","2"},""))))))))/10))*1+1&amp;""&amp;" ,.., "&amp;""&amp;(SUMPRODUCT(MID(0&amp;(--TRIM(RIGHT(SUBSTITUTE(LEFT(A495,_xlfn.AGGREGATE(16,6,FIND({0,1,2,3,4,5,6,7,8,9},A495,ROW(INDIRECT("1:"&amp;LEN(A495)))),1))," ",REPT(" ",LEN(A495))),LEN(A495)))), LARGE(INDEX(ISNUMBER(--MID((--TRIM(RIGHT(SUBSTITUTE(LEFT(A495,_xlfn.AGGREGATE(16,6,FIND({0,1,2,3,4,5,6,7,8,9},A495,ROW(INDIRECT("1:"&amp;LEN(A495)))),1))," ",REPT(" ",LEN(A495))),LEN(A495)))), ROW(INDIRECT("1:"&amp;LEN((--TRIM(RIGHT(SUBSTITUTE(LEFT(A495,_xlfn.AGGREGATE(16,6,FIND({0,1,2,3,4,5,6,7,8,9},A495,ROW(INDIRECT("1:"&amp;LEN(A495)))),1))," ",REPT(" ",LEN(A495))),LEN(A495))))))), 1)) * ROW(INDIRECT("1:"&amp;LEN((--TRIM(RIGHT(SUBSTITUTE(LEFT(A495,_xlfn.AGGREGATE(16,6,FIND({0,1,2,3,4,5,6,7,8,9},A495,ROW(INDIRECT("1:"&amp;LEN(A495)))),1))," ",REPT(" ",LEN(A495))),LEN(A495))))))), 0), ROW(INDIRECT("1:"&amp;LEN((--TRIM(RIGHT(SUBSTITUTE(LEFT(A495,_xlfn.AGGREGATE(16,6,FIND({0,1,2,3,4,5,6,7,8,9},A495,ROW(INDIRECT("1:"&amp;LEN(A495)))),1))," ",REPT(" ",LEN(A495))),LEN(A495))))))))+1, 1) * 10^ROW(INDIRECT("1:"&amp;LEN((--TRIM(RIGHT(SUBSTITUTE(LEFT(A495,_xlfn.AGGREGATE(16,6,FIND({0,1,2,3,4,5,6,7,8,9},A495,ROW(INDIRECT("1:"&amp;LEN(A495)))),1))," ",REPT(" ",LEN(A495))),LEN(A495)))))))/10))*1+1</f>
        <v>302 ,.., 1502</v>
      </c>
      <c r="B496" s="77"/>
      <c r="C496" s="42"/>
      <c r="D496" s="42"/>
      <c r="E496" s="42">
        <v>0</v>
      </c>
      <c r="F496" s="42">
        <f>D496*(($F$198)+1)+(IF(E496&lt;101,E496,IF(E496&lt;201,E496/2,IF(E496&lt;=301,E496/3,E496/4))))</f>
        <v>0</v>
      </c>
      <c r="G496" s="76" t="str">
        <f>G495</f>
        <v>3rd, 5th, 7th, 9th, 11th, 13th, 15th Floor</v>
      </c>
      <c r="H496" s="77"/>
      <c r="I496" s="36"/>
    </row>
    <row r="497" spans="1:10" s="37" customFormat="1" ht="15.75" hidden="1" customHeight="1" x14ac:dyDescent="0.25">
      <c r="A497" s="76" t="str">
        <f ca="1">(SUMPRODUCT(MID(0&amp;(LEFT(A496,SUM(LEN(A496)-LEN(SUBSTITUTE(A496,{"0","1","2"},""))))), LARGE(INDEX(ISNUMBER(--MID((LEFT(A496,SUM(LEN(A496)-LEN(SUBSTITUTE(A496,{"0","1","2"},""))))), ROW(INDIRECT("1:"&amp;LEN((LEFT(A496,SUM(LEN(A496)-LEN(SUBSTITUTE(A496,{"0","1","2"},"")))))))), 1)) * ROW(INDIRECT("1:"&amp;LEN((LEFT(A496,SUM(LEN(A496)-LEN(SUBSTITUTE(A496,{"0","1","2"},"")))))))), 0), ROW(INDIRECT("1:"&amp;LEN((LEFT(A496,SUM(LEN(A496)-LEN(SUBSTITUTE(A496,{"0","1","2"},"")))))))))+1, 1) * 10^ROW(INDIRECT("1:"&amp;LEN((LEFT(A496,SUM(LEN(A496)-LEN(SUBSTITUTE(A496,{"0","1","2"},""))))))))/10))*1+1&amp;""&amp;" ,.., "&amp;""&amp;(SUMPRODUCT(MID(0&amp;(--TRIM(RIGHT(SUBSTITUTE(LEFT(A496,_xlfn.AGGREGATE(16,6,FIND({0,1,2,3,4,5,6,7,8,9},A496,ROW(INDIRECT("1:"&amp;LEN(A496)))),1))," ",REPT(" ",LEN(A496))),LEN(A496)))), LARGE(INDEX(ISNUMBER(--MID((--TRIM(RIGHT(SUBSTITUTE(LEFT(A496,_xlfn.AGGREGATE(16,6,FIND({0,1,2,3,4,5,6,7,8,9},A496,ROW(INDIRECT("1:"&amp;LEN(A496)))),1))," ",REPT(" ",LEN(A496))),LEN(A496)))), ROW(INDIRECT("1:"&amp;LEN((--TRIM(RIGHT(SUBSTITUTE(LEFT(A496,_xlfn.AGGREGATE(16,6,FIND({0,1,2,3,4,5,6,7,8,9},A496,ROW(INDIRECT("1:"&amp;LEN(A496)))),1))," ",REPT(" ",LEN(A496))),LEN(A496))))))), 1)) * ROW(INDIRECT("1:"&amp;LEN((--TRIM(RIGHT(SUBSTITUTE(LEFT(A496,_xlfn.AGGREGATE(16,6,FIND({0,1,2,3,4,5,6,7,8,9},A496,ROW(INDIRECT("1:"&amp;LEN(A496)))),1))," ",REPT(" ",LEN(A496))),LEN(A496))))))), 0), ROW(INDIRECT("1:"&amp;LEN((--TRIM(RIGHT(SUBSTITUTE(LEFT(A496,_xlfn.AGGREGATE(16,6,FIND({0,1,2,3,4,5,6,7,8,9},A496,ROW(INDIRECT("1:"&amp;LEN(A496)))),1))," ",REPT(" ",LEN(A496))),LEN(A496))))))))+1, 1) * 10^ROW(INDIRECT("1:"&amp;LEN((--TRIM(RIGHT(SUBSTITUTE(LEFT(A496,_xlfn.AGGREGATE(16,6,FIND({0,1,2,3,4,5,6,7,8,9},A496,ROW(INDIRECT("1:"&amp;LEN(A496)))),1))," ",REPT(" ",LEN(A496))),LEN(A496)))))))/10))*1+1</f>
        <v>303 ,.., 1503</v>
      </c>
      <c r="B497" s="77"/>
      <c r="C497" s="42"/>
      <c r="D497" s="42"/>
      <c r="E497" s="42">
        <v>0</v>
      </c>
      <c r="F497" s="42">
        <f>D497*(($F$198)+1)+(IF(E497&lt;101,E497,IF(E497&lt;201,E497/2,IF(E497&lt;=301,E497/3,E497/4))))</f>
        <v>0</v>
      </c>
      <c r="G497" s="76" t="str">
        <f>G496</f>
        <v>3rd, 5th, 7th, 9th, 11th, 13th, 15th Floor</v>
      </c>
      <c r="H497" s="77"/>
      <c r="I497" s="36"/>
    </row>
    <row r="498" spans="1:10" s="37" customFormat="1" ht="15.75" hidden="1" customHeight="1" x14ac:dyDescent="0.25">
      <c r="A498" s="76" t="str">
        <f ca="1">(SUMPRODUCT(MID(0&amp;(LEFT(A497,SUM(LEN(A497)-LEN(SUBSTITUTE(A497,{"0","1","2"},""))))), LARGE(INDEX(ISNUMBER(--MID((LEFT(A497,SUM(LEN(A497)-LEN(SUBSTITUTE(A497,{"0","1","2"},""))))), ROW(INDIRECT("1:"&amp;LEN((LEFT(A497,SUM(LEN(A497)-LEN(SUBSTITUTE(A497,{"0","1","2"},"")))))))), 1)) * ROW(INDIRECT("1:"&amp;LEN((LEFT(A497,SUM(LEN(A497)-LEN(SUBSTITUTE(A497,{"0","1","2"},"")))))))), 0), ROW(INDIRECT("1:"&amp;LEN((LEFT(A497,SUM(LEN(A497)-LEN(SUBSTITUTE(A497,{"0","1","2"},"")))))))))+1, 1) * 10^ROW(INDIRECT("1:"&amp;LEN((LEFT(A497,SUM(LEN(A497)-LEN(SUBSTITUTE(A497,{"0","1","2"},""))))))))/10))*1+1&amp;""&amp;" ,.., "&amp;""&amp;(SUMPRODUCT(MID(0&amp;(--TRIM(RIGHT(SUBSTITUTE(LEFT(A497,_xlfn.AGGREGATE(16,6,FIND({0,1,2,3,4,5,6,7,8,9},A497,ROW(INDIRECT("1:"&amp;LEN(A497)))),1))," ",REPT(" ",LEN(A497))),LEN(A497)))), LARGE(INDEX(ISNUMBER(--MID((--TRIM(RIGHT(SUBSTITUTE(LEFT(A497,_xlfn.AGGREGATE(16,6,FIND({0,1,2,3,4,5,6,7,8,9},A497,ROW(INDIRECT("1:"&amp;LEN(A497)))),1))," ",REPT(" ",LEN(A497))),LEN(A497)))), ROW(INDIRECT("1:"&amp;LEN((--TRIM(RIGHT(SUBSTITUTE(LEFT(A497,_xlfn.AGGREGATE(16,6,FIND({0,1,2,3,4,5,6,7,8,9},A497,ROW(INDIRECT("1:"&amp;LEN(A497)))),1))," ",REPT(" ",LEN(A497))),LEN(A497))))))), 1)) * ROW(INDIRECT("1:"&amp;LEN((--TRIM(RIGHT(SUBSTITUTE(LEFT(A497,_xlfn.AGGREGATE(16,6,FIND({0,1,2,3,4,5,6,7,8,9},A497,ROW(INDIRECT("1:"&amp;LEN(A497)))),1))," ",REPT(" ",LEN(A497))),LEN(A497))))))), 0), ROW(INDIRECT("1:"&amp;LEN((--TRIM(RIGHT(SUBSTITUTE(LEFT(A497,_xlfn.AGGREGATE(16,6,FIND({0,1,2,3,4,5,6,7,8,9},A497,ROW(INDIRECT("1:"&amp;LEN(A497)))),1))," ",REPT(" ",LEN(A497))),LEN(A497))))))))+1, 1) * 10^ROW(INDIRECT("1:"&amp;LEN((--TRIM(RIGHT(SUBSTITUTE(LEFT(A497,_xlfn.AGGREGATE(16,6,FIND({0,1,2,3,4,5,6,7,8,9},A497,ROW(INDIRECT("1:"&amp;LEN(A497)))),1))," ",REPT(" ",LEN(A497))),LEN(A497)))))))/10))*1+1</f>
        <v>304 ,.., 1504</v>
      </c>
      <c r="B498" s="77"/>
      <c r="C498" s="42"/>
      <c r="D498" s="42"/>
      <c r="E498" s="42">
        <v>0</v>
      </c>
      <c r="F498" s="42">
        <f>D498*(($F$198)+1)+(IF(E498&lt;101,E498,IF(E498&lt;201,E498/2,IF(E498&lt;=301,E498/3,E498/4))))</f>
        <v>0</v>
      </c>
      <c r="G498" s="76" t="str">
        <f>G497</f>
        <v>3rd, 5th, 7th, 9th, 11th, 13th, 15th Floor</v>
      </c>
      <c r="H498" s="77"/>
      <c r="I498" s="36"/>
    </row>
    <row r="499" spans="1:10" s="37" customFormat="1" ht="15.75" hidden="1" customHeight="1" x14ac:dyDescent="0.25">
      <c r="A499" s="76" t="str">
        <f ca="1">(SUMPRODUCT(MID(0&amp;(LEFT(A498,SUM(LEN(A498)-LEN(SUBSTITUTE(A498,{"0","1","2"},""))))), LARGE(INDEX(ISNUMBER(--MID((LEFT(A498,SUM(LEN(A498)-LEN(SUBSTITUTE(A498,{"0","1","2"},""))))), ROW(INDIRECT("1:"&amp;LEN((LEFT(A498,SUM(LEN(A498)-LEN(SUBSTITUTE(A498,{"0","1","2"},"")))))))), 1)) * ROW(INDIRECT("1:"&amp;LEN((LEFT(A498,SUM(LEN(A498)-LEN(SUBSTITUTE(A498,{"0","1","2"},"")))))))), 0), ROW(INDIRECT("1:"&amp;LEN((LEFT(A498,SUM(LEN(A498)-LEN(SUBSTITUTE(A498,{"0","1","2"},"")))))))))+1, 1) * 10^ROW(INDIRECT("1:"&amp;LEN((LEFT(A498,SUM(LEN(A498)-LEN(SUBSTITUTE(A498,{"0","1","2"},""))))))))/10))*1+1&amp;""&amp;" ,.., "&amp;""&amp;(SUMPRODUCT(MID(0&amp;(--TRIM(RIGHT(SUBSTITUTE(LEFT(A498,_xlfn.AGGREGATE(16,6,FIND({0,1,2,3,4,5,6,7,8,9},A498,ROW(INDIRECT("1:"&amp;LEN(A498)))),1))," ",REPT(" ",LEN(A498))),LEN(A498)))), LARGE(INDEX(ISNUMBER(--MID((--TRIM(RIGHT(SUBSTITUTE(LEFT(A498,_xlfn.AGGREGATE(16,6,FIND({0,1,2,3,4,5,6,7,8,9},A498,ROW(INDIRECT("1:"&amp;LEN(A498)))),1))," ",REPT(" ",LEN(A498))),LEN(A498)))), ROW(INDIRECT("1:"&amp;LEN((--TRIM(RIGHT(SUBSTITUTE(LEFT(A498,_xlfn.AGGREGATE(16,6,FIND({0,1,2,3,4,5,6,7,8,9},A498,ROW(INDIRECT("1:"&amp;LEN(A498)))),1))," ",REPT(" ",LEN(A498))),LEN(A498))))))), 1)) * ROW(INDIRECT("1:"&amp;LEN((--TRIM(RIGHT(SUBSTITUTE(LEFT(A498,_xlfn.AGGREGATE(16,6,FIND({0,1,2,3,4,5,6,7,8,9},A498,ROW(INDIRECT("1:"&amp;LEN(A498)))),1))," ",REPT(" ",LEN(A498))),LEN(A498))))))), 0), ROW(INDIRECT("1:"&amp;LEN((--TRIM(RIGHT(SUBSTITUTE(LEFT(A498,_xlfn.AGGREGATE(16,6,FIND({0,1,2,3,4,5,6,7,8,9},A498,ROW(INDIRECT("1:"&amp;LEN(A498)))),1))," ",REPT(" ",LEN(A498))),LEN(A498))))))))+1, 1) * 10^ROW(INDIRECT("1:"&amp;LEN((--TRIM(RIGHT(SUBSTITUTE(LEFT(A498,_xlfn.AGGREGATE(16,6,FIND({0,1,2,3,4,5,6,7,8,9},A498,ROW(INDIRECT("1:"&amp;LEN(A498)))),1))," ",REPT(" ",LEN(A498))),LEN(A498)))))))/10))*1+1</f>
        <v>305 ,.., 1505</v>
      </c>
      <c r="B499" s="77"/>
      <c r="C499" s="42"/>
      <c r="D499" s="42"/>
      <c r="E499" s="42">
        <v>0</v>
      </c>
      <c r="F499" s="42">
        <f>D499*(($F$198)+1)+(IF(E499&lt;101,E499,IF(E499&lt;201,E499/2,IF(E499&lt;=301,E499/3,E499/4))))</f>
        <v>0</v>
      </c>
      <c r="G499" s="76" t="str">
        <f>G498</f>
        <v>3rd, 5th, 7th, 9th, 11th, 13th, 15th Floor</v>
      </c>
      <c r="H499" s="77"/>
      <c r="I499" s="36"/>
    </row>
    <row r="500" spans="1:10" s="37" customFormat="1" hidden="1" x14ac:dyDescent="0.25">
      <c r="A500" s="79" t="s">
        <v>149</v>
      </c>
      <c r="B500" s="80"/>
      <c r="C500" s="80"/>
      <c r="D500" s="80"/>
      <c r="E500" s="80"/>
      <c r="F500" s="80"/>
      <c r="G500" s="80"/>
      <c r="H500" s="81"/>
      <c r="I500" s="36"/>
    </row>
    <row r="501" spans="1:10" s="37" customFormat="1" hidden="1" x14ac:dyDescent="0.25">
      <c r="A501" s="76" t="str">
        <f ca="1">(SUMPRODUCT(MID(0&amp;(LEFT(A500,SUM(LEN(A500)-LEN(SUBSTITUTE(A500,{"0","1","2"},""))))), LARGE(INDEX(ISNUMBER(--MID((LEFT(A500,SUM(LEN(A500)-LEN(SUBSTITUTE(A500,{"0","1","2"},""))))), ROW(INDIRECT("1:"&amp;LEN((LEFT(A500,SUM(LEN(A500)-LEN(SUBSTITUTE(A500,{"0","1","2"},"")))))))), 1)) * ROW(INDIRECT("1:"&amp;LEN((LEFT(A500,SUM(LEN(A500)-LEN(SUBSTITUTE(A500,{"0","1","2"},"")))))))), 0), ROW(INDIRECT("1:"&amp;LEN((LEFT(A500,SUM(LEN(A500)-LEN(SUBSTITUTE(A500,{"0","1","2"},"")))))))))+1, 1) * 10^ROW(INDIRECT("1:"&amp;LEN((LEFT(A500,SUM(LEN(A500)-LEN(SUBSTITUTE(A500,{"0","1","2"},""))))))))/10))*100+1&amp;""&amp;" to "&amp;""&amp;(SUMPRODUCT(MID(0&amp;(--TRIM(RIGHT(SUBSTITUTE(LEFT(A500,_xlfn.AGGREGATE(16,6,FIND({0,1,2,3,4,5,6,7,8,9},A500,ROW(INDIRECT("1:"&amp;LEN(A500)))),1))," ",REPT(" ",LEN(A500))),LEN(A500)))), LARGE(INDEX(ISNUMBER(--MID((--TRIM(RIGHT(SUBSTITUTE(LEFT(A500,_xlfn.AGGREGATE(16,6,FIND({0,1,2,3,4,5,6,7,8,9},A500,ROW(INDIRECT("1:"&amp;LEN(A500)))),1))," ",REPT(" ",LEN(A500))),LEN(A500)))), ROW(INDIRECT("1:"&amp;LEN((--TRIM(RIGHT(SUBSTITUTE(LEFT(A500,_xlfn.AGGREGATE(16,6,FIND({0,1,2,3,4,5,6,7,8,9},A500,ROW(INDIRECT("1:"&amp;LEN(A500)))),1))," ",REPT(" ",LEN(A500))),LEN(A500))))))), 1)) * ROW(INDIRECT("1:"&amp;LEN((--TRIM(RIGHT(SUBSTITUTE(LEFT(A500,_xlfn.AGGREGATE(16,6,FIND({0,1,2,3,4,5,6,7,8,9},A500,ROW(INDIRECT("1:"&amp;LEN(A500)))),1))," ",REPT(" ",LEN(A500))),LEN(A500))))))), 0), ROW(INDIRECT("1:"&amp;LEN((--TRIM(RIGHT(SUBSTITUTE(LEFT(A500,_xlfn.AGGREGATE(16,6,FIND({0,1,2,3,4,5,6,7,8,9},A500,ROW(INDIRECT("1:"&amp;LEN(A500)))),1))," ",REPT(" ",LEN(A500))),LEN(A500))))))))+1, 1) * 10^ROW(INDIRECT("1:"&amp;LEN((--TRIM(RIGHT(SUBSTITUTE(LEFT(A500,_xlfn.AGGREGATE(16,6,FIND({0,1,2,3,4,5,6,7,8,9},A500,ROW(INDIRECT("1:"&amp;LEN(A500)))),1))," ",REPT(" ",LEN(A500))),LEN(A500)))))))/10))*100+1</f>
        <v>201 to 501</v>
      </c>
      <c r="B501" s="77"/>
      <c r="C501" s="42"/>
      <c r="D501" s="42"/>
      <c r="E501" s="42">
        <v>0</v>
      </c>
      <c r="F501" s="42">
        <f>D501*(($F$198)+1)+(IF(E501&lt;101,E501,IF(E501&lt;201,E501/2,IF(E501&lt;=301,E501/3,E501/4))))</f>
        <v>0</v>
      </c>
      <c r="G501" s="76" t="str">
        <f>A500</f>
        <v>2nd to 5th Floor</v>
      </c>
      <c r="H501" s="77"/>
      <c r="I501" s="36"/>
    </row>
    <row r="502" spans="1:10" s="37" customFormat="1" hidden="1" x14ac:dyDescent="0.25">
      <c r="A502" s="76" t="str">
        <f ca="1">(SUMPRODUCT(MID(0&amp;(LEFT(A501,SUM(LEN(A501)-LEN(SUBSTITUTE(A501,{"0","1","2"},""))))), LARGE(INDEX(ISNUMBER(--MID((LEFT(A501,SUM(LEN(A501)-LEN(SUBSTITUTE(A501,{"0","1","2"},""))))), ROW(INDIRECT("1:"&amp;LEN((LEFT(A501,SUM(LEN(A501)-LEN(SUBSTITUTE(A501,{"0","1","2"},"")))))))), 1)) * ROW(INDIRECT("1:"&amp;LEN((LEFT(A501,SUM(LEN(A501)-LEN(SUBSTITUTE(A501,{"0","1","2"},"")))))))), 0), ROW(INDIRECT("1:"&amp;LEN((LEFT(A501,SUM(LEN(A501)-LEN(SUBSTITUTE(A501,{"0","1","2"},"")))))))))+1, 1) * 10^ROW(INDIRECT("1:"&amp;LEN((LEFT(A501,SUM(LEN(A501)-LEN(SUBSTITUTE(A501,{"0","1","2"},""))))))))/10))*1+1&amp;""&amp;" to "&amp;""&amp;(SUMPRODUCT(MID(0&amp;(--TRIM(RIGHT(SUBSTITUTE(LEFT(A501,_xlfn.AGGREGATE(16,6,FIND({0,1,2,3,4,5,6,7,8,9},A501,ROW(INDIRECT("1:"&amp;LEN(A501)))),1))," ",REPT(" ",LEN(A501))),LEN(A501)))), LARGE(INDEX(ISNUMBER(--MID((--TRIM(RIGHT(SUBSTITUTE(LEFT(A501,_xlfn.AGGREGATE(16,6,FIND({0,1,2,3,4,5,6,7,8,9},A501,ROW(INDIRECT("1:"&amp;LEN(A501)))),1))," ",REPT(" ",LEN(A501))),LEN(A501)))), ROW(INDIRECT("1:"&amp;LEN((--TRIM(RIGHT(SUBSTITUTE(LEFT(A501,_xlfn.AGGREGATE(16,6,FIND({0,1,2,3,4,5,6,7,8,9},A501,ROW(INDIRECT("1:"&amp;LEN(A501)))),1))," ",REPT(" ",LEN(A501))),LEN(A501))))))), 1)) * ROW(INDIRECT("1:"&amp;LEN((--TRIM(RIGHT(SUBSTITUTE(LEFT(A501,_xlfn.AGGREGATE(16,6,FIND({0,1,2,3,4,5,6,7,8,9},A501,ROW(INDIRECT("1:"&amp;LEN(A501)))),1))," ",REPT(" ",LEN(A501))),LEN(A501))))))), 0), ROW(INDIRECT("1:"&amp;LEN((--TRIM(RIGHT(SUBSTITUTE(LEFT(A501,_xlfn.AGGREGATE(16,6,FIND({0,1,2,3,4,5,6,7,8,9},A501,ROW(INDIRECT("1:"&amp;LEN(A501)))),1))," ",REPT(" ",LEN(A501))),LEN(A501))))))))+1, 1) * 10^ROW(INDIRECT("1:"&amp;LEN((--TRIM(RIGHT(SUBSTITUTE(LEFT(A501,_xlfn.AGGREGATE(16,6,FIND({0,1,2,3,4,5,6,7,8,9},A501,ROW(INDIRECT("1:"&amp;LEN(A501)))),1))," ",REPT(" ",LEN(A501))),LEN(A501)))))))/10))*1+1</f>
        <v>202 to 502</v>
      </c>
      <c r="B502" s="77"/>
      <c r="C502" s="42"/>
      <c r="D502" s="42"/>
      <c r="E502" s="42">
        <v>0</v>
      </c>
      <c r="F502" s="42">
        <f>D502*(($F$198)+1)+(IF(E502&lt;101,E502,IF(E502&lt;201,E502/2,IF(E502&lt;=301,E502/3,E502/4))))</f>
        <v>0</v>
      </c>
      <c r="G502" s="76" t="str">
        <f>G501</f>
        <v>2nd to 5th Floor</v>
      </c>
      <c r="H502" s="77"/>
      <c r="I502" s="36"/>
    </row>
    <row r="503" spans="1:10" s="37" customFormat="1" hidden="1" x14ac:dyDescent="0.25">
      <c r="A503" s="76" t="str">
        <f ca="1">(SUMPRODUCT(MID(0&amp;(LEFT(A502,SUM(LEN(A502)-LEN(SUBSTITUTE(A502,{"0","1","2"},""))))), LARGE(INDEX(ISNUMBER(--MID((LEFT(A502,SUM(LEN(A502)-LEN(SUBSTITUTE(A502,{"0","1","2"},""))))), ROW(INDIRECT("1:"&amp;LEN((LEFT(A502,SUM(LEN(A502)-LEN(SUBSTITUTE(A502,{"0","1","2"},"")))))))), 1)) * ROW(INDIRECT("1:"&amp;LEN((LEFT(A502,SUM(LEN(A502)-LEN(SUBSTITUTE(A502,{"0","1","2"},"")))))))), 0), ROW(INDIRECT("1:"&amp;LEN((LEFT(A502,SUM(LEN(A502)-LEN(SUBSTITUTE(A502,{"0","1","2"},"")))))))))+1, 1) * 10^ROW(INDIRECT("1:"&amp;LEN((LEFT(A502,SUM(LEN(A502)-LEN(SUBSTITUTE(A502,{"0","1","2"},""))))))))/10))*1+1&amp;""&amp;" to "&amp;""&amp;(SUMPRODUCT(MID(0&amp;(--TRIM(RIGHT(SUBSTITUTE(LEFT(A502,_xlfn.AGGREGATE(16,6,FIND({0,1,2,3,4,5,6,7,8,9},A502,ROW(INDIRECT("1:"&amp;LEN(A502)))),1))," ",REPT(" ",LEN(A502))),LEN(A502)))), LARGE(INDEX(ISNUMBER(--MID((--TRIM(RIGHT(SUBSTITUTE(LEFT(A502,_xlfn.AGGREGATE(16,6,FIND({0,1,2,3,4,5,6,7,8,9},A502,ROW(INDIRECT("1:"&amp;LEN(A502)))),1))," ",REPT(" ",LEN(A502))),LEN(A502)))), ROW(INDIRECT("1:"&amp;LEN((--TRIM(RIGHT(SUBSTITUTE(LEFT(A502,_xlfn.AGGREGATE(16,6,FIND({0,1,2,3,4,5,6,7,8,9},A502,ROW(INDIRECT("1:"&amp;LEN(A502)))),1))," ",REPT(" ",LEN(A502))),LEN(A502))))))), 1)) * ROW(INDIRECT("1:"&amp;LEN((--TRIM(RIGHT(SUBSTITUTE(LEFT(A502,_xlfn.AGGREGATE(16,6,FIND({0,1,2,3,4,5,6,7,8,9},A502,ROW(INDIRECT("1:"&amp;LEN(A502)))),1))," ",REPT(" ",LEN(A502))),LEN(A502))))))), 0), ROW(INDIRECT("1:"&amp;LEN((--TRIM(RIGHT(SUBSTITUTE(LEFT(A502,_xlfn.AGGREGATE(16,6,FIND({0,1,2,3,4,5,6,7,8,9},A502,ROW(INDIRECT("1:"&amp;LEN(A502)))),1))," ",REPT(" ",LEN(A502))),LEN(A502))))))))+1, 1) * 10^ROW(INDIRECT("1:"&amp;LEN((--TRIM(RIGHT(SUBSTITUTE(LEFT(A502,_xlfn.AGGREGATE(16,6,FIND({0,1,2,3,4,5,6,7,8,9},A502,ROW(INDIRECT("1:"&amp;LEN(A502)))),1))," ",REPT(" ",LEN(A502))),LEN(A502)))))))/10))*1+1</f>
        <v>203 to 503</v>
      </c>
      <c r="B503" s="77"/>
      <c r="C503" s="42"/>
      <c r="D503" s="42"/>
      <c r="E503" s="42">
        <v>0</v>
      </c>
      <c r="F503" s="42">
        <f>D503*(($F$198)+1)+(IF(E503&lt;101,E503,IF(E503&lt;201,E503/2,IF(E503&lt;=301,E503/3,E503/4))))</f>
        <v>0</v>
      </c>
      <c r="G503" s="76" t="str">
        <f>G502</f>
        <v>2nd to 5th Floor</v>
      </c>
      <c r="H503" s="77"/>
      <c r="I503" s="36"/>
    </row>
    <row r="504" spans="1:10" s="37" customFormat="1" hidden="1" x14ac:dyDescent="0.25">
      <c r="A504" s="76" t="str">
        <f ca="1">(SUMPRODUCT(MID(0&amp;(LEFT(A503,SUM(LEN(A503)-LEN(SUBSTITUTE(A503,{"0","1","2"},""))))), LARGE(INDEX(ISNUMBER(--MID((LEFT(A503,SUM(LEN(A503)-LEN(SUBSTITUTE(A503,{"0","1","2"},""))))), ROW(INDIRECT("1:"&amp;LEN((LEFT(A503,SUM(LEN(A503)-LEN(SUBSTITUTE(A503,{"0","1","2"},"")))))))), 1)) * ROW(INDIRECT("1:"&amp;LEN((LEFT(A503,SUM(LEN(A503)-LEN(SUBSTITUTE(A503,{"0","1","2"},"")))))))), 0), ROW(INDIRECT("1:"&amp;LEN((LEFT(A503,SUM(LEN(A503)-LEN(SUBSTITUTE(A503,{"0","1","2"},"")))))))))+1, 1) * 10^ROW(INDIRECT("1:"&amp;LEN((LEFT(A503,SUM(LEN(A503)-LEN(SUBSTITUTE(A503,{"0","1","2"},""))))))))/10))*1+1&amp;""&amp;" to "&amp;""&amp;(SUMPRODUCT(MID(0&amp;(--TRIM(RIGHT(SUBSTITUTE(LEFT(A503,_xlfn.AGGREGATE(16,6,FIND({0,1,2,3,4,5,6,7,8,9},A503,ROW(INDIRECT("1:"&amp;LEN(A503)))),1))," ",REPT(" ",LEN(A503))),LEN(A503)))), LARGE(INDEX(ISNUMBER(--MID((--TRIM(RIGHT(SUBSTITUTE(LEFT(A503,_xlfn.AGGREGATE(16,6,FIND({0,1,2,3,4,5,6,7,8,9},A503,ROW(INDIRECT("1:"&amp;LEN(A503)))),1))," ",REPT(" ",LEN(A503))),LEN(A503)))), ROW(INDIRECT("1:"&amp;LEN((--TRIM(RIGHT(SUBSTITUTE(LEFT(A503,_xlfn.AGGREGATE(16,6,FIND({0,1,2,3,4,5,6,7,8,9},A503,ROW(INDIRECT("1:"&amp;LEN(A503)))),1))," ",REPT(" ",LEN(A503))),LEN(A503))))))), 1)) * ROW(INDIRECT("1:"&amp;LEN((--TRIM(RIGHT(SUBSTITUTE(LEFT(A503,_xlfn.AGGREGATE(16,6,FIND({0,1,2,3,4,5,6,7,8,9},A503,ROW(INDIRECT("1:"&amp;LEN(A503)))),1))," ",REPT(" ",LEN(A503))),LEN(A503))))))), 0), ROW(INDIRECT("1:"&amp;LEN((--TRIM(RIGHT(SUBSTITUTE(LEFT(A503,_xlfn.AGGREGATE(16,6,FIND({0,1,2,3,4,5,6,7,8,9},A503,ROW(INDIRECT("1:"&amp;LEN(A503)))),1))," ",REPT(" ",LEN(A503))),LEN(A503))))))))+1, 1) * 10^ROW(INDIRECT("1:"&amp;LEN((--TRIM(RIGHT(SUBSTITUTE(LEFT(A503,_xlfn.AGGREGATE(16,6,FIND({0,1,2,3,4,5,6,7,8,9},A503,ROW(INDIRECT("1:"&amp;LEN(A503)))),1))," ",REPT(" ",LEN(A503))),LEN(A503)))))))/10))*1+1</f>
        <v>204 to 504</v>
      </c>
      <c r="B504" s="77"/>
      <c r="C504" s="42"/>
      <c r="D504" s="42"/>
      <c r="E504" s="42">
        <v>0</v>
      </c>
      <c r="F504" s="42">
        <f>D504*(($F$198)+1)+(IF(E504&lt;101,E504,IF(E504&lt;201,E504/2,IF(E504&lt;=301,E504/3,E504/4))))</f>
        <v>0</v>
      </c>
      <c r="G504" s="76" t="str">
        <f>G503</f>
        <v>2nd to 5th Floor</v>
      </c>
      <c r="H504" s="77"/>
      <c r="I504" s="36"/>
    </row>
    <row r="505" spans="1:10" s="37" customFormat="1" hidden="1" x14ac:dyDescent="0.25">
      <c r="A505" s="76" t="str">
        <f ca="1">(SUMPRODUCT(MID(0&amp;(LEFT(A504,SUM(LEN(A504)-LEN(SUBSTITUTE(A504,{"0","1","2"},""))))), LARGE(INDEX(ISNUMBER(--MID((LEFT(A504,SUM(LEN(A504)-LEN(SUBSTITUTE(A504,{"0","1","2"},""))))), ROW(INDIRECT("1:"&amp;LEN((LEFT(A504,SUM(LEN(A504)-LEN(SUBSTITUTE(A504,{"0","1","2"},"")))))))), 1)) * ROW(INDIRECT("1:"&amp;LEN((LEFT(A504,SUM(LEN(A504)-LEN(SUBSTITUTE(A504,{"0","1","2"},"")))))))), 0), ROW(INDIRECT("1:"&amp;LEN((LEFT(A504,SUM(LEN(A504)-LEN(SUBSTITUTE(A504,{"0","1","2"},"")))))))))+1, 1) * 10^ROW(INDIRECT("1:"&amp;LEN((LEFT(A504,SUM(LEN(A504)-LEN(SUBSTITUTE(A504,{"0","1","2"},""))))))))/10))*1+1&amp;""&amp;" to "&amp;""&amp;(SUMPRODUCT(MID(0&amp;(--TRIM(RIGHT(SUBSTITUTE(LEFT(A504,_xlfn.AGGREGATE(16,6,FIND({0,1,2,3,4,5,6,7,8,9},A504,ROW(INDIRECT("1:"&amp;LEN(A504)))),1))," ",REPT(" ",LEN(A504))),LEN(A504)))), LARGE(INDEX(ISNUMBER(--MID((--TRIM(RIGHT(SUBSTITUTE(LEFT(A504,_xlfn.AGGREGATE(16,6,FIND({0,1,2,3,4,5,6,7,8,9},A504,ROW(INDIRECT("1:"&amp;LEN(A504)))),1))," ",REPT(" ",LEN(A504))),LEN(A504)))), ROW(INDIRECT("1:"&amp;LEN((--TRIM(RIGHT(SUBSTITUTE(LEFT(A504,_xlfn.AGGREGATE(16,6,FIND({0,1,2,3,4,5,6,7,8,9},A504,ROW(INDIRECT("1:"&amp;LEN(A504)))),1))," ",REPT(" ",LEN(A504))),LEN(A504))))))), 1)) * ROW(INDIRECT("1:"&amp;LEN((--TRIM(RIGHT(SUBSTITUTE(LEFT(A504,_xlfn.AGGREGATE(16,6,FIND({0,1,2,3,4,5,6,7,8,9},A504,ROW(INDIRECT("1:"&amp;LEN(A504)))),1))," ",REPT(" ",LEN(A504))),LEN(A504))))))), 0), ROW(INDIRECT("1:"&amp;LEN((--TRIM(RIGHT(SUBSTITUTE(LEFT(A504,_xlfn.AGGREGATE(16,6,FIND({0,1,2,3,4,5,6,7,8,9},A504,ROW(INDIRECT("1:"&amp;LEN(A504)))),1))," ",REPT(" ",LEN(A504))),LEN(A504))))))))+1, 1) * 10^ROW(INDIRECT("1:"&amp;LEN((--TRIM(RIGHT(SUBSTITUTE(LEFT(A504,_xlfn.AGGREGATE(16,6,FIND({0,1,2,3,4,5,6,7,8,9},A504,ROW(INDIRECT("1:"&amp;LEN(A504)))),1))," ",REPT(" ",LEN(A504))),LEN(A504)))))))/10))*1+1</f>
        <v>205 to 505</v>
      </c>
      <c r="B505" s="77"/>
      <c r="C505" s="42"/>
      <c r="D505" s="42"/>
      <c r="E505" s="42">
        <v>0</v>
      </c>
      <c r="F505" s="42">
        <f>D505*(($F$198)+1)+(IF(E505&lt;101,E505,IF(E505&lt;201,E505/2,IF(E505&lt;=301,E505/3,E505/4))))</f>
        <v>0</v>
      </c>
      <c r="G505" s="76" t="str">
        <f>G504</f>
        <v>2nd to 5th Floor</v>
      </c>
      <c r="H505" s="77"/>
      <c r="I505" s="36"/>
    </row>
    <row r="506" spans="1:10" s="37" customFormat="1" hidden="1" x14ac:dyDescent="0.25">
      <c r="A506" s="79" t="s">
        <v>150</v>
      </c>
      <c r="B506" s="80"/>
      <c r="C506" s="80"/>
      <c r="D506" s="80"/>
      <c r="E506" s="80"/>
      <c r="F506" s="80"/>
      <c r="G506" s="80"/>
      <c r="H506" s="81"/>
      <c r="I506" s="36"/>
    </row>
    <row r="507" spans="1:10" s="37" customFormat="1" hidden="1" x14ac:dyDescent="0.25">
      <c r="A507" s="76" t="str">
        <f ca="1">(SUMPRODUCT(MID(0&amp;(LEFT(A506,SUM(LEN(A506)-LEN(SUBSTITUTE(A506,{"0","1","2"},""))))), LARGE(INDEX(ISNUMBER(--MID((LEFT(A506,SUM(LEN(A506)-LEN(SUBSTITUTE(A506,{"0","1","2"},""))))), ROW(INDIRECT("1:"&amp;LEN((LEFT(A506,SUM(LEN(A506)-LEN(SUBSTITUTE(A506,{"0","1","2"},"")))))))), 1)) * ROW(INDIRECT("1:"&amp;LEN((LEFT(A506,SUM(LEN(A506)-LEN(SUBSTITUTE(A506,{"0","1","2"},"")))))))), 0), ROW(INDIRECT("1:"&amp;LEN((LEFT(A506,SUM(LEN(A506)-LEN(SUBSTITUTE(A506,{"0","1","2"},"")))))))))+1, 1) * 10^ROW(INDIRECT("1:"&amp;LEN((LEFT(A506,SUM(LEN(A506)-LEN(SUBSTITUTE(A506,{"0","1","2"},""))))))))/10))*100+1&amp;""&amp;" &amp; "&amp;""&amp;(SUMPRODUCT(MID(0&amp;(--TRIM(RIGHT(SUBSTITUTE(LEFT(A506,_xlfn.AGGREGATE(16,6,FIND({0,1,2,3,4,5,6,7,8,9},A506,ROW(INDIRECT("1:"&amp;LEN(A506)))),1))," ",REPT(" ",LEN(A506))),LEN(A506)))), LARGE(INDEX(ISNUMBER(--MID((--TRIM(RIGHT(SUBSTITUTE(LEFT(A506,_xlfn.AGGREGATE(16,6,FIND({0,1,2,3,4,5,6,7,8,9},A506,ROW(INDIRECT("1:"&amp;LEN(A506)))),1))," ",REPT(" ",LEN(A506))),LEN(A506)))), ROW(INDIRECT("1:"&amp;LEN((--TRIM(RIGHT(SUBSTITUTE(LEFT(A506,_xlfn.AGGREGATE(16,6,FIND({0,1,2,3,4,5,6,7,8,9},A506,ROW(INDIRECT("1:"&amp;LEN(A506)))),1))," ",REPT(" ",LEN(A506))),LEN(A506))))))), 1)) * ROW(INDIRECT("1:"&amp;LEN((--TRIM(RIGHT(SUBSTITUTE(LEFT(A506,_xlfn.AGGREGATE(16,6,FIND({0,1,2,3,4,5,6,7,8,9},A506,ROW(INDIRECT("1:"&amp;LEN(A506)))),1))," ",REPT(" ",LEN(A506))),LEN(A506))))))), 0), ROW(INDIRECT("1:"&amp;LEN((--TRIM(RIGHT(SUBSTITUTE(LEFT(A506,_xlfn.AGGREGATE(16,6,FIND({0,1,2,3,4,5,6,7,8,9},A506,ROW(INDIRECT("1:"&amp;LEN(A506)))),1))," ",REPT(" ",LEN(A506))),LEN(A506))))))))+1, 1) * 10^ROW(INDIRECT("1:"&amp;LEN((--TRIM(RIGHT(SUBSTITUTE(LEFT(A506,_xlfn.AGGREGATE(16,6,FIND({0,1,2,3,4,5,6,7,8,9},A506,ROW(INDIRECT("1:"&amp;LEN(A506)))),1))," ",REPT(" ",LEN(A506))),LEN(A506)))))))/10))*100+1</f>
        <v>201 &amp; 501</v>
      </c>
      <c r="B507" s="77"/>
      <c r="C507" s="42"/>
      <c r="D507" s="42"/>
      <c r="E507" s="42">
        <v>0</v>
      </c>
      <c r="F507" s="42">
        <f>D507*(($F$198)+1)+(IF(E507&lt;101,E507,IF(E507&lt;201,E507/2,IF(E507&lt;=301,E507/3,E507/4))))</f>
        <v>0</v>
      </c>
      <c r="G507" s="76" t="str">
        <f>A506</f>
        <v>2nd &amp; 5th Floor</v>
      </c>
      <c r="H507" s="77"/>
      <c r="I507" s="36"/>
    </row>
    <row r="508" spans="1:10" s="37" customFormat="1" hidden="1" x14ac:dyDescent="0.25">
      <c r="A508" s="76" t="str">
        <f ca="1">(SUMPRODUCT(MID(0&amp;(LEFT(A507,SUM(LEN(A507)-LEN(SUBSTITUTE(A507,{"0","1","2"},""))))), LARGE(INDEX(ISNUMBER(--MID((LEFT(A507,SUM(LEN(A507)-LEN(SUBSTITUTE(A507,{"0","1","2"},""))))), ROW(INDIRECT("1:"&amp;LEN((LEFT(A507,SUM(LEN(A507)-LEN(SUBSTITUTE(A507,{"0","1","2"},"")))))))), 1)) * ROW(INDIRECT("1:"&amp;LEN((LEFT(A507,SUM(LEN(A507)-LEN(SUBSTITUTE(A507,{"0","1","2"},"")))))))), 0), ROW(INDIRECT("1:"&amp;LEN((LEFT(A507,SUM(LEN(A507)-LEN(SUBSTITUTE(A507,{"0","1","2"},"")))))))))+1, 1) * 10^ROW(INDIRECT("1:"&amp;LEN((LEFT(A507,SUM(LEN(A507)-LEN(SUBSTITUTE(A507,{"0","1","2"},""))))))))/10))*1+1&amp;""&amp;" &amp; "&amp;""&amp;(SUMPRODUCT(MID(0&amp;(--TRIM(RIGHT(SUBSTITUTE(LEFT(A507,_xlfn.AGGREGATE(16,6,FIND({0,1,2,3,4,5,6,7,8,9},A507,ROW(INDIRECT("1:"&amp;LEN(A507)))),1))," ",REPT(" ",LEN(A507))),LEN(A507)))), LARGE(INDEX(ISNUMBER(--MID((--TRIM(RIGHT(SUBSTITUTE(LEFT(A507,_xlfn.AGGREGATE(16,6,FIND({0,1,2,3,4,5,6,7,8,9},A507,ROW(INDIRECT("1:"&amp;LEN(A507)))),1))," ",REPT(" ",LEN(A507))),LEN(A507)))), ROW(INDIRECT("1:"&amp;LEN((--TRIM(RIGHT(SUBSTITUTE(LEFT(A507,_xlfn.AGGREGATE(16,6,FIND({0,1,2,3,4,5,6,7,8,9},A507,ROW(INDIRECT("1:"&amp;LEN(A507)))),1))," ",REPT(" ",LEN(A507))),LEN(A507))))))), 1)) * ROW(INDIRECT("1:"&amp;LEN((--TRIM(RIGHT(SUBSTITUTE(LEFT(A507,_xlfn.AGGREGATE(16,6,FIND({0,1,2,3,4,5,6,7,8,9},A507,ROW(INDIRECT("1:"&amp;LEN(A507)))),1))," ",REPT(" ",LEN(A507))),LEN(A507))))))), 0), ROW(INDIRECT("1:"&amp;LEN((--TRIM(RIGHT(SUBSTITUTE(LEFT(A507,_xlfn.AGGREGATE(16,6,FIND({0,1,2,3,4,5,6,7,8,9},A507,ROW(INDIRECT("1:"&amp;LEN(A507)))),1))," ",REPT(" ",LEN(A507))),LEN(A507))))))))+1, 1) * 10^ROW(INDIRECT("1:"&amp;LEN((--TRIM(RIGHT(SUBSTITUTE(LEFT(A507,_xlfn.AGGREGATE(16,6,FIND({0,1,2,3,4,5,6,7,8,9},A507,ROW(INDIRECT("1:"&amp;LEN(A507)))),1))," ",REPT(" ",LEN(A507))),LEN(A507)))))))/10))*1+1</f>
        <v>202 &amp; 502</v>
      </c>
      <c r="B508" s="77"/>
      <c r="C508" s="42"/>
      <c r="D508" s="42"/>
      <c r="E508" s="42">
        <v>0</v>
      </c>
      <c r="F508" s="42">
        <f>D508*(($F$198)+1)+(IF(E508&lt;101,E508,IF(E508&lt;201,E508/2,IF(E508&lt;=301,E508/3,E508/4))))</f>
        <v>0</v>
      </c>
      <c r="G508" s="76" t="str">
        <f t="shared" ref="G508:G511" si="72">G507</f>
        <v>2nd &amp; 5th Floor</v>
      </c>
      <c r="H508" s="77"/>
      <c r="I508" s="36"/>
    </row>
    <row r="509" spans="1:10" s="37" customFormat="1" hidden="1" x14ac:dyDescent="0.25">
      <c r="A509" s="76" t="str">
        <f ca="1">(SUMPRODUCT(MID(0&amp;(LEFT(A508,SUM(LEN(A508)-LEN(SUBSTITUTE(A508,{"0","1","2"},""))))), LARGE(INDEX(ISNUMBER(--MID((LEFT(A508,SUM(LEN(A508)-LEN(SUBSTITUTE(A508,{"0","1","2"},""))))), ROW(INDIRECT("1:"&amp;LEN((LEFT(A508,SUM(LEN(A508)-LEN(SUBSTITUTE(A508,{"0","1","2"},"")))))))), 1)) * ROW(INDIRECT("1:"&amp;LEN((LEFT(A508,SUM(LEN(A508)-LEN(SUBSTITUTE(A508,{"0","1","2"},"")))))))), 0), ROW(INDIRECT("1:"&amp;LEN((LEFT(A508,SUM(LEN(A508)-LEN(SUBSTITUTE(A508,{"0","1","2"},"")))))))))+1, 1) * 10^ROW(INDIRECT("1:"&amp;LEN((LEFT(A508,SUM(LEN(A508)-LEN(SUBSTITUTE(A508,{"0","1","2"},""))))))))/10))*1+1&amp;""&amp;" &amp; "&amp;""&amp;(SUMPRODUCT(MID(0&amp;(--TRIM(RIGHT(SUBSTITUTE(LEFT(A508,_xlfn.AGGREGATE(16,6,FIND({0,1,2,3,4,5,6,7,8,9},A508,ROW(INDIRECT("1:"&amp;LEN(A508)))),1))," ",REPT(" ",LEN(A508))),LEN(A508)))), LARGE(INDEX(ISNUMBER(--MID((--TRIM(RIGHT(SUBSTITUTE(LEFT(A508,_xlfn.AGGREGATE(16,6,FIND({0,1,2,3,4,5,6,7,8,9},A508,ROW(INDIRECT("1:"&amp;LEN(A508)))),1))," ",REPT(" ",LEN(A508))),LEN(A508)))), ROW(INDIRECT("1:"&amp;LEN((--TRIM(RIGHT(SUBSTITUTE(LEFT(A508,_xlfn.AGGREGATE(16,6,FIND({0,1,2,3,4,5,6,7,8,9},A508,ROW(INDIRECT("1:"&amp;LEN(A508)))),1))," ",REPT(" ",LEN(A508))),LEN(A508))))))), 1)) * ROW(INDIRECT("1:"&amp;LEN((--TRIM(RIGHT(SUBSTITUTE(LEFT(A508,_xlfn.AGGREGATE(16,6,FIND({0,1,2,3,4,5,6,7,8,9},A508,ROW(INDIRECT("1:"&amp;LEN(A508)))),1))," ",REPT(" ",LEN(A508))),LEN(A508))))))), 0), ROW(INDIRECT("1:"&amp;LEN((--TRIM(RIGHT(SUBSTITUTE(LEFT(A508,_xlfn.AGGREGATE(16,6,FIND({0,1,2,3,4,5,6,7,8,9},A508,ROW(INDIRECT("1:"&amp;LEN(A508)))),1))," ",REPT(" ",LEN(A508))),LEN(A508))))))))+1, 1) * 10^ROW(INDIRECT("1:"&amp;LEN((--TRIM(RIGHT(SUBSTITUTE(LEFT(A508,_xlfn.AGGREGATE(16,6,FIND({0,1,2,3,4,5,6,7,8,9},A508,ROW(INDIRECT("1:"&amp;LEN(A508)))),1))," ",REPT(" ",LEN(A508))),LEN(A508)))))))/10))*1+1</f>
        <v>203 &amp; 503</v>
      </c>
      <c r="B509" s="77"/>
      <c r="C509" s="42"/>
      <c r="D509" s="42"/>
      <c r="E509" s="42">
        <v>0</v>
      </c>
      <c r="F509" s="42">
        <f>D509*(($F$198)+1)+(IF(E509&lt;101,E509,IF(E509&lt;201,E509/2,IF(E509&lt;=301,E509/3,E509/4))))</f>
        <v>0</v>
      </c>
      <c r="G509" s="76" t="str">
        <f t="shared" si="72"/>
        <v>2nd &amp; 5th Floor</v>
      </c>
      <c r="H509" s="77"/>
      <c r="I509" s="36"/>
    </row>
    <row r="510" spans="1:10" s="37" customFormat="1" hidden="1" x14ac:dyDescent="0.25">
      <c r="A510" s="76" t="str">
        <f ca="1">(SUMPRODUCT(MID(0&amp;(LEFT(A509,SUM(LEN(A509)-LEN(SUBSTITUTE(A509,{"0","1","2"},""))))), LARGE(INDEX(ISNUMBER(--MID((LEFT(A509,SUM(LEN(A509)-LEN(SUBSTITUTE(A509,{"0","1","2"},""))))), ROW(INDIRECT("1:"&amp;LEN((LEFT(A509,SUM(LEN(A509)-LEN(SUBSTITUTE(A509,{"0","1","2"},"")))))))), 1)) * ROW(INDIRECT("1:"&amp;LEN((LEFT(A509,SUM(LEN(A509)-LEN(SUBSTITUTE(A509,{"0","1","2"},"")))))))), 0), ROW(INDIRECT("1:"&amp;LEN((LEFT(A509,SUM(LEN(A509)-LEN(SUBSTITUTE(A509,{"0","1","2"},"")))))))))+1, 1) * 10^ROW(INDIRECT("1:"&amp;LEN((LEFT(A509,SUM(LEN(A509)-LEN(SUBSTITUTE(A509,{"0","1","2"},""))))))))/10))*1+1&amp;""&amp;" &amp; "&amp;""&amp;(SUMPRODUCT(MID(0&amp;(--TRIM(RIGHT(SUBSTITUTE(LEFT(A509,_xlfn.AGGREGATE(16,6,FIND({0,1,2,3,4,5,6,7,8,9},A509,ROW(INDIRECT("1:"&amp;LEN(A509)))),1))," ",REPT(" ",LEN(A509))),LEN(A509)))), LARGE(INDEX(ISNUMBER(--MID((--TRIM(RIGHT(SUBSTITUTE(LEFT(A509,_xlfn.AGGREGATE(16,6,FIND({0,1,2,3,4,5,6,7,8,9},A509,ROW(INDIRECT("1:"&amp;LEN(A509)))),1))," ",REPT(" ",LEN(A509))),LEN(A509)))), ROW(INDIRECT("1:"&amp;LEN((--TRIM(RIGHT(SUBSTITUTE(LEFT(A509,_xlfn.AGGREGATE(16,6,FIND({0,1,2,3,4,5,6,7,8,9},A509,ROW(INDIRECT("1:"&amp;LEN(A509)))),1))," ",REPT(" ",LEN(A509))),LEN(A509))))))), 1)) * ROW(INDIRECT("1:"&amp;LEN((--TRIM(RIGHT(SUBSTITUTE(LEFT(A509,_xlfn.AGGREGATE(16,6,FIND({0,1,2,3,4,5,6,7,8,9},A509,ROW(INDIRECT("1:"&amp;LEN(A509)))),1))," ",REPT(" ",LEN(A509))),LEN(A509))))))), 0), ROW(INDIRECT("1:"&amp;LEN((--TRIM(RIGHT(SUBSTITUTE(LEFT(A509,_xlfn.AGGREGATE(16,6,FIND({0,1,2,3,4,5,6,7,8,9},A509,ROW(INDIRECT("1:"&amp;LEN(A509)))),1))," ",REPT(" ",LEN(A509))),LEN(A509))))))))+1, 1) * 10^ROW(INDIRECT("1:"&amp;LEN((--TRIM(RIGHT(SUBSTITUTE(LEFT(A509,_xlfn.AGGREGATE(16,6,FIND({0,1,2,3,4,5,6,7,8,9},A509,ROW(INDIRECT("1:"&amp;LEN(A509)))),1))," ",REPT(" ",LEN(A509))),LEN(A509)))))))/10))*1+1</f>
        <v>204 &amp; 504</v>
      </c>
      <c r="B510" s="77"/>
      <c r="C510" s="42"/>
      <c r="D510" s="42"/>
      <c r="E510" s="42">
        <v>0</v>
      </c>
      <c r="F510" s="42">
        <f>D510*(($F$198)+1)+(IF(E510&lt;101,E510,IF(E510&lt;201,E510/2,IF(E510&lt;=301,E510/3,E510/4))))</f>
        <v>0</v>
      </c>
      <c r="G510" s="76" t="str">
        <f t="shared" si="72"/>
        <v>2nd &amp; 5th Floor</v>
      </c>
      <c r="H510" s="77"/>
      <c r="I510" s="36"/>
    </row>
    <row r="511" spans="1:10" s="37" customFormat="1" hidden="1" x14ac:dyDescent="0.25">
      <c r="A511" s="76" t="str">
        <f ca="1">(SUMPRODUCT(MID(0&amp;(LEFT(A510,SUM(LEN(A510)-LEN(SUBSTITUTE(A510,{"0","1","2"},""))))), LARGE(INDEX(ISNUMBER(--MID((LEFT(A510,SUM(LEN(A510)-LEN(SUBSTITUTE(A510,{"0","1","2"},""))))), ROW(INDIRECT("1:"&amp;LEN((LEFT(A510,SUM(LEN(A510)-LEN(SUBSTITUTE(A510,{"0","1","2"},"")))))))), 1)) * ROW(INDIRECT("1:"&amp;LEN((LEFT(A510,SUM(LEN(A510)-LEN(SUBSTITUTE(A510,{"0","1","2"},"")))))))), 0), ROW(INDIRECT("1:"&amp;LEN((LEFT(A510,SUM(LEN(A510)-LEN(SUBSTITUTE(A510,{"0","1","2"},"")))))))))+1, 1) * 10^ROW(INDIRECT("1:"&amp;LEN((LEFT(A510,SUM(LEN(A510)-LEN(SUBSTITUTE(A510,{"0","1","2"},""))))))))/10))*1+1&amp;""&amp;" &amp; "&amp;""&amp;(SUMPRODUCT(MID(0&amp;(--TRIM(RIGHT(SUBSTITUTE(LEFT(A510,_xlfn.AGGREGATE(16,6,FIND({0,1,2,3,4,5,6,7,8,9},A510,ROW(INDIRECT("1:"&amp;LEN(A510)))),1))," ",REPT(" ",LEN(A510))),LEN(A510)))), LARGE(INDEX(ISNUMBER(--MID((--TRIM(RIGHT(SUBSTITUTE(LEFT(A510,_xlfn.AGGREGATE(16,6,FIND({0,1,2,3,4,5,6,7,8,9},A510,ROW(INDIRECT("1:"&amp;LEN(A510)))),1))," ",REPT(" ",LEN(A510))),LEN(A510)))), ROW(INDIRECT("1:"&amp;LEN((--TRIM(RIGHT(SUBSTITUTE(LEFT(A510,_xlfn.AGGREGATE(16,6,FIND({0,1,2,3,4,5,6,7,8,9},A510,ROW(INDIRECT("1:"&amp;LEN(A510)))),1))," ",REPT(" ",LEN(A510))),LEN(A510))))))), 1)) * ROW(INDIRECT("1:"&amp;LEN((--TRIM(RIGHT(SUBSTITUTE(LEFT(A510,_xlfn.AGGREGATE(16,6,FIND({0,1,2,3,4,5,6,7,8,9},A510,ROW(INDIRECT("1:"&amp;LEN(A510)))),1))," ",REPT(" ",LEN(A510))),LEN(A510))))))), 0), ROW(INDIRECT("1:"&amp;LEN((--TRIM(RIGHT(SUBSTITUTE(LEFT(A510,_xlfn.AGGREGATE(16,6,FIND({0,1,2,3,4,5,6,7,8,9},A510,ROW(INDIRECT("1:"&amp;LEN(A510)))),1))," ",REPT(" ",LEN(A510))),LEN(A510))))))))+1, 1) * 10^ROW(INDIRECT("1:"&amp;LEN((--TRIM(RIGHT(SUBSTITUTE(LEFT(A510,_xlfn.AGGREGATE(16,6,FIND({0,1,2,3,4,5,6,7,8,9},A510,ROW(INDIRECT("1:"&amp;LEN(A510)))),1))," ",REPT(" ",LEN(A510))),LEN(A510)))))))/10))*1+1</f>
        <v>205 &amp; 505</v>
      </c>
      <c r="B511" s="77"/>
      <c r="C511" s="42"/>
      <c r="D511" s="42"/>
      <c r="E511" s="42">
        <v>0</v>
      </c>
      <c r="F511" s="42">
        <f>D511*(($F$198)+1)+(IF(E511&lt;101,E511,IF(E511&lt;201,E511/2,IF(E511&lt;=301,E511/3,E511/4))))</f>
        <v>0</v>
      </c>
      <c r="G511" s="76" t="str">
        <f t="shared" si="72"/>
        <v>2nd &amp; 5th Floor</v>
      </c>
      <c r="H511" s="77"/>
      <c r="I511" s="36"/>
    </row>
    <row r="512" spans="1:10" s="37" customFormat="1" x14ac:dyDescent="0.25">
      <c r="A512" s="79" t="s">
        <v>322</v>
      </c>
      <c r="B512" s="80"/>
      <c r="C512" s="80"/>
      <c r="D512" s="80"/>
      <c r="E512" s="80"/>
      <c r="F512" s="80"/>
      <c r="G512" s="80"/>
      <c r="H512" s="81"/>
      <c r="J512" s="36"/>
    </row>
    <row r="513" spans="1:14" s="37" customFormat="1" ht="15.75" customHeight="1" x14ac:dyDescent="0.25">
      <c r="A513" s="76">
        <v>1</v>
      </c>
      <c r="B513" s="77"/>
      <c r="C513" s="42" t="s">
        <v>264</v>
      </c>
      <c r="D513" s="57">
        <f>(84.47)*10.764</f>
        <v>909.23507999999993</v>
      </c>
      <c r="E513" s="42">
        <v>0</v>
      </c>
      <c r="F513" s="42">
        <f>D513*(($F$198)+1)+(IF(E513&lt;101,E513,IF(E513&lt;201,E513/2,IF(E513&lt;=301,E513/3,E513/4))))</f>
        <v>1363.8526199999999</v>
      </c>
      <c r="G513" s="82" t="str">
        <f>A512</f>
        <v>11th &amp; 12th Floor</v>
      </c>
      <c r="H513" s="83"/>
      <c r="I513" s="36"/>
      <c r="L513" s="75"/>
      <c r="M513" s="75"/>
      <c r="N513" s="36"/>
    </row>
    <row r="514" spans="1:14" s="37" customFormat="1" x14ac:dyDescent="0.25">
      <c r="A514" s="76">
        <f t="shared" ref="A514:A516" si="73">A513+1</f>
        <v>2</v>
      </c>
      <c r="B514" s="77"/>
      <c r="C514" s="42" t="s">
        <v>260</v>
      </c>
      <c r="D514" s="57">
        <f>(71.95)*10.764</f>
        <v>774.46979999999996</v>
      </c>
      <c r="E514" s="42">
        <v>0</v>
      </c>
      <c r="F514" s="42">
        <f>D514*(($F$198)+1)+(IF(E514&lt;101,E514,IF(E514&lt;201,E514/2,IF(E514&lt;=301,E514/3,E514/4))))</f>
        <v>1161.7047</v>
      </c>
      <c r="G514" s="84"/>
      <c r="H514" s="85"/>
      <c r="I514" s="36"/>
      <c r="L514" s="75"/>
      <c r="M514" s="75"/>
      <c r="N514" s="36"/>
    </row>
    <row r="515" spans="1:14" s="37" customFormat="1" x14ac:dyDescent="0.25">
      <c r="A515" s="76">
        <f t="shared" si="73"/>
        <v>3</v>
      </c>
      <c r="B515" s="77"/>
      <c r="C515" s="42" t="s">
        <v>264</v>
      </c>
      <c r="D515" s="57">
        <f>(96.1)*10.764</f>
        <v>1034.4204</v>
      </c>
      <c r="E515" s="42">
        <v>0</v>
      </c>
      <c r="F515" s="42">
        <f>D515*(($F$198)+1)+(IF(E515&lt;101,E515,IF(E515&lt;201,E515/2,IF(E515&lt;=301,E515/3,E515/4))))</f>
        <v>1551.6306</v>
      </c>
      <c r="G515" s="84"/>
      <c r="H515" s="85"/>
      <c r="I515" s="36"/>
      <c r="L515" s="75"/>
      <c r="M515" s="75"/>
      <c r="N515" s="36"/>
    </row>
    <row r="516" spans="1:14" s="37" customFormat="1" x14ac:dyDescent="0.25">
      <c r="A516" s="76">
        <f t="shared" si="73"/>
        <v>4</v>
      </c>
      <c r="B516" s="77"/>
      <c r="C516" s="42" t="s">
        <v>264</v>
      </c>
      <c r="D516" s="57">
        <f>(84.12)*10.764</f>
        <v>905.46767999999997</v>
      </c>
      <c r="E516" s="42">
        <v>0</v>
      </c>
      <c r="F516" s="42">
        <f>D516*(($F$198)+1)+(IF(E516&lt;101,E516,IF(E516&lt;201,E516/2,IF(E516&lt;=301,E516/3,E516/4))))</f>
        <v>1358.2015200000001</v>
      </c>
      <c r="G516" s="86"/>
      <c r="H516" s="87"/>
      <c r="I516" s="36"/>
      <c r="L516" s="75"/>
      <c r="M516" s="75"/>
      <c r="N516" s="36"/>
    </row>
    <row r="517" spans="1:14" s="35" customFormat="1" x14ac:dyDescent="0.25">
      <c r="A517" s="188" t="s">
        <v>68</v>
      </c>
      <c r="B517" s="188"/>
      <c r="C517" s="188"/>
      <c r="D517" s="188"/>
      <c r="E517" s="188"/>
      <c r="F517" s="188"/>
      <c r="G517" s="188"/>
      <c r="H517" s="188"/>
    </row>
    <row r="518" spans="1:14" s="35" customFormat="1" ht="31.5" customHeight="1" x14ac:dyDescent="0.25">
      <c r="A518" s="47" t="s">
        <v>159</v>
      </c>
      <c r="B518" s="88" t="s">
        <v>340</v>
      </c>
      <c r="C518" s="89"/>
      <c r="D518" s="89"/>
      <c r="E518" s="89"/>
      <c r="F518" s="89"/>
      <c r="G518" s="89"/>
      <c r="H518" s="90"/>
    </row>
    <row r="519" spans="1:14" s="35" customFormat="1" x14ac:dyDescent="0.25">
      <c r="A519" s="47" t="s">
        <v>159</v>
      </c>
      <c r="B519" s="88" t="str">
        <f>(IF(F197="Saleable area Loading :","We have considered Saleable area of Flats as per our Calculation.","We considered Saleable area of Flat as per Builder area Sheet."))</f>
        <v>We have considered Saleable area of Flats as per our Calculation.</v>
      </c>
      <c r="C519" s="89"/>
      <c r="D519" s="89"/>
      <c r="E519" s="89"/>
      <c r="F519" s="89"/>
      <c r="G519" s="89"/>
      <c r="H519" s="90"/>
    </row>
    <row r="520" spans="1:14" s="35" customFormat="1" x14ac:dyDescent="0.25">
      <c r="A520" s="47" t="s">
        <v>159</v>
      </c>
      <c r="B520" s="88" t="str">
        <f>(IF(F178="Saleable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520" s="89"/>
      <c r="D520" s="89"/>
      <c r="E520" s="89"/>
      <c r="F520" s="89"/>
      <c r="G520" s="89"/>
      <c r="H520" s="90"/>
    </row>
    <row r="521" spans="1:14" s="35" customFormat="1" x14ac:dyDescent="0.25">
      <c r="A521" s="47" t="s">
        <v>159</v>
      </c>
      <c r="B521" s="72" t="s">
        <v>126</v>
      </c>
      <c r="C521" s="73"/>
      <c r="D521" s="73"/>
      <c r="E521" s="73"/>
      <c r="F521" s="73"/>
      <c r="G521" s="73"/>
      <c r="H521" s="74"/>
    </row>
    <row r="522" spans="1:14" s="35" customFormat="1" x14ac:dyDescent="0.25">
      <c r="A522" s="47" t="s">
        <v>159</v>
      </c>
      <c r="B522" s="72" t="s">
        <v>305</v>
      </c>
      <c r="C522" s="73"/>
      <c r="D522" s="73"/>
      <c r="E522" s="73"/>
      <c r="F522" s="73"/>
      <c r="G522" s="73"/>
      <c r="H522" s="74"/>
    </row>
    <row r="523" spans="1:14" s="35" customFormat="1" x14ac:dyDescent="0.25">
      <c r="A523" s="47" t="s">
        <v>159</v>
      </c>
      <c r="B523" s="72" t="s">
        <v>158</v>
      </c>
      <c r="C523" s="73"/>
      <c r="D523" s="73"/>
      <c r="E523" s="73"/>
      <c r="F523" s="73"/>
      <c r="G523" s="73"/>
      <c r="H523" s="74"/>
    </row>
    <row r="524" spans="1:14" s="35" customFormat="1" x14ac:dyDescent="0.25">
      <c r="A524" s="47" t="s">
        <v>159</v>
      </c>
      <c r="B524" s="72" t="s">
        <v>127</v>
      </c>
      <c r="C524" s="73"/>
      <c r="D524" s="73"/>
      <c r="E524" s="73"/>
      <c r="F524" s="73"/>
      <c r="G524" s="73"/>
      <c r="H524" s="74"/>
    </row>
    <row r="525" spans="1:14" s="35" customFormat="1" ht="34.5" customHeight="1" x14ac:dyDescent="0.25">
      <c r="A525" s="47" t="s">
        <v>159</v>
      </c>
      <c r="B525" s="72" t="s">
        <v>160</v>
      </c>
      <c r="C525" s="73"/>
      <c r="D525" s="73"/>
      <c r="E525" s="73"/>
      <c r="F525" s="73"/>
      <c r="G525" s="73"/>
      <c r="H525" s="74"/>
    </row>
    <row r="526" spans="1:14" s="35" customFormat="1" x14ac:dyDescent="0.25">
      <c r="A526" s="47" t="s">
        <v>159</v>
      </c>
      <c r="B526" s="72" t="s">
        <v>128</v>
      </c>
      <c r="C526" s="73"/>
      <c r="D526" s="73"/>
      <c r="E526" s="73"/>
      <c r="F526" s="73"/>
      <c r="G526" s="73"/>
      <c r="H526" s="74"/>
    </row>
    <row r="527" spans="1:14" s="35" customFormat="1" x14ac:dyDescent="0.25">
      <c r="A527" s="47" t="s">
        <v>159</v>
      </c>
      <c r="B527" s="72" t="s">
        <v>331</v>
      </c>
      <c r="C527" s="73"/>
      <c r="D527" s="73"/>
      <c r="E527" s="73"/>
      <c r="F527" s="73"/>
      <c r="G527" s="73"/>
      <c r="H527" s="74"/>
    </row>
    <row r="528" spans="1:14" s="35" customFormat="1" ht="32.25" customHeight="1" x14ac:dyDescent="0.25">
      <c r="A528" s="47" t="s">
        <v>159</v>
      </c>
      <c r="B528" s="88" t="s">
        <v>281</v>
      </c>
      <c r="C528" s="89"/>
      <c r="D528" s="89"/>
      <c r="E528" s="89"/>
      <c r="F528" s="89"/>
      <c r="G528" s="89"/>
      <c r="H528" s="90"/>
    </row>
    <row r="529" spans="1:8" s="35" customFormat="1" x14ac:dyDescent="0.25">
      <c r="A529" s="70" t="s">
        <v>159</v>
      </c>
      <c r="B529" s="245" t="s">
        <v>321</v>
      </c>
      <c r="C529" s="246"/>
      <c r="D529" s="246"/>
      <c r="E529" s="246"/>
      <c r="F529" s="246"/>
      <c r="G529" s="246"/>
      <c r="H529" s="247"/>
    </row>
    <row r="530" spans="1:8" s="35" customFormat="1" x14ac:dyDescent="0.25">
      <c r="A530" s="47" t="s">
        <v>159</v>
      </c>
      <c r="B530" s="72" t="s">
        <v>329</v>
      </c>
      <c r="C530" s="73"/>
      <c r="D530" s="73"/>
      <c r="E530" s="73"/>
      <c r="F530" s="73"/>
      <c r="G530" s="73"/>
      <c r="H530" s="74"/>
    </row>
    <row r="531" spans="1:8" s="35" customFormat="1" ht="32.450000000000003" customHeight="1" x14ac:dyDescent="0.25">
      <c r="A531" s="47" t="s">
        <v>159</v>
      </c>
      <c r="B531" s="72" t="s">
        <v>330</v>
      </c>
      <c r="C531" s="73"/>
      <c r="D531" s="73"/>
      <c r="E531" s="73"/>
      <c r="F531" s="73"/>
      <c r="G531" s="73"/>
      <c r="H531" s="74"/>
    </row>
    <row r="532" spans="1:8" s="35" customFormat="1" x14ac:dyDescent="0.25">
      <c r="A532" s="47" t="s">
        <v>159</v>
      </c>
      <c r="B532" s="72" t="s">
        <v>345</v>
      </c>
      <c r="C532" s="73"/>
      <c r="D532" s="73"/>
      <c r="E532" s="73"/>
      <c r="F532" s="73"/>
      <c r="G532" s="73"/>
      <c r="H532" s="74"/>
    </row>
    <row r="533" spans="1:8" x14ac:dyDescent="0.25">
      <c r="A533" s="112" t="s">
        <v>61</v>
      </c>
      <c r="B533" s="112"/>
      <c r="C533" s="112"/>
      <c r="D533" s="112"/>
      <c r="E533" s="112"/>
      <c r="F533" s="112"/>
      <c r="G533" s="112"/>
      <c r="H533" s="112"/>
    </row>
    <row r="534" spans="1:8" x14ac:dyDescent="0.25">
      <c r="A534" s="96" t="s">
        <v>62</v>
      </c>
      <c r="B534" s="96"/>
      <c r="C534" s="96"/>
      <c r="D534" s="96"/>
      <c r="E534" s="96"/>
      <c r="F534" s="96"/>
      <c r="G534" s="96"/>
      <c r="H534" s="96"/>
    </row>
    <row r="535" spans="1:8" ht="15.75" customHeight="1" x14ac:dyDescent="0.25">
      <c r="A535" s="185" t="s">
        <v>63</v>
      </c>
      <c r="B535" s="185"/>
      <c r="C535" s="185"/>
      <c r="D535" s="185"/>
      <c r="E535" s="185"/>
      <c r="F535" s="185"/>
      <c r="G535" s="185"/>
      <c r="H535" s="185"/>
    </row>
    <row r="536" spans="1:8" x14ac:dyDescent="0.25">
      <c r="A536" s="96" t="s">
        <v>64</v>
      </c>
      <c r="B536" s="96"/>
      <c r="C536" s="96"/>
      <c r="D536" s="96"/>
      <c r="E536" s="96"/>
      <c r="F536" s="96"/>
      <c r="G536" s="96"/>
      <c r="H536" s="96"/>
    </row>
    <row r="537" spans="1:8" x14ac:dyDescent="0.25">
      <c r="A537" s="96" t="s">
        <v>65</v>
      </c>
      <c r="B537" s="96"/>
      <c r="C537" s="96"/>
      <c r="D537" s="96"/>
      <c r="E537" s="96"/>
      <c r="F537" s="96"/>
      <c r="G537" s="96"/>
      <c r="H537" s="96"/>
    </row>
    <row r="538" spans="1:8" x14ac:dyDescent="0.25">
      <c r="A538" s="96" t="s">
        <v>129</v>
      </c>
      <c r="B538" s="96"/>
      <c r="C538" s="96"/>
      <c r="D538" s="96"/>
      <c r="E538" s="96"/>
      <c r="F538" s="96"/>
      <c r="G538" s="96"/>
      <c r="H538" s="96"/>
    </row>
    <row r="539" spans="1:8" ht="33.950000000000003" customHeight="1" x14ac:dyDescent="0.25">
      <c r="A539" s="102" t="s">
        <v>130</v>
      </c>
      <c r="B539" s="102"/>
      <c r="C539" s="102"/>
      <c r="D539" s="102"/>
      <c r="E539" s="102"/>
      <c r="F539" s="102"/>
      <c r="G539" s="102"/>
      <c r="H539" s="102"/>
    </row>
    <row r="540" spans="1:8" x14ac:dyDescent="0.25">
      <c r="A540" s="183" t="s">
        <v>77</v>
      </c>
      <c r="B540" s="183"/>
      <c r="C540" s="184" t="s">
        <v>342</v>
      </c>
      <c r="D540" s="184"/>
      <c r="E540" s="183" t="s">
        <v>107</v>
      </c>
      <c r="F540" s="183"/>
      <c r="G540" s="183" t="s">
        <v>341</v>
      </c>
      <c r="H540" s="183"/>
    </row>
    <row r="541" spans="1:8" x14ac:dyDescent="0.25">
      <c r="A541" s="182" t="s">
        <v>79</v>
      </c>
      <c r="B541" s="182"/>
      <c r="C541" s="182"/>
      <c r="D541" s="182"/>
      <c r="E541" s="182"/>
      <c r="F541" s="182"/>
      <c r="G541" s="182"/>
      <c r="H541" s="182"/>
    </row>
    <row r="542" spans="1:8" x14ac:dyDescent="0.25">
      <c r="A542" s="182"/>
      <c r="B542" s="182"/>
      <c r="C542" s="182"/>
      <c r="D542" s="182"/>
      <c r="E542" s="182"/>
      <c r="F542" s="182"/>
      <c r="G542" s="182"/>
      <c r="H542" s="182"/>
    </row>
    <row r="543" spans="1:8" x14ac:dyDescent="0.25">
      <c r="A543" s="182"/>
      <c r="B543" s="182"/>
      <c r="C543" s="182"/>
      <c r="D543" s="182"/>
      <c r="E543" s="182"/>
      <c r="F543" s="182"/>
      <c r="G543" s="182"/>
      <c r="H543" s="182"/>
    </row>
    <row r="544" spans="1:8" x14ac:dyDescent="0.25">
      <c r="A544" s="182"/>
      <c r="B544" s="182"/>
      <c r="C544" s="182"/>
      <c r="D544" s="182"/>
      <c r="E544" s="182"/>
      <c r="F544" s="182"/>
      <c r="G544" s="182"/>
      <c r="H544" s="182"/>
    </row>
    <row r="545" spans="1:8" x14ac:dyDescent="0.25">
      <c r="A545" s="38" t="s">
        <v>66</v>
      </c>
      <c r="B545" s="39"/>
      <c r="C545" s="39"/>
      <c r="D545" s="38" t="str">
        <f>E8</f>
        <v>Atharv Aaradhyam</v>
      </c>
      <c r="F545" s="39"/>
      <c r="G545" s="39"/>
      <c r="H545" s="39"/>
    </row>
    <row r="546" spans="1:8" x14ac:dyDescent="0.25">
      <c r="A546" s="39"/>
      <c r="B546" s="39"/>
      <c r="C546" s="39"/>
      <c r="D546" s="39"/>
      <c r="E546" s="39"/>
      <c r="F546" s="39"/>
      <c r="G546" s="39"/>
      <c r="H546" s="39"/>
    </row>
    <row r="547" spans="1:8" x14ac:dyDescent="0.25">
      <c r="A547" s="39"/>
      <c r="B547" s="39"/>
      <c r="C547" s="39"/>
      <c r="D547" s="39"/>
      <c r="E547" s="39"/>
      <c r="F547" s="39"/>
      <c r="G547" s="39"/>
      <c r="H547" s="39"/>
    </row>
    <row r="548" spans="1:8" ht="15" customHeight="1" x14ac:dyDescent="0.25"/>
    <row r="589" spans="1:1" x14ac:dyDescent="0.25">
      <c r="A589" s="41" t="s">
        <v>171</v>
      </c>
    </row>
    <row r="626" spans="1:1" x14ac:dyDescent="0.25">
      <c r="A626" s="41" t="s">
        <v>67</v>
      </c>
    </row>
  </sheetData>
  <mergeCells count="1043">
    <mergeCell ref="I10:L10"/>
    <mergeCell ref="B531:H531"/>
    <mergeCell ref="B529:H529"/>
    <mergeCell ref="A210:B210"/>
    <mergeCell ref="C210:F210"/>
    <mergeCell ref="L210:M210"/>
    <mergeCell ref="G208:H210"/>
    <mergeCell ref="A214:B214"/>
    <mergeCell ref="C214:F214"/>
    <mergeCell ref="L214:M214"/>
    <mergeCell ref="G212:H214"/>
    <mergeCell ref="B527:H527"/>
    <mergeCell ref="A310:B310"/>
    <mergeCell ref="G310:H313"/>
    <mergeCell ref="A478:H478"/>
    <mergeCell ref="A479:B479"/>
    <mergeCell ref="G479:H482"/>
    <mergeCell ref="A357:H357"/>
    <mergeCell ref="L235:M235"/>
    <mergeCell ref="L308:M308"/>
    <mergeCell ref="L310:M310"/>
    <mergeCell ref="A311:B311"/>
    <mergeCell ref="L311:M311"/>
    <mergeCell ref="A312:B312"/>
    <mergeCell ref="L312:M312"/>
    <mergeCell ref="A313:B313"/>
    <mergeCell ref="A252:H252"/>
    <mergeCell ref="A253:H253"/>
    <mergeCell ref="A309:H309"/>
    <mergeCell ref="A289:H289"/>
    <mergeCell ref="A290:B290"/>
    <mergeCell ref="G290:H293"/>
    <mergeCell ref="A150:E150"/>
    <mergeCell ref="F150:H150"/>
    <mergeCell ref="A204:B204"/>
    <mergeCell ref="L204:M204"/>
    <mergeCell ref="A180:H180"/>
    <mergeCell ref="A181:H181"/>
    <mergeCell ref="G187:H188"/>
    <mergeCell ref="A196:H196"/>
    <mergeCell ref="L183:M183"/>
    <mergeCell ref="L184:M184"/>
    <mergeCell ref="A185:B185"/>
    <mergeCell ref="L185:M185"/>
    <mergeCell ref="G183:H185"/>
    <mergeCell ref="L194:M194"/>
    <mergeCell ref="A195:B195"/>
    <mergeCell ref="L195:M195"/>
    <mergeCell ref="E171:F171"/>
    <mergeCell ref="G171:H171"/>
    <mergeCell ref="A172:B172"/>
    <mergeCell ref="C172:D172"/>
    <mergeCell ref="E172:F172"/>
    <mergeCell ref="G172:H172"/>
    <mergeCell ref="A173:B173"/>
    <mergeCell ref="C173:D173"/>
    <mergeCell ref="E173:F173"/>
    <mergeCell ref="G173:H173"/>
    <mergeCell ref="A192:H192"/>
    <mergeCell ref="A193:H193"/>
    <mergeCell ref="A194:B194"/>
    <mergeCell ref="G194:H195"/>
    <mergeCell ref="A189:H189"/>
    <mergeCell ref="A154:E154"/>
    <mergeCell ref="L240:M240"/>
    <mergeCell ref="A264:H264"/>
    <mergeCell ref="A265:B265"/>
    <mergeCell ref="A274:H274"/>
    <mergeCell ref="A275:B275"/>
    <mergeCell ref="G275:H278"/>
    <mergeCell ref="L298:M298"/>
    <mergeCell ref="A299:H299"/>
    <mergeCell ref="A300:B300"/>
    <mergeCell ref="L190:M190"/>
    <mergeCell ref="A191:B191"/>
    <mergeCell ref="L191:M191"/>
    <mergeCell ref="L291:M291"/>
    <mergeCell ref="A292:B292"/>
    <mergeCell ref="G190:H191"/>
    <mergeCell ref="A308:B308"/>
    <mergeCell ref="L300:M300"/>
    <mergeCell ref="A235:B235"/>
    <mergeCell ref="A294:H294"/>
    <mergeCell ref="A295:B295"/>
    <mergeCell ref="G295:H298"/>
    <mergeCell ref="A215:H215"/>
    <mergeCell ref="A247:B247"/>
    <mergeCell ref="G247:H250"/>
    <mergeCell ref="L247:M247"/>
    <mergeCell ref="A248:B248"/>
    <mergeCell ref="L248:M248"/>
    <mergeCell ref="A249:B249"/>
    <mergeCell ref="L249:M249"/>
    <mergeCell ref="A250:B250"/>
    <mergeCell ref="L250:M250"/>
    <mergeCell ref="A262:B262"/>
    <mergeCell ref="A463:H463"/>
    <mergeCell ref="L479:M479"/>
    <mergeCell ref="A480:B480"/>
    <mergeCell ref="L480:M480"/>
    <mergeCell ref="A481:B481"/>
    <mergeCell ref="L481:M481"/>
    <mergeCell ref="L360:M360"/>
    <mergeCell ref="A361:B361"/>
    <mergeCell ref="L361:M361"/>
    <mergeCell ref="L476:M476"/>
    <mergeCell ref="A477:B477"/>
    <mergeCell ref="L477:M477"/>
    <mergeCell ref="A415:H415"/>
    <mergeCell ref="A416:B416"/>
    <mergeCell ref="G416:H419"/>
    <mergeCell ref="L416:M416"/>
    <mergeCell ref="A417:B417"/>
    <mergeCell ref="L417:M417"/>
    <mergeCell ref="A418:B418"/>
    <mergeCell ref="L418:M418"/>
    <mergeCell ref="L455:M455"/>
    <mergeCell ref="A456:B456"/>
    <mergeCell ref="L456:M456"/>
    <mergeCell ref="A457:B457"/>
    <mergeCell ref="L457:M457"/>
    <mergeCell ref="A448:H448"/>
    <mergeCell ref="A449:B449"/>
    <mergeCell ref="G449:H452"/>
    <mergeCell ref="L449:M449"/>
    <mergeCell ref="A450:B450"/>
    <mergeCell ref="L450:M450"/>
    <mergeCell ref="G464:H467"/>
    <mergeCell ref="A358:B358"/>
    <mergeCell ref="G358:H361"/>
    <mergeCell ref="L358:M358"/>
    <mergeCell ref="A359:B359"/>
    <mergeCell ref="L359:M359"/>
    <mergeCell ref="A360:B360"/>
    <mergeCell ref="A301:B301"/>
    <mergeCell ref="L281:M281"/>
    <mergeCell ref="A282:B282"/>
    <mergeCell ref="L282:M282"/>
    <mergeCell ref="A283:B283"/>
    <mergeCell ref="L283:M283"/>
    <mergeCell ref="A259:H259"/>
    <mergeCell ref="L293:M293"/>
    <mergeCell ref="C290:F290"/>
    <mergeCell ref="A342:H342"/>
    <mergeCell ref="A343:B343"/>
    <mergeCell ref="G343:H346"/>
    <mergeCell ref="L343:M343"/>
    <mergeCell ref="A344:B344"/>
    <mergeCell ref="A270:B270"/>
    <mergeCell ref="G270:H273"/>
    <mergeCell ref="L270:M270"/>
    <mergeCell ref="A271:B271"/>
    <mergeCell ref="L271:M271"/>
    <mergeCell ref="A272:B272"/>
    <mergeCell ref="L272:M272"/>
    <mergeCell ref="A273:B273"/>
    <mergeCell ref="L273:M273"/>
    <mergeCell ref="A263:B263"/>
    <mergeCell ref="L263:M263"/>
    <mergeCell ref="A346:B346"/>
    <mergeCell ref="A482:B482"/>
    <mergeCell ref="L482:M482"/>
    <mergeCell ref="A241:H241"/>
    <mergeCell ref="A242:B242"/>
    <mergeCell ref="G242:H245"/>
    <mergeCell ref="L242:M242"/>
    <mergeCell ref="A243:B243"/>
    <mergeCell ref="L243:M243"/>
    <mergeCell ref="A244:B244"/>
    <mergeCell ref="L244:M244"/>
    <mergeCell ref="A245:B245"/>
    <mergeCell ref="L245:M245"/>
    <mergeCell ref="A473:H473"/>
    <mergeCell ref="A474:B474"/>
    <mergeCell ref="G474:H477"/>
    <mergeCell ref="L474:M474"/>
    <mergeCell ref="A475:B475"/>
    <mergeCell ref="L475:M475"/>
    <mergeCell ref="A476:B476"/>
    <mergeCell ref="L313:M313"/>
    <mergeCell ref="C313:F313"/>
    <mergeCell ref="A468:H468"/>
    <mergeCell ref="A469:B469"/>
    <mergeCell ref="G469:H472"/>
    <mergeCell ref="L469:M469"/>
    <mergeCell ref="A470:B470"/>
    <mergeCell ref="L470:M470"/>
    <mergeCell ref="A471:B471"/>
    <mergeCell ref="L471:M471"/>
    <mergeCell ref="A472:B472"/>
    <mergeCell ref="L472:M472"/>
    <mergeCell ref="A464:B464"/>
    <mergeCell ref="L464:M464"/>
    <mergeCell ref="A465:B465"/>
    <mergeCell ref="L465:M465"/>
    <mergeCell ref="A466:B466"/>
    <mergeCell ref="L466:M466"/>
    <mergeCell ref="A467:B467"/>
    <mergeCell ref="L467:M467"/>
    <mergeCell ref="L275:M275"/>
    <mergeCell ref="A276:B276"/>
    <mergeCell ref="L276:M276"/>
    <mergeCell ref="A277:B277"/>
    <mergeCell ref="L277:M277"/>
    <mergeCell ref="A278:B278"/>
    <mergeCell ref="L278:M278"/>
    <mergeCell ref="L258:M258"/>
    <mergeCell ref="G255:H258"/>
    <mergeCell ref="G265:H268"/>
    <mergeCell ref="L265:M265"/>
    <mergeCell ref="A266:B266"/>
    <mergeCell ref="L255:M255"/>
    <mergeCell ref="A352:H352"/>
    <mergeCell ref="A353:B353"/>
    <mergeCell ref="G353:H356"/>
    <mergeCell ref="L353:M353"/>
    <mergeCell ref="A354:B354"/>
    <mergeCell ref="L354:M354"/>
    <mergeCell ref="A355:B355"/>
    <mergeCell ref="L355:M355"/>
    <mergeCell ref="A356:B356"/>
    <mergeCell ref="L356:M356"/>
    <mergeCell ref="L292:M292"/>
    <mergeCell ref="A293:B293"/>
    <mergeCell ref="L262:M262"/>
    <mergeCell ref="L344:M344"/>
    <mergeCell ref="A345:B345"/>
    <mergeCell ref="L345:M345"/>
    <mergeCell ref="A332:H332"/>
    <mergeCell ref="A333:B333"/>
    <mergeCell ref="G333:H336"/>
    <mergeCell ref="L333:M333"/>
    <mergeCell ref="A334:B334"/>
    <mergeCell ref="L334:M334"/>
    <mergeCell ref="A335:B335"/>
    <mergeCell ref="L335:M335"/>
    <mergeCell ref="A336:B336"/>
    <mergeCell ref="L336:M336"/>
    <mergeCell ref="L290:M290"/>
    <mergeCell ref="A279:H279"/>
    <mergeCell ref="A280:B280"/>
    <mergeCell ref="G280:H283"/>
    <mergeCell ref="A281:B281"/>
    <mergeCell ref="A284:H284"/>
    <mergeCell ref="A285:B285"/>
    <mergeCell ref="G285:H288"/>
    <mergeCell ref="L285:M285"/>
    <mergeCell ref="A286:B286"/>
    <mergeCell ref="L286:M286"/>
    <mergeCell ref="A287:B287"/>
    <mergeCell ref="L287:M287"/>
    <mergeCell ref="A288:B288"/>
    <mergeCell ref="A322:H322"/>
    <mergeCell ref="A323:B323"/>
    <mergeCell ref="G323:H326"/>
    <mergeCell ref="L323:M323"/>
    <mergeCell ref="L346:M346"/>
    <mergeCell ref="A458:H458"/>
    <mergeCell ref="A459:B459"/>
    <mergeCell ref="G459:H462"/>
    <mergeCell ref="L459:M459"/>
    <mergeCell ref="A460:B460"/>
    <mergeCell ref="L460:M460"/>
    <mergeCell ref="A461:B461"/>
    <mergeCell ref="L461:M461"/>
    <mergeCell ref="A462:B462"/>
    <mergeCell ref="L462:M462"/>
    <mergeCell ref="A347:H347"/>
    <mergeCell ref="A348:B348"/>
    <mergeCell ref="G348:H351"/>
    <mergeCell ref="L348:M348"/>
    <mergeCell ref="A349:B349"/>
    <mergeCell ref="L349:M349"/>
    <mergeCell ref="A350:B350"/>
    <mergeCell ref="L350:M350"/>
    <mergeCell ref="A351:B351"/>
    <mergeCell ref="L351:M351"/>
    <mergeCell ref="A406:B406"/>
    <mergeCell ref="G406:H409"/>
    <mergeCell ref="A453:H453"/>
    <mergeCell ref="A454:B454"/>
    <mergeCell ref="G454:H457"/>
    <mergeCell ref="L454:M454"/>
    <mergeCell ref="A455:B455"/>
    <mergeCell ref="L383:M383"/>
    <mergeCell ref="A384:B384"/>
    <mergeCell ref="L384:M384"/>
    <mergeCell ref="A385:H385"/>
    <mergeCell ref="A386:B386"/>
    <mergeCell ref="G386:H389"/>
    <mergeCell ref="L386:M386"/>
    <mergeCell ref="A387:B387"/>
    <mergeCell ref="A400:H400"/>
    <mergeCell ref="A401:B401"/>
    <mergeCell ref="G401:H404"/>
    <mergeCell ref="L401:M401"/>
    <mergeCell ref="A402:B402"/>
    <mergeCell ref="L402:M402"/>
    <mergeCell ref="A403:B403"/>
    <mergeCell ref="L403:M403"/>
    <mergeCell ref="A404:B404"/>
    <mergeCell ref="L404:M404"/>
    <mergeCell ref="A337:H337"/>
    <mergeCell ref="A338:B338"/>
    <mergeCell ref="G338:H341"/>
    <mergeCell ref="L338:M338"/>
    <mergeCell ref="A339:B339"/>
    <mergeCell ref="L339:M339"/>
    <mergeCell ref="A340:B340"/>
    <mergeCell ref="L340:M340"/>
    <mergeCell ref="A341:B341"/>
    <mergeCell ref="L341:M341"/>
    <mergeCell ref="G391:H394"/>
    <mergeCell ref="L391:M391"/>
    <mergeCell ref="A392:B392"/>
    <mergeCell ref="L392:M392"/>
    <mergeCell ref="A393:B393"/>
    <mergeCell ref="L393:M393"/>
    <mergeCell ref="A394:B394"/>
    <mergeCell ref="L389:M389"/>
    <mergeCell ref="A451:B451"/>
    <mergeCell ref="L451:M451"/>
    <mergeCell ref="A452:B452"/>
    <mergeCell ref="L452:M452"/>
    <mergeCell ref="A395:H395"/>
    <mergeCell ref="A396:B396"/>
    <mergeCell ref="G396:H399"/>
    <mergeCell ref="L396:M396"/>
    <mergeCell ref="A397:B397"/>
    <mergeCell ref="L397:M397"/>
    <mergeCell ref="A398:B398"/>
    <mergeCell ref="L398:M398"/>
    <mergeCell ref="A399:B399"/>
    <mergeCell ref="L399:M399"/>
    <mergeCell ref="A412:B412"/>
    <mergeCell ref="L412:M412"/>
    <mergeCell ref="A413:B413"/>
    <mergeCell ref="L413:M413"/>
    <mergeCell ref="A414:B414"/>
    <mergeCell ref="L414:M414"/>
    <mergeCell ref="C411:F411"/>
    <mergeCell ref="A437:B437"/>
    <mergeCell ref="L437:M437"/>
    <mergeCell ref="L429:M429"/>
    <mergeCell ref="A410:H410"/>
    <mergeCell ref="A411:B411"/>
    <mergeCell ref="G411:H414"/>
    <mergeCell ref="L411:M411"/>
    <mergeCell ref="A405:H405"/>
    <mergeCell ref="L406:M406"/>
    <mergeCell ref="A407:B407"/>
    <mergeCell ref="L407:M407"/>
    <mergeCell ref="A324:B324"/>
    <mergeCell ref="L295:M295"/>
    <mergeCell ref="A296:B296"/>
    <mergeCell ref="L296:M296"/>
    <mergeCell ref="A297:B297"/>
    <mergeCell ref="L297:M297"/>
    <mergeCell ref="A298:B298"/>
    <mergeCell ref="L305:M305"/>
    <mergeCell ref="A306:B306"/>
    <mergeCell ref="L306:M306"/>
    <mergeCell ref="A307:B307"/>
    <mergeCell ref="L307:M307"/>
    <mergeCell ref="L301:M301"/>
    <mergeCell ref="A302:B302"/>
    <mergeCell ref="L302:M302"/>
    <mergeCell ref="A303:B303"/>
    <mergeCell ref="L303:M303"/>
    <mergeCell ref="A304:H304"/>
    <mergeCell ref="A305:B305"/>
    <mergeCell ref="G305:H308"/>
    <mergeCell ref="G300:H303"/>
    <mergeCell ref="A443:H443"/>
    <mergeCell ref="A444:B444"/>
    <mergeCell ref="G444:H447"/>
    <mergeCell ref="L444:M444"/>
    <mergeCell ref="A445:B445"/>
    <mergeCell ref="L445:M445"/>
    <mergeCell ref="A446:B446"/>
    <mergeCell ref="L446:M446"/>
    <mergeCell ref="A447:B447"/>
    <mergeCell ref="L447:M447"/>
    <mergeCell ref="L325:M325"/>
    <mergeCell ref="A326:B326"/>
    <mergeCell ref="L326:M326"/>
    <mergeCell ref="A438:H438"/>
    <mergeCell ref="A380:H380"/>
    <mergeCell ref="A381:B381"/>
    <mergeCell ref="G381:H384"/>
    <mergeCell ref="L381:M381"/>
    <mergeCell ref="A382:B382"/>
    <mergeCell ref="L382:M382"/>
    <mergeCell ref="A383:B383"/>
    <mergeCell ref="L387:M387"/>
    <mergeCell ref="A388:B388"/>
    <mergeCell ref="L388:M388"/>
    <mergeCell ref="A327:H327"/>
    <mergeCell ref="A328:B328"/>
    <mergeCell ref="G328:H331"/>
    <mergeCell ref="L328:M328"/>
    <mergeCell ref="A329:B329"/>
    <mergeCell ref="L329:M329"/>
    <mergeCell ref="A330:B330"/>
    <mergeCell ref="L330:M330"/>
    <mergeCell ref="A391:B391"/>
    <mergeCell ref="L256:M256"/>
    <mergeCell ref="A257:B257"/>
    <mergeCell ref="L266:M266"/>
    <mergeCell ref="A267:B267"/>
    <mergeCell ref="L267:M267"/>
    <mergeCell ref="A268:B268"/>
    <mergeCell ref="L268:M268"/>
    <mergeCell ref="A260:B260"/>
    <mergeCell ref="G260:H263"/>
    <mergeCell ref="L260:M260"/>
    <mergeCell ref="A261:B261"/>
    <mergeCell ref="L261:M261"/>
    <mergeCell ref="L257:M257"/>
    <mergeCell ref="A220:H220"/>
    <mergeCell ref="A221:B221"/>
    <mergeCell ref="G221:H224"/>
    <mergeCell ref="L221:M221"/>
    <mergeCell ref="A222:B222"/>
    <mergeCell ref="L222:M222"/>
    <mergeCell ref="A223:B223"/>
    <mergeCell ref="L223:M223"/>
    <mergeCell ref="A224:B224"/>
    <mergeCell ref="A236:H236"/>
    <mergeCell ref="A237:B237"/>
    <mergeCell ref="G237:H240"/>
    <mergeCell ref="L237:M237"/>
    <mergeCell ref="A238:B238"/>
    <mergeCell ref="L238:M238"/>
    <mergeCell ref="A239:B239"/>
    <mergeCell ref="L231:M231"/>
    <mergeCell ref="L288:M288"/>
    <mergeCell ref="L439:M439"/>
    <mergeCell ref="A440:B440"/>
    <mergeCell ref="L440:M440"/>
    <mergeCell ref="A441:B441"/>
    <mergeCell ref="L441:M441"/>
    <mergeCell ref="A442:B442"/>
    <mergeCell ref="L442:M442"/>
    <mergeCell ref="A430:H430"/>
    <mergeCell ref="A431:H431"/>
    <mergeCell ref="A432:H432"/>
    <mergeCell ref="A433:H433"/>
    <mergeCell ref="A434:B434"/>
    <mergeCell ref="G434:H437"/>
    <mergeCell ref="L434:M434"/>
    <mergeCell ref="A435:B435"/>
    <mergeCell ref="L435:M435"/>
    <mergeCell ref="A436:B436"/>
    <mergeCell ref="L394:M394"/>
    <mergeCell ref="A408:B408"/>
    <mergeCell ref="L408:M408"/>
    <mergeCell ref="A409:B409"/>
    <mergeCell ref="L409:M409"/>
    <mergeCell ref="A419:B419"/>
    <mergeCell ref="L419:M419"/>
    <mergeCell ref="L436:M436"/>
    <mergeCell ref="A314:H314"/>
    <mergeCell ref="A315:H315"/>
    <mergeCell ref="A316:H316"/>
    <mergeCell ref="A317:H317"/>
    <mergeCell ref="A318:B318"/>
    <mergeCell ref="G318:H321"/>
    <mergeCell ref="L318:M318"/>
    <mergeCell ref="A319:B319"/>
    <mergeCell ref="L319:M319"/>
    <mergeCell ref="A320:B320"/>
    <mergeCell ref="L320:M320"/>
    <mergeCell ref="A321:B321"/>
    <mergeCell ref="L321:M321"/>
    <mergeCell ref="L324:M324"/>
    <mergeCell ref="A325:B325"/>
    <mergeCell ref="A331:B331"/>
    <mergeCell ref="L331:M331"/>
    <mergeCell ref="L421:M421"/>
    <mergeCell ref="L422:M422"/>
    <mergeCell ref="L423:M423"/>
    <mergeCell ref="L424:M424"/>
    <mergeCell ref="L426:M426"/>
    <mergeCell ref="L427:M427"/>
    <mergeCell ref="L428:M428"/>
    <mergeCell ref="L232:M232"/>
    <mergeCell ref="A234:B234"/>
    <mergeCell ref="L234:M234"/>
    <mergeCell ref="L233:M233"/>
    <mergeCell ref="A375:H375"/>
    <mergeCell ref="A376:B376"/>
    <mergeCell ref="G376:H379"/>
    <mergeCell ref="L376:M376"/>
    <mergeCell ref="A377:B377"/>
    <mergeCell ref="L377:M377"/>
    <mergeCell ref="A378:B378"/>
    <mergeCell ref="L378:M378"/>
    <mergeCell ref="A379:B379"/>
    <mergeCell ref="L379:M379"/>
    <mergeCell ref="L205:M205"/>
    <mergeCell ref="A207:H207"/>
    <mergeCell ref="A208:B208"/>
    <mergeCell ref="L208:M208"/>
    <mergeCell ref="A209:B209"/>
    <mergeCell ref="L209:M209"/>
    <mergeCell ref="A211:H211"/>
    <mergeCell ref="A212:B212"/>
    <mergeCell ref="L227:M227"/>
    <mergeCell ref="A363:B363"/>
    <mergeCell ref="G363:H366"/>
    <mergeCell ref="C319:F319"/>
    <mergeCell ref="L239:M239"/>
    <mergeCell ref="A240:B240"/>
    <mergeCell ref="A246:H246"/>
    <mergeCell ref="L280:M280"/>
    <mergeCell ref="A373:H373"/>
    <mergeCell ref="A291:B291"/>
    <mergeCell ref="A152:E152"/>
    <mergeCell ref="A148:E148"/>
    <mergeCell ref="A169:B169"/>
    <mergeCell ref="A168:B168"/>
    <mergeCell ref="A167:H167"/>
    <mergeCell ref="L201:M201"/>
    <mergeCell ref="A202:B202"/>
    <mergeCell ref="L202:M202"/>
    <mergeCell ref="L212:M212"/>
    <mergeCell ref="A213:B213"/>
    <mergeCell ref="L213:M213"/>
    <mergeCell ref="A206:B206"/>
    <mergeCell ref="L206:M206"/>
    <mergeCell ref="L224:M224"/>
    <mergeCell ref="A225:H225"/>
    <mergeCell ref="A226:B226"/>
    <mergeCell ref="G226:H229"/>
    <mergeCell ref="L226:M226"/>
    <mergeCell ref="A227:B227"/>
    <mergeCell ref="L216:M216"/>
    <mergeCell ref="A217:B217"/>
    <mergeCell ref="L217:M217"/>
    <mergeCell ref="A218:B218"/>
    <mergeCell ref="L218:M218"/>
    <mergeCell ref="A219:B219"/>
    <mergeCell ref="L219:M219"/>
    <mergeCell ref="G216:H219"/>
    <mergeCell ref="A216:B216"/>
    <mergeCell ref="A190:B190"/>
    <mergeCell ref="A203:H203"/>
    <mergeCell ref="A205:B205"/>
    <mergeCell ref="L188:M188"/>
    <mergeCell ref="A118:B118"/>
    <mergeCell ref="A124:B124"/>
    <mergeCell ref="A138:B138"/>
    <mergeCell ref="E138:F147"/>
    <mergeCell ref="G138:H147"/>
    <mergeCell ref="A139:B139"/>
    <mergeCell ref="A140:B140"/>
    <mergeCell ref="D69:H69"/>
    <mergeCell ref="D70:H70"/>
    <mergeCell ref="A120:B120"/>
    <mergeCell ref="C120:H120"/>
    <mergeCell ref="A122:B122"/>
    <mergeCell ref="C122:H122"/>
    <mergeCell ref="A123:B123"/>
    <mergeCell ref="E123:F123"/>
    <mergeCell ref="G123:H123"/>
    <mergeCell ref="A105:B105"/>
    <mergeCell ref="A110:B110"/>
    <mergeCell ref="A77:C77"/>
    <mergeCell ref="D77:H77"/>
    <mergeCell ref="A75:C75"/>
    <mergeCell ref="D76:H76"/>
    <mergeCell ref="A82:B82"/>
    <mergeCell ref="A104:B104"/>
    <mergeCell ref="A74:C74"/>
    <mergeCell ref="A141:B141"/>
    <mergeCell ref="A142:B142"/>
    <mergeCell ref="A143:B143"/>
    <mergeCell ref="A144:B144"/>
    <mergeCell ref="A145:B145"/>
    <mergeCell ref="A146:B146"/>
    <mergeCell ref="A147:B147"/>
    <mergeCell ref="B518:H518"/>
    <mergeCell ref="B519:H519"/>
    <mergeCell ref="A501:B501"/>
    <mergeCell ref="A499:B499"/>
    <mergeCell ref="A511:B511"/>
    <mergeCell ref="G511:H511"/>
    <mergeCell ref="A512:H512"/>
    <mergeCell ref="A513:B513"/>
    <mergeCell ref="G513:H516"/>
    <mergeCell ref="A126:B126"/>
    <mergeCell ref="E174:F174"/>
    <mergeCell ref="A39:B39"/>
    <mergeCell ref="C39:H39"/>
    <mergeCell ref="B525:H525"/>
    <mergeCell ref="A48:B48"/>
    <mergeCell ref="C48:H48"/>
    <mergeCell ref="B523:H523"/>
    <mergeCell ref="A111:B111"/>
    <mergeCell ref="A112:B112"/>
    <mergeCell ref="G96:H105"/>
    <mergeCell ref="A97:B97"/>
    <mergeCell ref="A98:B98"/>
    <mergeCell ref="A99:B99"/>
    <mergeCell ref="F151:H151"/>
    <mergeCell ref="A151:E151"/>
    <mergeCell ref="G496:H496"/>
    <mergeCell ref="G492:H492"/>
    <mergeCell ref="G489:H489"/>
    <mergeCell ref="D178:D179"/>
    <mergeCell ref="A153:E153"/>
    <mergeCell ref="A115:B115"/>
    <mergeCell ref="A117:B117"/>
    <mergeCell ref="L485:M485"/>
    <mergeCell ref="A486:B486"/>
    <mergeCell ref="L484:M484"/>
    <mergeCell ref="A485:B485"/>
    <mergeCell ref="G485:H485"/>
    <mergeCell ref="A488:H488"/>
    <mergeCell ref="A160:E160"/>
    <mergeCell ref="G174:H174"/>
    <mergeCell ref="A166:B166"/>
    <mergeCell ref="C166:D166"/>
    <mergeCell ref="E166:F166"/>
    <mergeCell ref="G166:H166"/>
    <mergeCell ref="A170:B170"/>
    <mergeCell ref="C170:D170"/>
    <mergeCell ref="E170:F170"/>
    <mergeCell ref="G170:H170"/>
    <mergeCell ref="C165:D165"/>
    <mergeCell ref="E165:F165"/>
    <mergeCell ref="A163:H163"/>
    <mergeCell ref="A161:E161"/>
    <mergeCell ref="F161:H161"/>
    <mergeCell ref="A162:E162"/>
    <mergeCell ref="F162:H162"/>
    <mergeCell ref="L486:M486"/>
    <mergeCell ref="L487:M487"/>
    <mergeCell ref="L488:M488"/>
    <mergeCell ref="L228:M228"/>
    <mergeCell ref="A229:B229"/>
    <mergeCell ref="L229:M229"/>
    <mergeCell ref="A230:H230"/>
    <mergeCell ref="A231:B231"/>
    <mergeCell ref="G231:H235"/>
    <mergeCell ref="L187:M187"/>
    <mergeCell ref="A89:B89"/>
    <mergeCell ref="C169:D169"/>
    <mergeCell ref="E169:F169"/>
    <mergeCell ref="G169:H169"/>
    <mergeCell ref="F156:H156"/>
    <mergeCell ref="A149:E149"/>
    <mergeCell ref="A106:B106"/>
    <mergeCell ref="C106:H106"/>
    <mergeCell ref="A186:H186"/>
    <mergeCell ref="E178:E179"/>
    <mergeCell ref="G178:H179"/>
    <mergeCell ref="A96:B96"/>
    <mergeCell ref="A46:D46"/>
    <mergeCell ref="A47:H47"/>
    <mergeCell ref="A175:B175"/>
    <mergeCell ref="G124:H133"/>
    <mergeCell ref="A65:C65"/>
    <mergeCell ref="G50:H50"/>
    <mergeCell ref="A55:B56"/>
    <mergeCell ref="A174:B174"/>
    <mergeCell ref="F153:H153"/>
    <mergeCell ref="G109:H109"/>
    <mergeCell ref="A108:B108"/>
    <mergeCell ref="C108:H108"/>
    <mergeCell ref="A109:B109"/>
    <mergeCell ref="A127:B127"/>
    <mergeCell ref="A128:B128"/>
    <mergeCell ref="A129:B129"/>
    <mergeCell ref="A130:B130"/>
    <mergeCell ref="A131:B131"/>
    <mergeCell ref="B178:B179"/>
    <mergeCell ref="A37:H37"/>
    <mergeCell ref="A36:B36"/>
    <mergeCell ref="C36:E36"/>
    <mergeCell ref="G110:H119"/>
    <mergeCell ref="A41:D41"/>
    <mergeCell ref="E41:H41"/>
    <mergeCell ref="A40:H40"/>
    <mergeCell ref="A71:C71"/>
    <mergeCell ref="A72:C72"/>
    <mergeCell ref="D71:H71"/>
    <mergeCell ref="E82:F91"/>
    <mergeCell ref="G82:H91"/>
    <mergeCell ref="A90:B90"/>
    <mergeCell ref="A91:B91"/>
    <mergeCell ref="D72:H72"/>
    <mergeCell ref="A43:D43"/>
    <mergeCell ref="E43:H43"/>
    <mergeCell ref="E44:H44"/>
    <mergeCell ref="E45:H45"/>
    <mergeCell ref="A95:B95"/>
    <mergeCell ref="E46:H46"/>
    <mergeCell ref="A94:B94"/>
    <mergeCell ref="C94:H94"/>
    <mergeCell ref="A44:D44"/>
    <mergeCell ref="A38:B38"/>
    <mergeCell ref="C38:H38"/>
    <mergeCell ref="A45:D45"/>
    <mergeCell ref="E109:F109"/>
    <mergeCell ref="E110:F119"/>
    <mergeCell ref="A66:C70"/>
    <mergeCell ref="A102:B102"/>
    <mergeCell ref="A116:B116"/>
    <mergeCell ref="E21:F21"/>
    <mergeCell ref="G21:H21"/>
    <mergeCell ref="F33:H33"/>
    <mergeCell ref="F34:H34"/>
    <mergeCell ref="C16:H16"/>
    <mergeCell ref="A17:B17"/>
    <mergeCell ref="F36:H36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E22:H23"/>
    <mergeCell ref="A22:D23"/>
    <mergeCell ref="E14:H14"/>
    <mergeCell ref="A15:B15"/>
    <mergeCell ref="C15:H15"/>
    <mergeCell ref="D66:H66"/>
    <mergeCell ref="C17:H17"/>
    <mergeCell ref="A12:D12"/>
    <mergeCell ref="E12:H12"/>
    <mergeCell ref="A11:D11"/>
    <mergeCell ref="E11:H11"/>
    <mergeCell ref="A16:B16"/>
    <mergeCell ref="A13:D13"/>
    <mergeCell ref="E13:H13"/>
    <mergeCell ref="A14:D14"/>
    <mergeCell ref="A10:D10"/>
    <mergeCell ref="C34:E34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G56:H5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E10:H10"/>
    <mergeCell ref="A374:H374"/>
    <mergeCell ref="A176:H176"/>
    <mergeCell ref="A178:A179"/>
    <mergeCell ref="E168:F168"/>
    <mergeCell ref="G421:H424"/>
    <mergeCell ref="A422:B422"/>
    <mergeCell ref="A423:B423"/>
    <mergeCell ref="A424:B424"/>
    <mergeCell ref="A425:H425"/>
    <mergeCell ref="A426:B426"/>
    <mergeCell ref="B197:B198"/>
    <mergeCell ref="C206:F206"/>
    <mergeCell ref="G486:H486"/>
    <mergeCell ref="G204:H206"/>
    <mergeCell ref="A251:H251"/>
    <mergeCell ref="G201:H202"/>
    <mergeCell ref="A254:H254"/>
    <mergeCell ref="A255:B255"/>
    <mergeCell ref="A201:B201"/>
    <mergeCell ref="A258:B258"/>
    <mergeCell ref="A372:H372"/>
    <mergeCell ref="C377:F377"/>
    <mergeCell ref="A269:H269"/>
    <mergeCell ref="A256:B256"/>
    <mergeCell ref="A228:B228"/>
    <mergeCell ref="A171:B171"/>
    <mergeCell ref="C171:D171"/>
    <mergeCell ref="A439:B439"/>
    <mergeCell ref="G439:H442"/>
    <mergeCell ref="A389:B389"/>
    <mergeCell ref="A232:B232"/>
    <mergeCell ref="A390:H390"/>
    <mergeCell ref="A541:H544"/>
    <mergeCell ref="A540:B540"/>
    <mergeCell ref="E540:F540"/>
    <mergeCell ref="C540:D540"/>
    <mergeCell ref="G540:H540"/>
    <mergeCell ref="A536:H536"/>
    <mergeCell ref="A539:H539"/>
    <mergeCell ref="A537:H537"/>
    <mergeCell ref="A533:H533"/>
    <mergeCell ref="A538:H538"/>
    <mergeCell ref="A535:H535"/>
    <mergeCell ref="A534:H534"/>
    <mergeCell ref="C174:D174"/>
    <mergeCell ref="A483:H483"/>
    <mergeCell ref="A197:A198"/>
    <mergeCell ref="A493:B493"/>
    <mergeCell ref="B521:H521"/>
    <mergeCell ref="B522:H522"/>
    <mergeCell ref="G507:H507"/>
    <mergeCell ref="G505:H505"/>
    <mergeCell ref="A517:H517"/>
    <mergeCell ref="A504:B504"/>
    <mergeCell ref="A505:B505"/>
    <mergeCell ref="G503:H503"/>
    <mergeCell ref="A500:H500"/>
    <mergeCell ref="A494:H494"/>
    <mergeCell ref="G497:H497"/>
    <mergeCell ref="G495:H495"/>
    <mergeCell ref="A502:B502"/>
    <mergeCell ref="A503:B503"/>
    <mergeCell ref="G484:H484"/>
    <mergeCell ref="A233:B233"/>
    <mergeCell ref="G510:H510"/>
    <mergeCell ref="A182:H182"/>
    <mergeCell ref="A183:B183"/>
    <mergeCell ref="A184:B184"/>
    <mergeCell ref="A507:B507"/>
    <mergeCell ref="A508:B508"/>
    <mergeCell ref="A510:B510"/>
    <mergeCell ref="G504:H504"/>
    <mergeCell ref="A489:B489"/>
    <mergeCell ref="D197:D198"/>
    <mergeCell ref="E197:E198"/>
    <mergeCell ref="G197:H198"/>
    <mergeCell ref="A497:B497"/>
    <mergeCell ref="C197:C198"/>
    <mergeCell ref="A199:H199"/>
    <mergeCell ref="A200:H200"/>
    <mergeCell ref="A490:B490"/>
    <mergeCell ref="A491:B491"/>
    <mergeCell ref="A495:B495"/>
    <mergeCell ref="G487:H487"/>
    <mergeCell ref="G491:H491"/>
    <mergeCell ref="C233:F233"/>
    <mergeCell ref="G490:H490"/>
    <mergeCell ref="A487:B487"/>
    <mergeCell ref="A492:B492"/>
    <mergeCell ref="G493:H493"/>
    <mergeCell ref="G499:H499"/>
    <mergeCell ref="G501:H501"/>
    <mergeCell ref="A498:B498"/>
    <mergeCell ref="G498:H498"/>
    <mergeCell ref="G508:H508"/>
    <mergeCell ref="A506:H506"/>
    <mergeCell ref="A125:B125"/>
    <mergeCell ref="E175:F175"/>
    <mergeCell ref="G81:H81"/>
    <mergeCell ref="F148:H148"/>
    <mergeCell ref="F154:H154"/>
    <mergeCell ref="A484:B484"/>
    <mergeCell ref="E95:F95"/>
    <mergeCell ref="G95:H95"/>
    <mergeCell ref="A155:E155"/>
    <mergeCell ref="F155:H155"/>
    <mergeCell ref="A156:E156"/>
    <mergeCell ref="A158:E158"/>
    <mergeCell ref="F152:H152"/>
    <mergeCell ref="A157:E157"/>
    <mergeCell ref="A113:B113"/>
    <mergeCell ref="A114:B114"/>
    <mergeCell ref="E96:F105"/>
    <mergeCell ref="A103:B103"/>
    <mergeCell ref="C164:D164"/>
    <mergeCell ref="C92:H92"/>
    <mergeCell ref="A362:H362"/>
    <mergeCell ref="A187:B187"/>
    <mergeCell ref="A420:H420"/>
    <mergeCell ref="A421:B421"/>
    <mergeCell ref="G426:H429"/>
    <mergeCell ref="A427:B427"/>
    <mergeCell ref="A428:B428"/>
    <mergeCell ref="A429:B429"/>
    <mergeCell ref="C175:D175"/>
    <mergeCell ref="C178:C179"/>
    <mergeCell ref="G168:H168"/>
    <mergeCell ref="G175:H175"/>
    <mergeCell ref="A101:B101"/>
    <mergeCell ref="C50:E50"/>
    <mergeCell ref="D65:H65"/>
    <mergeCell ref="F149:H149"/>
    <mergeCell ref="G165:H165"/>
    <mergeCell ref="A119:B119"/>
    <mergeCell ref="F157:H157"/>
    <mergeCell ref="A165:B165"/>
    <mergeCell ref="A88:B88"/>
    <mergeCell ref="A81:B81"/>
    <mergeCell ref="A84:B84"/>
    <mergeCell ref="A80:B80"/>
    <mergeCell ref="A78:B78"/>
    <mergeCell ref="C78:H78"/>
    <mergeCell ref="A86:B86"/>
    <mergeCell ref="A73:C73"/>
    <mergeCell ref="D73:H73"/>
    <mergeCell ref="C80:H80"/>
    <mergeCell ref="A83:B83"/>
    <mergeCell ref="A85:B85"/>
    <mergeCell ref="E81:F81"/>
    <mergeCell ref="A92:B92"/>
    <mergeCell ref="A132:B132"/>
    <mergeCell ref="A133:B133"/>
    <mergeCell ref="A134:B134"/>
    <mergeCell ref="C134:H134"/>
    <mergeCell ref="A136:B136"/>
    <mergeCell ref="C136:H136"/>
    <mergeCell ref="A137:B137"/>
    <mergeCell ref="E137:F137"/>
    <mergeCell ref="G137:H137"/>
    <mergeCell ref="E124:F133"/>
    <mergeCell ref="C59:E59"/>
    <mergeCell ref="G59:H59"/>
    <mergeCell ref="C60:E60"/>
    <mergeCell ref="G60:H60"/>
    <mergeCell ref="A64:C64"/>
    <mergeCell ref="D64:H64"/>
    <mergeCell ref="G61:H61"/>
    <mergeCell ref="D68:H68"/>
    <mergeCell ref="C55:E55"/>
    <mergeCell ref="D67:H67"/>
    <mergeCell ref="A100:B100"/>
    <mergeCell ref="D74:H74"/>
    <mergeCell ref="G55:H55"/>
    <mergeCell ref="A51:B52"/>
    <mergeCell ref="C51:E51"/>
    <mergeCell ref="G51:H51"/>
    <mergeCell ref="C52:E52"/>
    <mergeCell ref="G52:H52"/>
    <mergeCell ref="A53:B54"/>
    <mergeCell ref="C53:E53"/>
    <mergeCell ref="G53:H53"/>
    <mergeCell ref="C54:E54"/>
    <mergeCell ref="G54:H54"/>
    <mergeCell ref="A57:B58"/>
    <mergeCell ref="C57:E57"/>
    <mergeCell ref="G57:H57"/>
    <mergeCell ref="C58:E58"/>
    <mergeCell ref="G58:H58"/>
    <mergeCell ref="G509:H509"/>
    <mergeCell ref="I14:P14"/>
    <mergeCell ref="G502:H502"/>
    <mergeCell ref="F160:H160"/>
    <mergeCell ref="F158:H158"/>
    <mergeCell ref="A496:B496"/>
    <mergeCell ref="A177:H177"/>
    <mergeCell ref="G164:H164"/>
    <mergeCell ref="A159:E159"/>
    <mergeCell ref="A188:B188"/>
    <mergeCell ref="A61:B61"/>
    <mergeCell ref="C61:E61"/>
    <mergeCell ref="D63:H63"/>
    <mergeCell ref="F159:H159"/>
    <mergeCell ref="E164:F164"/>
    <mergeCell ref="A164:B164"/>
    <mergeCell ref="C168:D168"/>
    <mergeCell ref="D75:H75"/>
    <mergeCell ref="A76:C76"/>
    <mergeCell ref="C202:F202"/>
    <mergeCell ref="C256:F256"/>
    <mergeCell ref="E42:H42"/>
    <mergeCell ref="A42:D42"/>
    <mergeCell ref="A87:B87"/>
    <mergeCell ref="A49:B49"/>
    <mergeCell ref="C49:E49"/>
    <mergeCell ref="C56:E56"/>
    <mergeCell ref="G49:H49"/>
    <mergeCell ref="A50:B50"/>
    <mergeCell ref="A62:H62"/>
    <mergeCell ref="A63:C63"/>
    <mergeCell ref="A59:B60"/>
    <mergeCell ref="B532:H532"/>
    <mergeCell ref="L513:M513"/>
    <mergeCell ref="A514:B514"/>
    <mergeCell ref="L514:M514"/>
    <mergeCell ref="A515:B515"/>
    <mergeCell ref="L515:M515"/>
    <mergeCell ref="A516:B516"/>
    <mergeCell ref="L516:M516"/>
    <mergeCell ref="C435:F435"/>
    <mergeCell ref="B530:H530"/>
    <mergeCell ref="L363:M363"/>
    <mergeCell ref="A364:B364"/>
    <mergeCell ref="L364:M364"/>
    <mergeCell ref="A365:B365"/>
    <mergeCell ref="L365:M365"/>
    <mergeCell ref="A366:B366"/>
    <mergeCell ref="L366:M366"/>
    <mergeCell ref="A367:H367"/>
    <mergeCell ref="A368:B368"/>
    <mergeCell ref="G368:H371"/>
    <mergeCell ref="L368:M368"/>
    <mergeCell ref="A369:B369"/>
    <mergeCell ref="L369:M369"/>
    <mergeCell ref="A370:B370"/>
    <mergeCell ref="L370:M370"/>
    <mergeCell ref="A371:B371"/>
    <mergeCell ref="L371:M371"/>
    <mergeCell ref="B526:H526"/>
    <mergeCell ref="B524:H524"/>
    <mergeCell ref="B528:H528"/>
    <mergeCell ref="B520:H520"/>
    <mergeCell ref="A509:B509"/>
  </mergeCells>
  <dataValidations count="13">
    <dataValidation type="list" allowBlank="1" showInputMessage="1" showErrorMessage="1" sqref="E4:H4">
      <formula1>"Axis Goregaon,Axis Thane,Axis Badlapur,Axis Sanpada, PNB Thane"</formula1>
    </dataValidation>
    <dataValidation type="list" allowBlank="1" showInputMessage="1" showErrorMessage="1" sqref="A16:B16">
      <formula1>"CTS No,Survey No,Plot No,Gut No,FP No,"</formula1>
    </dataValidation>
    <dataValidation type="list" allowBlank="1" showInputMessage="1" showErrorMessage="1" sqref="G19:H19">
      <formula1>$S$12:$W$12</formula1>
    </dataValidation>
    <dataValidation type="list" allowBlank="1" showInputMessage="1" showErrorMessage="1" sqref="E178:E179">
      <formula1>"Attached Loft area,Attached Terrace area,Attached Mezzanine area"</formula1>
    </dataValidation>
    <dataValidation type="list" allowBlank="1" showInputMessage="1" showErrorMessage="1" sqref="F179 F198">
      <formula1>"45%,50%,55%,60%"</formula1>
    </dataValidation>
    <dataValidation type="list" allowBlank="1" showInputMessage="1" showErrorMessage="1" sqref="G540:H540">
      <formula1>"Kunal Kadam,Shruti Tathare,Pranita Mhatre,Gaurav Panchal,Shruti Fule,Pooja Kawale,Mansee Mohite,Anjali Kamble, Hitakshi Mhatre, Sachin Sawant"</formula1>
    </dataValidation>
    <dataValidation type="list" allowBlank="1" showInputMessage="1" showErrorMessage="1" sqref="F148:H148">
      <formula1>"On Saleable Area,On Builtup Area,On Carpet Area,On Plot Area"</formula1>
    </dataValidation>
    <dataValidation type="list" allowBlank="1" showInputMessage="1" showErrorMessage="1" sqref="F161:H161">
      <formula1>"100000,150000,200000,250000,300000,350000,400000,500000,600000,700000,800000,900000,1000000,1200000,1400000,1500000"</formula1>
    </dataValidation>
    <dataValidation type="list" allowBlank="1" showInputMessage="1" showErrorMessage="1" sqref="F178 F197">
      <formula1>"Saleable area Loading :,Builder Saleable area"</formula1>
    </dataValidation>
    <dataValidation type="list" allowBlank="1" showInputMessage="1" showErrorMessage="1" sqref="B178:B179">
      <formula1>"Shop No. (Sale Plan),Sale / Rehab,Sale / Mhada"</formula1>
    </dataValidation>
    <dataValidation type="list" allowBlank="1" showInputMessage="1" showErrorMessage="1" sqref="B197:B198">
      <formula1>"Flat No. (Sale Plan),Sale / Rehab,Sale / Mhada"</formula1>
    </dataValidation>
    <dataValidation type="list" allowBlank="1" showInputMessage="1" showErrorMessage="1" sqref="C20:D20">
      <formula1>OFFSET($S$12,1,MATCH($G19,$S$12:$W$12,0)-1,15,1)</formula1>
    </dataValidation>
    <dataValidation type="list" allowBlank="1" showInputMessage="1" showErrorMessage="1" sqref="Y12">
      <formula1>$D$4:$H$4</formula1>
    </dataValidation>
  </dataValidation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scale="95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105" max="16383" man="1"/>
    <brk id="544" max="16383" man="1"/>
    <brk id="588" max="16383" man="1"/>
    <brk id="625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16" zoomScale="145" zoomScaleNormal="145" workbookViewId="0">
      <selection activeCell="H68" sqref="H68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48" t="s">
        <v>108</v>
      </c>
      <c r="C3" s="248"/>
      <c r="D3" s="248"/>
      <c r="E3" s="248"/>
      <c r="F3" s="248"/>
      <c r="G3" s="248"/>
      <c r="H3" s="248"/>
    </row>
    <row r="4" spans="1:9" x14ac:dyDescent="0.25">
      <c r="A4" s="2"/>
      <c r="B4" s="3" t="s">
        <v>109</v>
      </c>
      <c r="C4" s="3" t="s">
        <v>110</v>
      </c>
      <c r="D4" s="3" t="s">
        <v>69</v>
      </c>
      <c r="E4" s="3" t="s">
        <v>111</v>
      </c>
      <c r="F4" s="3" t="s">
        <v>117</v>
      </c>
      <c r="G4" s="3" t="s">
        <v>118</v>
      </c>
      <c r="H4" s="3" t="s">
        <v>112</v>
      </c>
    </row>
    <row r="5" spans="1:9" ht="15" customHeight="1" x14ac:dyDescent="0.25">
      <c r="A5" s="2"/>
      <c r="B5" s="5" t="s">
        <v>113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113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113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113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113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114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114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115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116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K30"/>
  <sheetViews>
    <sheetView topLeftCell="A22" zoomScale="130" zoomScaleNormal="130" workbookViewId="0">
      <selection activeCell="C30" sqref="C30"/>
    </sheetView>
  </sheetViews>
  <sheetFormatPr defaultRowHeight="15" x14ac:dyDescent="0.25"/>
  <cols>
    <col min="4" max="4" width="11" bestFit="1" customWidth="1"/>
    <col min="5" max="5" width="10.42578125" bestFit="1" customWidth="1"/>
    <col min="8" max="8" width="10.5703125" bestFit="1" customWidth="1"/>
  </cols>
  <sheetData>
    <row r="3" spans="2:11" x14ac:dyDescent="0.25">
      <c r="J3">
        <v>1</v>
      </c>
      <c r="K3">
        <v>2</v>
      </c>
    </row>
    <row r="4" spans="2:11" x14ac:dyDescent="0.25">
      <c r="B4" s="55"/>
      <c r="C4" s="55" t="s">
        <v>12</v>
      </c>
      <c r="D4" s="56" t="s">
        <v>186</v>
      </c>
      <c r="E4" s="56" t="s">
        <v>196</v>
      </c>
      <c r="F4" s="56" t="s">
        <v>179</v>
      </c>
      <c r="G4" s="56" t="s">
        <v>201</v>
      </c>
      <c r="H4" s="56" t="s">
        <v>219</v>
      </c>
      <c r="J4" t="s">
        <v>201</v>
      </c>
      <c r="K4" t="s">
        <v>217</v>
      </c>
    </row>
    <row r="5" spans="2:11" x14ac:dyDescent="0.25">
      <c r="B5" s="55"/>
      <c r="C5" s="55"/>
      <c r="D5" s="56" t="s">
        <v>187</v>
      </c>
      <c r="E5" s="56" t="s">
        <v>194</v>
      </c>
      <c r="F5" s="56" t="s">
        <v>216</v>
      </c>
      <c r="G5" s="56" t="s">
        <v>202</v>
      </c>
      <c r="H5" s="56" t="s">
        <v>220</v>
      </c>
    </row>
    <row r="6" spans="2:11" x14ac:dyDescent="0.25">
      <c r="B6" s="55"/>
      <c r="C6" s="55"/>
      <c r="D6" s="56" t="s">
        <v>188</v>
      </c>
      <c r="E6" s="56" t="s">
        <v>195</v>
      </c>
      <c r="F6" s="56" t="s">
        <v>217</v>
      </c>
      <c r="G6" s="56" t="s">
        <v>203</v>
      </c>
      <c r="H6" s="56" t="s">
        <v>233</v>
      </c>
    </row>
    <row r="7" spans="2:11" x14ac:dyDescent="0.25">
      <c r="B7" s="55"/>
      <c r="C7" s="55"/>
      <c r="D7" s="56" t="s">
        <v>189</v>
      </c>
      <c r="E7" s="56" t="s">
        <v>197</v>
      </c>
      <c r="F7" s="56" t="s">
        <v>218</v>
      </c>
      <c r="G7" s="56" t="s">
        <v>204</v>
      </c>
      <c r="H7" s="56" t="s">
        <v>221</v>
      </c>
    </row>
    <row r="8" spans="2:11" x14ac:dyDescent="0.25">
      <c r="B8" s="55"/>
      <c r="C8" s="55"/>
      <c r="D8" s="56" t="s">
        <v>190</v>
      </c>
      <c r="E8" s="56" t="s">
        <v>198</v>
      </c>
      <c r="F8" s="56"/>
      <c r="G8" s="56" t="s">
        <v>205</v>
      </c>
      <c r="H8" s="56" t="s">
        <v>222</v>
      </c>
    </row>
    <row r="9" spans="2:11" x14ac:dyDescent="0.25">
      <c r="B9" s="55"/>
      <c r="C9" s="55"/>
      <c r="D9" s="56" t="s">
        <v>191</v>
      </c>
      <c r="E9" s="56" t="s">
        <v>196</v>
      </c>
      <c r="F9" s="56"/>
      <c r="G9" s="56" t="s">
        <v>206</v>
      </c>
      <c r="H9" s="56" t="s">
        <v>223</v>
      </c>
    </row>
    <row r="10" spans="2:11" x14ac:dyDescent="0.25">
      <c r="B10" s="55"/>
      <c r="C10" s="55"/>
      <c r="D10" s="56" t="s">
        <v>192</v>
      </c>
      <c r="E10" s="56" t="s">
        <v>199</v>
      </c>
      <c r="F10" s="56"/>
      <c r="G10" s="56" t="s">
        <v>207</v>
      </c>
      <c r="H10" s="56" t="s">
        <v>224</v>
      </c>
    </row>
    <row r="11" spans="2:11" x14ac:dyDescent="0.25">
      <c r="B11" s="55"/>
      <c r="C11" s="55"/>
      <c r="D11" s="56" t="s">
        <v>193</v>
      </c>
      <c r="E11" s="56" t="s">
        <v>200</v>
      </c>
      <c r="F11" s="56"/>
      <c r="G11" s="56" t="s">
        <v>208</v>
      </c>
      <c r="H11" s="56" t="s">
        <v>225</v>
      </c>
    </row>
    <row r="12" spans="2:11" x14ac:dyDescent="0.25">
      <c r="B12" s="55"/>
      <c r="C12" s="55"/>
      <c r="D12" s="56"/>
      <c r="E12" s="56"/>
      <c r="F12" s="56"/>
      <c r="G12" s="56" t="s">
        <v>209</v>
      </c>
      <c r="H12" s="56" t="s">
        <v>226</v>
      </c>
    </row>
    <row r="13" spans="2:11" x14ac:dyDescent="0.25">
      <c r="B13" s="55"/>
      <c r="C13" s="55"/>
      <c r="D13" s="56"/>
      <c r="E13" s="56"/>
      <c r="F13" s="56"/>
      <c r="G13" s="56" t="s">
        <v>210</v>
      </c>
      <c r="H13" s="56" t="s">
        <v>227</v>
      </c>
    </row>
    <row r="14" spans="2:11" x14ac:dyDescent="0.25">
      <c r="B14" s="55"/>
      <c r="C14" s="55"/>
      <c r="D14" s="56"/>
      <c r="E14" s="56"/>
      <c r="F14" s="56"/>
      <c r="G14" s="56" t="s">
        <v>211</v>
      </c>
      <c r="H14" s="56" t="s">
        <v>228</v>
      </c>
    </row>
    <row r="15" spans="2:11" x14ac:dyDescent="0.25">
      <c r="B15" s="55"/>
      <c r="C15" s="55"/>
      <c r="D15" s="56"/>
      <c r="E15" s="56"/>
      <c r="F15" s="56"/>
      <c r="G15" s="56" t="s">
        <v>212</v>
      </c>
      <c r="H15" s="56" t="s">
        <v>229</v>
      </c>
    </row>
    <row r="16" spans="2:11" x14ac:dyDescent="0.25">
      <c r="B16" s="55"/>
      <c r="C16" s="55"/>
      <c r="D16" s="56"/>
      <c r="E16" s="56"/>
      <c r="F16" s="56"/>
      <c r="G16" s="56" t="s">
        <v>213</v>
      </c>
      <c r="H16" s="56" t="s">
        <v>230</v>
      </c>
    </row>
    <row r="17" spans="2:8" x14ac:dyDescent="0.25">
      <c r="B17" s="55"/>
      <c r="C17" s="55"/>
      <c r="D17" s="56"/>
      <c r="E17" s="56"/>
      <c r="F17" s="56"/>
      <c r="G17" s="56" t="s">
        <v>214</v>
      </c>
      <c r="H17" s="56" t="s">
        <v>231</v>
      </c>
    </row>
    <row r="18" spans="2:8" x14ac:dyDescent="0.25">
      <c r="B18" s="55"/>
      <c r="C18" s="55"/>
      <c r="D18" s="56"/>
      <c r="E18" s="56"/>
      <c r="F18" s="56"/>
      <c r="G18" s="56" t="s">
        <v>215</v>
      </c>
      <c r="H18" s="56" t="s">
        <v>232</v>
      </c>
    </row>
    <row r="24" spans="2:8" x14ac:dyDescent="0.25">
      <c r="C24" t="s">
        <v>176</v>
      </c>
    </row>
    <row r="25" spans="2:8" x14ac:dyDescent="0.25">
      <c r="C25" t="s">
        <v>234</v>
      </c>
    </row>
    <row r="26" spans="2:8" x14ac:dyDescent="0.25">
      <c r="C26" t="s">
        <v>235</v>
      </c>
    </row>
    <row r="27" spans="2:8" x14ac:dyDescent="0.25">
      <c r="C27" t="s">
        <v>236</v>
      </c>
    </row>
    <row r="28" spans="2:8" x14ac:dyDescent="0.25">
      <c r="C28" t="s">
        <v>237</v>
      </c>
    </row>
    <row r="29" spans="2:8" x14ac:dyDescent="0.25">
      <c r="C29" t="s">
        <v>238</v>
      </c>
    </row>
    <row r="30" spans="2:8" x14ac:dyDescent="0.25">
      <c r="C30" t="s">
        <v>176</v>
      </c>
    </row>
  </sheetData>
  <dataValidations count="2">
    <dataValidation type="list" allowBlank="1" showInputMessage="1" showErrorMessage="1" sqref="J4">
      <formula1>$D$4:$H$4</formula1>
    </dataValidation>
    <dataValidation type="list" allowBlank="1" showInputMessage="1" showErrorMessage="1" sqref="K4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2025-07-11T06:44:29Z</cp:lastPrinted>
  <dcterms:created xsi:type="dcterms:W3CDTF">2019-07-16T09:29:46Z</dcterms:created>
  <dcterms:modified xsi:type="dcterms:W3CDTF">2025-07-11T06:44:31Z</dcterms:modified>
</cp:coreProperties>
</file>