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G190" i="1" l="1"/>
  <c r="D208" i="1"/>
  <c r="D207" i="1"/>
  <c r="E117" i="1" s="1"/>
  <c r="D206" i="1"/>
  <c r="D205" i="1"/>
  <c r="D204" i="1"/>
  <c r="D203" i="1"/>
  <c r="D202" i="1"/>
  <c r="D199" i="1"/>
  <c r="D197" i="1"/>
  <c r="D196" i="1"/>
  <c r="D194" i="1"/>
  <c r="D193" i="1"/>
  <c r="D192" i="1"/>
  <c r="D190" i="1"/>
  <c r="D147" i="1"/>
  <c r="D301" i="1" l="1"/>
  <c r="F301" i="1" s="1"/>
  <c r="D302" i="1"/>
  <c r="F302" i="1" s="1"/>
  <c r="D296" i="1"/>
  <c r="F296" i="1" s="1"/>
  <c r="D297" i="1"/>
  <c r="F297" i="1" s="1"/>
  <c r="D291" i="1"/>
  <c r="F291" i="1" s="1"/>
  <c r="D285" i="1"/>
  <c r="F285" i="1" s="1"/>
  <c r="D284" i="1"/>
  <c r="F284" i="1" s="1"/>
  <c r="D295" i="1"/>
  <c r="F295" i="1" s="1"/>
  <c r="D283" i="1"/>
  <c r="D305" i="1"/>
  <c r="F305" i="1" s="1"/>
  <c r="D299" i="1"/>
  <c r="F299" i="1" s="1"/>
  <c r="D293" i="1"/>
  <c r="F293" i="1" s="1"/>
  <c r="D287" i="1"/>
  <c r="F287" i="1" s="1"/>
  <c r="D298" i="1"/>
  <c r="F298" i="1" s="1"/>
  <c r="D292" i="1"/>
  <c r="F292" i="1" s="1"/>
  <c r="D286" i="1"/>
  <c r="F286" i="1" s="1"/>
  <c r="D273" i="1"/>
  <c r="F273" i="1" s="1"/>
  <c r="D268" i="1"/>
  <c r="F268" i="1" s="1"/>
  <c r="D258" i="1"/>
  <c r="F258" i="1" s="1"/>
  <c r="D272" i="1"/>
  <c r="F272" i="1" s="1"/>
  <c r="D267" i="1"/>
  <c r="F267" i="1" s="1"/>
  <c r="D257" i="1"/>
  <c r="F257" i="1" s="1"/>
  <c r="D271" i="1"/>
  <c r="F271" i="1" s="1"/>
  <c r="D266" i="1"/>
  <c r="F266" i="1" s="1"/>
  <c r="D261" i="1"/>
  <c r="F261" i="1" s="1"/>
  <c r="D256" i="1"/>
  <c r="F256" i="1" s="1"/>
  <c r="D270" i="1"/>
  <c r="F270" i="1" s="1"/>
  <c r="D265" i="1"/>
  <c r="F265" i="1" s="1"/>
  <c r="D260" i="1"/>
  <c r="F260" i="1" s="1"/>
  <c r="D255" i="1"/>
  <c r="D246" i="1"/>
  <c r="F246" i="1" s="1"/>
  <c r="J246" i="1" s="1"/>
  <c r="D240" i="1"/>
  <c r="F240" i="1" s="1"/>
  <c r="J240" i="1" s="1"/>
  <c r="D245" i="1"/>
  <c r="F245" i="1" s="1"/>
  <c r="D239" i="1"/>
  <c r="F239" i="1" s="1"/>
  <c r="D244" i="1"/>
  <c r="F244" i="1" s="1"/>
  <c r="D238" i="1"/>
  <c r="F238" i="1" s="1"/>
  <c r="D247" i="1"/>
  <c r="F247" i="1" s="1"/>
  <c r="D241" i="1"/>
  <c r="F241" i="1" s="1"/>
  <c r="D235" i="1"/>
  <c r="F235" i="1" s="1"/>
  <c r="D233" i="1"/>
  <c r="F233" i="1" s="1"/>
  <c r="D227" i="1"/>
  <c r="F227" i="1" s="1"/>
  <c r="D232" i="1"/>
  <c r="F232" i="1" s="1"/>
  <c r="D226" i="1"/>
  <c r="F226" i="1" s="1"/>
  <c r="D248" i="1"/>
  <c r="F248" i="1" s="1"/>
  <c r="D242" i="1"/>
  <c r="F242" i="1" s="1"/>
  <c r="K242" i="1" s="1"/>
  <c r="D236" i="1"/>
  <c r="F236" i="1" s="1"/>
  <c r="D230" i="1"/>
  <c r="F230" i="1" s="1"/>
  <c r="D229" i="1"/>
  <c r="F229" i="1" s="1"/>
  <c r="D228" i="1"/>
  <c r="F228" i="1" s="1"/>
  <c r="J228" i="1" s="1"/>
  <c r="A302" i="1"/>
  <c r="A303" i="1" s="1"/>
  <c r="A304" i="1" s="1"/>
  <c r="A305" i="1" s="1"/>
  <c r="G301" i="1"/>
  <c r="A271" i="1"/>
  <c r="A272" i="1" s="1"/>
  <c r="A273" i="1" s="1"/>
  <c r="G270" i="1"/>
  <c r="A245" i="1"/>
  <c r="A246" i="1" s="1"/>
  <c r="A247" i="1" s="1"/>
  <c r="A248" i="1" s="1"/>
  <c r="I244" i="1"/>
  <c r="G244" i="1"/>
  <c r="A296" i="1"/>
  <c r="A297" i="1" s="1"/>
  <c r="A298" i="1" s="1"/>
  <c r="A299" i="1" s="1"/>
  <c r="G295" i="1"/>
  <c r="A266" i="1"/>
  <c r="A267" i="1" s="1"/>
  <c r="A268" i="1" s="1"/>
  <c r="G265" i="1"/>
  <c r="A239" i="1"/>
  <c r="A240" i="1" s="1"/>
  <c r="A241" i="1" s="1"/>
  <c r="A242" i="1" s="1"/>
  <c r="I238" i="1"/>
  <c r="G238" i="1"/>
  <c r="A290" i="1"/>
  <c r="A291" i="1" s="1"/>
  <c r="A292" i="1" s="1"/>
  <c r="A293" i="1" s="1"/>
  <c r="G289" i="1"/>
  <c r="A261" i="1"/>
  <c r="A262" i="1" s="1"/>
  <c r="A263" i="1" s="1"/>
  <c r="G260" i="1"/>
  <c r="J234" i="1"/>
  <c r="A233" i="1"/>
  <c r="A234" i="1" s="1"/>
  <c r="A235" i="1" s="1"/>
  <c r="A236" i="1" s="1"/>
  <c r="I232" i="1"/>
  <c r="G232" i="1"/>
  <c r="A284" i="1"/>
  <c r="A285" i="1" s="1"/>
  <c r="A286" i="1" s="1"/>
  <c r="A287" i="1" s="1"/>
  <c r="G283" i="1"/>
  <c r="F283" i="1"/>
  <c r="A256" i="1"/>
  <c r="A257" i="1" s="1"/>
  <c r="A258" i="1" s="1"/>
  <c r="G255" i="1"/>
  <c r="A227" i="1"/>
  <c r="A228" i="1" s="1"/>
  <c r="A229" i="1" s="1"/>
  <c r="A230" i="1" s="1"/>
  <c r="I226" i="1"/>
  <c r="G226" i="1"/>
  <c r="D213" i="1"/>
  <c r="I42" i="1"/>
  <c r="F255" i="1" l="1"/>
  <c r="G126" i="1" s="1"/>
  <c r="E126" i="1"/>
  <c r="C126" i="1"/>
  <c r="K248" i="1"/>
  <c r="J248" i="1"/>
  <c r="J242" i="1"/>
  <c r="J236" i="1"/>
  <c r="K236" i="1"/>
  <c r="K230" i="1"/>
  <c r="J230" i="1"/>
  <c r="K250" i="1"/>
  <c r="D187" i="1" l="1"/>
  <c r="D185" i="1"/>
  <c r="D181" i="1"/>
  <c r="D179" i="1"/>
  <c r="D177" i="1"/>
  <c r="D173" i="1"/>
  <c r="D168" i="1"/>
  <c r="D159" i="1"/>
  <c r="D158" i="1"/>
  <c r="D156" i="1"/>
  <c r="D154" i="1"/>
  <c r="D150" i="1"/>
  <c r="D144" i="1"/>
  <c r="M101" i="1" l="1"/>
  <c r="K101" i="1"/>
  <c r="D281" i="1"/>
  <c r="D280" i="1"/>
  <c r="F280" i="1" s="1"/>
  <c r="J280" i="1" s="1"/>
  <c r="D279" i="1"/>
  <c r="F279" i="1" s="1"/>
  <c r="J279" i="1" s="1"/>
  <c r="D278" i="1"/>
  <c r="F278" i="1" s="1"/>
  <c r="D277" i="1"/>
  <c r="D253" i="1"/>
  <c r="D252" i="1"/>
  <c r="D224" i="1"/>
  <c r="F224" i="1" s="1"/>
  <c r="K224" i="1" s="1"/>
  <c r="D223" i="1"/>
  <c r="F223" i="1" s="1"/>
  <c r="D222" i="1"/>
  <c r="F222" i="1" s="1"/>
  <c r="J222" i="1" s="1"/>
  <c r="D221" i="1"/>
  <c r="D220" i="1"/>
  <c r="D212" i="1"/>
  <c r="F212" i="1" s="1"/>
  <c r="D211" i="1"/>
  <c r="F211" i="1" s="1"/>
  <c r="D210" i="1"/>
  <c r="F210" i="1" s="1"/>
  <c r="D209" i="1"/>
  <c r="F209" i="1" s="1"/>
  <c r="F207" i="1"/>
  <c r="G117" i="1" s="1"/>
  <c r="F206" i="1"/>
  <c r="F205" i="1"/>
  <c r="F203" i="1"/>
  <c r="F202" i="1"/>
  <c r="D201" i="1"/>
  <c r="F201" i="1" s="1"/>
  <c r="D200" i="1"/>
  <c r="F200" i="1" s="1"/>
  <c r="F199" i="1"/>
  <c r="D198" i="1"/>
  <c r="F198" i="1" s="1"/>
  <c r="F197" i="1"/>
  <c r="F196" i="1"/>
  <c r="D195" i="1"/>
  <c r="F195" i="1" s="1"/>
  <c r="F194" i="1"/>
  <c r="F193" i="1"/>
  <c r="F192" i="1"/>
  <c r="D191" i="1"/>
  <c r="F190" i="1"/>
  <c r="D188" i="1"/>
  <c r="F188" i="1" s="1"/>
  <c r="D186" i="1"/>
  <c r="F186" i="1" s="1"/>
  <c r="F185" i="1"/>
  <c r="D184" i="1"/>
  <c r="F184" i="1" s="1"/>
  <c r="D183" i="1"/>
  <c r="F183" i="1" s="1"/>
  <c r="D182" i="1"/>
  <c r="F182" i="1" s="1"/>
  <c r="F181" i="1"/>
  <c r="D180" i="1"/>
  <c r="F180" i="1" s="1"/>
  <c r="D178" i="1"/>
  <c r="F178" i="1" s="1"/>
  <c r="F177" i="1"/>
  <c r="D176" i="1"/>
  <c r="F176" i="1" s="1"/>
  <c r="D175" i="1"/>
  <c r="F175" i="1" s="1"/>
  <c r="D174" i="1"/>
  <c r="F174" i="1" s="1"/>
  <c r="F173" i="1"/>
  <c r="D172" i="1"/>
  <c r="F172" i="1" s="1"/>
  <c r="D171" i="1"/>
  <c r="F171" i="1" s="1"/>
  <c r="D170" i="1"/>
  <c r="F170" i="1" s="1"/>
  <c r="D169" i="1"/>
  <c r="F169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F158" i="1"/>
  <c r="D157" i="1"/>
  <c r="F157" i="1" s="1"/>
  <c r="D155" i="1"/>
  <c r="F155" i="1" s="1"/>
  <c r="D153" i="1"/>
  <c r="F153" i="1" s="1"/>
  <c r="D152" i="1"/>
  <c r="F152" i="1" s="1"/>
  <c r="D151" i="1"/>
  <c r="F151" i="1" s="1"/>
  <c r="F150" i="1"/>
  <c r="D149" i="1"/>
  <c r="F149" i="1" s="1"/>
  <c r="D148" i="1"/>
  <c r="F148" i="1" s="1"/>
  <c r="F147" i="1"/>
  <c r="D146" i="1"/>
  <c r="F146" i="1" s="1"/>
  <c r="D145" i="1"/>
  <c r="D143" i="1"/>
  <c r="D142" i="1"/>
  <c r="F154" i="1"/>
  <c r="I220" i="1"/>
  <c r="A278" i="1"/>
  <c r="A279" i="1" s="1"/>
  <c r="A280" i="1" s="1"/>
  <c r="A281" i="1" s="1"/>
  <c r="G277" i="1"/>
  <c r="F253" i="1"/>
  <c r="A253" i="1"/>
  <c r="G252" i="1"/>
  <c r="A221" i="1"/>
  <c r="A222" i="1" s="1"/>
  <c r="A223" i="1" s="1"/>
  <c r="A224" i="1" s="1"/>
  <c r="G220" i="1"/>
  <c r="F208" i="1"/>
  <c r="F204" i="1"/>
  <c r="F213" i="1"/>
  <c r="A191" i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F187" i="1"/>
  <c r="F179" i="1"/>
  <c r="F156" i="1"/>
  <c r="F168" i="1"/>
  <c r="F159" i="1"/>
  <c r="E125" i="1" l="1"/>
  <c r="F281" i="1"/>
  <c r="G127" i="1" s="1"/>
  <c r="E127" i="1"/>
  <c r="F191" i="1"/>
  <c r="G121" i="1" s="1"/>
  <c r="G122" i="1" s="1"/>
  <c r="C121" i="1"/>
  <c r="C122" i="1" s="1"/>
  <c r="E121" i="1"/>
  <c r="E122" i="1" s="1"/>
  <c r="C133" i="1"/>
  <c r="E133" i="1"/>
  <c r="F220" i="1"/>
  <c r="G131" i="1" s="1"/>
  <c r="E131" i="1"/>
  <c r="C131" i="1"/>
  <c r="F277" i="1"/>
  <c r="G133" i="1" s="1"/>
  <c r="C116" i="1"/>
  <c r="C118" i="1" s="1"/>
  <c r="F221" i="1"/>
  <c r="G125" i="1" s="1"/>
  <c r="C125" i="1"/>
  <c r="C127" i="1"/>
  <c r="F252" i="1"/>
  <c r="G132" i="1" s="1"/>
  <c r="E132" i="1"/>
  <c r="C132" i="1"/>
  <c r="J224" i="1"/>
  <c r="J101" i="1" s="1"/>
  <c r="I101" i="1" s="1"/>
  <c r="E116" i="1"/>
  <c r="E118" i="1" s="1"/>
  <c r="Z12" i="1"/>
  <c r="I14" i="1"/>
  <c r="C128" i="1" l="1"/>
  <c r="G128" i="1"/>
  <c r="E134" i="1"/>
  <c r="C134" i="1"/>
  <c r="I133" i="1" s="1"/>
  <c r="G134" i="1"/>
  <c r="E128" i="1"/>
  <c r="F307" i="1"/>
  <c r="F142" i="1"/>
  <c r="C135" i="1" l="1"/>
  <c r="E135" i="1"/>
  <c r="E43" i="1"/>
  <c r="E44" i="1" s="1"/>
  <c r="C15" i="1" l="1"/>
  <c r="E30" i="1" l="1"/>
  <c r="F308" i="1" l="1"/>
  <c r="F309" i="1"/>
  <c r="F310" i="1"/>
  <c r="A308" i="1"/>
  <c r="A309" i="1" s="1"/>
  <c r="A310" i="1" s="1"/>
  <c r="G307" i="1"/>
  <c r="G308" i="1" s="1"/>
  <c r="G309" i="1" s="1"/>
  <c r="G310" i="1" s="1"/>
  <c r="F113" i="1" l="1"/>
  <c r="F143" i="1" l="1"/>
  <c r="F144" i="1"/>
  <c r="F145" i="1"/>
  <c r="G116" i="1" l="1"/>
  <c r="B337" i="1"/>
  <c r="A324" i="1"/>
  <c r="A330" i="1"/>
  <c r="A318" i="1"/>
  <c r="G118" i="1" l="1"/>
  <c r="G135" i="1" s="1"/>
  <c r="F334" i="1"/>
  <c r="F333" i="1"/>
  <c r="F332" i="1"/>
  <c r="F331" i="1"/>
  <c r="F330" i="1"/>
  <c r="F328" i="1"/>
  <c r="F327" i="1"/>
  <c r="F326" i="1"/>
  <c r="F325" i="1"/>
  <c r="F324" i="1"/>
  <c r="F322" i="1"/>
  <c r="F321" i="1"/>
  <c r="F320" i="1"/>
  <c r="F319" i="1"/>
  <c r="F318" i="1"/>
  <c r="F316" i="1"/>
  <c r="F315" i="1"/>
  <c r="F313" i="1"/>
  <c r="F312" i="1"/>
  <c r="F314" i="1"/>
  <c r="A319" i="1"/>
  <c r="A331" i="1"/>
  <c r="A325" i="1"/>
  <c r="B338" i="1" l="1"/>
  <c r="A326" i="1"/>
  <c r="A320" i="1"/>
  <c r="A33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64" i="1"/>
  <c r="G330" i="1"/>
  <c r="G331" i="1" s="1"/>
  <c r="G332" i="1" s="1"/>
  <c r="G333" i="1" s="1"/>
  <c r="G334" i="1" s="1"/>
  <c r="G324" i="1"/>
  <c r="G325" i="1" s="1"/>
  <c r="G326" i="1" s="1"/>
  <c r="G327" i="1" s="1"/>
  <c r="G328" i="1" s="1"/>
  <c r="G318" i="1"/>
  <c r="G319" i="1" s="1"/>
  <c r="G320" i="1" s="1"/>
  <c r="G321" i="1" s="1"/>
  <c r="G322" i="1" s="1"/>
  <c r="G312" i="1"/>
  <c r="G313" i="1" s="1"/>
  <c r="G314" i="1" s="1"/>
  <c r="G315" i="1" s="1"/>
  <c r="G316" i="1" s="1"/>
  <c r="A312" i="1"/>
  <c r="A313" i="1" s="1"/>
  <c r="A314" i="1" s="1"/>
  <c r="A315" i="1" s="1"/>
  <c r="A316" i="1" s="1"/>
  <c r="A143" i="1"/>
  <c r="A144" i="1" s="1"/>
  <c r="A145" i="1" s="1"/>
  <c r="G142" i="1"/>
  <c r="B87" i="1"/>
  <c r="B73" i="1"/>
  <c r="D59" i="1"/>
  <c r="G50" i="1"/>
  <c r="C50" i="1"/>
  <c r="E27" i="1"/>
  <c r="E25" i="1"/>
  <c r="E7" i="1"/>
  <c r="E3" i="1"/>
  <c r="A327" i="1"/>
  <c r="A333" i="1"/>
  <c r="A321" i="1"/>
  <c r="A146" i="1" l="1"/>
  <c r="A147" i="1" s="1"/>
  <c r="A148" i="1" s="1"/>
  <c r="A149" i="1" s="1"/>
  <c r="A150" i="1" s="1"/>
  <c r="A151" i="1" s="1"/>
  <c r="A152" i="1" s="1"/>
  <c r="D66" i="1"/>
  <c r="H73" i="1"/>
  <c r="H87" i="1"/>
  <c r="A334" i="1"/>
  <c r="A328" i="1"/>
  <c r="A322" i="1"/>
  <c r="A153" i="1" l="1"/>
  <c r="A154" i="1" s="1"/>
  <c r="A155" i="1" s="1"/>
  <c r="A156" i="1" s="1"/>
  <c r="A157" i="1" s="1"/>
  <c r="A158" i="1" s="1"/>
  <c r="A159" i="1" s="1"/>
  <c r="J91" i="1"/>
  <c r="C90" i="1" s="1"/>
  <c r="D90" i="1" s="1"/>
  <c r="J89" i="1"/>
  <c r="J92" i="1"/>
  <c r="J93" i="1" s="1"/>
  <c r="J98" i="1" s="1"/>
  <c r="J86" i="1"/>
  <c r="J88" i="1" s="1"/>
  <c r="D94" i="1"/>
  <c r="D96" i="1"/>
  <c r="D99" i="1"/>
  <c r="D93" i="1"/>
  <c r="D97" i="1"/>
  <c r="D98" i="1"/>
  <c r="D95" i="1"/>
  <c r="J90" i="1"/>
  <c r="D85" i="1"/>
  <c r="D83" i="1"/>
  <c r="D82" i="1"/>
  <c r="D79" i="1"/>
  <c r="D81" i="1"/>
  <c r="J78" i="1"/>
  <c r="J79" i="1" s="1"/>
  <c r="J84" i="1" s="1"/>
  <c r="D84" i="1"/>
  <c r="J72" i="1"/>
  <c r="J74" i="1" s="1"/>
  <c r="D80" i="1"/>
  <c r="J76" i="1"/>
  <c r="J77" i="1"/>
  <c r="C76" i="1" s="1"/>
  <c r="D76" i="1" s="1"/>
  <c r="J75" i="1"/>
  <c r="J94" i="1"/>
  <c r="J95" i="1" s="1"/>
  <c r="J96" i="1" s="1"/>
  <c r="J97" i="1" s="1"/>
  <c r="J80" i="1"/>
  <c r="J81" i="1" s="1"/>
  <c r="J82" i="1" s="1"/>
  <c r="J83" i="1" s="1"/>
  <c r="D92" i="1"/>
  <c r="D78" i="1"/>
  <c r="A160" i="1" l="1"/>
  <c r="A161" i="1" s="1"/>
  <c r="A162" i="1" s="1"/>
  <c r="A163" i="1" s="1"/>
  <c r="A164" i="1" s="1"/>
  <c r="A165" i="1" s="1"/>
  <c r="A166" i="1" s="1"/>
  <c r="J85" i="1"/>
  <c r="C77" i="1" s="1"/>
  <c r="G76" i="1" s="1"/>
  <c r="D70" i="1" s="1"/>
  <c r="D71" i="1" s="1"/>
  <c r="J99" i="1"/>
  <c r="C91" i="1" l="1"/>
  <c r="E90" i="1" s="1"/>
  <c r="A167" i="1"/>
  <c r="A168" i="1" s="1"/>
  <c r="A169" i="1" s="1"/>
  <c r="A170" i="1" s="1"/>
  <c r="A171" i="1" s="1"/>
  <c r="A172" i="1" s="1"/>
  <c r="A173" i="1" s="1"/>
  <c r="J73" i="1"/>
  <c r="D77" i="1"/>
  <c r="I73" i="1" s="1"/>
  <c r="I74" i="1" s="1"/>
  <c r="E76" i="1"/>
  <c r="F71" i="1"/>
  <c r="D91" i="1" l="1"/>
  <c r="I87" i="1" s="1"/>
  <c r="I88" i="1" s="1"/>
  <c r="G90" i="1"/>
  <c r="J87" i="1"/>
  <c r="A174" i="1"/>
  <c r="A175" i="1" s="1"/>
  <c r="A176" i="1" s="1"/>
  <c r="A177" i="1" s="1"/>
  <c r="A178" i="1" s="1"/>
  <c r="A179" i="1" s="1"/>
  <c r="A180" i="1" s="1"/>
  <c r="I72" i="1"/>
  <c r="C74" i="1" s="1"/>
  <c r="I86" i="1" l="1"/>
  <c r="C88" i="1" s="1"/>
  <c r="A181" i="1"/>
  <c r="A182" i="1" s="1"/>
  <c r="A183" i="1" s="1"/>
  <c r="A184" i="1" s="1"/>
  <c r="A185" i="1" s="1"/>
  <c r="A186" i="1" s="1"/>
  <c r="A187" i="1" s="1"/>
  <c r="A188" i="1" l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<sst xmlns="http://schemas.openxmlformats.org/spreadsheetml/2006/main" count="766" uniqueCount="328">
  <si>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</si>
  <si>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</si>
  <si>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</si>
  <si>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</si>
  <si>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</si>
  <si>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</si>
  <si>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</si>
  <si>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</si>
  <si>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</si>
  <si>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</si>
  <si>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</si>
  <si>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</si>
  <si>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</si>
  <si>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</si>
  <si>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</si>
  <si>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</si>
  <si>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</si>
  <si>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</si>
  <si>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</si>
  <si>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</si>
  <si>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</si>
  <si>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</si>
  <si>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</si>
  <si>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</si>
  <si>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</si>
  <si>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</si>
  <si>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</si>
  <si>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</si>
  <si>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</si>
  <si>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</si>
  <si>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</si>
  <si>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</si>
  <si>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</si>
  <si>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</si>
  <si>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</si>
  <si>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</si>
  <si>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</si>
  <si>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</si>
  <si>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</si>
  <si>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</si>
  <si>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</si>
  <si>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</si>
  <si>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</si>
  <si>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</si>
  <si>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</si>
  <si>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</si>
  <si>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</si>
  <si>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</si>
  <si>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</si>
  <si>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</si>
  <si>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</si>
  <si>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</si>
  <si>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</si>
  <si>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</si>
  <si>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</si>
  <si>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</si>
  <si>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</si>
  <si>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</si>
  <si>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</si>
  <si>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</si>
  <si>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</si>
  <si>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</si>
  <si>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</si>
  <si>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</si>
  <si>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</si>
  <si>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</si>
  <si>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</si>
  <si>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</si>
  <si>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</si>
  <si>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</si>
  <si>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</si>
  <si>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</si>
  <si>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</si>
  <si>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</si>
  <si>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</si>
  <si>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</si>
  <si>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</si>
  <si>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</si>
  <si>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</si>
  <si>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</si>
  <si>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</si>
  <si>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</si>
  <si>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</si>
  <si>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</si>
  <si>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</si>
  <si>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</si>
  <si>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</si>
  <si>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</si>
  <si>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</si>
  <si>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</si>
  <si>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</si>
  <si>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</si>
  <si>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</si>
  <si>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</si>
  <si>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</si>
  <si>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</si>
  <si>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</si>
  <si>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</si>
  <si>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</si>
  <si>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</si>
  <si>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</si>
  <si>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</si>
  <si>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</si>
  <si>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</si>
  <si>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</si>
  <si>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</si>
  <si>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</si>
  <si>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</si>
  <si>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</si>
  <si>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</si>
  <si>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</si>
  <si>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</si>
  <si>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</si>
  <si>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</si>
  <si>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</si>
  <si>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</si>
  <si>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</si>
  <si>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</si>
  <si>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</si>
  <si>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</si>
  <si>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</si>
  <si>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</si>
  <si>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</si>
  <si>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</si>
  <si>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</si>
  <si>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</si>
  <si>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</si>
  <si>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</si>
  <si>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</si>
  <si>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</si>
  <si>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</si>
  <si>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</si>
  <si>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</si>
  <si>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</si>
  <si>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</si>
  <si>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</si>
  <si>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</si>
  <si>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</si>
  <si>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</si>
  <si>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</si>
  <si>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</si>
  <si>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</si>
  <si>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</si>
  <si>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</si>
  <si>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</si>
  <si>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</si>
  <si>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</si>
  <si>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</si>
  <si>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</si>
  <si>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</si>
  <si>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</si>
  <si>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</si>
  <si>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</si>
  <si>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</si>
  <si>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</si>
  <si>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</si>
  <si>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</si>
  <si>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</si>
  <si>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</si>
  <si>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</si>
  <si>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</si>
  <si>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</si>
  <si>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</si>
  <si>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</si>
  <si>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</si>
  <si>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</si>
  <si>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</si>
  <si>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</si>
  <si>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</si>
  <si>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</si>
  <si>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</si>
  <si>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B Wing = 1B + G + 1st to 20th Floor</t>
  </si>
  <si>
    <t>Provided Contact Details (Name &amp; Contact No.)</t>
  </si>
  <si>
    <t>Site Person - Contact Details (Name &amp; Contact No.)</t>
  </si>
  <si>
    <t>C Wing = 1B + G + 1st to 20th Floor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</si>
  <si>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</si>
  <si>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</si>
  <si>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</si>
  <si>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</si>
  <si>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</si>
  <si>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</si>
  <si>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</si>
  <si>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CTS No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</si>
  <si>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</si>
  <si>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</si>
  <si>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</si>
  <si>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</si>
  <si>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</si>
  <si>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</si>
  <si>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</si>
  <si>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</si>
  <si>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</si>
  <si>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</si>
  <si>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</si>
  <si>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</si>
  <si>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</si>
  <si>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</si>
  <si>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</si>
  <si>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</si>
  <si>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</si>
  <si>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</si>
  <si>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</si>
  <si>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</si>
  <si>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</si>
  <si>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</si>
  <si>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</si>
  <si>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</si>
  <si>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</si>
  <si>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</si>
  <si>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</si>
  <si>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</si>
  <si>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</si>
  <si>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</si>
  <si>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</si>
  <si>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</si>
  <si>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</si>
  <si>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</si>
  <si>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</si>
  <si>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</si>
  <si>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</si>
  <si>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</si>
  <si>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</si>
  <si>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</si>
  <si>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</si>
  <si>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</si>
  <si>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</si>
  <si>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</si>
  <si>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</si>
  <si>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</si>
  <si>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</si>
  <si>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</si>
  <si>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</si>
  <si>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</si>
  <si>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</si>
  <si>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</si>
  <si>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</si>
  <si>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Alpine Infraheights LLP</t>
  </si>
  <si>
    <t>Alpine Primo</t>
  </si>
  <si>
    <t>02249698273/9324400387</t>
  </si>
  <si>
    <t>Sunil Shopping Centre CHSL</t>
  </si>
  <si>
    <t>Wing A, B &amp; C</t>
  </si>
  <si>
    <t>P51800030851</t>
  </si>
  <si>
    <t>136/A &amp; Redevelopment of building "Sunil Shopping Centre CHSL"</t>
  </si>
  <si>
    <t>J.P. Road</t>
  </si>
  <si>
    <t>Andheri (West)</t>
  </si>
  <si>
    <t>Navneeth Colony</t>
  </si>
  <si>
    <t>Municipal Corporation of Greater Mumbai</t>
  </si>
  <si>
    <t>P-1795/2019/(136/A)/K/W WARD/ANDHERI-KW</t>
  </si>
  <si>
    <t>2.1 KM from Andheri Railway Station</t>
  </si>
  <si>
    <t>https://maps.app.goo.gl/vsotBPqv6PYHxM8y8</t>
  </si>
  <si>
    <t>Kamala Apartment</t>
  </si>
  <si>
    <t>Ram Baug Lane</t>
  </si>
  <si>
    <t>Nalla</t>
  </si>
  <si>
    <t>Other Plot</t>
  </si>
  <si>
    <t>9.15 M Wide N.S.Patil Marg</t>
  </si>
  <si>
    <t>27.45 M Wide Jay Prakash Road</t>
  </si>
  <si>
    <t>03 Wings</t>
  </si>
  <si>
    <t>Wing A + B + C</t>
  </si>
  <si>
    <t>Ground Floor for Commercial &amp; Parking</t>
  </si>
  <si>
    <t>Sale / Rehab</t>
  </si>
  <si>
    <t>Shop</t>
  </si>
  <si>
    <t>Shop
(Duplex with 1st Floor)</t>
  </si>
  <si>
    <t>1st Floor</t>
  </si>
  <si>
    <t>Sale</t>
  </si>
  <si>
    <t>IT Office</t>
  </si>
  <si>
    <t>2nd &amp; 3rd Podium Floor for Parking</t>
  </si>
  <si>
    <t>Wing A</t>
  </si>
  <si>
    <t>4th Floor for Residential</t>
  </si>
  <si>
    <t>3BHK</t>
  </si>
  <si>
    <t>2BHK</t>
  </si>
  <si>
    <t>1BHK</t>
  </si>
  <si>
    <t>Wing B</t>
  </si>
  <si>
    <t>3.5BHK</t>
  </si>
  <si>
    <t>Wing C</t>
  </si>
  <si>
    <t>We considered Gross carpet area = Net carpet.</t>
  </si>
  <si>
    <t xml:space="preserve">As the project is redevelopement project but rehab statement or rehab flats for residential unit is not mentioned in approved layout plan &amp; floor plan.
</t>
  </si>
  <si>
    <t>Convenience / Rehab</t>
  </si>
  <si>
    <t>Wing A+B+C</t>
  </si>
  <si>
    <t>Commercial Area Details : (Sale)</t>
  </si>
  <si>
    <t>Commercial Area Details : (Convenience / Rehab)</t>
  </si>
  <si>
    <t>Builder</t>
  </si>
  <si>
    <t>Online</t>
  </si>
  <si>
    <t>MIS</t>
  </si>
  <si>
    <t>Visitor</t>
  </si>
  <si>
    <t>Wing A, B &amp; C = Gr/Stilt + 1st Floor + 2nd to 3rd Podium Floor + 4th to 14th Floor</t>
  </si>
  <si>
    <t xml:space="preserve">
</t>
  </si>
  <si>
    <t>As per layout, Nalla is located on North side to the project.</t>
  </si>
  <si>
    <t>We refer Civil Aviation NOC from MCGM site.</t>
  </si>
  <si>
    <t>Approved Plans, CC, Airport Noc</t>
  </si>
  <si>
    <t>Gymnasium, Swimming Pool, Kids' Play Areas / Sand Pits, Yoga Areas, Gazebo, Power Backup, 24*7 Water Supply, Party Lawn, 24 x 7 Security, CCTV / Video Surveillance, Fire Fighting Systems, Intercom Facility, Party Hall, Indoor Games, Obeservatory Deck, Senior Citizen Area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</si>
  <si>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</si>
  <si>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Airport Authority of India
NOC No.
Valid Up to: </t>
  </si>
  <si>
    <t>JUHU/WEST/B/032018/287481</t>
  </si>
  <si>
    <t>56.9 M (Restricted) (AMSL)</t>
  </si>
  <si>
    <t>19.124004, 72.842802</t>
  </si>
  <si>
    <t>P-1795/2019/(136/A)/K/W Ward/ANDHERI-KW/FCC/1/Amend</t>
  </si>
  <si>
    <t>Further C.C. for Wing A, B &amp; C up to top of 8th upper floor (height 31.85 mtr. AGL) as per the amended plan dated 16.01.2024.</t>
  </si>
  <si>
    <t>Rehab</t>
  </si>
  <si>
    <t>5th &amp; 6th Floor</t>
  </si>
  <si>
    <t>7th Floor (Part Refuge Area &amp; Society Office)</t>
  </si>
  <si>
    <t>-</t>
  </si>
  <si>
    <t>Society Office &amp; Refuge Area</t>
  </si>
  <si>
    <t>Refuge Area</t>
  </si>
  <si>
    <t>7th Floor (Part Refuge Area)</t>
  </si>
  <si>
    <t>8th Floor</t>
  </si>
  <si>
    <t>9th Floor</t>
  </si>
  <si>
    <t>9th Floor (Part Terrace Area)</t>
  </si>
  <si>
    <t>Terrace Area</t>
  </si>
  <si>
    <t>Residential Area Details : (Sale)</t>
  </si>
  <si>
    <t>Residential Area Details : (Rehab)</t>
  </si>
  <si>
    <t>Wing A, B &amp; C = Gr/Stilt + 1st Floor + 2nd to 3rd Podium Floor + 4th to 9th Floor</t>
  </si>
  <si>
    <t>We have updated latest CC &amp; approved floor plans (On 29/02/2024).</t>
  </si>
  <si>
    <t>Sale Flats - 32, Rehab Flats - 43, Convenience/Rehab Shops - 47, Sale Offices - 23, Rehab Office - 1</t>
  </si>
  <si>
    <t>Wing C = Gr/Stilt + 1st Floor + 2nd to 3rd Podium Floor + 4th to 14th Floor</t>
  </si>
  <si>
    <t>Utility Charges</t>
  </si>
  <si>
    <t>Sinking Fund Charges</t>
  </si>
  <si>
    <t xml:space="preserve">Other charges added by Shailesh on 28/08/2024 </t>
  </si>
  <si>
    <t>Recommended Rates / Other charges of the Property have been revised on 28/08/2024.</t>
  </si>
  <si>
    <t>Tushar Bhuwad</t>
  </si>
  <si>
    <t>stage of const given as per architec certificate &amp; visitor sheet on 09/10/2024</t>
  </si>
  <si>
    <t>As per RERA - 31/12/2025</t>
  </si>
  <si>
    <t>P-1795/2019/(136/A)/K/W Ward/ANDHERI-KW/FCC/2/Amend</t>
  </si>
  <si>
    <t>Further C.C. for Wing A, B &amp; C up to top of 13th upper floor (height 47.25 mts. AGL) as per the amended plan dated 21.03.2025.</t>
  </si>
  <si>
    <t>We have updated latest CC from MCGM site ( On 07/04/2025).</t>
  </si>
  <si>
    <t>Jessica 9594787953</t>
  </si>
  <si>
    <t>Shruti Tathare</t>
  </si>
  <si>
    <t>Construction work is in process at the time of Visit. Internal photographs not allowed.</t>
  </si>
  <si>
    <t>Validity of CC is expired on 06/06/2025. Please provide revised CC &amp; Please provide revised approved plans dtd. 21/03/2025.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</si>
</sst>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 vertical="center" wrapText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0" xfId="1" applyNumberFormat="1" applyFont="1"/>
    <xf numFmtId="1" fontId="7" fillId="0" borderId="0" xfId="0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/>
    <xf numFmtId="0" fontId="15" fillId="2" borderId="25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2" xfId="1" applyFont="1" applyBorder="1" applyAlignment="1" applyProtection="1">
      <alignment horizontal="left" vertical="top"/>
      <protection locked="0"/>
    </xf>
    <xf numFmtId="0" fontId="15" fillId="0" borderId="20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5" fillId="0" borderId="25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5" fillId="0" borderId="26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640774</xdr:colOff>
      <xdr:row>2</xdr:row>
      <xdr:rowOff>60614</xdr:rowOff>
    </xdr:from>
    <xdr:to>
      <xdr:col>13</xdr:col>
      <xdr:colOff>127706</xdr:colOff>
      <xdr:row>14</xdr:row>
      <xdr:rowOff>183712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13865" y="857250"/>
          <a:ext cx="3600000" cy="25043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69271</xdr:colOff>
      <xdr:row>463</xdr:row>
      <xdr:rowOff>49836</xdr:rowOff>
    </xdr:from>
    <xdr:to>
      <xdr:col>6</xdr:col>
      <xdr:colOff>696766</xdr:colOff>
      <xdr:row>484</xdr:row>
      <xdr:rowOff>16162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1271" y="67097177"/>
          <a:ext cx="4775200" cy="41486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137005</xdr:colOff>
      <xdr:row>445</xdr:row>
      <xdr:rowOff>112567</xdr:rowOff>
    </xdr:from>
    <xdr:to>
      <xdr:col>6</xdr:col>
      <xdr:colOff>629033</xdr:colOff>
      <xdr:row>462</xdr:row>
      <xdr:rowOff>62729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9005" y="63575044"/>
          <a:ext cx="4639733" cy="333586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647301</xdr:colOff>
      <xdr:row>468</xdr:row>
      <xdr:rowOff>137851</xdr:rowOff>
    </xdr:from>
    <xdr:to>
      <xdr:col>4</xdr:col>
      <xdr:colOff>658965</xdr:colOff>
      <xdr:row>477</xdr:row>
      <xdr:rowOff>178905</xdr:rowOff>
    </xdr:to>
    <xdr:sp macro="" textlink="">
      <xdr:nvSpPr>
        <xdr:cNvPr id="5" name="Rectangle 4"/>
        <xdr:cNvSpPr/>
      </xdr:nvSpPr>
      <xdr:spPr>
        <a:xfrm rot="885066">
          <a:off x="3174601" y="97242051"/>
          <a:ext cx="1002264" cy="1812704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129885</xdr:colOff>
      <xdr:row>407</xdr:row>
      <xdr:rowOff>173180</xdr:rowOff>
    </xdr:from>
    <xdr:to>
      <xdr:col>7</xdr:col>
      <xdr:colOff>578180</xdr:colOff>
      <xdr:row>422</xdr:row>
      <xdr:rowOff>124476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885" y="54872657"/>
          <a:ext cx="6120000" cy="29386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447885</xdr:colOff>
      <xdr:row>424</xdr:row>
      <xdr:rowOff>21745</xdr:rowOff>
    </xdr:from>
    <xdr:to>
      <xdr:col>6</xdr:col>
      <xdr:colOff>260180</xdr:colOff>
      <xdr:row>437</xdr:row>
      <xdr:rowOff>68737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09885" y="58106927"/>
          <a:ext cx="3960000" cy="26360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251112</xdr:colOff>
      <xdr:row>408</xdr:row>
      <xdr:rowOff>190497</xdr:rowOff>
    </xdr:from>
    <xdr:to>
      <xdr:col>2</xdr:col>
      <xdr:colOff>847686</xdr:colOff>
      <xdr:row>410</xdr:row>
      <xdr:rowOff>56738</xdr:rowOff>
    </xdr:to>
    <xdr:sp macro="" textlink="">
      <xdr:nvSpPr>
        <xdr:cNvPr id="8" name="TextBox 8"/>
        <xdr:cNvSpPr txBox="1"/>
      </xdr:nvSpPr>
      <xdr:spPr>
        <a:xfrm>
          <a:off x="1809748" y="55089133"/>
          <a:ext cx="596574" cy="264560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A</a:t>
          </a:r>
        </a:p>
      </xdr:txBody>
    </xdr:sp>
    <xdr:clientData/>
  </xdr:twoCellAnchor>
  <xdr:twoCellAnchor>
    <xdr:from>
      <xdr:col>2</xdr:col>
      <xdr:colOff>549399</xdr:colOff>
      <xdr:row>410</xdr:row>
      <xdr:rowOff>56738</xdr:rowOff>
    </xdr:from>
    <xdr:to>
      <xdr:col>2</xdr:col>
      <xdr:colOff>701387</xdr:colOff>
      <xdr:row>414</xdr:row>
      <xdr:rowOff>0</xdr:rowOff>
    </xdr:to>
    <xdr:cxnSp macro="">
      <xdr:nvCxnSpPr>
        <xdr:cNvPr id="9" name="Straight Arrow Connector 8"/>
        <xdr:cNvCxnSpPr>
          <a:stCxn id="8" idx="2"/>
        </xdr:cNvCxnSpPr>
      </xdr:nvCxnSpPr>
      <xdr:spPr>
        <a:xfrm>
          <a:off x="2108035" y="55353693"/>
          <a:ext cx="151988" cy="73989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472785</xdr:colOff>
      <xdr:row>408</xdr:row>
      <xdr:rowOff>91783</xdr:rowOff>
    </xdr:from>
    <xdr:to>
      <xdr:col>4</xdr:col>
      <xdr:colOff>125518</xdr:colOff>
      <xdr:row>409</xdr:row>
      <xdr:rowOff>157184</xdr:rowOff>
    </xdr:to>
    <xdr:sp macro="" textlink="">
      <xdr:nvSpPr>
        <xdr:cNvPr id="12" name="TextBox 8"/>
        <xdr:cNvSpPr txBox="1"/>
      </xdr:nvSpPr>
      <xdr:spPr>
        <a:xfrm>
          <a:off x="2880012" y="54990419"/>
          <a:ext cx="596574" cy="264560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twoCellAnchor>
  <xdr:twoCellAnchor>
    <xdr:from>
      <xdr:col>3</xdr:col>
      <xdr:colOff>771072</xdr:colOff>
      <xdr:row>409</xdr:row>
      <xdr:rowOff>157184</xdr:rowOff>
    </xdr:from>
    <xdr:to>
      <xdr:col>3</xdr:col>
      <xdr:colOff>883228</xdr:colOff>
      <xdr:row>413</xdr:row>
      <xdr:rowOff>69273</xdr:rowOff>
    </xdr:to>
    <xdr:cxnSp macro="">
      <xdr:nvCxnSpPr>
        <xdr:cNvPr id="13" name="Straight Arrow Connector 12"/>
        <xdr:cNvCxnSpPr>
          <a:stCxn id="12" idx="2"/>
        </xdr:cNvCxnSpPr>
      </xdr:nvCxnSpPr>
      <xdr:spPr>
        <a:xfrm>
          <a:off x="3178299" y="55254979"/>
          <a:ext cx="112156" cy="7087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374071</xdr:colOff>
      <xdr:row>408</xdr:row>
      <xdr:rowOff>79660</xdr:rowOff>
    </xdr:from>
    <xdr:to>
      <xdr:col>6</xdr:col>
      <xdr:colOff>191326</xdr:colOff>
      <xdr:row>409</xdr:row>
      <xdr:rowOff>145061</xdr:rowOff>
    </xdr:to>
    <xdr:sp macro="" textlink="">
      <xdr:nvSpPr>
        <xdr:cNvPr id="15" name="TextBox 8"/>
        <xdr:cNvSpPr txBox="1"/>
      </xdr:nvSpPr>
      <xdr:spPr>
        <a:xfrm>
          <a:off x="4504457" y="54978296"/>
          <a:ext cx="596574" cy="264560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C</a:t>
          </a:r>
        </a:p>
      </xdr:txBody>
    </xdr:sp>
    <xdr:clientData/>
  </xdr:twoCellAnchor>
  <xdr:twoCellAnchor>
    <xdr:from>
      <xdr:col>5</xdr:col>
      <xdr:colOff>320388</xdr:colOff>
      <xdr:row>409</xdr:row>
      <xdr:rowOff>145061</xdr:rowOff>
    </xdr:from>
    <xdr:to>
      <xdr:col>5</xdr:col>
      <xdr:colOff>672358</xdr:colOff>
      <xdr:row>413</xdr:row>
      <xdr:rowOff>86591</xdr:rowOff>
    </xdr:to>
    <xdr:cxnSp macro="">
      <xdr:nvCxnSpPr>
        <xdr:cNvPr id="16" name="Straight Arrow Connector 15"/>
        <xdr:cNvCxnSpPr>
          <a:stCxn id="15" idx="2"/>
        </xdr:cNvCxnSpPr>
      </xdr:nvCxnSpPr>
      <xdr:spPr>
        <a:xfrm flipH="1">
          <a:off x="4450774" y="55242856"/>
          <a:ext cx="351970" cy="73816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129886</xdr:colOff>
      <xdr:row>419</xdr:row>
      <xdr:rowOff>60610</xdr:rowOff>
    </xdr:from>
    <xdr:to>
      <xdr:col>0</xdr:col>
      <xdr:colOff>597886</xdr:colOff>
      <xdr:row>422</xdr:row>
      <xdr:rowOff>118334</xdr:rowOff>
    </xdr:to>
    <xdr:pic>
      <xdr:nvPicPr>
        <xdr:cNvPr id="26" name="Picture 25"/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9886" y="71740565"/>
          <a:ext cx="468000" cy="655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12</xdr:col>
      <xdr:colOff>148035</xdr:colOff>
      <xdr:row>360</xdr:row>
      <xdr:rowOff>88900</xdr:rowOff>
    </xdr:from>
    <xdr:to>
      <xdr:col>12</xdr:col>
      <xdr:colOff>772773</xdr:colOff>
      <xdr:row>361</xdr:row>
      <xdr:rowOff>154301</xdr:rowOff>
    </xdr:to>
    <xdr:sp macro="" textlink="">
      <xdr:nvSpPr>
        <xdr:cNvPr id="43" name="TextBox 8"/>
        <xdr:cNvSpPr txBox="1"/>
      </xdr:nvSpPr>
      <xdr:spPr>
        <a:xfrm>
          <a:off x="10333435" y="78593950"/>
          <a:ext cx="624738" cy="262251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Wing B</a:t>
          </a:r>
        </a:p>
      </xdr:txBody>
    </xdr:sp>
    <xdr:clientData/>
  </xdr:twoCellAnchor>
  <xdr:twoCellAnchor>
    <xdr:from>
      <xdr:col>8</xdr:col>
      <xdr:colOff>450850</xdr:colOff>
      <xdr:row>364</xdr:row>
      <xdr:rowOff>0</xdr:rowOff>
    </xdr:from>
    <xdr:to>
      <xdr:col>16</xdr:col>
      <xdr:colOff>214544</xdr:colOff>
      <xdr:row>404</xdr:row>
      <xdr:rowOff>26772</xdr:rowOff>
    </xdr:to>
    <xdr:grpSp>
      <xdr:nvGrpSpPr>
        <xdr:cNvPr id="17" name="Group 16"/>
        <xdr:cNvGrpSpPr/>
      </xdr:nvGrpSpPr>
      <xdr:grpSpPr>
        <a:xfrm>
          <a:off x="6927850" y="79390875"/>
          <a:ext cx="6164494" cy="8018247"/>
          <a:chOff x="165100" y="78403450"/>
          <a:chExt cx="6443894" cy="7894422"/>
        </a:xfrm>
      </xdr:grpSpPr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98201" y="84133861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84137872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73052" y="84133861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784034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2472" y="7840345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9844" y="78407461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81270661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2471" y="8127066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9844" y="81270661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438150</xdr:colOff>
      <xdr:row>364</xdr:row>
      <xdr:rowOff>38099</xdr:rowOff>
    </xdr:from>
    <xdr:to>
      <xdr:col>7</xdr:col>
      <xdr:colOff>421481</xdr:colOff>
      <xdr:row>405</xdr:row>
      <xdr:rowOff>74025</xdr:rowOff>
    </xdr:to>
    <xdr:grpSp>
      <xdr:nvGrpSpPr>
        <xdr:cNvPr id="14" name="Group 13"/>
        <xdr:cNvGrpSpPr/>
      </xdr:nvGrpSpPr>
      <xdr:grpSpPr>
        <a:xfrm>
          <a:off x="438150" y="79428974"/>
          <a:ext cx="5660231" cy="8227426"/>
          <a:chOff x="438150" y="79419449"/>
          <a:chExt cx="5660231" cy="8227426"/>
        </a:xfrm>
      </xdr:grpSpPr>
      <xdr:pic>
        <xdr:nvPicPr>
          <xdr:cNvPr id="42" name="Picture 41" descr="https://vsjcllp.vsjadon.com/upload/insp-23985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1000" y="832389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39859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86025" y="8322945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39859-84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71525" y="8321992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39859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5175" y="79419449"/>
            <a:ext cx="2793206" cy="3724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39859-84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86025" y="854868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39859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8150" y="79419449"/>
            <a:ext cx="2793206" cy="37242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39859-85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71525" y="854868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1" name="Picture 50" descr="https://vsjcllp.vsjadon.com/upload/insp-239859-104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1000" y="85486875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</xdr:rowOff>
    </xdr:from>
    <xdr:to>
      <xdr:col>6</xdr:col>
      <xdr:colOff>801441</xdr:colOff>
      <xdr:row>35</xdr:row>
      <xdr:rowOff>47524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7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1035174</xdr:colOff>
      <xdr:row>14</xdr:row>
      <xdr:rowOff>0</xdr:rowOff>
    </xdr:from>
    <xdr:to>
      <xdr:col>17</xdr:col>
      <xdr:colOff>559145</xdr:colOff>
      <xdr:row>35</xdr:row>
      <xdr:rowOff>47523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6439" y="2678206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15</xdr:col>
      <xdr:colOff>114300</xdr:colOff>
      <xdr:row>74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5" y="6867525"/>
          <a:ext cx="1301115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vsotBPqv6PYHxM8y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445"/>
  <sheetViews>
    <sheetView tabSelected="1" view="pageBreakPreview" zoomScaleNormal="100" zoomScaleSheetLayoutView="100" zoomScalePageLayoutView="85" workbookViewId="0">
      <selection activeCell="J346" sqref="J346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6" width="11.7109375" style="38" customWidth="1"/>
    <col min="7" max="7" width="11.42578125" style="38" customWidth="1"/>
    <col min="8" max="8" width="12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26" ht="46.5" customHeight="1" x14ac:dyDescent="0.25">
      <c r="A1" s="197" t="s">
        <v>168</v>
      </c>
      <c r="B1" s="197"/>
      <c r="C1" s="197"/>
      <c r="D1" s="197"/>
      <c r="E1" s="197"/>
      <c r="F1" s="197"/>
      <c r="G1" s="197"/>
      <c r="H1" s="197"/>
    </row>
    <row r="2" spans="1:26" ht="16.5" customHeight="1" x14ac:dyDescent="0.2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26" x14ac:dyDescent="0.25">
      <c r="A3" s="132" t="s">
        <v>1</v>
      </c>
      <c r="B3" s="132"/>
      <c r="C3" s="132"/>
      <c r="D3" s="132"/>
      <c r="E3" s="132" t="str">
        <f ca="1">TEXT(TODAY(),"DD/MM/YYYY")</f>
        <v>11/07/2025</v>
      </c>
      <c r="F3" s="132"/>
      <c r="G3" s="132"/>
      <c r="H3" s="132"/>
    </row>
    <row r="4" spans="1:26" ht="15" customHeight="1" x14ac:dyDescent="0.25">
      <c r="A4" s="132" t="s">
        <v>2</v>
      </c>
      <c r="B4" s="132"/>
      <c r="C4" s="132"/>
      <c r="D4" s="132"/>
      <c r="E4" s="132" t="s">
        <v>176</v>
      </c>
      <c r="F4" s="132"/>
      <c r="G4" s="132"/>
      <c r="H4" s="132"/>
    </row>
    <row r="5" spans="1:26" x14ac:dyDescent="0.25">
      <c r="A5" s="132" t="s">
        <v>3</v>
      </c>
      <c r="B5" s="132"/>
      <c r="C5" s="132"/>
      <c r="D5" s="132"/>
      <c r="E5" s="199">
        <v>45847</v>
      </c>
      <c r="F5" s="132"/>
      <c r="G5" s="132"/>
      <c r="H5" s="132"/>
    </row>
    <row r="6" spans="1:26" ht="16.5" customHeight="1" x14ac:dyDescent="0.25">
      <c r="A6" s="132" t="s">
        <v>4</v>
      </c>
      <c r="B6" s="132"/>
      <c r="C6" s="132"/>
      <c r="D6" s="132"/>
      <c r="E6" s="132" t="s">
        <v>236</v>
      </c>
      <c r="F6" s="132"/>
      <c r="G6" s="132"/>
      <c r="H6" s="132"/>
    </row>
    <row r="7" spans="1:26" ht="15" customHeight="1" x14ac:dyDescent="0.25">
      <c r="A7" s="132" t="s">
        <v>5</v>
      </c>
      <c r="B7" s="132"/>
      <c r="C7" s="132"/>
      <c r="D7" s="132"/>
      <c r="E7" s="132" t="str">
        <f>E6</f>
        <v>Alpine Infraheights LLP</v>
      </c>
      <c r="F7" s="132"/>
      <c r="G7" s="132"/>
      <c r="H7" s="132"/>
    </row>
    <row r="8" spans="1:26" x14ac:dyDescent="0.25">
      <c r="A8" s="132" t="s">
        <v>6</v>
      </c>
      <c r="B8" s="132"/>
      <c r="C8" s="132"/>
      <c r="D8" s="132"/>
      <c r="E8" s="198" t="s">
        <v>237</v>
      </c>
      <c r="F8" s="198"/>
      <c r="G8" s="198"/>
      <c r="H8" s="198"/>
    </row>
    <row r="9" spans="1:26" x14ac:dyDescent="0.25">
      <c r="A9" s="132" t="s">
        <v>172</v>
      </c>
      <c r="B9" s="132"/>
      <c r="C9" s="132"/>
      <c r="D9" s="132"/>
      <c r="E9" s="132" t="s">
        <v>238</v>
      </c>
      <c r="F9" s="132"/>
      <c r="G9" s="132"/>
      <c r="H9" s="132"/>
    </row>
    <row r="10" spans="1:26" x14ac:dyDescent="0.25">
      <c r="A10" s="132" t="s">
        <v>173</v>
      </c>
      <c r="B10" s="132"/>
      <c r="C10" s="132"/>
      <c r="D10" s="132"/>
      <c r="E10" s="132" t="s">
        <v>324</v>
      </c>
      <c r="F10" s="132"/>
      <c r="G10" s="132"/>
      <c r="H10" s="132"/>
    </row>
    <row r="11" spans="1:26" x14ac:dyDescent="0.25">
      <c r="A11" s="132" t="s">
        <v>7</v>
      </c>
      <c r="B11" s="132"/>
      <c r="C11" s="132"/>
      <c r="D11" s="132"/>
      <c r="E11" s="132" t="s">
        <v>240</v>
      </c>
      <c r="F11" s="132"/>
      <c r="G11" s="132"/>
      <c r="H11" s="132"/>
    </row>
    <row r="12" spans="1:26" x14ac:dyDescent="0.25">
      <c r="A12" s="132" t="s">
        <v>177</v>
      </c>
      <c r="B12" s="132"/>
      <c r="C12" s="132"/>
      <c r="D12" s="132"/>
      <c r="E12" s="132" t="s">
        <v>239</v>
      </c>
      <c r="F12" s="132"/>
      <c r="G12" s="132"/>
      <c r="H12" s="132"/>
      <c r="S12" s="53" t="s">
        <v>183</v>
      </c>
      <c r="T12" s="53" t="s">
        <v>193</v>
      </c>
      <c r="U12" s="53" t="s">
        <v>178</v>
      </c>
      <c r="V12" s="53" t="s">
        <v>198</v>
      </c>
      <c r="W12" s="53" t="s">
        <v>216</v>
      </c>
      <c r="X12"/>
      <c r="Y12" t="s">
        <v>198</v>
      </c>
      <c r="Z12" t="e">
        <f ca="1">OFFSET($S$12,1,MATCH($G19,$S$12:$W$12,0)-1,15,1)</f>
        <v>#VALUE!</v>
      </c>
    </row>
    <row r="13" spans="1:26" x14ac:dyDescent="0.25">
      <c r="A13" s="125" t="s">
        <v>8</v>
      </c>
      <c r="B13" s="125"/>
      <c r="C13" s="125"/>
      <c r="D13" s="125"/>
      <c r="E13" s="133" t="s">
        <v>288</v>
      </c>
      <c r="F13" s="133"/>
      <c r="G13" s="133"/>
      <c r="H13" s="133"/>
      <c r="S13" s="53" t="s">
        <v>184</v>
      </c>
      <c r="T13" s="53" t="s">
        <v>191</v>
      </c>
      <c r="U13" s="53" t="s">
        <v>213</v>
      </c>
      <c r="V13" s="53" t="s">
        <v>199</v>
      </c>
      <c r="W13" s="53" t="s">
        <v>217</v>
      </c>
      <c r="X13"/>
      <c r="Y13"/>
      <c r="Z13"/>
    </row>
    <row r="14" spans="1:26" x14ac:dyDescent="0.25">
      <c r="A14" s="125" t="s">
        <v>9</v>
      </c>
      <c r="B14" s="125"/>
      <c r="C14" s="125"/>
      <c r="D14" s="125"/>
      <c r="E14" s="133" t="s">
        <v>241</v>
      </c>
      <c r="F14" s="132"/>
      <c r="G14" s="132"/>
      <c r="H14" s="132"/>
      <c r="I14" s="145" t="e">
        <f ca="1">OFFSET($D$4,1,MATCH($J12,$D$4:$H$4,0)-1,15,1)</f>
        <v>#N/A</v>
      </c>
      <c r="J14" s="146"/>
      <c r="K14" s="146"/>
      <c r="L14" s="146"/>
      <c r="M14" s="146"/>
      <c r="N14" s="146"/>
      <c r="O14" s="146"/>
      <c r="P14" s="146"/>
      <c r="S14" s="53" t="s">
        <v>185</v>
      </c>
      <c r="T14" s="53" t="s">
        <v>192</v>
      </c>
      <c r="U14" s="53" t="s">
        <v>214</v>
      </c>
      <c r="V14" s="53" t="s">
        <v>200</v>
      </c>
      <c r="W14" s="53" t="s">
        <v>230</v>
      </c>
      <c r="X14"/>
      <c r="Y14"/>
      <c r="Z14"/>
    </row>
    <row r="15" spans="1:26" ht="48.75" customHeight="1" x14ac:dyDescent="0.25">
      <c r="A15" s="133" t="s">
        <v>10</v>
      </c>
      <c r="B15" s="133"/>
      <c r="C15" s="133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Alpine Primo, CTS No.136/A &amp; Redevelopment of building "Sunil Shopping Centre CHSL", near Kamala Apartment, J.P. Road, Navneeth Colony, Andheri, Andheri (West), Andheri, Mumbai - 400058.</v>
      </c>
      <c r="D15" s="133"/>
      <c r="E15" s="133"/>
      <c r="F15" s="133"/>
      <c r="G15" s="133"/>
      <c r="H15" s="133"/>
      <c r="S15" s="53" t="s">
        <v>186</v>
      </c>
      <c r="T15" s="53" t="s">
        <v>194</v>
      </c>
      <c r="U15" s="53" t="s">
        <v>215</v>
      </c>
      <c r="V15" s="53" t="s">
        <v>201</v>
      </c>
      <c r="W15" s="53" t="s">
        <v>218</v>
      </c>
      <c r="X15"/>
      <c r="Y15"/>
      <c r="Z15"/>
    </row>
    <row r="16" spans="1:26" x14ac:dyDescent="0.25">
      <c r="A16" s="133" t="s">
        <v>182</v>
      </c>
      <c r="B16" s="133"/>
      <c r="C16" s="133" t="s">
        <v>242</v>
      </c>
      <c r="D16" s="133"/>
      <c r="E16" s="133"/>
      <c r="F16" s="133"/>
      <c r="G16" s="133"/>
      <c r="H16" s="133"/>
      <c r="S16" s="53" t="s">
        <v>187</v>
      </c>
      <c r="T16" s="53" t="s">
        <v>195</v>
      </c>
      <c r="U16" s="53"/>
      <c r="V16" s="53" t="s">
        <v>202</v>
      </c>
      <c r="W16" s="53" t="s">
        <v>219</v>
      </c>
      <c r="X16"/>
      <c r="Y16"/>
      <c r="Z16"/>
    </row>
    <row r="17" spans="1:26" ht="15.75" customHeight="1" x14ac:dyDescent="0.25">
      <c r="A17" s="133" t="s">
        <v>166</v>
      </c>
      <c r="B17" s="133"/>
      <c r="C17" s="133" t="s">
        <v>245</v>
      </c>
      <c r="D17" s="133"/>
      <c r="E17" s="133"/>
      <c r="F17" s="133"/>
      <c r="G17" s="133"/>
      <c r="H17" s="133"/>
      <c r="S17" s="53" t="s">
        <v>188</v>
      </c>
      <c r="T17" s="53" t="s">
        <v>193</v>
      </c>
      <c r="U17" s="53"/>
      <c r="V17" s="53" t="s">
        <v>203</v>
      </c>
      <c r="W17" s="53" t="s">
        <v>220</v>
      </c>
      <c r="X17"/>
      <c r="Y17"/>
      <c r="Z17"/>
    </row>
    <row r="18" spans="1:26" ht="15.75" customHeight="1" x14ac:dyDescent="0.25">
      <c r="A18" s="133" t="s">
        <v>11</v>
      </c>
      <c r="B18" s="133"/>
      <c r="C18" s="132" t="s">
        <v>243</v>
      </c>
      <c r="D18" s="132"/>
      <c r="E18" s="133" t="s">
        <v>72</v>
      </c>
      <c r="F18" s="133"/>
      <c r="G18" s="133" t="s">
        <v>213</v>
      </c>
      <c r="H18" s="133"/>
      <c r="S18" s="53" t="s">
        <v>189</v>
      </c>
      <c r="T18" s="53" t="s">
        <v>196</v>
      </c>
      <c r="U18" s="53"/>
      <c r="V18" s="53" t="s">
        <v>204</v>
      </c>
      <c r="W18" s="53" t="s">
        <v>221</v>
      </c>
      <c r="X18"/>
      <c r="Y18"/>
      <c r="Z18"/>
    </row>
    <row r="19" spans="1:26" x14ac:dyDescent="0.25">
      <c r="A19" s="132" t="s">
        <v>13</v>
      </c>
      <c r="B19" s="132"/>
      <c r="C19" s="133" t="s">
        <v>244</v>
      </c>
      <c r="D19" s="133"/>
      <c r="E19" s="133" t="s">
        <v>12</v>
      </c>
      <c r="F19" s="133"/>
      <c r="G19" s="200" t="s">
        <v>178</v>
      </c>
      <c r="H19" s="200"/>
      <c r="S19" s="53" t="s">
        <v>190</v>
      </c>
      <c r="T19" s="53" t="s">
        <v>197</v>
      </c>
      <c r="U19" s="53"/>
      <c r="V19" s="53" t="s">
        <v>205</v>
      </c>
      <c r="W19" s="53" t="s">
        <v>222</v>
      </c>
      <c r="X19"/>
      <c r="Y19"/>
      <c r="Z19"/>
    </row>
    <row r="20" spans="1:26" x14ac:dyDescent="0.25">
      <c r="A20" s="132" t="s">
        <v>73</v>
      </c>
      <c r="B20" s="132"/>
      <c r="C20" s="133" t="s">
        <v>213</v>
      </c>
      <c r="D20" s="133"/>
      <c r="E20" s="133" t="s">
        <v>14</v>
      </c>
      <c r="F20" s="133"/>
      <c r="G20" s="133">
        <v>400058</v>
      </c>
      <c r="H20" s="133"/>
      <c r="S20" s="53"/>
      <c r="T20" s="53"/>
      <c r="U20" s="53"/>
      <c r="V20" s="53" t="s">
        <v>206</v>
      </c>
      <c r="W20" s="53" t="s">
        <v>223</v>
      </c>
      <c r="X20"/>
      <c r="Y20"/>
      <c r="Z20"/>
    </row>
    <row r="21" spans="1:26" ht="32.25" customHeight="1" x14ac:dyDescent="0.25">
      <c r="A21" s="132" t="s">
        <v>122</v>
      </c>
      <c r="B21" s="132"/>
      <c r="C21" s="133" t="s">
        <v>250</v>
      </c>
      <c r="D21" s="133"/>
      <c r="E21" s="133" t="s">
        <v>15</v>
      </c>
      <c r="F21" s="133"/>
      <c r="G21" s="133" t="s">
        <v>248</v>
      </c>
      <c r="H21" s="133"/>
      <c r="S21" s="53"/>
      <c r="T21" s="53"/>
      <c r="U21" s="53"/>
      <c r="V21" s="53" t="s">
        <v>207</v>
      </c>
      <c r="W21" s="53" t="s">
        <v>224</v>
      </c>
      <c r="X21"/>
      <c r="Y21"/>
      <c r="Z21"/>
    </row>
    <row r="22" spans="1:26" ht="15" customHeight="1" x14ac:dyDescent="0.25">
      <c r="A22" s="126" t="s">
        <v>74</v>
      </c>
      <c r="B22" s="126"/>
      <c r="C22" s="126"/>
      <c r="D22" s="126"/>
      <c r="E22" s="132" t="s">
        <v>16</v>
      </c>
      <c r="F22" s="132"/>
      <c r="G22" s="132"/>
      <c r="H22" s="132"/>
      <c r="S22" s="53"/>
      <c r="T22" s="53"/>
      <c r="U22" s="53"/>
      <c r="V22" s="53" t="s">
        <v>208</v>
      </c>
      <c r="W22" s="53" t="s">
        <v>225</v>
      </c>
      <c r="X22"/>
      <c r="Y22"/>
      <c r="Z22"/>
    </row>
    <row r="23" spans="1:26" ht="18.75" customHeight="1" x14ac:dyDescent="0.25">
      <c r="A23" s="126"/>
      <c r="B23" s="126"/>
      <c r="C23" s="126"/>
      <c r="D23" s="126"/>
      <c r="E23" s="132"/>
      <c r="F23" s="132"/>
      <c r="G23" s="132"/>
      <c r="H23" s="132"/>
      <c r="S23" s="53"/>
      <c r="T23" s="53"/>
      <c r="U23" s="53"/>
      <c r="V23" s="53" t="s">
        <v>209</v>
      </c>
      <c r="W23" s="53" t="s">
        <v>226</v>
      </c>
      <c r="X23"/>
      <c r="Y23"/>
      <c r="Z23"/>
    </row>
    <row r="24" spans="1:26" ht="15" customHeight="1" x14ac:dyDescent="0.25">
      <c r="A24" s="126" t="s">
        <v>17</v>
      </c>
      <c r="B24" s="126"/>
      <c r="C24" s="126"/>
      <c r="D24" s="126"/>
      <c r="E24" s="133" t="s">
        <v>18</v>
      </c>
      <c r="F24" s="133"/>
      <c r="G24" s="133"/>
      <c r="H24" s="133"/>
      <c r="S24" s="53"/>
      <c r="T24" s="53"/>
      <c r="U24" s="53"/>
      <c r="V24" s="53" t="s">
        <v>210</v>
      </c>
      <c r="W24" s="53" t="s">
        <v>227</v>
      </c>
      <c r="X24"/>
      <c r="Y24"/>
      <c r="Z24"/>
    </row>
    <row r="25" spans="1:26" ht="15" customHeight="1" x14ac:dyDescent="0.25">
      <c r="A25" s="125" t="s">
        <v>19</v>
      </c>
      <c r="B25" s="125"/>
      <c r="C25" s="125"/>
      <c r="D25" s="125"/>
      <c r="E25" s="133" t="str">
        <f>IF(AND(G19="Mumbai"),"Upper Class","Middle Class")</f>
        <v>Upper Class</v>
      </c>
      <c r="F25" s="133"/>
      <c r="G25" s="133"/>
      <c r="H25" s="133"/>
      <c r="S25" s="53"/>
      <c r="T25" s="53"/>
      <c r="U25" s="53"/>
      <c r="V25" s="53" t="s">
        <v>211</v>
      </c>
      <c r="W25" s="53" t="s">
        <v>228</v>
      </c>
      <c r="X25"/>
      <c r="Y25"/>
      <c r="Z25"/>
    </row>
    <row r="26" spans="1:26" x14ac:dyDescent="0.25">
      <c r="A26" s="125" t="s">
        <v>20</v>
      </c>
      <c r="B26" s="125"/>
      <c r="C26" s="125"/>
      <c r="D26" s="125"/>
      <c r="E26" s="133" t="s">
        <v>21</v>
      </c>
      <c r="F26" s="133"/>
      <c r="G26" s="133"/>
      <c r="H26" s="133"/>
      <c r="S26" s="53"/>
      <c r="T26" s="53"/>
      <c r="U26" s="53"/>
      <c r="V26" s="53" t="s">
        <v>212</v>
      </c>
      <c r="W26" s="53" t="s">
        <v>229</v>
      </c>
      <c r="X26"/>
      <c r="Y26"/>
      <c r="Z26"/>
    </row>
    <row r="27" spans="1:26" ht="15.75" customHeight="1" x14ac:dyDescent="0.25">
      <c r="A27" s="125" t="s">
        <v>22</v>
      </c>
      <c r="B27" s="125"/>
      <c r="C27" s="125"/>
      <c r="D27" s="125"/>
      <c r="E27" s="133" t="str">
        <f>IF(AND(G19="Mumbai"),"Developed","Developing")</f>
        <v>Developed</v>
      </c>
      <c r="F27" s="133"/>
      <c r="G27" s="133"/>
      <c r="H27" s="133"/>
    </row>
    <row r="28" spans="1:26" x14ac:dyDescent="0.25">
      <c r="A28" s="125" t="s">
        <v>23</v>
      </c>
      <c r="B28" s="125"/>
      <c r="C28" s="125"/>
      <c r="D28" s="125"/>
      <c r="E28" s="133" t="s">
        <v>24</v>
      </c>
      <c r="F28" s="133"/>
      <c r="G28" s="133"/>
      <c r="H28" s="133"/>
    </row>
    <row r="29" spans="1:26" ht="15.75" customHeight="1" x14ac:dyDescent="0.25">
      <c r="A29" s="125" t="s">
        <v>79</v>
      </c>
      <c r="B29" s="125"/>
      <c r="C29" s="125"/>
      <c r="D29" s="125"/>
      <c r="E29" s="133" t="s">
        <v>80</v>
      </c>
      <c r="F29" s="133"/>
      <c r="G29" s="133"/>
      <c r="H29" s="133"/>
    </row>
    <row r="30" spans="1:26" ht="15" customHeight="1" x14ac:dyDescent="0.25">
      <c r="A30" s="125" t="s">
        <v>32</v>
      </c>
      <c r="B30" s="125"/>
      <c r="C30" s="125"/>
      <c r="D30" s="125"/>
      <c r="E30" s="133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30" s="133"/>
      <c r="G30" s="133"/>
      <c r="H30" s="133"/>
    </row>
    <row r="31" spans="1:26" ht="15.75" customHeight="1" x14ac:dyDescent="0.25">
      <c r="A31" s="125" t="s">
        <v>91</v>
      </c>
      <c r="B31" s="125"/>
      <c r="C31" s="125"/>
      <c r="D31" s="125"/>
      <c r="E31" s="133" t="s">
        <v>33</v>
      </c>
      <c r="F31" s="133"/>
      <c r="G31" s="133"/>
      <c r="H31" s="133"/>
    </row>
    <row r="32" spans="1:26" s="20" customFormat="1" x14ac:dyDescent="0.25">
      <c r="A32" s="205" t="s">
        <v>92</v>
      </c>
      <c r="B32" s="205"/>
      <c r="C32" s="202" t="s">
        <v>179</v>
      </c>
      <c r="D32" s="203"/>
      <c r="E32" s="204"/>
      <c r="F32" s="202" t="s">
        <v>30</v>
      </c>
      <c r="G32" s="203"/>
      <c r="H32" s="204"/>
    </row>
    <row r="33" spans="1:9" s="20" customFormat="1" x14ac:dyDescent="0.25">
      <c r="A33" s="201" t="s">
        <v>25</v>
      </c>
      <c r="B33" s="201" t="s">
        <v>29</v>
      </c>
      <c r="C33" s="158" t="s">
        <v>253</v>
      </c>
      <c r="D33" s="159"/>
      <c r="E33" s="160"/>
      <c r="F33" s="158" t="s">
        <v>250</v>
      </c>
      <c r="G33" s="159"/>
      <c r="H33" s="160"/>
    </row>
    <row r="34" spans="1:9" x14ac:dyDescent="0.25">
      <c r="A34" s="201" t="s">
        <v>26</v>
      </c>
      <c r="B34" s="201" t="s">
        <v>29</v>
      </c>
      <c r="C34" s="158" t="s">
        <v>254</v>
      </c>
      <c r="D34" s="159"/>
      <c r="E34" s="160"/>
      <c r="F34" s="158" t="s">
        <v>251</v>
      </c>
      <c r="G34" s="159"/>
      <c r="H34" s="160"/>
    </row>
    <row r="35" spans="1:9" s="20" customFormat="1" x14ac:dyDescent="0.25">
      <c r="A35" s="201" t="s">
        <v>28</v>
      </c>
      <c r="B35" s="201" t="s">
        <v>29</v>
      </c>
      <c r="C35" s="158" t="s">
        <v>252</v>
      </c>
      <c r="D35" s="159"/>
      <c r="E35" s="160"/>
      <c r="F35" s="158" t="s">
        <v>252</v>
      </c>
      <c r="G35" s="159"/>
      <c r="H35" s="160"/>
    </row>
    <row r="36" spans="1:9" x14ac:dyDescent="0.25">
      <c r="A36" s="201" t="s">
        <v>27</v>
      </c>
      <c r="B36" s="201" t="s">
        <v>29</v>
      </c>
      <c r="C36" s="158" t="s">
        <v>255</v>
      </c>
      <c r="D36" s="159"/>
      <c r="E36" s="160"/>
      <c r="F36" s="158" t="s">
        <v>243</v>
      </c>
      <c r="G36" s="159"/>
      <c r="H36" s="160"/>
    </row>
    <row r="37" spans="1:9" x14ac:dyDescent="0.25">
      <c r="A37" s="125" t="s">
        <v>31</v>
      </c>
      <c r="B37" s="125"/>
      <c r="C37" s="125"/>
      <c r="D37" s="125"/>
      <c r="E37" s="125"/>
      <c r="F37" s="125"/>
      <c r="G37" s="125"/>
      <c r="H37" s="125"/>
    </row>
    <row r="38" spans="1:9" ht="15.75" customHeight="1" x14ac:dyDescent="0.25">
      <c r="A38" s="125" t="s">
        <v>169</v>
      </c>
      <c r="B38" s="125"/>
      <c r="C38" s="196" t="s">
        <v>294</v>
      </c>
      <c r="D38" s="196"/>
      <c r="E38" s="196"/>
      <c r="F38" s="196"/>
      <c r="G38" s="196"/>
      <c r="H38" s="196"/>
    </row>
    <row r="39" spans="1:9" x14ac:dyDescent="0.25">
      <c r="A39" s="125" t="s">
        <v>165</v>
      </c>
      <c r="B39" s="125"/>
      <c r="C39" s="226" t="s">
        <v>249</v>
      </c>
      <c r="D39" s="133"/>
      <c r="E39" s="133"/>
      <c r="F39" s="133"/>
      <c r="G39" s="133"/>
      <c r="H39" s="133"/>
    </row>
    <row r="40" spans="1:9" x14ac:dyDescent="0.25">
      <c r="A40" s="196" t="s">
        <v>34</v>
      </c>
      <c r="B40" s="196"/>
      <c r="C40" s="196"/>
      <c r="D40" s="196"/>
      <c r="E40" s="196"/>
      <c r="F40" s="196"/>
      <c r="G40" s="196"/>
      <c r="H40" s="196"/>
    </row>
    <row r="41" spans="1:9" x14ac:dyDescent="0.25">
      <c r="A41" s="125" t="s">
        <v>35</v>
      </c>
      <c r="B41" s="125"/>
      <c r="C41" s="125"/>
      <c r="D41" s="125"/>
      <c r="E41" s="206">
        <v>3396.5</v>
      </c>
      <c r="F41" s="206"/>
      <c r="G41" s="206"/>
      <c r="H41" s="206"/>
    </row>
    <row r="42" spans="1:9" x14ac:dyDescent="0.25">
      <c r="A42" s="125" t="s">
        <v>36</v>
      </c>
      <c r="B42" s="125"/>
      <c r="C42" s="125"/>
      <c r="D42" s="125"/>
      <c r="E42" s="165">
        <v>1.7</v>
      </c>
      <c r="F42" s="165"/>
      <c r="G42" s="165"/>
      <c r="H42" s="165"/>
      <c r="I42" s="73">
        <f>5869.75/E41</f>
        <v>1.7281760635948771</v>
      </c>
    </row>
    <row r="43" spans="1:9" x14ac:dyDescent="0.25">
      <c r="A43" s="125" t="s">
        <v>37</v>
      </c>
      <c r="B43" s="125"/>
      <c r="C43" s="125"/>
      <c r="D43" s="125"/>
      <c r="E43" s="165">
        <f>E45/E41-E42</f>
        <v>2.4937435595465907E-2</v>
      </c>
      <c r="F43" s="165"/>
      <c r="G43" s="165"/>
      <c r="H43" s="165"/>
    </row>
    <row r="44" spans="1:9" x14ac:dyDescent="0.25">
      <c r="A44" s="125" t="s">
        <v>38</v>
      </c>
      <c r="B44" s="125"/>
      <c r="C44" s="125"/>
      <c r="D44" s="125"/>
      <c r="E44" s="218">
        <f>E42+E43</f>
        <v>1.7249374355954659</v>
      </c>
      <c r="F44" s="218"/>
      <c r="G44" s="218"/>
      <c r="H44" s="218"/>
    </row>
    <row r="45" spans="1:9" x14ac:dyDescent="0.25">
      <c r="A45" s="125" t="s">
        <v>90</v>
      </c>
      <c r="B45" s="125"/>
      <c r="C45" s="125"/>
      <c r="D45" s="125"/>
      <c r="E45" s="218">
        <v>5858.75</v>
      </c>
      <c r="F45" s="218"/>
      <c r="G45" s="218"/>
      <c r="H45" s="218"/>
    </row>
    <row r="46" spans="1:9" x14ac:dyDescent="0.25">
      <c r="A46" s="132" t="s">
        <v>39</v>
      </c>
      <c r="B46" s="132"/>
      <c r="C46" s="132"/>
      <c r="D46" s="132"/>
      <c r="E46" s="132" t="s">
        <v>256</v>
      </c>
      <c r="F46" s="132"/>
      <c r="G46" s="132"/>
      <c r="H46" s="132"/>
    </row>
    <row r="47" spans="1:9" x14ac:dyDescent="0.25">
      <c r="A47" s="196" t="s">
        <v>40</v>
      </c>
      <c r="B47" s="196"/>
      <c r="C47" s="196"/>
      <c r="D47" s="196"/>
      <c r="E47" s="196"/>
      <c r="F47" s="196"/>
      <c r="G47" s="196"/>
      <c r="H47" s="196"/>
    </row>
    <row r="48" spans="1:9" ht="33.75" customHeight="1" x14ac:dyDescent="0.25">
      <c r="A48" s="92" t="s">
        <v>154</v>
      </c>
      <c r="B48" s="94"/>
      <c r="C48" s="227" t="s">
        <v>246</v>
      </c>
      <c r="D48" s="228"/>
      <c r="E48" s="228"/>
      <c r="F48" s="228"/>
      <c r="G48" s="228"/>
      <c r="H48" s="229"/>
    </row>
    <row r="49" spans="1:9" ht="31.5" customHeight="1" x14ac:dyDescent="0.25">
      <c r="A49" s="92" t="s">
        <v>41</v>
      </c>
      <c r="B49" s="94"/>
      <c r="C49" s="92" t="s">
        <v>247</v>
      </c>
      <c r="D49" s="93"/>
      <c r="E49" s="94"/>
      <c r="F49" s="18" t="s">
        <v>42</v>
      </c>
      <c r="G49" s="95">
        <v>45307</v>
      </c>
      <c r="H49" s="96"/>
    </row>
    <row r="50" spans="1:9" ht="31.5" customHeight="1" x14ac:dyDescent="0.25">
      <c r="A50" s="92" t="s">
        <v>43</v>
      </c>
      <c r="B50" s="94"/>
      <c r="C50" s="92" t="str">
        <f>C49</f>
        <v>P-1795/2019/(136/A)/K/W WARD/ANDHERI-KW</v>
      </c>
      <c r="D50" s="93"/>
      <c r="E50" s="94"/>
      <c r="F50" s="18" t="s">
        <v>42</v>
      </c>
      <c r="G50" s="95">
        <f>G49</f>
        <v>45307</v>
      </c>
      <c r="H50" s="96"/>
    </row>
    <row r="51" spans="1:9" s="21" customFormat="1" ht="32.25" customHeight="1" x14ac:dyDescent="0.25">
      <c r="A51" s="88" t="s">
        <v>158</v>
      </c>
      <c r="B51" s="89"/>
      <c r="C51" s="92" t="s">
        <v>321</v>
      </c>
      <c r="D51" s="93"/>
      <c r="E51" s="94"/>
      <c r="F51" s="18" t="s">
        <v>42</v>
      </c>
      <c r="G51" s="95">
        <v>45744</v>
      </c>
      <c r="H51" s="96"/>
    </row>
    <row r="52" spans="1:9" s="21" customFormat="1" ht="61.5" customHeight="1" x14ac:dyDescent="0.25">
      <c r="A52" s="90"/>
      <c r="B52" s="91"/>
      <c r="C52" s="92" t="s">
        <v>322</v>
      </c>
      <c r="D52" s="93"/>
      <c r="E52" s="94"/>
      <c r="F52" s="18" t="s">
        <v>121</v>
      </c>
      <c r="G52" s="95">
        <v>45814</v>
      </c>
      <c r="H52" s="96"/>
    </row>
    <row r="53" spans="1:9" s="21" customFormat="1" ht="32.25" hidden="1" customHeight="1" x14ac:dyDescent="0.25">
      <c r="A53" s="88" t="s">
        <v>158</v>
      </c>
      <c r="B53" s="89"/>
      <c r="C53" s="92" t="s">
        <v>295</v>
      </c>
      <c r="D53" s="93"/>
      <c r="E53" s="94"/>
      <c r="F53" s="18" t="s">
        <v>42</v>
      </c>
      <c r="G53" s="95">
        <v>45345</v>
      </c>
      <c r="H53" s="96"/>
    </row>
    <row r="54" spans="1:9" s="21" customFormat="1" ht="47.45" hidden="1" customHeight="1" x14ac:dyDescent="0.25">
      <c r="A54" s="90"/>
      <c r="B54" s="91"/>
      <c r="C54" s="92" t="s">
        <v>296</v>
      </c>
      <c r="D54" s="93"/>
      <c r="E54" s="94"/>
      <c r="F54" s="18" t="s">
        <v>121</v>
      </c>
      <c r="G54" s="95">
        <v>45449</v>
      </c>
      <c r="H54" s="96"/>
    </row>
    <row r="55" spans="1:9" s="21" customFormat="1" ht="32.25" customHeight="1" x14ac:dyDescent="0.25">
      <c r="A55" s="88" t="s">
        <v>291</v>
      </c>
      <c r="B55" s="89"/>
      <c r="C55" s="92" t="s">
        <v>292</v>
      </c>
      <c r="D55" s="93"/>
      <c r="E55" s="94"/>
      <c r="F55" s="18" t="s">
        <v>42</v>
      </c>
      <c r="G55" s="95">
        <v>43215</v>
      </c>
      <c r="H55" s="96"/>
    </row>
    <row r="56" spans="1:9" s="21" customFormat="1" ht="31.5" x14ac:dyDescent="0.25">
      <c r="A56" s="90"/>
      <c r="B56" s="91"/>
      <c r="C56" s="92" t="s">
        <v>293</v>
      </c>
      <c r="D56" s="93"/>
      <c r="E56" s="94"/>
      <c r="F56" s="18" t="s">
        <v>121</v>
      </c>
      <c r="G56" s="95">
        <v>46136</v>
      </c>
      <c r="H56" s="96"/>
    </row>
    <row r="57" spans="1:9" x14ac:dyDescent="0.25">
      <c r="A57" s="151" t="s">
        <v>44</v>
      </c>
      <c r="B57" s="152"/>
      <c r="C57" s="151" t="s">
        <v>103</v>
      </c>
      <c r="D57" s="153"/>
      <c r="E57" s="152"/>
      <c r="F57" s="42" t="s">
        <v>42</v>
      </c>
      <c r="G57" s="172" t="s">
        <v>29</v>
      </c>
      <c r="H57" s="173"/>
    </row>
    <row r="58" spans="1:9" x14ac:dyDescent="0.25">
      <c r="A58" s="171" t="s">
        <v>46</v>
      </c>
      <c r="B58" s="171"/>
      <c r="C58" s="171"/>
      <c r="D58" s="171"/>
      <c r="E58" s="171"/>
      <c r="F58" s="171"/>
      <c r="G58" s="171"/>
      <c r="H58" s="171"/>
    </row>
    <row r="59" spans="1:9" x14ac:dyDescent="0.25">
      <c r="A59" s="126" t="s">
        <v>89</v>
      </c>
      <c r="B59" s="126"/>
      <c r="C59" s="126"/>
      <c r="D59" s="125">
        <f>E45</f>
        <v>5858.75</v>
      </c>
      <c r="E59" s="125"/>
      <c r="F59" s="125"/>
      <c r="G59" s="125"/>
      <c r="H59" s="125"/>
    </row>
    <row r="60" spans="1:9" ht="32.1" customHeight="1" x14ac:dyDescent="0.25">
      <c r="A60" s="133" t="s">
        <v>47</v>
      </c>
      <c r="B60" s="132"/>
      <c r="C60" s="132"/>
      <c r="D60" s="133" t="s">
        <v>312</v>
      </c>
      <c r="E60" s="133"/>
      <c r="F60" s="133"/>
      <c r="G60" s="133"/>
      <c r="H60" s="133"/>
      <c r="I60" s="22"/>
    </row>
    <row r="61" spans="1:9" ht="33.75" customHeight="1" x14ac:dyDescent="0.25">
      <c r="A61" s="208" t="s">
        <v>48</v>
      </c>
      <c r="B61" s="209"/>
      <c r="C61" s="221"/>
      <c r="D61" s="219" t="s">
        <v>310</v>
      </c>
      <c r="E61" s="220"/>
      <c r="F61" s="220"/>
      <c r="G61" s="220"/>
      <c r="H61" s="220"/>
    </row>
    <row r="62" spans="1:9" ht="31.5" customHeight="1" x14ac:dyDescent="0.25">
      <c r="A62" s="208" t="s">
        <v>87</v>
      </c>
      <c r="B62" s="209"/>
      <c r="C62" s="209"/>
      <c r="D62" s="133" t="s">
        <v>284</v>
      </c>
      <c r="E62" s="133"/>
      <c r="F62" s="133"/>
      <c r="G62" s="133"/>
      <c r="H62" s="133"/>
    </row>
    <row r="63" spans="1:9" ht="15.75" hidden="1" customHeight="1" x14ac:dyDescent="0.25">
      <c r="A63" s="210"/>
      <c r="B63" s="211"/>
      <c r="C63" s="211"/>
      <c r="D63" s="214" t="s">
        <v>171</v>
      </c>
      <c r="E63" s="215"/>
      <c r="F63" s="215"/>
      <c r="G63" s="215"/>
      <c r="H63" s="216"/>
    </row>
    <row r="64" spans="1:9" ht="15.75" hidden="1" customHeight="1" x14ac:dyDescent="0.25">
      <c r="A64" s="212"/>
      <c r="B64" s="213"/>
      <c r="C64" s="213"/>
      <c r="D64" s="174" t="s">
        <v>174</v>
      </c>
      <c r="E64" s="175"/>
      <c r="F64" s="175"/>
      <c r="G64" s="175"/>
      <c r="H64" s="176"/>
    </row>
    <row r="65" spans="1:14" ht="15.75" customHeight="1" x14ac:dyDescent="0.25">
      <c r="A65" s="125" t="s">
        <v>45</v>
      </c>
      <c r="B65" s="125"/>
      <c r="C65" s="125"/>
      <c r="D65" s="207" t="s">
        <v>320</v>
      </c>
      <c r="E65" s="207"/>
      <c r="F65" s="207"/>
      <c r="G65" s="207"/>
      <c r="H65" s="207"/>
      <c r="J65" s="23"/>
      <c r="K65" s="22"/>
      <c r="N65" s="22"/>
    </row>
    <row r="66" spans="1:14" ht="15.75" customHeight="1" x14ac:dyDescent="0.25">
      <c r="A66" s="125" t="s">
        <v>85</v>
      </c>
      <c r="B66" s="125"/>
      <c r="C66" s="125"/>
      <c r="D66" s="217" t="str">
        <f>(IF(G57="NA","60 Years After Completion",IF(G57&lt;&gt;"NA",""&amp;60-ROUNDDOWN((E3-G57)/360,0)&amp;" Years"," ")))</f>
        <v>60 Years After Completion</v>
      </c>
      <c r="E66" s="217"/>
      <c r="F66" s="217"/>
      <c r="G66" s="217"/>
      <c r="H66" s="217"/>
      <c r="N66" s="22"/>
    </row>
    <row r="67" spans="1:14" ht="15.75" customHeight="1" x14ac:dyDescent="0.25">
      <c r="A67" s="125" t="s">
        <v>86</v>
      </c>
      <c r="B67" s="125"/>
      <c r="C67" s="125"/>
      <c r="D67" s="126" t="s">
        <v>24</v>
      </c>
      <c r="E67" s="126"/>
      <c r="F67" s="126"/>
      <c r="G67" s="126"/>
      <c r="H67" s="126"/>
      <c r="J67" s="24"/>
      <c r="K67" s="24"/>
    </row>
    <row r="68" spans="1:14" ht="80.25" customHeight="1" x14ac:dyDescent="0.25">
      <c r="A68" s="132" t="s">
        <v>290</v>
      </c>
      <c r="B68" s="132"/>
      <c r="C68" s="132"/>
      <c r="D68" s="133" t="s">
        <v>289</v>
      </c>
      <c r="E68" s="126"/>
      <c r="F68" s="126"/>
      <c r="G68" s="126"/>
      <c r="H68" s="126"/>
    </row>
    <row r="69" spans="1:14" x14ac:dyDescent="0.25">
      <c r="A69" s="126" t="s">
        <v>150</v>
      </c>
      <c r="B69" s="126"/>
      <c r="C69" s="126"/>
      <c r="D69" s="126" t="s">
        <v>29</v>
      </c>
      <c r="E69" s="126"/>
      <c r="F69" s="126"/>
      <c r="G69" s="126"/>
      <c r="H69" s="126"/>
      <c r="I69" s="25"/>
      <c r="J69" s="25"/>
      <c r="K69" s="25"/>
      <c r="L69" s="25"/>
      <c r="M69" s="25"/>
      <c r="N69" s="25"/>
    </row>
    <row r="70" spans="1:14" ht="15.75" customHeight="1" x14ac:dyDescent="0.25">
      <c r="A70" s="125" t="s">
        <v>84</v>
      </c>
      <c r="B70" s="125"/>
      <c r="C70" s="125"/>
      <c r="D70" s="133" t="str">
        <f ca="1">(IF(G76&gt;95%,"Nothing",IF(G76&gt;0%,"Cement, Aggregate, Steel, etc",IF(G76=0%,"Work not yet Started"))))</f>
        <v>Cement, Aggregate, Steel, etc</v>
      </c>
      <c r="E70" s="133"/>
      <c r="F70" s="133"/>
      <c r="G70" s="133"/>
      <c r="H70" s="133"/>
      <c r="J70" s="24"/>
    </row>
    <row r="71" spans="1:14" ht="33.75" customHeight="1" thickBot="1" x14ac:dyDescent="0.3">
      <c r="A71" s="126" t="s">
        <v>116</v>
      </c>
      <c r="B71" s="126"/>
      <c r="C71" s="126"/>
      <c r="D71" s="133" t="str">
        <f ca="1">(IF(D70="Nothing","Yes",IF(D70="Cement, Aggregate, Steel, etc","Under Construction",IF(D70="Work not yet Started","Work not yet Started"))))</f>
        <v>Under Construction</v>
      </c>
      <c r="E71" s="133"/>
      <c r="F71" s="133" t="str">
        <f ca="1">(IF(D70="Nothing","Yes",IF(D70="Cement, Aggregate, Steel, etc","Under Construction",IF(D70="Work not yet Started","Work not yet Started"))))</f>
        <v>Under Construction</v>
      </c>
      <c r="G71" s="133"/>
      <c r="H71" s="133"/>
    </row>
    <row r="72" spans="1:14" ht="32.25" customHeight="1" x14ac:dyDescent="0.25">
      <c r="A72" s="223" t="s">
        <v>140</v>
      </c>
      <c r="B72" s="223"/>
      <c r="C72" s="127" t="str">
        <f>D62</f>
        <v>Wing A, B &amp; C = Gr/Stilt + 1st Floor + 2nd to 3rd Podium Floor + 4th to 14th Floor</v>
      </c>
      <c r="D72" s="127"/>
      <c r="E72" s="127"/>
      <c r="F72" s="127"/>
      <c r="G72" s="127"/>
      <c r="H72" s="127"/>
      <c r="I72" s="82" t="str">
        <f ca="1">IF(D85=100%,"All work Completed. Possession granted to the Building.",IF(D84=100%,"All work Completed, Waiting for OC",I73&amp;""&amp;I74&amp;""&amp;J73&amp;""&amp;J72&amp;" "&amp;J74))</f>
        <v>Excavation, Plinth Completed, RCC upto 11 Slab, Brickwork upto 8 Floor, Internal Plaster upto 5 Floor, External Plaster upto 3 Floor Completed</v>
      </c>
      <c r="J72" s="45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>, RCC upto 11 Slab, Brickwork upto 8 Floor, Internal Plaster upto 5 Floor, External Plaster upto 3 Floor</v>
      </c>
    </row>
    <row r="73" spans="1:14" x14ac:dyDescent="0.25">
      <c r="A73" s="16" t="s">
        <v>142</v>
      </c>
      <c r="B73" s="48">
        <f>IF(AND(ISNUMBER(SEARCH("1B",C72))),1,IF(AND(ISNUMBER(SEARCH("2B",C72))),2,IF(AND(ISNUMBER(SEARCH("3B",C72))),3,IF(AND(ISNUMBER(SEARCH("4B",C72))),4,IF(ISNUMBER(SEARCH("5B",C72)),5,0)))))</f>
        <v>0</v>
      </c>
      <c r="C73" s="49" t="s">
        <v>71</v>
      </c>
      <c r="D73" s="49">
        <v>1</v>
      </c>
      <c r="E73" s="49" t="s">
        <v>70</v>
      </c>
      <c r="F73" s="49">
        <v>0</v>
      </c>
      <c r="G73" s="49" t="s">
        <v>78</v>
      </c>
      <c r="H73" s="17">
        <f ca="1">--TRIM(RIGHT(SUBSTITUTE(LEFT(C72,_xlfn.AGGREGATE(16,6,FIND({0,1,2,3,4,5,6,7,8,9},C72,ROW(INDIRECT("1:"&amp;LEN(C72)))),1))," ",REPT(" ",LEN(C72))),LEN(C72)))</f>
        <v>14</v>
      </c>
      <c r="I73" s="46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</v>
      </c>
      <c r="J73" s="47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ht="30.75" customHeight="1" x14ac:dyDescent="0.25">
      <c r="A74" s="222" t="s">
        <v>88</v>
      </c>
      <c r="B74" s="198"/>
      <c r="C74" s="127" t="str">
        <f ca="1">I72</f>
        <v>Excavation, Plinth Completed, RCC upto 11 Slab, Brickwork upto 8 Floor, Internal Plaster upto 5 Floor, External Plaster upto 3 Floor Completed</v>
      </c>
      <c r="D74" s="127"/>
      <c r="E74" s="127"/>
      <c r="F74" s="127"/>
      <c r="G74" s="127"/>
      <c r="H74" s="128"/>
      <c r="I74" s="46" t="str">
        <f ca="1">IF(I73&lt;&gt;""," Completed","")</f>
        <v xml:space="preserve"> Completed</v>
      </c>
      <c r="J74" s="47" t="str">
        <f ca="1">IF(J72&lt;&gt;"","Completed","")</f>
        <v>Completed</v>
      </c>
    </row>
    <row r="75" spans="1:14" ht="15.75" customHeight="1" x14ac:dyDescent="0.25">
      <c r="A75" s="129" t="s">
        <v>49</v>
      </c>
      <c r="B75" s="130"/>
      <c r="C75" s="63" t="s">
        <v>139</v>
      </c>
      <c r="D75" s="63" t="s">
        <v>81</v>
      </c>
      <c r="E75" s="131" t="s">
        <v>83</v>
      </c>
      <c r="F75" s="131"/>
      <c r="G75" s="131" t="s">
        <v>82</v>
      </c>
      <c r="H75" s="157"/>
      <c r="I75" s="14" t="s">
        <v>141</v>
      </c>
      <c r="J75" s="26">
        <f ca="1">H73*25%</f>
        <v>3.5</v>
      </c>
    </row>
    <row r="76" spans="1:14" x14ac:dyDescent="0.25">
      <c r="A76" s="129" t="s">
        <v>128</v>
      </c>
      <c r="B76" s="130"/>
      <c r="C76" s="63">
        <f ca="1">J77</f>
        <v>14</v>
      </c>
      <c r="D76" s="64">
        <f ca="1">((100/H73)*C76)/100</f>
        <v>1</v>
      </c>
      <c r="E76" s="134">
        <f ca="1">(((C77/H73*10)+(40/(D73+F73+H73)*C78)+(7.5/(H73)*C79)+(7.5/(H73)*C80)+(10/H73*C81)+(10/H73*C82)+(5/H73*C83)+(5/H73*C84)+(5/H73*C85))/100)</f>
        <v>0.48440476190476189</v>
      </c>
      <c r="F76" s="135"/>
      <c r="G76" s="134">
        <f ca="1">((((C76/H73)*20)+((C77/H73)*25)+(30/(H73+F73+D73)*C78)+(5/H73*C79)+(5/H73*C80)+(5/H73*C81)+(5/H73*C82)+(0/H73*C83)+(0/H73*C84)+(5/H73*C85))/100)</f>
        <v>0.7271428571428572</v>
      </c>
      <c r="H76" s="140"/>
      <c r="I76" s="14" t="s">
        <v>98</v>
      </c>
      <c r="J76" s="27">
        <f ca="1">H73*50%</f>
        <v>7</v>
      </c>
    </row>
    <row r="77" spans="1:14" x14ac:dyDescent="0.25">
      <c r="A77" s="129" t="s">
        <v>50</v>
      </c>
      <c r="B77" s="130"/>
      <c r="C77" s="63">
        <f ca="1">J85</f>
        <v>14</v>
      </c>
      <c r="D77" s="64">
        <f ca="1">((100/H73)*C77)/100</f>
        <v>1</v>
      </c>
      <c r="E77" s="136"/>
      <c r="F77" s="137"/>
      <c r="G77" s="136"/>
      <c r="H77" s="141"/>
      <c r="I77" s="14" t="s">
        <v>99</v>
      </c>
      <c r="J77" s="27">
        <f ca="1">H73</f>
        <v>14</v>
      </c>
    </row>
    <row r="78" spans="1:14" ht="15.75" customHeight="1" x14ac:dyDescent="0.25">
      <c r="A78" s="129" t="s">
        <v>129</v>
      </c>
      <c r="B78" s="130"/>
      <c r="C78" s="63">
        <v>11</v>
      </c>
      <c r="D78" s="64">
        <f ca="1">((100/(D73+F73+H73))*C78)/100</f>
        <v>0.73333333333333339</v>
      </c>
      <c r="E78" s="136"/>
      <c r="F78" s="137"/>
      <c r="G78" s="136"/>
      <c r="H78" s="141"/>
      <c r="I78" s="14" t="s">
        <v>100</v>
      </c>
      <c r="J78" s="28">
        <f ca="1">(IF(B73&gt;1,(H73/(B73+2)),H73/4))</f>
        <v>3.5</v>
      </c>
    </row>
    <row r="79" spans="1:14" ht="15.75" customHeight="1" x14ac:dyDescent="0.25">
      <c r="A79" s="129" t="s">
        <v>136</v>
      </c>
      <c r="B79" s="130" t="s">
        <v>130</v>
      </c>
      <c r="C79" s="63">
        <v>8</v>
      </c>
      <c r="D79" s="64">
        <f ca="1">((100/H73)*C79)/100</f>
        <v>0.57142857142857151</v>
      </c>
      <c r="E79" s="136"/>
      <c r="F79" s="137"/>
      <c r="G79" s="136"/>
      <c r="H79" s="141"/>
      <c r="I79" s="14" t="s">
        <v>101</v>
      </c>
      <c r="J79" s="28">
        <f ca="1">(IF(B73&gt;1,(H73/(B73+2)+J78),H73/4+J78))</f>
        <v>7</v>
      </c>
    </row>
    <row r="80" spans="1:14" ht="15.75" customHeight="1" x14ac:dyDescent="0.25">
      <c r="A80" s="129" t="s">
        <v>137</v>
      </c>
      <c r="B80" s="130" t="s">
        <v>130</v>
      </c>
      <c r="C80" s="63">
        <v>5</v>
      </c>
      <c r="D80" s="64">
        <f ca="1">((100/H73)*C80)/100</f>
        <v>0.35714285714285715</v>
      </c>
      <c r="E80" s="136"/>
      <c r="F80" s="137"/>
      <c r="G80" s="136"/>
      <c r="H80" s="141"/>
      <c r="I80" s="14" t="s">
        <v>148</v>
      </c>
      <c r="J80" s="28">
        <f>(IF(B73&gt;1,(H73/(B73+2)+J79),0))</f>
        <v>0</v>
      </c>
    </row>
    <row r="81" spans="1:11" ht="15" customHeight="1" x14ac:dyDescent="0.25">
      <c r="A81" s="129" t="s">
        <v>135</v>
      </c>
      <c r="B81" s="130" t="s">
        <v>132</v>
      </c>
      <c r="C81" s="63">
        <v>3</v>
      </c>
      <c r="D81" s="64">
        <f ca="1">((100/(H73))*C81)/100</f>
        <v>0.2142857142857143</v>
      </c>
      <c r="E81" s="136"/>
      <c r="F81" s="137"/>
      <c r="G81" s="136"/>
      <c r="H81" s="141"/>
      <c r="I81" s="14" t="s">
        <v>143</v>
      </c>
      <c r="J81" s="28">
        <f>(IF(B73&gt;2,(H73/(B73+2)+J80),0))</f>
        <v>0</v>
      </c>
      <c r="K81" s="19" t="s">
        <v>319</v>
      </c>
    </row>
    <row r="82" spans="1:11" ht="15.75" customHeight="1" x14ac:dyDescent="0.25">
      <c r="A82" s="129" t="s">
        <v>131</v>
      </c>
      <c r="B82" s="130" t="s">
        <v>131</v>
      </c>
      <c r="C82" s="63">
        <v>0</v>
      </c>
      <c r="D82" s="64">
        <f ca="1">((100/H73)*C82)/100</f>
        <v>0</v>
      </c>
      <c r="E82" s="136"/>
      <c r="F82" s="137"/>
      <c r="G82" s="136"/>
      <c r="H82" s="141"/>
      <c r="I82" s="14" t="s">
        <v>144</v>
      </c>
      <c r="J82" s="29">
        <f>(IF(B73&gt;3,(H73/(B73+2)+J81),0))</f>
        <v>0</v>
      </c>
    </row>
    <row r="83" spans="1:11" ht="15.75" customHeight="1" x14ac:dyDescent="0.25">
      <c r="A83" s="129" t="s">
        <v>138</v>
      </c>
      <c r="B83" s="130"/>
      <c r="C83" s="63">
        <v>0</v>
      </c>
      <c r="D83" s="64">
        <f ca="1">((100/H73)*C83)/100</f>
        <v>0</v>
      </c>
      <c r="E83" s="136"/>
      <c r="F83" s="137"/>
      <c r="G83" s="136"/>
      <c r="H83" s="141"/>
      <c r="I83" s="14" t="s">
        <v>145</v>
      </c>
      <c r="J83" s="28">
        <f>(IF(B73&gt;4,(H73/(B73+2)+J82),0))</f>
        <v>0</v>
      </c>
    </row>
    <row r="84" spans="1:11" ht="15.6" customHeight="1" x14ac:dyDescent="0.25">
      <c r="A84" s="129" t="s">
        <v>133</v>
      </c>
      <c r="B84" s="130" t="s">
        <v>133</v>
      </c>
      <c r="C84" s="63">
        <v>0</v>
      </c>
      <c r="D84" s="64">
        <f ca="1">((100/(H73))*C84)/100</f>
        <v>0</v>
      </c>
      <c r="E84" s="136"/>
      <c r="F84" s="137"/>
      <c r="G84" s="136"/>
      <c r="H84" s="141"/>
      <c r="I84" s="14" t="s">
        <v>149</v>
      </c>
      <c r="J84" s="28">
        <f ca="1">(IF(B73=1,(H73/(B73+3)+J79),IF(B73=0,(H73/4+J79),IF(B73&gt;1,0))))</f>
        <v>10.5</v>
      </c>
    </row>
    <row r="85" spans="1:11" ht="16.5" thickBot="1" x14ac:dyDescent="0.3">
      <c r="A85" s="143" t="s">
        <v>134</v>
      </c>
      <c r="B85" s="144"/>
      <c r="C85" s="65">
        <v>0</v>
      </c>
      <c r="D85" s="66">
        <f ca="1">((100/(H73))*C85)/100</f>
        <v>0</v>
      </c>
      <c r="E85" s="138"/>
      <c r="F85" s="139"/>
      <c r="G85" s="138"/>
      <c r="H85" s="142"/>
      <c r="I85" s="15" t="s">
        <v>102</v>
      </c>
      <c r="J85" s="30">
        <f ca="1">(IF(B73&gt;1.5,(H73/(B73+2)+J79+MAX(0,J80-J79)+MAX(0,J81-J80)+MAX(0,J82-J81)+MAX(0,J83-J82)+MAX(0,J84-J83)),IF(B73=1,(H73/(B73+3)+J84),IF(B73=0,H73/4+J84))))</f>
        <v>14</v>
      </c>
    </row>
    <row r="86" spans="1:11" ht="15.75" hidden="1" customHeight="1" x14ac:dyDescent="0.25">
      <c r="A86" s="166" t="s">
        <v>140</v>
      </c>
      <c r="B86" s="167"/>
      <c r="C86" s="168" t="s">
        <v>313</v>
      </c>
      <c r="D86" s="169"/>
      <c r="E86" s="169"/>
      <c r="F86" s="169"/>
      <c r="G86" s="169"/>
      <c r="H86" s="170"/>
      <c r="I86" s="44" t="str">
        <f ca="1">IF(D99=100%,"All work Completed. Possession granted to the Building.",IF(D98=100%,"All work Completed, Waiting for OC",I87&amp;""&amp;I88&amp;""&amp;J87&amp;""&amp;J86&amp;" "&amp;J88))</f>
        <v>Excavation, Plinth Completed, RCC upto 6 Slab Completed</v>
      </c>
      <c r="J86" s="45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>, RCC upto 6 Slab</v>
      </c>
    </row>
    <row r="87" spans="1:11" hidden="1" x14ac:dyDescent="0.25">
      <c r="A87" s="16" t="s">
        <v>142</v>
      </c>
      <c r="B87" s="49">
        <f>IF(AND(ISNUMBER(SEARCH("1B",C86))),1,IF(AND(ISNUMBER(SEARCH("2B",C86))),2,IF(AND(ISNUMBER(SEARCH("3B",C86))),3,IF(AND(ISNUMBER(SEARCH("4B",C86))),4,IF(ISNUMBER(SEARCH("5B",C86)),5,0)))))</f>
        <v>0</v>
      </c>
      <c r="C87" s="49" t="s">
        <v>71</v>
      </c>
      <c r="D87" s="49">
        <v>1</v>
      </c>
      <c r="E87" s="49" t="s">
        <v>70</v>
      </c>
      <c r="F87" s="49">
        <v>0</v>
      </c>
      <c r="G87" s="49" t="s">
        <v>78</v>
      </c>
      <c r="H87" s="17">
        <f ca="1">--TRIM(RIGHT(SUBSTITUTE(LEFT(C86,_xlfn.AGGREGATE(16,6,FIND({0,1,2,3,4,5,6,7,8,9},C86,ROW(INDIRECT("1:"&amp;LEN(C86)))),1))," ",REPT(" ",LEN(C86))),LEN(C86)))</f>
        <v>14</v>
      </c>
      <c r="I87" s="46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</v>
      </c>
      <c r="J87" s="47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1" hidden="1" x14ac:dyDescent="0.25">
      <c r="A88" s="222" t="s">
        <v>88</v>
      </c>
      <c r="B88" s="198"/>
      <c r="C88" s="127" t="str">
        <f ca="1">(IF($G$57="NA",I86,"All work Completed. OC Received."))</f>
        <v>Excavation, Plinth Completed, RCC upto 6 Slab Completed</v>
      </c>
      <c r="D88" s="127"/>
      <c r="E88" s="127"/>
      <c r="F88" s="127"/>
      <c r="G88" s="127"/>
      <c r="H88" s="128"/>
      <c r="I88" s="46" t="str">
        <f ca="1">IF(I87&lt;&gt;""," Completed","")</f>
        <v xml:space="preserve"> Completed</v>
      </c>
      <c r="J88" s="47" t="str">
        <f ca="1">IF(J86&lt;&gt;"","Completed","")</f>
        <v>Completed</v>
      </c>
    </row>
    <row r="89" spans="1:11" ht="15.75" hidden="1" customHeight="1" x14ac:dyDescent="0.25">
      <c r="A89" s="184" t="s">
        <v>49</v>
      </c>
      <c r="B89" s="131"/>
      <c r="C89" s="75" t="s">
        <v>139</v>
      </c>
      <c r="D89" s="75" t="s">
        <v>81</v>
      </c>
      <c r="E89" s="131" t="s">
        <v>83</v>
      </c>
      <c r="F89" s="131"/>
      <c r="G89" s="131" t="s">
        <v>82</v>
      </c>
      <c r="H89" s="157"/>
      <c r="I89" s="14" t="s">
        <v>141</v>
      </c>
      <c r="J89" s="26">
        <f ca="1">H87*25%</f>
        <v>3.5</v>
      </c>
    </row>
    <row r="90" spans="1:11" hidden="1" x14ac:dyDescent="0.25">
      <c r="A90" s="184" t="s">
        <v>128</v>
      </c>
      <c r="B90" s="131"/>
      <c r="C90" s="75">
        <f ca="1">J91</f>
        <v>14</v>
      </c>
      <c r="D90" s="64">
        <f ca="1">((100/H87)*C90)/100</f>
        <v>1</v>
      </c>
      <c r="E90" s="134">
        <f ca="1">(((C91/H87*10)+(40/(D87+F87+H87)*C92)+(7.5/(H87)*C93)+(7.5/(H87)*C94)+(10/H87*C95)+(10/H87*C96)+(5/H87*C97)+(5/H87*C98)+(5/H87*C99))/100)</f>
        <v>0.26</v>
      </c>
      <c r="F90" s="135"/>
      <c r="G90" s="134">
        <f ca="1">((((C90/H87)*20)+((C91/H87)*25)+(30/(H87+F87+D87)*C92)+(5/H87*C93)+(5/H87*C94)+(5/H87*C95)+(5/H87*C96)+(0/H87*C97)+(0/H87*C98)+(5/H87*C99))/100)</f>
        <v>0.56999999999999995</v>
      </c>
      <c r="H90" s="140"/>
      <c r="I90" s="14" t="s">
        <v>98</v>
      </c>
      <c r="J90" s="27">
        <f ca="1">H87*50%</f>
        <v>7</v>
      </c>
    </row>
    <row r="91" spans="1:11" hidden="1" x14ac:dyDescent="0.25">
      <c r="A91" s="184" t="s">
        <v>50</v>
      </c>
      <c r="B91" s="131"/>
      <c r="C91" s="77">
        <f ca="1">J99</f>
        <v>14</v>
      </c>
      <c r="D91" s="64">
        <f ca="1">((100/H87)*C91)/100</f>
        <v>1</v>
      </c>
      <c r="E91" s="136"/>
      <c r="F91" s="137"/>
      <c r="G91" s="136"/>
      <c r="H91" s="141"/>
      <c r="I91" s="14" t="s">
        <v>99</v>
      </c>
      <c r="J91" s="27">
        <f ca="1">H87</f>
        <v>14</v>
      </c>
    </row>
    <row r="92" spans="1:11" ht="15.75" hidden="1" customHeight="1" x14ac:dyDescent="0.25">
      <c r="A92" s="184" t="s">
        <v>129</v>
      </c>
      <c r="B92" s="131"/>
      <c r="C92" s="75">
        <v>6</v>
      </c>
      <c r="D92" s="64">
        <f ca="1">((100/(D87+F87+H87))*C92)/100</f>
        <v>0.4</v>
      </c>
      <c r="E92" s="136"/>
      <c r="F92" s="137"/>
      <c r="G92" s="136"/>
      <c r="H92" s="141"/>
      <c r="I92" s="14" t="s">
        <v>100</v>
      </c>
      <c r="J92" s="28">
        <f ca="1">(IF(B87&gt;1,(H87/(B87+2)),H87/4))</f>
        <v>3.5</v>
      </c>
    </row>
    <row r="93" spans="1:11" ht="15.75" hidden="1" customHeight="1" x14ac:dyDescent="0.25">
      <c r="A93" s="184" t="s">
        <v>136</v>
      </c>
      <c r="B93" s="131" t="s">
        <v>130</v>
      </c>
      <c r="C93" s="75">
        <v>0</v>
      </c>
      <c r="D93" s="64">
        <f ca="1">((100/H87)*C93)/100</f>
        <v>0</v>
      </c>
      <c r="E93" s="136"/>
      <c r="F93" s="137"/>
      <c r="G93" s="136"/>
      <c r="H93" s="141"/>
      <c r="I93" s="14" t="s">
        <v>101</v>
      </c>
      <c r="J93" s="28">
        <f ca="1">(IF(B87&gt;1,(H87/(B87+2)+J92),H87/4+J92))</f>
        <v>7</v>
      </c>
    </row>
    <row r="94" spans="1:11" ht="15.75" hidden="1" customHeight="1" x14ac:dyDescent="0.25">
      <c r="A94" s="184" t="s">
        <v>137</v>
      </c>
      <c r="B94" s="131" t="s">
        <v>130</v>
      </c>
      <c r="C94" s="75">
        <v>0</v>
      </c>
      <c r="D94" s="64">
        <f ca="1">((100/H87)*C94)/100</f>
        <v>0</v>
      </c>
      <c r="E94" s="136"/>
      <c r="F94" s="137"/>
      <c r="G94" s="136"/>
      <c r="H94" s="141"/>
      <c r="I94" s="14" t="s">
        <v>148</v>
      </c>
      <c r="J94" s="28">
        <f>(IF(B87&gt;1,(H87/(B87+2)+J93),0))</f>
        <v>0</v>
      </c>
    </row>
    <row r="95" spans="1:11" ht="15" hidden="1" customHeight="1" x14ac:dyDescent="0.25">
      <c r="A95" s="184" t="s">
        <v>135</v>
      </c>
      <c r="B95" s="131" t="s">
        <v>132</v>
      </c>
      <c r="C95" s="75">
        <v>0</v>
      </c>
      <c r="D95" s="64">
        <f ca="1">((100/(H87))*C95)/100</f>
        <v>0</v>
      </c>
      <c r="E95" s="136"/>
      <c r="F95" s="137"/>
      <c r="G95" s="136"/>
      <c r="H95" s="141"/>
      <c r="I95" s="14" t="s">
        <v>143</v>
      </c>
      <c r="J95" s="28">
        <f>(IF(B87&gt;2,(H87/(B87+2)+J94),0))</f>
        <v>0</v>
      </c>
    </row>
    <row r="96" spans="1:11" ht="15.75" hidden="1" customHeight="1" x14ac:dyDescent="0.25">
      <c r="A96" s="184" t="s">
        <v>131</v>
      </c>
      <c r="B96" s="131" t="s">
        <v>131</v>
      </c>
      <c r="C96" s="75">
        <v>0</v>
      </c>
      <c r="D96" s="64">
        <f ca="1">((100/H87)*C96)/100</f>
        <v>0</v>
      </c>
      <c r="E96" s="136"/>
      <c r="F96" s="137"/>
      <c r="G96" s="136"/>
      <c r="H96" s="141"/>
      <c r="I96" s="14" t="s">
        <v>144</v>
      </c>
      <c r="J96" s="29">
        <f>(IF(B87&gt;3,(H87/(B87+2)+J95),0))</f>
        <v>0</v>
      </c>
    </row>
    <row r="97" spans="1:14" ht="15.75" hidden="1" customHeight="1" x14ac:dyDescent="0.25">
      <c r="A97" s="184" t="s">
        <v>138</v>
      </c>
      <c r="B97" s="131"/>
      <c r="C97" s="75">
        <v>0</v>
      </c>
      <c r="D97" s="64">
        <f ca="1">((100/H87)*C97)/100</f>
        <v>0</v>
      </c>
      <c r="E97" s="136"/>
      <c r="F97" s="137"/>
      <c r="G97" s="136"/>
      <c r="H97" s="141"/>
      <c r="I97" s="14" t="s">
        <v>145</v>
      </c>
      <c r="J97" s="28">
        <f>(IF(B87&gt;4,(H87/(B87+2)+J96),0))</f>
        <v>0</v>
      </c>
    </row>
    <row r="98" spans="1:14" ht="15.75" hidden="1" customHeight="1" x14ac:dyDescent="0.25">
      <c r="A98" s="184" t="s">
        <v>133</v>
      </c>
      <c r="B98" s="131" t="s">
        <v>133</v>
      </c>
      <c r="C98" s="75">
        <v>0</v>
      </c>
      <c r="D98" s="64">
        <f ca="1">((100/(H87))*C98)/100</f>
        <v>0</v>
      </c>
      <c r="E98" s="136"/>
      <c r="F98" s="137"/>
      <c r="G98" s="136"/>
      <c r="H98" s="141"/>
      <c r="I98" s="14" t="s">
        <v>149</v>
      </c>
      <c r="J98" s="28">
        <f ca="1">(IF(B87=1,(H87/(B87+3)+J93),IF(B87=0,(H87/4+J93),IF(B87&gt;1,0))))</f>
        <v>10.5</v>
      </c>
    </row>
    <row r="99" spans="1:14" ht="16.5" hidden="1" thickBot="1" x14ac:dyDescent="0.3">
      <c r="A99" s="192" t="s">
        <v>134</v>
      </c>
      <c r="B99" s="193"/>
      <c r="C99" s="65">
        <v>0</v>
      </c>
      <c r="D99" s="66">
        <f ca="1">((100/(H87))*C99)/100</f>
        <v>0</v>
      </c>
      <c r="E99" s="138"/>
      <c r="F99" s="139"/>
      <c r="G99" s="138"/>
      <c r="H99" s="142"/>
      <c r="I99" s="15" t="s">
        <v>102</v>
      </c>
      <c r="J99" s="30">
        <f ca="1">(IF(B87&gt;1.5,(H87/(B87+2)+J93+MAX(0,J94-J93)+MAX(0,J95-J94)+MAX(0,J96-J95)+MAX(0,J97-J96)+MAX(0,J98-J97)),IF(B87=1,(H87/(B87+3)+J98),IF(B87=0,H87/4+J98))))</f>
        <v>14</v>
      </c>
    </row>
    <row r="100" spans="1:14" x14ac:dyDescent="0.25">
      <c r="A100" s="191" t="s">
        <v>160</v>
      </c>
      <c r="B100" s="191"/>
      <c r="C100" s="191"/>
      <c r="D100" s="191"/>
      <c r="E100" s="191"/>
      <c r="F100" s="154" t="s">
        <v>164</v>
      </c>
      <c r="G100" s="154"/>
      <c r="H100" s="154"/>
      <c r="I100" s="59"/>
      <c r="J100" s="59" t="s">
        <v>281</v>
      </c>
      <c r="K100" s="59" t="s">
        <v>280</v>
      </c>
      <c r="L100" s="59" t="s">
        <v>282</v>
      </c>
      <c r="M100" s="59" t="s">
        <v>283</v>
      </c>
      <c r="N100" s="59"/>
    </row>
    <row r="101" spans="1:14" x14ac:dyDescent="0.25">
      <c r="A101" s="125" t="s">
        <v>162</v>
      </c>
      <c r="B101" s="125"/>
      <c r="C101" s="125"/>
      <c r="D101" s="125"/>
      <c r="E101" s="125"/>
      <c r="F101" s="149">
        <v>19800</v>
      </c>
      <c r="G101" s="149"/>
      <c r="H101" s="149"/>
      <c r="I101" s="60">
        <f>AVERAGE(J101:M101)</f>
        <v>20469.384551282143</v>
      </c>
      <c r="J101" s="60">
        <f>AVERAGE(J222,J224,J279:J280)</f>
        <v>20877.538205128563</v>
      </c>
      <c r="K101" s="60">
        <f>30500/1.5</f>
        <v>20333.333333333332</v>
      </c>
      <c r="L101" s="59">
        <v>22000</v>
      </c>
      <c r="M101" s="60">
        <f>28000/1.5</f>
        <v>18666.666666666668</v>
      </c>
      <c r="N101" s="59"/>
    </row>
    <row r="102" spans="1:14" x14ac:dyDescent="0.25">
      <c r="A102" s="125" t="s">
        <v>161</v>
      </c>
      <c r="B102" s="125"/>
      <c r="C102" s="125"/>
      <c r="D102" s="125"/>
      <c r="E102" s="125"/>
      <c r="F102" s="149">
        <v>32000</v>
      </c>
      <c r="G102" s="149"/>
      <c r="H102" s="149"/>
      <c r="I102" s="83" t="s">
        <v>316</v>
      </c>
      <c r="J102" s="84"/>
      <c r="K102" s="84"/>
      <c r="L102" s="84"/>
      <c r="M102" s="84"/>
      <c r="N102" s="59"/>
    </row>
    <row r="103" spans="1:14" x14ac:dyDescent="0.25">
      <c r="A103" s="125" t="s">
        <v>163</v>
      </c>
      <c r="B103" s="125"/>
      <c r="C103" s="125"/>
      <c r="D103" s="125"/>
      <c r="E103" s="125"/>
      <c r="F103" s="149">
        <v>30000</v>
      </c>
      <c r="G103" s="149"/>
      <c r="H103" s="149"/>
      <c r="I103" s="59"/>
      <c r="J103" s="59"/>
      <c r="K103" s="59"/>
      <c r="L103" s="59"/>
      <c r="M103" s="59"/>
      <c r="N103" s="59"/>
    </row>
    <row r="104" spans="1:14" s="31" customFormat="1" hidden="1" x14ac:dyDescent="0.25">
      <c r="A104" s="125" t="s">
        <v>181</v>
      </c>
      <c r="B104" s="125"/>
      <c r="C104" s="125"/>
      <c r="D104" s="125"/>
      <c r="E104" s="125"/>
      <c r="F104" s="149"/>
      <c r="G104" s="149"/>
      <c r="H104" s="149"/>
      <c r="I104" s="61"/>
      <c r="J104" s="61"/>
      <c r="K104" s="61"/>
      <c r="L104" s="61"/>
      <c r="M104" s="61"/>
      <c r="N104" s="61"/>
    </row>
    <row r="105" spans="1:14" s="31" customFormat="1" x14ac:dyDescent="0.25">
      <c r="A105" s="125" t="s">
        <v>93</v>
      </c>
      <c r="B105" s="125"/>
      <c r="C105" s="125"/>
      <c r="D105" s="125"/>
      <c r="E105" s="125"/>
      <c r="F105" s="149">
        <v>320000</v>
      </c>
      <c r="G105" s="149"/>
      <c r="H105" s="149"/>
      <c r="I105" s="61"/>
      <c r="J105" s="61"/>
      <c r="K105" s="61"/>
      <c r="L105" s="61"/>
      <c r="M105" s="61"/>
      <c r="N105" s="61"/>
    </row>
    <row r="106" spans="1:14" s="31" customFormat="1" x14ac:dyDescent="0.25">
      <c r="A106" s="125" t="s">
        <v>315</v>
      </c>
      <c r="B106" s="125"/>
      <c r="C106" s="125"/>
      <c r="D106" s="125"/>
      <c r="E106" s="125"/>
      <c r="F106" s="149">
        <v>25000</v>
      </c>
      <c r="G106" s="149"/>
      <c r="H106" s="149"/>
      <c r="I106" s="61"/>
      <c r="J106" s="61"/>
      <c r="K106" s="61"/>
      <c r="L106" s="61"/>
      <c r="M106" s="61"/>
      <c r="N106" s="61"/>
    </row>
    <row r="107" spans="1:14" s="31" customFormat="1" x14ac:dyDescent="0.25">
      <c r="A107" s="125" t="s">
        <v>314</v>
      </c>
      <c r="B107" s="125"/>
      <c r="C107" s="125"/>
      <c r="D107" s="125"/>
      <c r="E107" s="125"/>
      <c r="F107" s="149">
        <v>30000</v>
      </c>
      <c r="G107" s="149"/>
      <c r="H107" s="149"/>
      <c r="I107" s="61"/>
      <c r="J107" s="61"/>
      <c r="K107" s="61"/>
      <c r="L107" s="61"/>
      <c r="M107" s="61"/>
      <c r="N107" s="61"/>
    </row>
    <row r="108" spans="1:14" s="31" customFormat="1" hidden="1" x14ac:dyDescent="0.25">
      <c r="A108" s="125" t="s">
        <v>94</v>
      </c>
      <c r="B108" s="125"/>
      <c r="C108" s="125"/>
      <c r="D108" s="125"/>
      <c r="E108" s="125"/>
      <c r="F108" s="149"/>
      <c r="G108" s="149"/>
      <c r="H108" s="149"/>
      <c r="I108" s="61"/>
      <c r="J108" s="61"/>
      <c r="K108" s="61"/>
      <c r="L108" s="61"/>
      <c r="M108" s="61"/>
      <c r="N108" s="61"/>
    </row>
    <row r="109" spans="1:14" s="31" customFormat="1" hidden="1" x14ac:dyDescent="0.25">
      <c r="A109" s="125" t="s">
        <v>95</v>
      </c>
      <c r="B109" s="125"/>
      <c r="C109" s="125"/>
      <c r="D109" s="125"/>
      <c r="E109" s="125"/>
      <c r="F109" s="149"/>
      <c r="G109" s="149"/>
      <c r="H109" s="149"/>
      <c r="I109" s="61"/>
      <c r="J109" s="61"/>
      <c r="K109" s="61"/>
      <c r="L109" s="61"/>
      <c r="M109" s="61"/>
      <c r="N109" s="61"/>
    </row>
    <row r="110" spans="1:14" s="31" customFormat="1" hidden="1" x14ac:dyDescent="0.25">
      <c r="A110" s="125" t="s">
        <v>96</v>
      </c>
      <c r="B110" s="125"/>
      <c r="C110" s="125"/>
      <c r="D110" s="125"/>
      <c r="E110" s="125"/>
      <c r="F110" s="149"/>
      <c r="G110" s="149"/>
      <c r="H110" s="149"/>
      <c r="I110" s="61"/>
      <c r="J110" s="61"/>
      <c r="K110" s="61"/>
      <c r="L110" s="61"/>
      <c r="M110" s="61"/>
      <c r="N110" s="61"/>
    </row>
    <row r="111" spans="1:14" s="31" customFormat="1" x14ac:dyDescent="0.25">
      <c r="A111" s="125" t="s">
        <v>97</v>
      </c>
      <c r="B111" s="125"/>
      <c r="C111" s="125"/>
      <c r="D111" s="125"/>
      <c r="E111" s="125"/>
      <c r="F111" s="149">
        <v>85000</v>
      </c>
      <c r="G111" s="149"/>
      <c r="H111" s="149"/>
      <c r="I111" s="61"/>
      <c r="J111" s="61"/>
      <c r="K111" s="61"/>
      <c r="L111" s="61"/>
      <c r="M111" s="61"/>
      <c r="N111" s="61"/>
    </row>
    <row r="112" spans="1:14" x14ac:dyDescent="0.25">
      <c r="A112" s="125" t="s">
        <v>51</v>
      </c>
      <c r="B112" s="125"/>
      <c r="C112" s="125"/>
      <c r="D112" s="125"/>
      <c r="E112" s="125"/>
      <c r="F112" s="149">
        <v>800000</v>
      </c>
      <c r="G112" s="149"/>
      <c r="H112" s="149"/>
      <c r="I112" s="59"/>
      <c r="J112" s="59"/>
      <c r="K112" s="59"/>
      <c r="L112" s="59"/>
      <c r="M112" s="59"/>
      <c r="N112" s="59"/>
    </row>
    <row r="113" spans="1:14" s="32" customFormat="1" x14ac:dyDescent="0.25">
      <c r="A113" s="196" t="s">
        <v>52</v>
      </c>
      <c r="B113" s="196"/>
      <c r="C113" s="196"/>
      <c r="D113" s="196"/>
      <c r="E113" s="196"/>
      <c r="F113" s="149">
        <f>F101*0.8</f>
        <v>15840</v>
      </c>
      <c r="G113" s="149"/>
      <c r="H113" s="149"/>
      <c r="I113" s="62"/>
      <c r="J113" s="62"/>
      <c r="K113" s="62"/>
      <c r="L113" s="62"/>
      <c r="M113" s="62"/>
      <c r="N113" s="62"/>
    </row>
    <row r="114" spans="1:14" s="33" customFormat="1" ht="15.75" customHeight="1" x14ac:dyDescent="0.25">
      <c r="A114" s="100" t="s">
        <v>279</v>
      </c>
      <c r="B114" s="100"/>
      <c r="C114" s="100"/>
      <c r="D114" s="100"/>
      <c r="E114" s="100"/>
      <c r="F114" s="100"/>
      <c r="G114" s="100"/>
      <c r="H114" s="100"/>
    </row>
    <row r="115" spans="1:14" s="33" customFormat="1" ht="15.75" customHeight="1" x14ac:dyDescent="0.25">
      <c r="A115" s="101" t="s">
        <v>53</v>
      </c>
      <c r="B115" s="101"/>
      <c r="C115" s="102" t="s">
        <v>76</v>
      </c>
      <c r="D115" s="102"/>
      <c r="E115" s="103" t="s">
        <v>54</v>
      </c>
      <c r="F115" s="103"/>
      <c r="G115" s="101" t="s">
        <v>55</v>
      </c>
      <c r="H115" s="101"/>
    </row>
    <row r="116" spans="1:14" s="33" customFormat="1" ht="31.5" customHeight="1" x14ac:dyDescent="0.25">
      <c r="A116" s="58" t="s">
        <v>277</v>
      </c>
      <c r="B116" s="54" t="s">
        <v>260</v>
      </c>
      <c r="C116" s="104">
        <f>COUNT(D142:D188)</f>
        <v>47</v>
      </c>
      <c r="D116" s="105"/>
      <c r="E116" s="104">
        <f>SUM(D142:D188)</f>
        <v>11674.739887199999</v>
      </c>
      <c r="F116" s="105"/>
      <c r="G116" s="104">
        <f>SUM(F142:F188)</f>
        <v>18095.846825159995</v>
      </c>
      <c r="H116" s="105"/>
    </row>
    <row r="117" spans="1:14" s="33" customFormat="1" ht="31.5" customHeight="1" x14ac:dyDescent="0.25">
      <c r="A117" s="58" t="s">
        <v>277</v>
      </c>
      <c r="B117" s="72" t="s">
        <v>264</v>
      </c>
      <c r="C117" s="104">
        <v>1</v>
      </c>
      <c r="D117" s="105"/>
      <c r="E117" s="104">
        <f>SUM(D207)</f>
        <v>931.61558879999995</v>
      </c>
      <c r="F117" s="105"/>
      <c r="G117" s="104">
        <f>SUM(F207)</f>
        <v>1444.00416264</v>
      </c>
      <c r="H117" s="105"/>
    </row>
    <row r="118" spans="1:14" s="33" customFormat="1" ht="24.75" customHeight="1" x14ac:dyDescent="0.25">
      <c r="A118" s="100" t="s">
        <v>153</v>
      </c>
      <c r="B118" s="100"/>
      <c r="C118" s="106">
        <f>SUM(C116:D117)</f>
        <v>48</v>
      </c>
      <c r="D118" s="102"/>
      <c r="E118" s="190">
        <f>SUM(E116:F117)</f>
        <v>12606.355475999999</v>
      </c>
      <c r="F118" s="103"/>
      <c r="G118" s="101">
        <f>SUM(G116:H117)</f>
        <v>19539.850987799997</v>
      </c>
      <c r="H118" s="101"/>
    </row>
    <row r="119" spans="1:14" s="33" customFormat="1" ht="15.75" customHeight="1" x14ac:dyDescent="0.25">
      <c r="A119" s="100" t="s">
        <v>278</v>
      </c>
      <c r="B119" s="100"/>
      <c r="C119" s="100"/>
      <c r="D119" s="100"/>
      <c r="E119" s="100"/>
      <c r="F119" s="100"/>
      <c r="G119" s="100"/>
      <c r="H119" s="100"/>
    </row>
    <row r="120" spans="1:14" s="33" customFormat="1" ht="15.75" customHeight="1" x14ac:dyDescent="0.25">
      <c r="A120" s="101" t="s">
        <v>53</v>
      </c>
      <c r="B120" s="101"/>
      <c r="C120" s="102" t="s">
        <v>76</v>
      </c>
      <c r="D120" s="102"/>
      <c r="E120" s="103" t="s">
        <v>54</v>
      </c>
      <c r="F120" s="103"/>
      <c r="G120" s="101" t="s">
        <v>55</v>
      </c>
      <c r="H120" s="101"/>
    </row>
    <row r="121" spans="1:14" s="33" customFormat="1" ht="31.5" customHeight="1" x14ac:dyDescent="0.25">
      <c r="A121" s="58" t="s">
        <v>277</v>
      </c>
      <c r="B121" s="54" t="s">
        <v>264</v>
      </c>
      <c r="C121" s="104">
        <f>COUNT(D190:D206,D208:D213)</f>
        <v>23</v>
      </c>
      <c r="D121" s="105"/>
      <c r="E121" s="104">
        <f>SUM(D190:D206,D208:D213)</f>
        <v>12540.433510799998</v>
      </c>
      <c r="F121" s="105"/>
      <c r="G121" s="104">
        <f>SUM(F190:F206,F208:F213)</f>
        <v>19437.671941739998</v>
      </c>
      <c r="H121" s="105"/>
    </row>
    <row r="122" spans="1:14" s="33" customFormat="1" hidden="1" x14ac:dyDescent="0.25">
      <c r="A122" s="100" t="s">
        <v>153</v>
      </c>
      <c r="B122" s="100"/>
      <c r="C122" s="106">
        <f>SUM(C121)</f>
        <v>23</v>
      </c>
      <c r="D122" s="102"/>
      <c r="E122" s="190">
        <f>SUM(E121)</f>
        <v>12540.433510799998</v>
      </c>
      <c r="F122" s="103"/>
      <c r="G122" s="101">
        <f>SUM(G121)</f>
        <v>19437.671941739998</v>
      </c>
      <c r="H122" s="101"/>
    </row>
    <row r="123" spans="1:14" s="33" customFormat="1" x14ac:dyDescent="0.25">
      <c r="A123" s="100" t="s">
        <v>308</v>
      </c>
      <c r="B123" s="100"/>
      <c r="C123" s="100"/>
      <c r="D123" s="100"/>
      <c r="E123" s="100"/>
      <c r="F123" s="100"/>
      <c r="G123" s="100"/>
      <c r="H123" s="100"/>
    </row>
    <row r="124" spans="1:14" s="33" customFormat="1" ht="15.75" customHeight="1" x14ac:dyDescent="0.25">
      <c r="A124" s="101" t="s">
        <v>53</v>
      </c>
      <c r="B124" s="101"/>
      <c r="C124" s="102" t="s">
        <v>76</v>
      </c>
      <c r="D124" s="102"/>
      <c r="E124" s="103" t="s">
        <v>54</v>
      </c>
      <c r="F124" s="103"/>
      <c r="G124" s="101" t="s">
        <v>55</v>
      </c>
      <c r="H124" s="101"/>
    </row>
    <row r="125" spans="1:14" s="33" customFormat="1" x14ac:dyDescent="0.25">
      <c r="A125" s="97" t="s">
        <v>266</v>
      </c>
      <c r="B125" s="97"/>
      <c r="C125" s="98">
        <f>COUNT(D221,D224)+COUNT(D230)*2+COUNT(D236)+COUNT(D242)+COUNT(D248)</f>
        <v>7</v>
      </c>
      <c r="D125" s="99"/>
      <c r="E125" s="98">
        <f>SUM(D221,D224)+SUM(D230)*2+SUM(D236)+SUM(D242)+SUM(D248)</f>
        <v>3085.28532</v>
      </c>
      <c r="F125" s="99"/>
      <c r="G125" s="98">
        <f>SUM(F221,F224)+SUM(F230)*2+SUM(F236)+SUM(F242)+SUM(F248)</f>
        <v>4627.9279800000013</v>
      </c>
      <c r="H125" s="99"/>
    </row>
    <row r="126" spans="1:14" s="33" customFormat="1" x14ac:dyDescent="0.25">
      <c r="A126" s="97" t="s">
        <v>271</v>
      </c>
      <c r="B126" s="97"/>
      <c r="C126" s="98">
        <f>COUNT(D255:D258)*2+COUNT(D260:D261)+COUNT(D265:D268)+COUNT(D270:D273)</f>
        <v>18</v>
      </c>
      <c r="D126" s="99"/>
      <c r="E126" s="98">
        <f>SUM(D255:D258)*2+SUM(D260:D261)+SUM(D265:D268)+SUM(D270:D273)</f>
        <v>10906.300080000001</v>
      </c>
      <c r="F126" s="99"/>
      <c r="G126" s="98">
        <f>SUM(F255:F258)*2+SUM(F260:F261)+SUM(F265:F268)+SUM(F270:F273)</f>
        <v>16359.450119999998</v>
      </c>
      <c r="H126" s="99"/>
    </row>
    <row r="127" spans="1:14" s="33" customFormat="1" x14ac:dyDescent="0.25">
      <c r="A127" s="97" t="s">
        <v>273</v>
      </c>
      <c r="B127" s="97"/>
      <c r="C127" s="98">
        <f>COUNT(D281)+COUNT(D287)*2+COUNT(D293)+COUNT(D299)+COUNT(D302,D305)</f>
        <v>7</v>
      </c>
      <c r="D127" s="99"/>
      <c r="E127" s="98">
        <f>SUM(D281)+SUM(D287)*2+SUM(D293)+SUM(D299)+SUM(D302,D305)</f>
        <v>3164.1854399999997</v>
      </c>
      <c r="F127" s="99"/>
      <c r="G127" s="98">
        <f>SUM(F281)+SUM(F287)*2+SUM(F293)+SUM(F299)+SUM(F302,F305)</f>
        <v>4746.2781600000008</v>
      </c>
      <c r="H127" s="99"/>
    </row>
    <row r="128" spans="1:14" s="33" customFormat="1" x14ac:dyDescent="0.25">
      <c r="A128" s="187" t="s">
        <v>153</v>
      </c>
      <c r="B128" s="187"/>
      <c r="C128" s="185">
        <f>SUM(C125:C127)</f>
        <v>32</v>
      </c>
      <c r="D128" s="186"/>
      <c r="E128" s="188">
        <f>SUM(E125:E127)</f>
        <v>17155.770840000001</v>
      </c>
      <c r="F128" s="189"/>
      <c r="G128" s="230">
        <f>SUM(G125:G127)</f>
        <v>25733.65626</v>
      </c>
      <c r="H128" s="230"/>
    </row>
    <row r="129" spans="1:14" s="33" customFormat="1" x14ac:dyDescent="0.25">
      <c r="A129" s="100" t="s">
        <v>309</v>
      </c>
      <c r="B129" s="100"/>
      <c r="C129" s="100"/>
      <c r="D129" s="100"/>
      <c r="E129" s="100"/>
      <c r="F129" s="100"/>
      <c r="G129" s="100"/>
      <c r="H129" s="100"/>
    </row>
    <row r="130" spans="1:14" s="33" customFormat="1" ht="15.75" customHeight="1" x14ac:dyDescent="0.25">
      <c r="A130" s="101" t="s">
        <v>53</v>
      </c>
      <c r="B130" s="101"/>
      <c r="C130" s="102" t="s">
        <v>76</v>
      </c>
      <c r="D130" s="102"/>
      <c r="E130" s="103" t="s">
        <v>54</v>
      </c>
      <c r="F130" s="103"/>
      <c r="G130" s="101" t="s">
        <v>55</v>
      </c>
      <c r="H130" s="101"/>
    </row>
    <row r="131" spans="1:14" s="33" customFormat="1" x14ac:dyDescent="0.25">
      <c r="A131" s="97" t="s">
        <v>266</v>
      </c>
      <c r="B131" s="97"/>
      <c r="C131" s="98">
        <f>COUNT(D220,D222:D223)+COUNT(D226:D229)*2+COUNT(D232:D233,D235)+COUNT(D238:D241)+COUNT(D244:D247)</f>
        <v>22</v>
      </c>
      <c r="D131" s="99"/>
      <c r="E131" s="98">
        <f>SUM(D220,D222:D223)+SUM(D226:D229)*2+SUM(D232:D233,D235)+SUM(D238:D241)+SUM(D244:D247)</f>
        <v>15036.66216</v>
      </c>
      <c r="F131" s="99"/>
      <c r="G131" s="98">
        <f>SUM(F220,F222:F223)+SUM(F226:F229)*2+SUM(F232:F233,F235)+SUM(F238:F241)+SUM(F244:F247)</f>
        <v>22554.993239999996</v>
      </c>
      <c r="H131" s="99"/>
    </row>
    <row r="132" spans="1:14" s="33" customFormat="1" x14ac:dyDescent="0.25">
      <c r="A132" s="97" t="s">
        <v>271</v>
      </c>
      <c r="B132" s="97"/>
      <c r="C132" s="98">
        <f>COUNT(D252:D253)</f>
        <v>2</v>
      </c>
      <c r="D132" s="99"/>
      <c r="E132" s="98">
        <f>SUM(D252:D253)</f>
        <v>2081.6499599999997</v>
      </c>
      <c r="F132" s="99"/>
      <c r="G132" s="98">
        <f>SUM(F252:F253)</f>
        <v>3122.4749399999996</v>
      </c>
      <c r="H132" s="99"/>
    </row>
    <row r="133" spans="1:14" s="33" customFormat="1" x14ac:dyDescent="0.25">
      <c r="A133" s="97" t="s">
        <v>273</v>
      </c>
      <c r="B133" s="97"/>
      <c r="C133" s="98">
        <f>COUNT(D277:D280)+COUNT(D283:D286)*2+COUNT(D291:D292)+COUNT(D295:D298)+COUNT(D301)</f>
        <v>19</v>
      </c>
      <c r="D133" s="99"/>
      <c r="E133" s="98">
        <f>SUM(D277:D280)+SUM(D283:D286)*2+SUM(D291:D292)+SUM(D295:D298)+SUM(D301)</f>
        <v>13389.124319999997</v>
      </c>
      <c r="F133" s="99"/>
      <c r="G133" s="98">
        <f>SUM(F277:F280)+SUM(F283:F286)*2+SUM(F291:F292)+SUM(F295:F298)+SUM(F301)</f>
        <v>20083.686479999997</v>
      </c>
      <c r="H133" s="99"/>
      <c r="I133" s="74">
        <f>C134+C128</f>
        <v>75</v>
      </c>
    </row>
    <row r="134" spans="1:14" s="33" customFormat="1" ht="16.5" thickBot="1" x14ac:dyDescent="0.3">
      <c r="A134" s="187" t="s">
        <v>153</v>
      </c>
      <c r="B134" s="187"/>
      <c r="C134" s="185">
        <f>SUM(C131:C133)</f>
        <v>43</v>
      </c>
      <c r="D134" s="186"/>
      <c r="E134" s="188">
        <f>SUM(E131:E133)</f>
        <v>30507.436439999998</v>
      </c>
      <c r="F134" s="189"/>
      <c r="G134" s="230">
        <f>SUM(G131:G133)</f>
        <v>45761.154659999993</v>
      </c>
      <c r="H134" s="230"/>
    </row>
    <row r="135" spans="1:14" s="33" customFormat="1" ht="16.5" thickBot="1" x14ac:dyDescent="0.3">
      <c r="A135" s="161" t="s">
        <v>170</v>
      </c>
      <c r="B135" s="162"/>
      <c r="C135" s="163">
        <f>C118+C122+C128+C134</f>
        <v>146</v>
      </c>
      <c r="D135" s="164"/>
      <c r="E135" s="163">
        <f>E118+E122+E128+E134</f>
        <v>72809.996266800008</v>
      </c>
      <c r="F135" s="163"/>
      <c r="G135" s="163">
        <f>G118+G122+G128+G134</f>
        <v>110472.33384953998</v>
      </c>
      <c r="H135" s="163"/>
    </row>
    <row r="136" spans="1:14" s="32" customFormat="1" x14ac:dyDescent="0.25">
      <c r="A136" s="154" t="s">
        <v>56</v>
      </c>
      <c r="B136" s="154"/>
      <c r="C136" s="154"/>
      <c r="D136" s="154"/>
      <c r="E136" s="154"/>
      <c r="F136" s="154"/>
      <c r="G136" s="154"/>
      <c r="H136" s="154"/>
    </row>
    <row r="137" spans="1:14" x14ac:dyDescent="0.25">
      <c r="A137" s="150" t="s">
        <v>180</v>
      </c>
      <c r="B137" s="150"/>
      <c r="C137" s="150"/>
      <c r="D137" s="150"/>
      <c r="E137" s="150"/>
      <c r="F137" s="150"/>
      <c r="G137" s="150"/>
      <c r="H137" s="150"/>
    </row>
    <row r="138" spans="1:14" ht="47.25" customHeight="1" x14ac:dyDescent="0.25">
      <c r="A138" s="178" t="s">
        <v>119</v>
      </c>
      <c r="B138" s="178" t="s">
        <v>259</v>
      </c>
      <c r="C138" s="178" t="s">
        <v>57</v>
      </c>
      <c r="D138" s="178" t="s">
        <v>58</v>
      </c>
      <c r="E138" s="180" t="s">
        <v>159</v>
      </c>
      <c r="F138" s="41" t="s">
        <v>151</v>
      </c>
      <c r="G138" s="155" t="s">
        <v>60</v>
      </c>
      <c r="H138" s="182"/>
    </row>
    <row r="139" spans="1:14" s="35" customFormat="1" x14ac:dyDescent="0.25">
      <c r="A139" s="179"/>
      <c r="B139" s="179"/>
      <c r="C139" s="179"/>
      <c r="D139" s="179"/>
      <c r="E139" s="181"/>
      <c r="F139" s="13">
        <v>0.55000000000000004</v>
      </c>
      <c r="G139" s="156"/>
      <c r="H139" s="183"/>
    </row>
    <row r="140" spans="1:14" s="56" customFormat="1" x14ac:dyDescent="0.25">
      <c r="A140" s="120" t="s">
        <v>257</v>
      </c>
      <c r="B140" s="121"/>
      <c r="C140" s="121"/>
      <c r="D140" s="121"/>
      <c r="E140" s="121"/>
      <c r="F140" s="121"/>
      <c r="G140" s="121"/>
      <c r="H140" s="122"/>
      <c r="J140" s="34"/>
    </row>
    <row r="141" spans="1:14" s="35" customFormat="1" x14ac:dyDescent="0.25">
      <c r="A141" s="111" t="s">
        <v>258</v>
      </c>
      <c r="B141" s="112"/>
      <c r="C141" s="112"/>
      <c r="D141" s="112"/>
      <c r="E141" s="112"/>
      <c r="F141" s="112"/>
      <c r="G141" s="112"/>
      <c r="H141" s="113"/>
      <c r="J141" s="57">
        <v>10.763999999999999</v>
      </c>
    </row>
    <row r="142" spans="1:14" s="35" customFormat="1" ht="32.25" customHeight="1" x14ac:dyDescent="0.25">
      <c r="A142" s="79">
        <v>1</v>
      </c>
      <c r="B142" s="79" t="s">
        <v>276</v>
      </c>
      <c r="C142" s="79" t="s">
        <v>260</v>
      </c>
      <c r="D142" s="57">
        <f>(5.97*3.7+1.25*0.95+1.4*2.6)*10.764</f>
        <v>289.72920599999998</v>
      </c>
      <c r="E142" s="79">
        <v>0</v>
      </c>
      <c r="F142" s="79">
        <f>(D142+E142)*(($F$139)+1)</f>
        <v>449.0802693</v>
      </c>
      <c r="G142" s="124" t="str">
        <f>A141</f>
        <v>Ground Floor for Commercial &amp; Parking</v>
      </c>
      <c r="H142" s="124"/>
      <c r="I142" s="34"/>
      <c r="L142" s="110"/>
      <c r="M142" s="110"/>
      <c r="N142" s="34"/>
    </row>
    <row r="143" spans="1:14" s="35" customFormat="1" ht="31.5" x14ac:dyDescent="0.25">
      <c r="A143" s="79">
        <f t="shared" ref="A143:A188" si="0">A142+1</f>
        <v>2</v>
      </c>
      <c r="B143" s="79" t="s">
        <v>276</v>
      </c>
      <c r="C143" s="79" t="s">
        <v>260</v>
      </c>
      <c r="D143" s="57">
        <f>(7.24*4.2+0.91*1.33+1.06*3.1)*10.764</f>
        <v>375.70988519999997</v>
      </c>
      <c r="E143" s="79">
        <v>0</v>
      </c>
      <c r="F143" s="79">
        <f t="shared" ref="F143:F145" si="1">(D143+E143)*(($F$139)+1)</f>
        <v>582.35032205999994</v>
      </c>
      <c r="G143" s="124"/>
      <c r="H143" s="124"/>
      <c r="I143" s="34"/>
      <c r="L143" s="110"/>
      <c r="M143" s="110"/>
      <c r="N143" s="34"/>
    </row>
    <row r="144" spans="1:14" s="35" customFormat="1" ht="31.5" x14ac:dyDescent="0.25">
      <c r="A144" s="79">
        <f t="shared" si="0"/>
        <v>3</v>
      </c>
      <c r="B144" s="79" t="s">
        <v>276</v>
      </c>
      <c r="C144" s="79" t="s">
        <v>260</v>
      </c>
      <c r="D144" s="57">
        <f>(5.12*2.72+2.72*0.96)*10.764</f>
        <v>178.01072640000001</v>
      </c>
      <c r="E144" s="79">
        <v>0</v>
      </c>
      <c r="F144" s="79">
        <f t="shared" si="1"/>
        <v>275.91662592</v>
      </c>
      <c r="G144" s="124"/>
      <c r="H144" s="124"/>
      <c r="I144" s="34"/>
      <c r="L144" s="110"/>
      <c r="M144" s="110"/>
      <c r="N144" s="34"/>
    </row>
    <row r="145" spans="1:14" s="35" customFormat="1" ht="31.5" x14ac:dyDescent="0.25">
      <c r="A145" s="79">
        <f t="shared" si="0"/>
        <v>4</v>
      </c>
      <c r="B145" s="79" t="s">
        <v>276</v>
      </c>
      <c r="C145" s="79" t="s">
        <v>260</v>
      </c>
      <c r="D145" s="57">
        <f>(8.84*3.07+1.25*1.1+2.28*1.11)*10.764</f>
        <v>334.16407439999995</v>
      </c>
      <c r="E145" s="79">
        <v>0</v>
      </c>
      <c r="F145" s="79">
        <f t="shared" si="1"/>
        <v>517.95431531999998</v>
      </c>
      <c r="G145" s="124"/>
      <c r="H145" s="124"/>
      <c r="I145" s="34"/>
      <c r="L145" s="110"/>
      <c r="M145" s="110"/>
      <c r="N145" s="34"/>
    </row>
    <row r="146" spans="1:14" s="56" customFormat="1" ht="31.5" x14ac:dyDescent="0.25">
      <c r="A146" s="79">
        <f t="shared" si="0"/>
        <v>5</v>
      </c>
      <c r="B146" s="79" t="s">
        <v>276</v>
      </c>
      <c r="C146" s="79" t="s">
        <v>260</v>
      </c>
      <c r="D146" s="57">
        <f>(4.71*3.08+0.95*1.61+1.1*1.32)*10.764</f>
        <v>188.2440612</v>
      </c>
      <c r="E146" s="79">
        <v>0</v>
      </c>
      <c r="F146" s="79">
        <f>(D146+E146)*(($F$139)+1)</f>
        <v>291.77829486000002</v>
      </c>
      <c r="G146" s="124"/>
      <c r="H146" s="124"/>
      <c r="I146" s="34"/>
      <c r="L146" s="110"/>
      <c r="M146" s="110"/>
      <c r="N146" s="34"/>
    </row>
    <row r="147" spans="1:14" s="56" customFormat="1" ht="31.5" x14ac:dyDescent="0.25">
      <c r="A147" s="79">
        <f t="shared" si="0"/>
        <v>6</v>
      </c>
      <c r="B147" s="79" t="s">
        <v>276</v>
      </c>
      <c r="C147" s="79" t="s">
        <v>260</v>
      </c>
      <c r="D147" s="57">
        <f>(8.17*3.08+1.67*1.97+0.95*1.82)*10.764</f>
        <v>324.88442999999995</v>
      </c>
      <c r="E147" s="79">
        <v>0</v>
      </c>
      <c r="F147" s="79">
        <f t="shared" ref="F147:F152" si="2">(D147+E147)*(($F$139)+1)</f>
        <v>503.57086649999997</v>
      </c>
      <c r="G147" s="124"/>
      <c r="H147" s="124"/>
      <c r="I147" s="34"/>
      <c r="L147" s="110"/>
      <c r="M147" s="110"/>
      <c r="N147" s="34"/>
    </row>
    <row r="148" spans="1:14" s="56" customFormat="1" ht="31.5" x14ac:dyDescent="0.25">
      <c r="A148" s="79">
        <f t="shared" si="0"/>
        <v>7</v>
      </c>
      <c r="B148" s="79" t="s">
        <v>276</v>
      </c>
      <c r="C148" s="79" t="s">
        <v>260</v>
      </c>
      <c r="D148" s="57">
        <f>(8.87*5.92+1.37*1.25+1.37*1.05)*10.764</f>
        <v>599.13930959999993</v>
      </c>
      <c r="E148" s="79">
        <v>0</v>
      </c>
      <c r="F148" s="79">
        <f t="shared" si="2"/>
        <v>928.66592987999991</v>
      </c>
      <c r="G148" s="124"/>
      <c r="H148" s="124"/>
      <c r="I148" s="34"/>
      <c r="L148" s="110"/>
      <c r="M148" s="110"/>
      <c r="N148" s="34"/>
    </row>
    <row r="149" spans="1:14" s="56" customFormat="1" ht="31.5" x14ac:dyDescent="0.25">
      <c r="A149" s="79">
        <f t="shared" si="0"/>
        <v>8</v>
      </c>
      <c r="B149" s="79" t="s">
        <v>276</v>
      </c>
      <c r="C149" s="79" t="s">
        <v>260</v>
      </c>
      <c r="D149" s="57">
        <f>(3.18*5.62+1.25*0.95+1.78*1.1)*10.764</f>
        <v>226.22806439999997</v>
      </c>
      <c r="E149" s="79">
        <v>0</v>
      </c>
      <c r="F149" s="79">
        <f t="shared" si="2"/>
        <v>350.65349981999998</v>
      </c>
      <c r="G149" s="124"/>
      <c r="H149" s="124"/>
      <c r="I149" s="34"/>
      <c r="L149" s="110"/>
      <c r="M149" s="110"/>
      <c r="N149" s="34"/>
    </row>
    <row r="150" spans="1:14" s="56" customFormat="1" ht="31.5" x14ac:dyDescent="0.25">
      <c r="A150" s="79">
        <f t="shared" si="0"/>
        <v>9</v>
      </c>
      <c r="B150" s="79" t="s">
        <v>276</v>
      </c>
      <c r="C150" s="79" t="s">
        <v>260</v>
      </c>
      <c r="D150" s="57">
        <f>(3.08*5.82+1.68*1.1+1.25*0.95)*10.764</f>
        <v>225.62528040000001</v>
      </c>
      <c r="E150" s="79">
        <v>0</v>
      </c>
      <c r="F150" s="79">
        <f t="shared" si="2"/>
        <v>349.71918462000002</v>
      </c>
      <c r="G150" s="124"/>
      <c r="H150" s="124"/>
      <c r="I150" s="34"/>
      <c r="L150" s="110"/>
      <c r="M150" s="110"/>
      <c r="N150" s="34"/>
    </row>
    <row r="151" spans="1:14" s="56" customFormat="1" ht="31.5" x14ac:dyDescent="0.25">
      <c r="A151" s="79">
        <f t="shared" si="0"/>
        <v>10</v>
      </c>
      <c r="B151" s="79" t="s">
        <v>276</v>
      </c>
      <c r="C151" s="79" t="s">
        <v>260</v>
      </c>
      <c r="D151" s="57">
        <f>(3.05*5.82+1.25*0.95+1.65*1.1)*10.764</f>
        <v>223.39067400000002</v>
      </c>
      <c r="E151" s="79">
        <v>0</v>
      </c>
      <c r="F151" s="79">
        <f t="shared" si="2"/>
        <v>346.25554470000003</v>
      </c>
      <c r="G151" s="124"/>
      <c r="H151" s="124"/>
      <c r="I151" s="34"/>
      <c r="L151" s="110"/>
      <c r="M151" s="110"/>
      <c r="N151" s="34"/>
    </row>
    <row r="152" spans="1:14" s="56" customFormat="1" ht="31.5" x14ac:dyDescent="0.25">
      <c r="A152" s="79">
        <f t="shared" si="0"/>
        <v>11</v>
      </c>
      <c r="B152" s="79" t="s">
        <v>276</v>
      </c>
      <c r="C152" s="79" t="s">
        <v>260</v>
      </c>
      <c r="D152" s="57">
        <f>(3.43*6.92+1.18*1.45+1.2*1.3)*10.764</f>
        <v>290.6990424</v>
      </c>
      <c r="E152" s="79">
        <v>0</v>
      </c>
      <c r="F152" s="79">
        <f t="shared" si="2"/>
        <v>450.58351571999998</v>
      </c>
      <c r="G152" s="124"/>
      <c r="H152" s="124"/>
      <c r="I152" s="34"/>
      <c r="L152" s="110"/>
      <c r="M152" s="110"/>
      <c r="N152" s="34"/>
    </row>
    <row r="153" spans="1:14" s="56" customFormat="1" ht="31.5" x14ac:dyDescent="0.25">
      <c r="A153" s="79">
        <f t="shared" si="0"/>
        <v>12</v>
      </c>
      <c r="B153" s="79" t="s">
        <v>276</v>
      </c>
      <c r="C153" s="79" t="s">
        <v>260</v>
      </c>
      <c r="D153" s="57">
        <f>(3.05*5.78+1.25*0.95+1.65*1.1)*10.764</f>
        <v>222.07746600000002</v>
      </c>
      <c r="E153" s="79">
        <v>0</v>
      </c>
      <c r="F153" s="79">
        <f>(D153+E153)*(($F$139)+1)</f>
        <v>344.22007230000003</v>
      </c>
      <c r="G153" s="124"/>
      <c r="H153" s="124"/>
      <c r="I153" s="34"/>
      <c r="L153" s="110"/>
      <c r="M153" s="110"/>
      <c r="N153" s="34"/>
    </row>
    <row r="154" spans="1:14" s="56" customFormat="1" ht="31.5" x14ac:dyDescent="0.25">
      <c r="A154" s="79">
        <f t="shared" si="0"/>
        <v>13</v>
      </c>
      <c r="B154" s="79" t="s">
        <v>276</v>
      </c>
      <c r="C154" s="79" t="s">
        <v>260</v>
      </c>
      <c r="D154" s="57">
        <f>(3.43*5.15+2.03*1.1+1.25*0.95)*10.764</f>
        <v>226.95893999999998</v>
      </c>
      <c r="E154" s="79">
        <v>0</v>
      </c>
      <c r="F154" s="79">
        <f t="shared" ref="F154:F159" si="3">(D154+E154)*(($F$139)+1)</f>
        <v>351.78635700000001</v>
      </c>
      <c r="G154" s="124"/>
      <c r="H154" s="124"/>
      <c r="I154" s="34"/>
      <c r="L154" s="110"/>
      <c r="M154" s="110"/>
      <c r="N154" s="34"/>
    </row>
    <row r="155" spans="1:14" s="56" customFormat="1" ht="31.5" x14ac:dyDescent="0.25">
      <c r="A155" s="79">
        <f t="shared" si="0"/>
        <v>14</v>
      </c>
      <c r="B155" s="79" t="s">
        <v>276</v>
      </c>
      <c r="C155" s="79" t="s">
        <v>260</v>
      </c>
      <c r="D155" s="57">
        <f>(3.05*5.78+1.25*0.95+1.65*1.1)*10.764</f>
        <v>222.07746600000002</v>
      </c>
      <c r="E155" s="79">
        <v>0</v>
      </c>
      <c r="F155" s="79">
        <f t="shared" si="3"/>
        <v>344.22007230000003</v>
      </c>
      <c r="G155" s="124"/>
      <c r="H155" s="124"/>
      <c r="I155" s="34"/>
      <c r="L155" s="110"/>
      <c r="M155" s="110"/>
      <c r="N155" s="34"/>
    </row>
    <row r="156" spans="1:14" s="56" customFormat="1" ht="31.5" x14ac:dyDescent="0.25">
      <c r="A156" s="79">
        <f t="shared" si="0"/>
        <v>15</v>
      </c>
      <c r="B156" s="79" t="s">
        <v>276</v>
      </c>
      <c r="C156" s="79" t="s">
        <v>260</v>
      </c>
      <c r="D156" s="57">
        <f>(3.43*5.12+2.03*1.1+1.25*0.95)*10.764</f>
        <v>225.85132440000001</v>
      </c>
      <c r="E156" s="79">
        <v>0</v>
      </c>
      <c r="F156" s="79">
        <f t="shared" si="3"/>
        <v>350.06955282000001</v>
      </c>
      <c r="G156" s="124"/>
      <c r="H156" s="124"/>
      <c r="I156" s="34"/>
      <c r="L156" s="110"/>
      <c r="M156" s="110"/>
      <c r="N156" s="34"/>
    </row>
    <row r="157" spans="1:14" s="56" customFormat="1" ht="31.5" x14ac:dyDescent="0.25">
      <c r="A157" s="79">
        <f t="shared" si="0"/>
        <v>16</v>
      </c>
      <c r="B157" s="79" t="s">
        <v>276</v>
      </c>
      <c r="C157" s="79" t="s">
        <v>260</v>
      </c>
      <c r="D157" s="57">
        <f>(3.13*5.78+1.25*0.95+1.73*1.1)*10.764</f>
        <v>228.00197159999996</v>
      </c>
      <c r="E157" s="79">
        <v>0</v>
      </c>
      <c r="F157" s="79">
        <f t="shared" si="3"/>
        <v>353.40305597999998</v>
      </c>
      <c r="G157" s="124"/>
      <c r="H157" s="124"/>
      <c r="I157" s="34"/>
      <c r="L157" s="110"/>
      <c r="M157" s="110"/>
      <c r="N157" s="34"/>
    </row>
    <row r="158" spans="1:14" s="56" customFormat="1" ht="31.5" x14ac:dyDescent="0.25">
      <c r="A158" s="79">
        <f t="shared" si="0"/>
        <v>17</v>
      </c>
      <c r="B158" s="79" t="s">
        <v>276</v>
      </c>
      <c r="C158" s="79" t="s">
        <v>260</v>
      </c>
      <c r="D158" s="57">
        <f>(3.05*5.78+1.65*1.1+1.25*0.95)*10.764</f>
        <v>222.07746600000002</v>
      </c>
      <c r="E158" s="79">
        <v>0</v>
      </c>
      <c r="F158" s="79">
        <f t="shared" si="3"/>
        <v>344.22007230000003</v>
      </c>
      <c r="G158" s="124"/>
      <c r="H158" s="124"/>
      <c r="I158" s="34"/>
      <c r="L158" s="110"/>
      <c r="M158" s="110"/>
      <c r="N158" s="34"/>
    </row>
    <row r="159" spans="1:14" s="56" customFormat="1" ht="31.5" x14ac:dyDescent="0.25">
      <c r="A159" s="79">
        <f t="shared" si="0"/>
        <v>18</v>
      </c>
      <c r="B159" s="79" t="s">
        <v>276</v>
      </c>
      <c r="C159" s="79" t="s">
        <v>260</v>
      </c>
      <c r="D159" s="57">
        <f>(7.32*8.37+1.5*1.1+1.25*0.95+2.4*1.01+0.5*2.35)*10.764</f>
        <v>728.77554359999988</v>
      </c>
      <c r="E159" s="79">
        <v>0</v>
      </c>
      <c r="F159" s="79">
        <f t="shared" si="3"/>
        <v>1129.6020925799999</v>
      </c>
      <c r="G159" s="124"/>
      <c r="H159" s="124"/>
      <c r="I159" s="34"/>
      <c r="L159" s="110"/>
      <c r="M159" s="110"/>
      <c r="N159" s="34"/>
    </row>
    <row r="160" spans="1:14" s="56" customFormat="1" ht="31.5" x14ac:dyDescent="0.25">
      <c r="A160" s="79">
        <f t="shared" si="0"/>
        <v>19</v>
      </c>
      <c r="B160" s="79" t="s">
        <v>276</v>
      </c>
      <c r="C160" s="79" t="s">
        <v>260</v>
      </c>
      <c r="D160" s="57">
        <f>(2.6*7.27+1.25*0.95+1.2*1.1)*10.764</f>
        <v>230.45185799999999</v>
      </c>
      <c r="E160" s="79">
        <v>0</v>
      </c>
      <c r="F160" s="79">
        <f>(D160+E160)*(($F$139)+1)</f>
        <v>357.20037989999997</v>
      </c>
      <c r="G160" s="124"/>
      <c r="H160" s="124"/>
      <c r="I160" s="34"/>
      <c r="L160" s="110"/>
      <c r="M160" s="110"/>
      <c r="N160" s="34"/>
    </row>
    <row r="161" spans="1:14" s="56" customFormat="1" ht="31.5" x14ac:dyDescent="0.25">
      <c r="A161" s="79">
        <f t="shared" si="0"/>
        <v>20</v>
      </c>
      <c r="B161" s="79" t="s">
        <v>276</v>
      </c>
      <c r="C161" s="79" t="s">
        <v>260</v>
      </c>
      <c r="D161" s="57">
        <f>(2.84*6.47+1.41*0.95+1.28*1.1)*10.764</f>
        <v>227.36043719999998</v>
      </c>
      <c r="E161" s="79">
        <v>0</v>
      </c>
      <c r="F161" s="79">
        <f t="shared" ref="F161:F166" si="4">(D161+E161)*(($F$139)+1)</f>
        <v>352.40867765999997</v>
      </c>
      <c r="G161" s="124"/>
      <c r="H161" s="124"/>
      <c r="I161" s="34"/>
      <c r="L161" s="110"/>
      <c r="M161" s="110"/>
      <c r="N161" s="34"/>
    </row>
    <row r="162" spans="1:14" s="56" customFormat="1" ht="31.5" x14ac:dyDescent="0.25">
      <c r="A162" s="79">
        <f t="shared" si="0"/>
        <v>21</v>
      </c>
      <c r="B162" s="79" t="s">
        <v>276</v>
      </c>
      <c r="C162" s="79" t="s">
        <v>260</v>
      </c>
      <c r="D162" s="57">
        <f>(5.52*5.88+4.34*1.18+1.33*1.03)*10.764</f>
        <v>419.24380680000002</v>
      </c>
      <c r="E162" s="79">
        <v>0</v>
      </c>
      <c r="F162" s="79">
        <f t="shared" si="4"/>
        <v>649.82790054000009</v>
      </c>
      <c r="G162" s="124"/>
      <c r="H162" s="124"/>
      <c r="I162" s="34"/>
      <c r="L162" s="110"/>
      <c r="M162" s="110"/>
      <c r="N162" s="34"/>
    </row>
    <row r="163" spans="1:14" s="56" customFormat="1" ht="31.5" x14ac:dyDescent="0.25">
      <c r="A163" s="79">
        <f t="shared" si="0"/>
        <v>22</v>
      </c>
      <c r="B163" s="79" t="s">
        <v>276</v>
      </c>
      <c r="C163" s="79" t="s">
        <v>260</v>
      </c>
      <c r="D163" s="57">
        <f>(2.13*2.25)*10.764</f>
        <v>51.586469999999991</v>
      </c>
      <c r="E163" s="79">
        <v>0</v>
      </c>
      <c r="F163" s="79">
        <f t="shared" si="4"/>
        <v>79.959028499999988</v>
      </c>
      <c r="G163" s="124"/>
      <c r="H163" s="124"/>
      <c r="I163" s="34"/>
      <c r="L163" s="110"/>
      <c r="M163" s="110"/>
      <c r="N163" s="34"/>
    </row>
    <row r="164" spans="1:14" s="56" customFormat="1" ht="31.5" x14ac:dyDescent="0.25">
      <c r="A164" s="79">
        <f t="shared" si="0"/>
        <v>23</v>
      </c>
      <c r="B164" s="79" t="s">
        <v>276</v>
      </c>
      <c r="C164" s="79" t="s">
        <v>260</v>
      </c>
      <c r="D164" s="57">
        <f>(2.13*2.25)*10.764</f>
        <v>51.586469999999991</v>
      </c>
      <c r="E164" s="79">
        <v>0</v>
      </c>
      <c r="F164" s="79">
        <f t="shared" si="4"/>
        <v>79.959028499999988</v>
      </c>
      <c r="G164" s="124"/>
      <c r="H164" s="124"/>
      <c r="I164" s="34"/>
      <c r="L164" s="110"/>
      <c r="M164" s="110"/>
      <c r="N164" s="34"/>
    </row>
    <row r="165" spans="1:14" s="56" customFormat="1" ht="31.5" x14ac:dyDescent="0.25">
      <c r="A165" s="79">
        <f t="shared" si="0"/>
        <v>24</v>
      </c>
      <c r="B165" s="79" t="s">
        <v>276</v>
      </c>
      <c r="C165" s="79" t="s">
        <v>260</v>
      </c>
      <c r="D165" s="57">
        <f>(2.13*2.25)*10.764</f>
        <v>51.586469999999991</v>
      </c>
      <c r="E165" s="79">
        <v>0</v>
      </c>
      <c r="F165" s="79">
        <f t="shared" si="4"/>
        <v>79.959028499999988</v>
      </c>
      <c r="G165" s="124"/>
      <c r="H165" s="124"/>
      <c r="I165" s="34"/>
      <c r="L165" s="110"/>
      <c r="M165" s="110"/>
      <c r="N165" s="34"/>
    </row>
    <row r="166" spans="1:14" s="56" customFormat="1" ht="31.5" x14ac:dyDescent="0.25">
      <c r="A166" s="79">
        <f t="shared" si="0"/>
        <v>25</v>
      </c>
      <c r="B166" s="79" t="s">
        <v>276</v>
      </c>
      <c r="C166" s="79" t="s">
        <v>260</v>
      </c>
      <c r="D166" s="57">
        <f>(5.58*3.14+0.95*1.25+1.1*1.74)*10.764</f>
        <v>221.98274280000001</v>
      </c>
      <c r="E166" s="79">
        <v>0</v>
      </c>
      <c r="F166" s="79">
        <f t="shared" si="4"/>
        <v>344.07325134000001</v>
      </c>
      <c r="G166" s="124"/>
      <c r="H166" s="124"/>
      <c r="I166" s="34"/>
      <c r="L166" s="110"/>
      <c r="M166" s="110"/>
      <c r="N166" s="34"/>
    </row>
    <row r="167" spans="1:14" s="56" customFormat="1" ht="31.5" x14ac:dyDescent="0.25">
      <c r="A167" s="79">
        <f t="shared" si="0"/>
        <v>26</v>
      </c>
      <c r="B167" s="79" t="s">
        <v>276</v>
      </c>
      <c r="C167" s="79" t="s">
        <v>260</v>
      </c>
      <c r="D167" s="57">
        <f>(4.8*3.59+0.95*1.25+1.1*2.19)*10.764</f>
        <v>224.19797399999996</v>
      </c>
      <c r="E167" s="79">
        <v>0</v>
      </c>
      <c r="F167" s="79">
        <f>(D167+E167)*(($F$139)+1)</f>
        <v>347.50685969999995</v>
      </c>
      <c r="G167" s="124"/>
      <c r="H167" s="124"/>
      <c r="I167" s="34"/>
      <c r="L167" s="110"/>
      <c r="M167" s="110"/>
      <c r="N167" s="34"/>
    </row>
    <row r="168" spans="1:14" s="56" customFormat="1" ht="31.5" x14ac:dyDescent="0.25">
      <c r="A168" s="79">
        <f t="shared" si="0"/>
        <v>27</v>
      </c>
      <c r="B168" s="79" t="s">
        <v>276</v>
      </c>
      <c r="C168" s="79" t="s">
        <v>260</v>
      </c>
      <c r="D168" s="57">
        <f>(4.8*3.59+0.95*1.25+1.1*2.19)*10.764</f>
        <v>224.19797399999996</v>
      </c>
      <c r="E168" s="79">
        <v>0</v>
      </c>
      <c r="F168" s="79">
        <f t="shared" ref="F168:F173" si="5">(D168+E168)*(($F$139)+1)</f>
        <v>347.50685969999995</v>
      </c>
      <c r="G168" s="124"/>
      <c r="H168" s="124"/>
      <c r="I168" s="34"/>
      <c r="L168" s="110"/>
      <c r="M168" s="110"/>
      <c r="N168" s="34"/>
    </row>
    <row r="169" spans="1:14" s="56" customFormat="1" ht="31.5" x14ac:dyDescent="0.25">
      <c r="A169" s="79">
        <f t="shared" si="0"/>
        <v>28</v>
      </c>
      <c r="B169" s="79" t="s">
        <v>276</v>
      </c>
      <c r="C169" s="79" t="s">
        <v>260</v>
      </c>
      <c r="D169" s="57">
        <f>(2.2*2.95)*10.764</f>
        <v>69.858360000000005</v>
      </c>
      <c r="E169" s="79">
        <v>0</v>
      </c>
      <c r="F169" s="79">
        <f t="shared" si="5"/>
        <v>108.28045800000001</v>
      </c>
      <c r="G169" s="124"/>
      <c r="H169" s="124"/>
      <c r="I169" s="34"/>
      <c r="L169" s="110"/>
      <c r="M169" s="110"/>
      <c r="N169" s="34"/>
    </row>
    <row r="170" spans="1:14" s="56" customFormat="1" ht="31.5" x14ac:dyDescent="0.25">
      <c r="A170" s="79">
        <f t="shared" si="0"/>
        <v>29</v>
      </c>
      <c r="B170" s="79" t="s">
        <v>276</v>
      </c>
      <c r="C170" s="79" t="s">
        <v>260</v>
      </c>
      <c r="D170" s="57">
        <f>(1.7*2.95)*10.764</f>
        <v>53.981460000000006</v>
      </c>
      <c r="E170" s="79">
        <v>0</v>
      </c>
      <c r="F170" s="79">
        <f t="shared" si="5"/>
        <v>83.67126300000001</v>
      </c>
      <c r="G170" s="124"/>
      <c r="H170" s="124"/>
      <c r="I170" s="34"/>
      <c r="L170" s="110"/>
      <c r="M170" s="110"/>
      <c r="N170" s="34"/>
    </row>
    <row r="171" spans="1:14" s="56" customFormat="1" ht="31.5" x14ac:dyDescent="0.25">
      <c r="A171" s="79">
        <f t="shared" si="0"/>
        <v>30</v>
      </c>
      <c r="B171" s="79" t="s">
        <v>276</v>
      </c>
      <c r="C171" s="79" t="s">
        <v>260</v>
      </c>
      <c r="D171" s="57">
        <f>(1.93*2.95)*10.764</f>
        <v>61.284833999999996</v>
      </c>
      <c r="E171" s="79">
        <v>0</v>
      </c>
      <c r="F171" s="79">
        <f t="shared" si="5"/>
        <v>94.991492699999995</v>
      </c>
      <c r="G171" s="124"/>
      <c r="H171" s="124"/>
      <c r="I171" s="34"/>
      <c r="L171" s="110"/>
      <c r="M171" s="110"/>
      <c r="N171" s="34"/>
    </row>
    <row r="172" spans="1:14" s="56" customFormat="1" ht="31.5" x14ac:dyDescent="0.25">
      <c r="A172" s="79">
        <f t="shared" si="0"/>
        <v>31</v>
      </c>
      <c r="B172" s="79" t="s">
        <v>276</v>
      </c>
      <c r="C172" s="79" t="s">
        <v>260</v>
      </c>
      <c r="D172" s="57">
        <f>(2.77*6.55+1.67*1.15+1.33*1)*10.764</f>
        <v>230.28501599999996</v>
      </c>
      <c r="E172" s="79">
        <v>0</v>
      </c>
      <c r="F172" s="79">
        <f t="shared" si="5"/>
        <v>356.94177479999996</v>
      </c>
      <c r="G172" s="124"/>
      <c r="H172" s="124"/>
      <c r="I172" s="34"/>
      <c r="L172" s="110"/>
      <c r="M172" s="110"/>
      <c r="N172" s="34"/>
    </row>
    <row r="173" spans="1:14" s="56" customFormat="1" ht="31.5" x14ac:dyDescent="0.25">
      <c r="A173" s="79">
        <f t="shared" si="0"/>
        <v>32</v>
      </c>
      <c r="B173" s="79" t="s">
        <v>276</v>
      </c>
      <c r="C173" s="79" t="s">
        <v>260</v>
      </c>
      <c r="D173" s="57">
        <f>(3.08*6.3+2.03*0.18+0.9*1.25)*10.764</f>
        <v>224.90732159999999</v>
      </c>
      <c r="E173" s="79">
        <v>0</v>
      </c>
      <c r="F173" s="79">
        <f t="shared" si="5"/>
        <v>348.60634848000001</v>
      </c>
      <c r="G173" s="124"/>
      <c r="H173" s="124"/>
      <c r="I173" s="34"/>
      <c r="L173" s="110"/>
      <c r="M173" s="110"/>
      <c r="N173" s="34"/>
    </row>
    <row r="174" spans="1:14" s="56" customFormat="1" ht="31.5" x14ac:dyDescent="0.25">
      <c r="A174" s="79">
        <f t="shared" si="0"/>
        <v>33</v>
      </c>
      <c r="B174" s="79" t="s">
        <v>276</v>
      </c>
      <c r="C174" s="79" t="s">
        <v>260</v>
      </c>
      <c r="D174" s="57">
        <f>(2.63*6.48+1.96*1.22+1.27*0.99)*10.764</f>
        <v>222.71684760000002</v>
      </c>
      <c r="E174" s="79">
        <v>0</v>
      </c>
      <c r="F174" s="79">
        <f>(D174+E174)*(($F$139)+1)</f>
        <v>345.21111378000006</v>
      </c>
      <c r="G174" s="124"/>
      <c r="H174" s="124"/>
      <c r="I174" s="34"/>
      <c r="L174" s="110"/>
      <c r="M174" s="110"/>
      <c r="N174" s="34"/>
    </row>
    <row r="175" spans="1:14" s="56" customFormat="1" ht="31.5" x14ac:dyDescent="0.25">
      <c r="A175" s="79">
        <f t="shared" si="0"/>
        <v>34</v>
      </c>
      <c r="B175" s="79" t="s">
        <v>276</v>
      </c>
      <c r="C175" s="79" t="s">
        <v>260</v>
      </c>
      <c r="D175" s="57">
        <f>(2.57*7.11+1.25*1+1.17*1.15)*10.764</f>
        <v>224.62530480000001</v>
      </c>
      <c r="E175" s="79">
        <v>0</v>
      </c>
      <c r="F175" s="79">
        <f t="shared" ref="F175:F180" si="6">(D175+E175)*(($F$139)+1)</f>
        <v>348.16922244</v>
      </c>
      <c r="G175" s="124"/>
      <c r="H175" s="124"/>
      <c r="I175" s="34"/>
      <c r="L175" s="110"/>
      <c r="M175" s="110"/>
      <c r="N175" s="34"/>
    </row>
    <row r="176" spans="1:14" s="56" customFormat="1" ht="63" customHeight="1" x14ac:dyDescent="0.25">
      <c r="A176" s="79">
        <f t="shared" si="0"/>
        <v>35</v>
      </c>
      <c r="B176" s="79" t="s">
        <v>276</v>
      </c>
      <c r="C176" s="79" t="s">
        <v>261</v>
      </c>
      <c r="D176" s="57">
        <f>((3.33*4.38+0.95*1.25+2.23*1.4)+(2.53*5.98+1.7*3.3+1.55*1.25))*10.764</f>
        <v>447.47885519999994</v>
      </c>
      <c r="E176" s="79">
        <v>0</v>
      </c>
      <c r="F176" s="79">
        <f t="shared" si="6"/>
        <v>693.59222555999997</v>
      </c>
      <c r="G176" s="124"/>
      <c r="H176" s="124"/>
      <c r="I176" s="34"/>
      <c r="L176" s="110"/>
      <c r="M176" s="110"/>
      <c r="N176" s="34"/>
    </row>
    <row r="177" spans="1:14" s="56" customFormat="1" ht="31.5" x14ac:dyDescent="0.25">
      <c r="A177" s="79">
        <f t="shared" si="0"/>
        <v>36</v>
      </c>
      <c r="B177" s="79" t="s">
        <v>276</v>
      </c>
      <c r="C177" s="79" t="s">
        <v>260</v>
      </c>
      <c r="D177" s="57">
        <f>(3.28*5.78+0.95*0.72+0.95*1.25)*10.764</f>
        <v>224.21304360000002</v>
      </c>
      <c r="E177" s="79">
        <v>0</v>
      </c>
      <c r="F177" s="79">
        <f t="shared" si="6"/>
        <v>347.53021758000006</v>
      </c>
      <c r="G177" s="124"/>
      <c r="H177" s="124"/>
      <c r="I177" s="34"/>
      <c r="L177" s="110"/>
      <c r="M177" s="110"/>
      <c r="N177" s="34"/>
    </row>
    <row r="178" spans="1:14" s="56" customFormat="1" ht="31.5" x14ac:dyDescent="0.25">
      <c r="A178" s="79">
        <f t="shared" si="0"/>
        <v>37</v>
      </c>
      <c r="B178" s="79" t="s">
        <v>276</v>
      </c>
      <c r="C178" s="79" t="s">
        <v>260</v>
      </c>
      <c r="D178" s="57">
        <f>(3.28*5.45+1.25*0.95+1.88*1.1)*10.764</f>
        <v>227.45946600000002</v>
      </c>
      <c r="E178" s="79">
        <v>0</v>
      </c>
      <c r="F178" s="79">
        <f t="shared" si="6"/>
        <v>352.56217230000004</v>
      </c>
      <c r="G178" s="124"/>
      <c r="H178" s="124"/>
      <c r="I178" s="34"/>
      <c r="L178" s="110"/>
      <c r="M178" s="110"/>
      <c r="N178" s="34"/>
    </row>
    <row r="179" spans="1:14" s="56" customFormat="1" ht="31.5" x14ac:dyDescent="0.25">
      <c r="A179" s="79">
        <f t="shared" si="0"/>
        <v>38</v>
      </c>
      <c r="B179" s="79" t="s">
        <v>276</v>
      </c>
      <c r="C179" s="79" t="s">
        <v>260</v>
      </c>
      <c r="D179" s="57">
        <f>(3.6*6.05+1.25*0.95+2.2*1.1)*10.764</f>
        <v>273.27105</v>
      </c>
      <c r="E179" s="79">
        <v>0</v>
      </c>
      <c r="F179" s="79">
        <f t="shared" si="6"/>
        <v>423.57012750000001</v>
      </c>
      <c r="G179" s="124"/>
      <c r="H179" s="124"/>
      <c r="I179" s="34"/>
      <c r="L179" s="110"/>
      <c r="M179" s="110"/>
      <c r="N179" s="34"/>
    </row>
    <row r="180" spans="1:14" s="56" customFormat="1" ht="31.5" x14ac:dyDescent="0.25">
      <c r="A180" s="79">
        <f t="shared" si="0"/>
        <v>39</v>
      </c>
      <c r="B180" s="79" t="s">
        <v>276</v>
      </c>
      <c r="C180" s="79" t="s">
        <v>260</v>
      </c>
      <c r="D180" s="57">
        <f>(2.88*5.78+2.2*0.72+0.95*1.25+1.1*1.4)*10.764</f>
        <v>225.59083559999996</v>
      </c>
      <c r="E180" s="79">
        <v>0</v>
      </c>
      <c r="F180" s="79">
        <f t="shared" si="6"/>
        <v>349.66579517999998</v>
      </c>
      <c r="G180" s="124"/>
      <c r="H180" s="124"/>
      <c r="I180" s="34"/>
      <c r="L180" s="110"/>
      <c r="M180" s="110"/>
      <c r="N180" s="34"/>
    </row>
    <row r="181" spans="1:14" s="56" customFormat="1" ht="31.5" x14ac:dyDescent="0.25">
      <c r="A181" s="79">
        <f t="shared" si="0"/>
        <v>40</v>
      </c>
      <c r="B181" s="79" t="s">
        <v>276</v>
      </c>
      <c r="C181" s="79" t="s">
        <v>260</v>
      </c>
      <c r="D181" s="57">
        <f>(2.98*5.78+1.93*0.72+0.83*1.4+0.95*1.25)*10.764</f>
        <v>225.65111399999998</v>
      </c>
      <c r="E181" s="79">
        <v>0</v>
      </c>
      <c r="F181" s="79">
        <f>(D181+E181)*(($F$139)+1)</f>
        <v>349.7592267</v>
      </c>
      <c r="G181" s="124"/>
      <c r="H181" s="124"/>
      <c r="I181" s="34"/>
      <c r="L181" s="110"/>
      <c r="M181" s="110"/>
      <c r="N181" s="34"/>
    </row>
    <row r="182" spans="1:14" s="56" customFormat="1" ht="31.5" x14ac:dyDescent="0.25">
      <c r="A182" s="79">
        <f t="shared" si="0"/>
        <v>41</v>
      </c>
      <c r="B182" s="79" t="s">
        <v>276</v>
      </c>
      <c r="C182" s="79" t="s">
        <v>260</v>
      </c>
      <c r="D182" s="57">
        <f>(4*5.78+0.95*1.89+2.75*2.12)*10.764</f>
        <v>330.94456199999996</v>
      </c>
      <c r="E182" s="79">
        <v>0</v>
      </c>
      <c r="F182" s="79">
        <f t="shared" ref="F182:F187" si="7">(D182+E182)*(($F$139)+1)</f>
        <v>512.96407109999996</v>
      </c>
      <c r="G182" s="124"/>
      <c r="H182" s="124"/>
      <c r="I182" s="34"/>
      <c r="L182" s="110"/>
      <c r="M182" s="110"/>
      <c r="N182" s="34"/>
    </row>
    <row r="183" spans="1:14" s="56" customFormat="1" ht="31.5" x14ac:dyDescent="0.25">
      <c r="A183" s="79">
        <f t="shared" si="0"/>
        <v>42</v>
      </c>
      <c r="B183" s="79" t="s">
        <v>276</v>
      </c>
      <c r="C183" s="79" t="s">
        <v>260</v>
      </c>
      <c r="D183" s="57">
        <f>(2.48*7.5+1.25*0.95+1.08*1.1)*10.764</f>
        <v>225.780282</v>
      </c>
      <c r="E183" s="79">
        <v>0</v>
      </c>
      <c r="F183" s="79">
        <f t="shared" si="7"/>
        <v>349.9594371</v>
      </c>
      <c r="G183" s="124"/>
      <c r="H183" s="124"/>
      <c r="I183" s="34"/>
      <c r="L183" s="110"/>
      <c r="M183" s="110"/>
      <c r="N183" s="34"/>
    </row>
    <row r="184" spans="1:14" s="56" customFormat="1" ht="63" customHeight="1" x14ac:dyDescent="0.25">
      <c r="A184" s="79">
        <f t="shared" si="0"/>
        <v>43</v>
      </c>
      <c r="B184" s="79" t="s">
        <v>276</v>
      </c>
      <c r="C184" s="79" t="s">
        <v>261</v>
      </c>
      <c r="D184" s="57">
        <f>((3.75*5.71+1.25*0.95+2.35*1.1)+(2.38*5.98+1.55*1.25+1.7*3.38))*10.764</f>
        <v>506.99408759999994</v>
      </c>
      <c r="E184" s="79">
        <v>0</v>
      </c>
      <c r="F184" s="79">
        <f t="shared" si="7"/>
        <v>785.84083577999991</v>
      </c>
      <c r="G184" s="124"/>
      <c r="H184" s="124"/>
      <c r="I184" s="34"/>
      <c r="L184" s="110"/>
      <c r="M184" s="110"/>
      <c r="N184" s="34"/>
    </row>
    <row r="185" spans="1:14" s="56" customFormat="1" ht="31.5" x14ac:dyDescent="0.25">
      <c r="A185" s="79">
        <f t="shared" si="0"/>
        <v>44</v>
      </c>
      <c r="B185" s="79" t="s">
        <v>276</v>
      </c>
      <c r="C185" s="79" t="s">
        <v>260</v>
      </c>
      <c r="D185" s="57">
        <f>(2.73*5.78+2.2*1.03+1.25*0.94+1.47*1.09)*10.764</f>
        <v>224.1355428</v>
      </c>
      <c r="E185" s="79">
        <v>0</v>
      </c>
      <c r="F185" s="79">
        <f t="shared" si="7"/>
        <v>347.41009134000001</v>
      </c>
      <c r="G185" s="124"/>
      <c r="H185" s="124"/>
      <c r="I185" s="34"/>
      <c r="L185" s="110"/>
      <c r="M185" s="110"/>
      <c r="N185" s="34"/>
    </row>
    <row r="186" spans="1:14" s="56" customFormat="1" ht="31.5" x14ac:dyDescent="0.25">
      <c r="A186" s="79">
        <f t="shared" si="0"/>
        <v>45</v>
      </c>
      <c r="B186" s="79" t="s">
        <v>276</v>
      </c>
      <c r="C186" s="79" t="s">
        <v>260</v>
      </c>
      <c r="D186" s="57">
        <f>(2.68*5.78+1.93*1.8+1.93*0.94)*10.764</f>
        <v>223.66085039999999</v>
      </c>
      <c r="E186" s="79">
        <v>0</v>
      </c>
      <c r="F186" s="79">
        <f t="shared" si="7"/>
        <v>346.67431812000001</v>
      </c>
      <c r="G186" s="124"/>
      <c r="H186" s="124"/>
      <c r="I186" s="34"/>
      <c r="L186" s="110"/>
      <c r="M186" s="110"/>
      <c r="N186" s="34"/>
    </row>
    <row r="187" spans="1:14" s="56" customFormat="1" ht="31.5" x14ac:dyDescent="0.25">
      <c r="A187" s="79">
        <f t="shared" si="0"/>
        <v>46</v>
      </c>
      <c r="B187" s="79" t="s">
        <v>276</v>
      </c>
      <c r="C187" s="79" t="s">
        <v>260</v>
      </c>
      <c r="D187" s="57">
        <f>(2.75*5.86+0.95*1.72+1.65*1.87)*10.764</f>
        <v>224.26255800000001</v>
      </c>
      <c r="E187" s="79">
        <v>0</v>
      </c>
      <c r="F187" s="79">
        <f t="shared" si="7"/>
        <v>347.60696490000004</v>
      </c>
      <c r="G187" s="124"/>
      <c r="H187" s="124"/>
      <c r="I187" s="34"/>
      <c r="L187" s="110"/>
      <c r="M187" s="110"/>
      <c r="N187" s="34"/>
    </row>
    <row r="188" spans="1:14" s="56" customFormat="1" ht="31.5" x14ac:dyDescent="0.25">
      <c r="A188" s="79">
        <f t="shared" si="0"/>
        <v>47</v>
      </c>
      <c r="B188" s="79" t="s">
        <v>276</v>
      </c>
      <c r="C188" s="79" t="s">
        <v>260</v>
      </c>
      <c r="D188" s="57">
        <f>(2.53*6.48+1*1.61)*10.764</f>
        <v>193.7993616</v>
      </c>
      <c r="E188" s="79">
        <v>0</v>
      </c>
      <c r="F188" s="79">
        <f>(D188+E188)*(($F$139)+1)</f>
        <v>300.38901048000002</v>
      </c>
      <c r="G188" s="124"/>
      <c r="H188" s="124"/>
      <c r="I188" s="34"/>
      <c r="L188" s="110"/>
      <c r="M188" s="110"/>
      <c r="N188" s="34"/>
    </row>
    <row r="189" spans="1:14" s="56" customFormat="1" x14ac:dyDescent="0.25">
      <c r="A189" s="123" t="s">
        <v>262</v>
      </c>
      <c r="B189" s="123"/>
      <c r="C189" s="123"/>
      <c r="D189" s="123"/>
      <c r="E189" s="123"/>
      <c r="F189" s="123"/>
      <c r="G189" s="123"/>
      <c r="H189" s="123"/>
      <c r="J189" s="34"/>
    </row>
    <row r="190" spans="1:14" s="56" customFormat="1" ht="15.75" customHeight="1" x14ac:dyDescent="0.25">
      <c r="A190" s="79">
        <v>1</v>
      </c>
      <c r="B190" s="80" t="s">
        <v>263</v>
      </c>
      <c r="C190" s="79" t="s">
        <v>264</v>
      </c>
      <c r="D190" s="57">
        <f>(5.82*8.41+4.38*4.8+2*3.1+1.85*1.55)*10.764</f>
        <v>850.76180280000005</v>
      </c>
      <c r="E190" s="79">
        <v>0</v>
      </c>
      <c r="F190" s="79">
        <f>(D190+E190)*(($F$139)+1)</f>
        <v>1318.6807943400001</v>
      </c>
      <c r="G190" s="124" t="str">
        <f>A189</f>
        <v>1st Floor</v>
      </c>
      <c r="H190" s="124"/>
      <c r="I190" s="34"/>
      <c r="L190" s="110"/>
      <c r="M190" s="110"/>
      <c r="N190" s="34"/>
    </row>
    <row r="191" spans="1:14" s="56" customFormat="1" x14ac:dyDescent="0.25">
      <c r="A191" s="79">
        <f t="shared" ref="A191:A213" si="8">A190+1</f>
        <v>2</v>
      </c>
      <c r="B191" s="80" t="s">
        <v>263</v>
      </c>
      <c r="C191" s="79" t="s">
        <v>264</v>
      </c>
      <c r="D191" s="57">
        <f>(3.73*6.13+1.7*2.93+1.55*1.85)*10.764</f>
        <v>330.59903759999997</v>
      </c>
      <c r="E191" s="79">
        <v>0</v>
      </c>
      <c r="F191" s="79">
        <f t="shared" ref="F191:F193" si="9">(D191+E191)*(($F$139)+1)</f>
        <v>512.42850827999996</v>
      </c>
      <c r="G191" s="124"/>
      <c r="H191" s="124"/>
      <c r="I191" s="34"/>
      <c r="L191" s="110"/>
      <c r="M191" s="110"/>
      <c r="N191" s="34"/>
    </row>
    <row r="192" spans="1:14" s="56" customFormat="1" x14ac:dyDescent="0.25">
      <c r="A192" s="79">
        <f t="shared" si="8"/>
        <v>3</v>
      </c>
      <c r="B192" s="80" t="s">
        <v>263</v>
      </c>
      <c r="C192" s="79" t="s">
        <v>264</v>
      </c>
      <c r="D192" s="57">
        <f>(7.03*6.13+1.55*1.85+1.7*2.93)*10.764</f>
        <v>548.34399359999998</v>
      </c>
      <c r="E192" s="79">
        <v>0</v>
      </c>
      <c r="F192" s="79">
        <f t="shared" si="9"/>
        <v>849.93319008000003</v>
      </c>
      <c r="G192" s="124"/>
      <c r="H192" s="124"/>
      <c r="I192" s="34"/>
      <c r="L192" s="110"/>
      <c r="M192" s="110"/>
      <c r="N192" s="34"/>
    </row>
    <row r="193" spans="1:14" s="56" customFormat="1" x14ac:dyDescent="0.25">
      <c r="A193" s="79">
        <f t="shared" si="8"/>
        <v>4</v>
      </c>
      <c r="B193" s="80" t="s">
        <v>263</v>
      </c>
      <c r="C193" s="79" t="s">
        <v>264</v>
      </c>
      <c r="D193" s="57">
        <f>(4.93*6.13+1.55*1.85+1.7*2.93)*10.764</f>
        <v>409.77902160000002</v>
      </c>
      <c r="E193" s="79">
        <v>0</v>
      </c>
      <c r="F193" s="79">
        <f t="shared" si="9"/>
        <v>635.15748348</v>
      </c>
      <c r="G193" s="124"/>
      <c r="H193" s="124"/>
      <c r="I193" s="34"/>
      <c r="L193" s="110"/>
      <c r="M193" s="110"/>
      <c r="N193" s="34"/>
    </row>
    <row r="194" spans="1:14" s="56" customFormat="1" x14ac:dyDescent="0.25">
      <c r="A194" s="79">
        <f t="shared" si="8"/>
        <v>5</v>
      </c>
      <c r="B194" s="80" t="s">
        <v>263</v>
      </c>
      <c r="C194" s="79" t="s">
        <v>264</v>
      </c>
      <c r="D194" s="57">
        <f>(4.63*6.13+1.55*1.85+1.7*2.93)*10.764</f>
        <v>389.98402559999994</v>
      </c>
      <c r="E194" s="79">
        <v>0</v>
      </c>
      <c r="F194" s="79">
        <f>(D194+E194)*(($F$139)+1)</f>
        <v>604.47523967999996</v>
      </c>
      <c r="G194" s="124"/>
      <c r="H194" s="124"/>
      <c r="I194" s="34"/>
      <c r="L194" s="110"/>
      <c r="M194" s="110"/>
      <c r="N194" s="34"/>
    </row>
    <row r="195" spans="1:14" s="56" customFormat="1" x14ac:dyDescent="0.25">
      <c r="A195" s="79">
        <f t="shared" si="8"/>
        <v>6</v>
      </c>
      <c r="B195" s="80" t="s">
        <v>263</v>
      </c>
      <c r="C195" s="79" t="s">
        <v>264</v>
      </c>
      <c r="D195" s="57">
        <f>(4.93*6.13+1.55*1.85+1.7*2.93)*10.764</f>
        <v>409.77902160000002</v>
      </c>
      <c r="E195" s="79">
        <v>0</v>
      </c>
      <c r="F195" s="79">
        <f t="shared" ref="F195:F200" si="10">(D195+E195)*(($F$139)+1)</f>
        <v>635.15748348</v>
      </c>
      <c r="G195" s="124"/>
      <c r="H195" s="124"/>
      <c r="I195" s="34"/>
      <c r="L195" s="110"/>
      <c r="M195" s="110"/>
      <c r="N195" s="34"/>
    </row>
    <row r="196" spans="1:14" s="56" customFormat="1" x14ac:dyDescent="0.25">
      <c r="A196" s="79">
        <f t="shared" si="8"/>
        <v>7</v>
      </c>
      <c r="B196" s="80" t="s">
        <v>263</v>
      </c>
      <c r="C196" s="79" t="s">
        <v>264</v>
      </c>
      <c r="D196" s="57">
        <f>(5.48*6.13+1.55*1.85+1.2*2.93)*10.764</f>
        <v>430.30058760000003</v>
      </c>
      <c r="E196" s="79">
        <v>0</v>
      </c>
      <c r="F196" s="79">
        <f t="shared" si="10"/>
        <v>666.96591078000006</v>
      </c>
      <c r="G196" s="124"/>
      <c r="H196" s="124"/>
      <c r="I196" s="34"/>
      <c r="L196" s="110"/>
      <c r="M196" s="110"/>
      <c r="N196" s="34"/>
    </row>
    <row r="197" spans="1:14" s="56" customFormat="1" x14ac:dyDescent="0.25">
      <c r="A197" s="79">
        <f t="shared" si="8"/>
        <v>8</v>
      </c>
      <c r="B197" s="80" t="s">
        <v>263</v>
      </c>
      <c r="C197" s="79" t="s">
        <v>264</v>
      </c>
      <c r="D197" s="57">
        <f>(2.05*2.93+1.55*1.25+1.55*0.6)*10.764</f>
        <v>95.519735999999995</v>
      </c>
      <c r="E197" s="79">
        <v>0</v>
      </c>
      <c r="F197" s="79">
        <f t="shared" si="10"/>
        <v>148.0555908</v>
      </c>
      <c r="G197" s="124"/>
      <c r="H197" s="124"/>
      <c r="I197" s="34"/>
      <c r="L197" s="110"/>
      <c r="M197" s="110"/>
      <c r="N197" s="34"/>
    </row>
    <row r="198" spans="1:14" s="56" customFormat="1" x14ac:dyDescent="0.25">
      <c r="A198" s="79">
        <f t="shared" si="8"/>
        <v>9</v>
      </c>
      <c r="B198" s="80" t="s">
        <v>263</v>
      </c>
      <c r="C198" s="79" t="s">
        <v>264</v>
      </c>
      <c r="D198" s="57">
        <f>(3.73*6.13+1.55*1.85)*10.764</f>
        <v>276.98355359999999</v>
      </c>
      <c r="E198" s="79">
        <v>0</v>
      </c>
      <c r="F198" s="79">
        <f t="shared" si="10"/>
        <v>429.32450807999999</v>
      </c>
      <c r="G198" s="124"/>
      <c r="H198" s="124"/>
      <c r="I198" s="34"/>
      <c r="L198" s="110"/>
      <c r="M198" s="110"/>
      <c r="N198" s="34"/>
    </row>
    <row r="199" spans="1:14" s="56" customFormat="1" x14ac:dyDescent="0.25">
      <c r="A199" s="79">
        <f t="shared" si="8"/>
        <v>10</v>
      </c>
      <c r="B199" s="80" t="s">
        <v>263</v>
      </c>
      <c r="C199" s="79" t="s">
        <v>264</v>
      </c>
      <c r="D199" s="57">
        <f>(1.7*2.93+7.7*7.45+6.23*1.75+1.95*1.85+2.36*7.2)*10.764</f>
        <v>1010.179872</v>
      </c>
      <c r="E199" s="79">
        <v>0</v>
      </c>
      <c r="F199" s="79">
        <f t="shared" si="10"/>
        <v>1565.7788016000002</v>
      </c>
      <c r="G199" s="124"/>
      <c r="H199" s="124"/>
      <c r="I199" s="34"/>
      <c r="L199" s="110"/>
      <c r="M199" s="110"/>
      <c r="N199" s="34"/>
    </row>
    <row r="200" spans="1:14" s="56" customFormat="1" x14ac:dyDescent="0.25">
      <c r="A200" s="79">
        <f t="shared" si="8"/>
        <v>11</v>
      </c>
      <c r="B200" s="80" t="s">
        <v>263</v>
      </c>
      <c r="C200" s="79" t="s">
        <v>264</v>
      </c>
      <c r="D200" s="57">
        <f>(8.31*3.59+4.72*0.68+1.85*1.55+2.47*2.57)*10.764</f>
        <v>454.86403560000002</v>
      </c>
      <c r="E200" s="79">
        <v>0</v>
      </c>
      <c r="F200" s="79">
        <f t="shared" si="10"/>
        <v>705.03925518000005</v>
      </c>
      <c r="G200" s="124"/>
      <c r="H200" s="124"/>
      <c r="I200" s="34"/>
      <c r="L200" s="110"/>
      <c r="M200" s="110"/>
      <c r="N200" s="34"/>
    </row>
    <row r="201" spans="1:14" s="56" customFormat="1" x14ac:dyDescent="0.25">
      <c r="A201" s="79">
        <f t="shared" si="8"/>
        <v>12</v>
      </c>
      <c r="B201" s="80" t="s">
        <v>263</v>
      </c>
      <c r="C201" s="79" t="s">
        <v>264</v>
      </c>
      <c r="D201" s="57">
        <f>(7.47*3.59+1.85*1.6+2.6*1.84)*10.764</f>
        <v>372.01783319999998</v>
      </c>
      <c r="E201" s="79">
        <v>0</v>
      </c>
      <c r="F201" s="79">
        <f>(D201+E201)*(($F$139)+1)</f>
        <v>576.62764145999995</v>
      </c>
      <c r="G201" s="124"/>
      <c r="H201" s="124"/>
      <c r="I201" s="34"/>
      <c r="L201" s="110"/>
      <c r="M201" s="110"/>
      <c r="N201" s="34"/>
    </row>
    <row r="202" spans="1:14" s="56" customFormat="1" x14ac:dyDescent="0.25">
      <c r="A202" s="79">
        <f t="shared" si="8"/>
        <v>13</v>
      </c>
      <c r="B202" s="80" t="s">
        <v>263</v>
      </c>
      <c r="C202" s="79" t="s">
        <v>264</v>
      </c>
      <c r="D202" s="57">
        <f>(5.21*3.08+1.85*1.61+3.58*6.29)*10.764</f>
        <v>447.17423400000001</v>
      </c>
      <c r="E202" s="79">
        <v>0</v>
      </c>
      <c r="F202" s="79">
        <f t="shared" ref="F202:F207" si="11">(D202+E202)*(($F$139)+1)</f>
        <v>693.12006270000006</v>
      </c>
      <c r="G202" s="124"/>
      <c r="H202" s="124"/>
      <c r="I202" s="34"/>
      <c r="L202" s="110"/>
      <c r="M202" s="110"/>
      <c r="N202" s="34"/>
    </row>
    <row r="203" spans="1:14" s="56" customFormat="1" x14ac:dyDescent="0.25">
      <c r="A203" s="79">
        <f t="shared" si="8"/>
        <v>14</v>
      </c>
      <c r="B203" s="80" t="s">
        <v>263</v>
      </c>
      <c r="C203" s="79" t="s">
        <v>264</v>
      </c>
      <c r="D203" s="57">
        <f>(5.35*5.22+3*7.15+1.55*1.85+3.65*3.2)*10.764</f>
        <v>688.08331799999985</v>
      </c>
      <c r="E203" s="79">
        <v>0</v>
      </c>
      <c r="F203" s="79">
        <f t="shared" si="11"/>
        <v>1066.5291428999999</v>
      </c>
      <c r="G203" s="124"/>
      <c r="H203" s="124"/>
      <c r="I203" s="34"/>
      <c r="L203" s="110"/>
      <c r="M203" s="110"/>
      <c r="N203" s="34"/>
    </row>
    <row r="204" spans="1:14" s="56" customFormat="1" x14ac:dyDescent="0.25">
      <c r="A204" s="79">
        <f t="shared" si="8"/>
        <v>15</v>
      </c>
      <c r="B204" s="80" t="s">
        <v>263</v>
      </c>
      <c r="C204" s="79" t="s">
        <v>264</v>
      </c>
      <c r="D204" s="57">
        <f>(6.33*5.37+1.55*1.85+4.63*3.2)*10.764</f>
        <v>556.23615840000002</v>
      </c>
      <c r="E204" s="79">
        <v>0</v>
      </c>
      <c r="F204" s="79">
        <f t="shared" si="11"/>
        <v>862.16604552000001</v>
      </c>
      <c r="G204" s="124"/>
      <c r="H204" s="124"/>
      <c r="I204" s="34"/>
      <c r="L204" s="110"/>
      <c r="M204" s="110"/>
      <c r="N204" s="34"/>
    </row>
    <row r="205" spans="1:14" s="56" customFormat="1" x14ac:dyDescent="0.25">
      <c r="A205" s="79">
        <f t="shared" si="8"/>
        <v>16</v>
      </c>
      <c r="B205" s="80" t="s">
        <v>263</v>
      </c>
      <c r="C205" s="79" t="s">
        <v>264</v>
      </c>
      <c r="D205" s="57">
        <f>(6.63*5.37+1.55*1.85+4.93*3.2)*10.764</f>
        <v>583.91040239999995</v>
      </c>
      <c r="E205" s="79">
        <v>0</v>
      </c>
      <c r="F205" s="79">
        <f t="shared" si="11"/>
        <v>905.06112371999996</v>
      </c>
      <c r="G205" s="124"/>
      <c r="H205" s="124"/>
      <c r="I205" s="34"/>
      <c r="L205" s="110"/>
      <c r="M205" s="110"/>
      <c r="N205" s="34"/>
    </row>
    <row r="206" spans="1:14" s="56" customFormat="1" x14ac:dyDescent="0.25">
      <c r="A206" s="79">
        <f t="shared" si="8"/>
        <v>17</v>
      </c>
      <c r="B206" s="80" t="s">
        <v>263</v>
      </c>
      <c r="C206" s="79" t="s">
        <v>264</v>
      </c>
      <c r="D206" s="57">
        <f>(3.93*8.57+2.7*0.95+1.55*1.85+1*3.2)*10.764</f>
        <v>455.45282639999999</v>
      </c>
      <c r="E206" s="79">
        <v>0</v>
      </c>
      <c r="F206" s="79">
        <f t="shared" si="11"/>
        <v>705.95188092000001</v>
      </c>
      <c r="G206" s="124"/>
      <c r="H206" s="124"/>
      <c r="I206" s="34"/>
      <c r="L206" s="110"/>
      <c r="M206" s="110"/>
      <c r="N206" s="34"/>
    </row>
    <row r="207" spans="1:14" s="56" customFormat="1" x14ac:dyDescent="0.25">
      <c r="A207" s="79">
        <f t="shared" si="8"/>
        <v>18</v>
      </c>
      <c r="B207" s="79" t="s">
        <v>297</v>
      </c>
      <c r="C207" s="79" t="s">
        <v>264</v>
      </c>
      <c r="D207" s="57">
        <f>(9.11*5.37+2.63*3.2+4.63*3.2+1.55*1.85+2.7*4.27)*10.764</f>
        <v>931.61558879999995</v>
      </c>
      <c r="E207" s="79">
        <v>0</v>
      </c>
      <c r="F207" s="79">
        <f t="shared" si="11"/>
        <v>1444.00416264</v>
      </c>
      <c r="G207" s="124"/>
      <c r="H207" s="124"/>
      <c r="I207" s="34"/>
      <c r="L207" s="110"/>
      <c r="M207" s="110"/>
      <c r="N207" s="34"/>
    </row>
    <row r="208" spans="1:14" s="56" customFormat="1" x14ac:dyDescent="0.25">
      <c r="A208" s="79">
        <f t="shared" si="8"/>
        <v>19</v>
      </c>
      <c r="B208" s="80" t="s">
        <v>263</v>
      </c>
      <c r="C208" s="79" t="s">
        <v>264</v>
      </c>
      <c r="D208" s="57">
        <f>(3.85*5.37+1.55*1.85+2.15*3.2)*10.764</f>
        <v>327.46240799999998</v>
      </c>
      <c r="E208" s="79">
        <v>0</v>
      </c>
      <c r="F208" s="79">
        <f>(D208+E208)*(($F$139)+1)</f>
        <v>507.56673239999998</v>
      </c>
      <c r="G208" s="124"/>
      <c r="H208" s="124"/>
      <c r="I208" s="34"/>
      <c r="L208" s="110"/>
      <c r="M208" s="110"/>
      <c r="N208" s="34"/>
    </row>
    <row r="209" spans="1:14" s="56" customFormat="1" x14ac:dyDescent="0.25">
      <c r="A209" s="79">
        <f t="shared" si="8"/>
        <v>20</v>
      </c>
      <c r="B209" s="80" t="s">
        <v>263</v>
      </c>
      <c r="C209" s="79" t="s">
        <v>264</v>
      </c>
      <c r="D209" s="57">
        <f>(6.63*5.37+1.55*1.85+4.93*3.2)*10.764</f>
        <v>583.91040239999995</v>
      </c>
      <c r="E209" s="79">
        <v>0</v>
      </c>
      <c r="F209" s="79">
        <f t="shared" ref="F209:F213" si="12">(D209+E209)*(($F$139)+1)</f>
        <v>905.06112371999996</v>
      </c>
      <c r="G209" s="124"/>
      <c r="H209" s="124"/>
      <c r="I209" s="34"/>
      <c r="L209" s="110"/>
      <c r="M209" s="110"/>
      <c r="N209" s="34"/>
    </row>
    <row r="210" spans="1:14" s="56" customFormat="1" x14ac:dyDescent="0.25">
      <c r="A210" s="79">
        <f t="shared" si="8"/>
        <v>21</v>
      </c>
      <c r="B210" s="80" t="s">
        <v>263</v>
      </c>
      <c r="C210" s="79" t="s">
        <v>264</v>
      </c>
      <c r="D210" s="57">
        <f>(6.25*5.37+1.55*1.85+4.55*3.2)*10.764</f>
        <v>548.85636</v>
      </c>
      <c r="E210" s="79">
        <v>0</v>
      </c>
      <c r="F210" s="79">
        <f t="shared" si="12"/>
        <v>850.72735799999998</v>
      </c>
      <c r="G210" s="124"/>
      <c r="H210" s="124"/>
      <c r="I210" s="34"/>
      <c r="L210" s="110"/>
      <c r="M210" s="110"/>
      <c r="N210" s="34"/>
    </row>
    <row r="211" spans="1:14" s="56" customFormat="1" x14ac:dyDescent="0.25">
      <c r="A211" s="79">
        <f t="shared" si="8"/>
        <v>22</v>
      </c>
      <c r="B211" s="80" t="s">
        <v>263</v>
      </c>
      <c r="C211" s="79" t="s">
        <v>264</v>
      </c>
      <c r="D211" s="57">
        <f>(5.43*5.37+1.55*1.85+3.73*3.2)*10.764</f>
        <v>473.2134264</v>
      </c>
      <c r="E211" s="79">
        <v>0</v>
      </c>
      <c r="F211" s="79">
        <f t="shared" si="12"/>
        <v>733.48081092000007</v>
      </c>
      <c r="G211" s="124"/>
      <c r="H211" s="124"/>
      <c r="I211" s="34"/>
      <c r="L211" s="110"/>
      <c r="M211" s="110"/>
      <c r="N211" s="34"/>
    </row>
    <row r="212" spans="1:14" s="56" customFormat="1" x14ac:dyDescent="0.25">
      <c r="A212" s="79">
        <f t="shared" si="8"/>
        <v>23</v>
      </c>
      <c r="B212" s="80" t="s">
        <v>263</v>
      </c>
      <c r="C212" s="79" t="s">
        <v>264</v>
      </c>
      <c r="D212" s="57">
        <f>(5.98*10.77+4.38*7.24+2*4.34+1.85*1.55)*10.764</f>
        <v>1158.8877612000001</v>
      </c>
      <c r="E212" s="79">
        <v>0</v>
      </c>
      <c r="F212" s="79">
        <f t="shared" si="12"/>
        <v>1796.2760298600003</v>
      </c>
      <c r="G212" s="124"/>
      <c r="H212" s="124"/>
      <c r="I212" s="34"/>
      <c r="L212" s="110"/>
      <c r="M212" s="110"/>
      <c r="N212" s="34"/>
    </row>
    <row r="213" spans="1:14" s="56" customFormat="1" x14ac:dyDescent="0.25">
      <c r="A213" s="79">
        <f t="shared" si="8"/>
        <v>24</v>
      </c>
      <c r="B213" s="80" t="s">
        <v>263</v>
      </c>
      <c r="C213" s="79" t="s">
        <v>264</v>
      </c>
      <c r="D213" s="57">
        <f>(8.03*7.41+4.38*7.33+2*5.63+1.85*1.55)*10.764</f>
        <v>1138.1336928000001</v>
      </c>
      <c r="E213" s="79">
        <v>0</v>
      </c>
      <c r="F213" s="79">
        <f t="shared" si="12"/>
        <v>1764.1072238400002</v>
      </c>
      <c r="G213" s="124"/>
      <c r="H213" s="124"/>
      <c r="I213" s="34"/>
      <c r="L213" s="110"/>
      <c r="M213" s="110"/>
      <c r="N213" s="34"/>
    </row>
    <row r="214" spans="1:14" s="35" customFormat="1" x14ac:dyDescent="0.25">
      <c r="A214" s="147"/>
      <c r="B214" s="225"/>
      <c r="C214" s="225"/>
      <c r="D214" s="225"/>
      <c r="E214" s="225"/>
      <c r="F214" s="225"/>
      <c r="G214" s="225"/>
      <c r="H214" s="148"/>
      <c r="I214" s="34"/>
      <c r="N214" s="34"/>
    </row>
    <row r="215" spans="1:14" ht="47.25" customHeight="1" x14ac:dyDescent="0.25">
      <c r="A215" s="155" t="s">
        <v>120</v>
      </c>
      <c r="B215" s="178" t="s">
        <v>259</v>
      </c>
      <c r="C215" s="178" t="s">
        <v>57</v>
      </c>
      <c r="D215" s="178" t="s">
        <v>58</v>
      </c>
      <c r="E215" s="180" t="s">
        <v>59</v>
      </c>
      <c r="F215" s="50" t="s">
        <v>151</v>
      </c>
      <c r="G215" s="155" t="s">
        <v>60</v>
      </c>
      <c r="H215" s="182"/>
      <c r="I215" s="34"/>
    </row>
    <row r="216" spans="1:14" s="35" customFormat="1" x14ac:dyDescent="0.25">
      <c r="A216" s="156"/>
      <c r="B216" s="179"/>
      <c r="C216" s="179"/>
      <c r="D216" s="179"/>
      <c r="E216" s="181"/>
      <c r="F216" s="13">
        <v>0.5</v>
      </c>
      <c r="G216" s="156"/>
      <c r="H216" s="183"/>
      <c r="I216" s="34"/>
    </row>
    <row r="217" spans="1:14" s="56" customFormat="1" x14ac:dyDescent="0.25">
      <c r="A217" s="120" t="s">
        <v>266</v>
      </c>
      <c r="B217" s="121"/>
      <c r="C217" s="121"/>
      <c r="D217" s="121"/>
      <c r="E217" s="121"/>
      <c r="F217" s="121"/>
      <c r="G217" s="121"/>
      <c r="H217" s="122"/>
      <c r="J217" s="34"/>
    </row>
    <row r="218" spans="1:14" s="56" customFormat="1" x14ac:dyDescent="0.25">
      <c r="A218" s="111" t="s">
        <v>265</v>
      </c>
      <c r="B218" s="112"/>
      <c r="C218" s="112"/>
      <c r="D218" s="112"/>
      <c r="E218" s="112"/>
      <c r="F218" s="112"/>
      <c r="G218" s="112"/>
      <c r="H218" s="113"/>
      <c r="J218" s="34"/>
    </row>
    <row r="219" spans="1:14" s="56" customFormat="1" x14ac:dyDescent="0.25">
      <c r="A219" s="111" t="s">
        <v>267</v>
      </c>
      <c r="B219" s="112"/>
      <c r="C219" s="112"/>
      <c r="D219" s="112"/>
      <c r="E219" s="112"/>
      <c r="F219" s="112"/>
      <c r="G219" s="112"/>
      <c r="H219" s="113"/>
      <c r="J219" s="34"/>
    </row>
    <row r="220" spans="1:14" s="56" customFormat="1" ht="15.75" customHeight="1" x14ac:dyDescent="0.25">
      <c r="A220" s="68">
        <v>1</v>
      </c>
      <c r="B220" s="68" t="s">
        <v>297</v>
      </c>
      <c r="C220" s="55" t="s">
        <v>268</v>
      </c>
      <c r="D220" s="57">
        <f>(64.28)*10.764</f>
        <v>691.90991999999994</v>
      </c>
      <c r="E220" s="55">
        <v>0</v>
      </c>
      <c r="F220" s="55">
        <f>D220*(($F$216)+1)+(IF(E220&lt;101,E220,IF(E220&lt;201,E220/2,IF(E220&lt;=301,E220/3,E220/4))))</f>
        <v>1037.8648799999999</v>
      </c>
      <c r="G220" s="114" t="str">
        <f>A219</f>
        <v>4th Floor for Residential</v>
      </c>
      <c r="H220" s="115"/>
      <c r="I220" s="34">
        <f>3.05*4.13+0.76*3.53+2.23*2.4+3.05*2.4+3.16*3.55+2.5*3.08+1.25*2.3+2.1*1.25+1.3*2.38+4.82*1</f>
        <v>60.283300000000004</v>
      </c>
      <c r="L220" s="110"/>
      <c r="M220" s="110"/>
      <c r="N220" s="34"/>
    </row>
    <row r="221" spans="1:14" s="56" customFormat="1" ht="15.75" customHeight="1" x14ac:dyDescent="0.25">
      <c r="A221" s="68">
        <f t="shared" ref="A221:A224" si="13">A220+1</f>
        <v>2</v>
      </c>
      <c r="B221" s="71" t="s">
        <v>263</v>
      </c>
      <c r="C221" s="55" t="s">
        <v>269</v>
      </c>
      <c r="D221" s="57">
        <f>(52.45)*10.764</f>
        <v>564.57180000000005</v>
      </c>
      <c r="E221" s="55">
        <v>0</v>
      </c>
      <c r="F221" s="55">
        <f>D221*(($F$216)+1)+(IF(E221&lt;101,E221,IF(E221&lt;201,E221/2,IF(E221&lt;=301,E221/3,E221/4))))</f>
        <v>846.85770000000002</v>
      </c>
      <c r="G221" s="116"/>
      <c r="H221" s="117"/>
      <c r="I221" s="34"/>
      <c r="L221" s="110"/>
      <c r="M221" s="110"/>
      <c r="N221" s="34"/>
    </row>
    <row r="222" spans="1:14" s="56" customFormat="1" ht="15.75" customHeight="1" x14ac:dyDescent="0.25">
      <c r="A222" s="68">
        <f t="shared" si="13"/>
        <v>3</v>
      </c>
      <c r="B222" s="68" t="s">
        <v>297</v>
      </c>
      <c r="C222" s="55" t="s">
        <v>269</v>
      </c>
      <c r="D222" s="57">
        <f>(53.57)*10.764</f>
        <v>576.62747999999999</v>
      </c>
      <c r="E222" s="55">
        <v>0</v>
      </c>
      <c r="F222" s="55">
        <f>D222*(($F$216)+1)+(IF(E222&lt;101,E222,IF(E222&lt;201,E222/2,IF(E222&lt;=301,E222/3,E222/4))))</f>
        <v>864.94121999999993</v>
      </c>
      <c r="G222" s="116"/>
      <c r="H222" s="117"/>
      <c r="I222" s="34"/>
      <c r="J222" s="34">
        <f>18200000/F222</f>
        <v>21041.892303386816</v>
      </c>
      <c r="L222" s="110"/>
      <c r="M222" s="110"/>
      <c r="N222" s="34"/>
    </row>
    <row r="223" spans="1:14" s="56" customFormat="1" ht="15.75" customHeight="1" x14ac:dyDescent="0.25">
      <c r="A223" s="68">
        <f t="shared" si="13"/>
        <v>4</v>
      </c>
      <c r="B223" s="68" t="s">
        <v>297</v>
      </c>
      <c r="C223" s="55" t="s">
        <v>268</v>
      </c>
      <c r="D223" s="57">
        <f>(70.88)*10.764</f>
        <v>762.95231999999987</v>
      </c>
      <c r="E223" s="55">
        <v>0</v>
      </c>
      <c r="F223" s="55">
        <f>D223*(($F$216)+1)+(IF(E223&lt;101,E223,IF(E223&lt;201,E223/2,IF(E223&lt;=301,E223/3,E223/4))))</f>
        <v>1144.4284799999998</v>
      </c>
      <c r="G223" s="116"/>
      <c r="H223" s="117"/>
      <c r="I223" s="34"/>
      <c r="L223" s="110"/>
      <c r="M223" s="110"/>
      <c r="N223" s="34"/>
    </row>
    <row r="224" spans="1:14" s="56" customFormat="1" ht="15.75" customHeight="1" x14ac:dyDescent="0.25">
      <c r="A224" s="68">
        <f t="shared" si="13"/>
        <v>5</v>
      </c>
      <c r="B224" s="71" t="s">
        <v>263</v>
      </c>
      <c r="C224" s="55" t="s">
        <v>270</v>
      </c>
      <c r="D224" s="57">
        <f>(39.03)*10.764</f>
        <v>420.11892</v>
      </c>
      <c r="E224" s="55">
        <v>0</v>
      </c>
      <c r="F224" s="55">
        <f>D224*(($F$216)+1)+(IF(E224&lt;101,E224,IF(E224&lt;201,E224/2,IF(E224&lt;=301,E224/3,E224/4))))</f>
        <v>630.17838000000006</v>
      </c>
      <c r="G224" s="118"/>
      <c r="H224" s="119"/>
      <c r="I224" s="34"/>
      <c r="J224" s="34">
        <f>12800000/F224</f>
        <v>20311.709202083384</v>
      </c>
      <c r="K224" s="56">
        <f>12900000/F224</f>
        <v>20470.39443022466</v>
      </c>
      <c r="L224" s="110"/>
      <c r="M224" s="110"/>
      <c r="N224" s="34"/>
    </row>
    <row r="225" spans="1:14" s="69" customFormat="1" x14ac:dyDescent="0.25">
      <c r="A225" s="111" t="s">
        <v>298</v>
      </c>
      <c r="B225" s="112"/>
      <c r="C225" s="112"/>
      <c r="D225" s="112"/>
      <c r="E225" s="112"/>
      <c r="F225" s="112"/>
      <c r="G225" s="112"/>
      <c r="H225" s="113"/>
      <c r="J225" s="34"/>
    </row>
    <row r="226" spans="1:14" s="69" customFormat="1" ht="15.75" customHeight="1" x14ac:dyDescent="0.25">
      <c r="A226" s="68">
        <v>1</v>
      </c>
      <c r="B226" s="68" t="s">
        <v>297</v>
      </c>
      <c r="C226" s="68" t="s">
        <v>268</v>
      </c>
      <c r="D226" s="57">
        <f>(70.88)*10.764</f>
        <v>762.95231999999987</v>
      </c>
      <c r="E226" s="68">
        <v>0</v>
      </c>
      <c r="F226" s="68">
        <f>D226*(($F$216)+1)+(IF(E226&lt;101,E226,IF(E226&lt;201,E226/2,IF(E226&lt;=301,E226/3,E226/4))))</f>
        <v>1144.4284799999998</v>
      </c>
      <c r="G226" s="114" t="str">
        <f>A225</f>
        <v>5th &amp; 6th Floor</v>
      </c>
      <c r="H226" s="115"/>
      <c r="I226" s="34">
        <f>3.05*4.13+0.76*3.53+2.23*2.4+3.05*2.4+3.16*3.55+2.5*3.08+1.25*2.3+2.1*1.25+1.3*2.38+4.82*1</f>
        <v>60.283300000000004</v>
      </c>
      <c r="L226" s="110"/>
      <c r="M226" s="110"/>
      <c r="N226" s="34"/>
    </row>
    <row r="227" spans="1:14" s="69" customFormat="1" ht="15.75" customHeight="1" x14ac:dyDescent="0.25">
      <c r="A227" s="68">
        <f t="shared" ref="A227:A230" si="14">A226+1</f>
        <v>2</v>
      </c>
      <c r="B227" s="68" t="s">
        <v>297</v>
      </c>
      <c r="C227" s="68" t="s">
        <v>269</v>
      </c>
      <c r="D227" s="57">
        <f>(53.57)*10.764</f>
        <v>576.62747999999999</v>
      </c>
      <c r="E227" s="68">
        <v>0</v>
      </c>
      <c r="F227" s="68">
        <f>D227*(($F$216)+1)+(IF(E227&lt;101,E227,IF(E227&lt;201,E227/2,IF(E227&lt;=301,E227/3,E227/4))))</f>
        <v>864.94121999999993</v>
      </c>
      <c r="G227" s="116"/>
      <c r="H227" s="117"/>
      <c r="I227" s="34"/>
      <c r="L227" s="110"/>
      <c r="M227" s="110"/>
      <c r="N227" s="34"/>
    </row>
    <row r="228" spans="1:14" s="69" customFormat="1" ht="15.75" customHeight="1" x14ac:dyDescent="0.25">
      <c r="A228" s="68">
        <f t="shared" si="14"/>
        <v>3</v>
      </c>
      <c r="B228" s="68" t="s">
        <v>297</v>
      </c>
      <c r="C228" s="68" t="s">
        <v>269</v>
      </c>
      <c r="D228" s="57">
        <f>(53.57)*10.764</f>
        <v>576.62747999999999</v>
      </c>
      <c r="E228" s="68">
        <v>0</v>
      </c>
      <c r="F228" s="68">
        <f>D228*(($F$216)+1)+(IF(E228&lt;101,E228,IF(E228&lt;201,E228/2,IF(E228&lt;=301,E228/3,E228/4))))</f>
        <v>864.94121999999993</v>
      </c>
      <c r="G228" s="116"/>
      <c r="H228" s="117"/>
      <c r="I228" s="34"/>
      <c r="J228" s="34">
        <f>18200000/F228</f>
        <v>21041.892303386816</v>
      </c>
      <c r="L228" s="110"/>
      <c r="M228" s="110"/>
      <c r="N228" s="34"/>
    </row>
    <row r="229" spans="1:14" s="69" customFormat="1" ht="15.75" customHeight="1" x14ac:dyDescent="0.25">
      <c r="A229" s="68">
        <f t="shared" si="14"/>
        <v>4</v>
      </c>
      <c r="B229" s="68" t="s">
        <v>297</v>
      </c>
      <c r="C229" s="68" t="s">
        <v>268</v>
      </c>
      <c r="D229" s="57">
        <f>(70.88)*10.764</f>
        <v>762.95231999999987</v>
      </c>
      <c r="E229" s="68">
        <v>0</v>
      </c>
      <c r="F229" s="68">
        <f>D229*(($F$216)+1)+(IF(E229&lt;101,E229,IF(E229&lt;201,E229/2,IF(E229&lt;=301,E229/3,E229/4))))</f>
        <v>1144.4284799999998</v>
      </c>
      <c r="G229" s="116"/>
      <c r="H229" s="117"/>
      <c r="I229" s="34"/>
      <c r="L229" s="110"/>
      <c r="M229" s="110"/>
      <c r="N229" s="34"/>
    </row>
    <row r="230" spans="1:14" s="69" customFormat="1" ht="15.75" customHeight="1" x14ac:dyDescent="0.25">
      <c r="A230" s="68">
        <f t="shared" si="14"/>
        <v>5</v>
      </c>
      <c r="B230" s="71" t="s">
        <v>263</v>
      </c>
      <c r="C230" s="68" t="s">
        <v>270</v>
      </c>
      <c r="D230" s="57">
        <f>(39.03)*10.764</f>
        <v>420.11892</v>
      </c>
      <c r="E230" s="68">
        <v>0</v>
      </c>
      <c r="F230" s="68">
        <f>D230*(($F$216)+1)+(IF(E230&lt;101,E230,IF(E230&lt;201,E230/2,IF(E230&lt;=301,E230/3,E230/4))))</f>
        <v>630.17838000000006</v>
      </c>
      <c r="G230" s="118"/>
      <c r="H230" s="119"/>
      <c r="I230" s="34"/>
      <c r="J230" s="34">
        <f>12800000/F230</f>
        <v>20311.709202083384</v>
      </c>
      <c r="K230" s="69">
        <f>12900000/F230</f>
        <v>20470.39443022466</v>
      </c>
      <c r="L230" s="110"/>
      <c r="M230" s="110"/>
      <c r="N230" s="34"/>
    </row>
    <row r="231" spans="1:14" s="69" customFormat="1" x14ac:dyDescent="0.25">
      <c r="A231" s="123" t="s">
        <v>299</v>
      </c>
      <c r="B231" s="123"/>
      <c r="C231" s="123"/>
      <c r="D231" s="123"/>
      <c r="E231" s="123"/>
      <c r="F231" s="123"/>
      <c r="G231" s="123"/>
      <c r="H231" s="123"/>
      <c r="J231" s="34"/>
    </row>
    <row r="232" spans="1:14" s="69" customFormat="1" ht="15.75" customHeight="1" x14ac:dyDescent="0.25">
      <c r="A232" s="79">
        <v>1</v>
      </c>
      <c r="B232" s="79" t="s">
        <v>297</v>
      </c>
      <c r="C232" s="79" t="s">
        <v>268</v>
      </c>
      <c r="D232" s="57">
        <f>(70.88)*10.764</f>
        <v>762.95231999999987</v>
      </c>
      <c r="E232" s="79">
        <v>0</v>
      </c>
      <c r="F232" s="79">
        <f>D232*(($F$216)+1)+(IF(E232&lt;101,E232,IF(E232&lt;201,E232/2,IF(E232&lt;=301,E232/3,E232/4))))</f>
        <v>1144.4284799999998</v>
      </c>
      <c r="G232" s="124" t="str">
        <f>A231</f>
        <v>7th Floor (Part Refuge Area &amp; Society Office)</v>
      </c>
      <c r="H232" s="124"/>
      <c r="I232" s="34">
        <f>3.05*4.13+0.76*3.53+2.23*2.4+3.05*2.4+3.16*3.55+2.5*3.08+1.25*2.3+2.1*1.25+1.3*2.38+4.82*1</f>
        <v>60.283300000000004</v>
      </c>
      <c r="L232" s="110"/>
      <c r="M232" s="110"/>
      <c r="N232" s="34"/>
    </row>
    <row r="233" spans="1:14" s="69" customFormat="1" ht="15.75" customHeight="1" x14ac:dyDescent="0.25">
      <c r="A233" s="79">
        <f t="shared" ref="A233:A236" si="15">A232+1</f>
        <v>2</v>
      </c>
      <c r="B233" s="79" t="s">
        <v>297</v>
      </c>
      <c r="C233" s="79" t="s">
        <v>269</v>
      </c>
      <c r="D233" s="57">
        <f>(53.57)*10.764</f>
        <v>576.62747999999999</v>
      </c>
      <c r="E233" s="79">
        <v>0</v>
      </c>
      <c r="F233" s="79">
        <f>D233*(($F$216)+1)+(IF(E233&lt;101,E233,IF(E233&lt;201,E233/2,IF(E233&lt;=301,E233/3,E233/4))))</f>
        <v>864.94121999999993</v>
      </c>
      <c r="G233" s="124"/>
      <c r="H233" s="124"/>
      <c r="I233" s="34"/>
      <c r="L233" s="110"/>
      <c r="M233" s="110"/>
      <c r="N233" s="34"/>
    </row>
    <row r="234" spans="1:14" s="69" customFormat="1" ht="15.75" customHeight="1" x14ac:dyDescent="0.25">
      <c r="A234" s="79">
        <f t="shared" si="15"/>
        <v>3</v>
      </c>
      <c r="B234" s="79" t="s">
        <v>300</v>
      </c>
      <c r="C234" s="124" t="s">
        <v>301</v>
      </c>
      <c r="D234" s="124"/>
      <c r="E234" s="124"/>
      <c r="F234" s="124"/>
      <c r="G234" s="124"/>
      <c r="H234" s="124"/>
      <c r="I234" s="34"/>
      <c r="J234" s="34" t="e">
        <f>18200000/F234</f>
        <v>#DIV/0!</v>
      </c>
      <c r="L234" s="110"/>
      <c r="M234" s="110"/>
      <c r="N234" s="34"/>
    </row>
    <row r="235" spans="1:14" s="69" customFormat="1" ht="15.75" customHeight="1" x14ac:dyDescent="0.25">
      <c r="A235" s="79">
        <f t="shared" si="15"/>
        <v>4</v>
      </c>
      <c r="B235" s="79" t="s">
        <v>297</v>
      </c>
      <c r="C235" s="79" t="s">
        <v>268</v>
      </c>
      <c r="D235" s="57">
        <f>(72.8)*10.764</f>
        <v>783.61919999999998</v>
      </c>
      <c r="E235" s="79">
        <v>0</v>
      </c>
      <c r="F235" s="79">
        <f>D235*(($F$216)+1)+(IF(E235&lt;101,E235,IF(E235&lt;201,E235/2,IF(E235&lt;=301,E235/3,E235/4))))</f>
        <v>1175.4287999999999</v>
      </c>
      <c r="G235" s="124"/>
      <c r="H235" s="124"/>
      <c r="I235" s="34"/>
      <c r="L235" s="110"/>
      <c r="M235" s="110"/>
      <c r="N235" s="34"/>
    </row>
    <row r="236" spans="1:14" s="69" customFormat="1" ht="15.75" customHeight="1" x14ac:dyDescent="0.25">
      <c r="A236" s="79">
        <f t="shared" si="15"/>
        <v>5</v>
      </c>
      <c r="B236" s="80" t="s">
        <v>263</v>
      </c>
      <c r="C236" s="79" t="s">
        <v>270</v>
      </c>
      <c r="D236" s="57">
        <f>(39.03)*10.764</f>
        <v>420.11892</v>
      </c>
      <c r="E236" s="79">
        <v>0</v>
      </c>
      <c r="F236" s="79">
        <f>D236*(($F$216)+1)+(IF(E236&lt;101,E236,IF(E236&lt;201,E236/2,IF(E236&lt;=301,E236/3,E236/4))))</f>
        <v>630.17838000000006</v>
      </c>
      <c r="G236" s="124"/>
      <c r="H236" s="124"/>
      <c r="I236" s="34"/>
      <c r="J236" s="34">
        <f>12800000/F236</f>
        <v>20311.709202083384</v>
      </c>
      <c r="K236" s="69">
        <f>12900000/F236</f>
        <v>20470.39443022466</v>
      </c>
      <c r="L236" s="110"/>
      <c r="M236" s="110"/>
      <c r="N236" s="34"/>
    </row>
    <row r="237" spans="1:14" s="69" customFormat="1" x14ac:dyDescent="0.25">
      <c r="A237" s="123" t="s">
        <v>304</v>
      </c>
      <c r="B237" s="123"/>
      <c r="C237" s="123"/>
      <c r="D237" s="123"/>
      <c r="E237" s="123"/>
      <c r="F237" s="123"/>
      <c r="G237" s="123"/>
      <c r="H237" s="123"/>
      <c r="J237" s="34"/>
    </row>
    <row r="238" spans="1:14" s="69" customFormat="1" ht="15.75" customHeight="1" x14ac:dyDescent="0.25">
      <c r="A238" s="79">
        <v>1</v>
      </c>
      <c r="B238" s="79" t="s">
        <v>297</v>
      </c>
      <c r="C238" s="79" t="s">
        <v>268</v>
      </c>
      <c r="D238" s="57">
        <f>(72.8)*10.764</f>
        <v>783.61919999999998</v>
      </c>
      <c r="E238" s="79">
        <v>0</v>
      </c>
      <c r="F238" s="79">
        <f>D238*(($F$216)+1)+(IF(E238&lt;101,E238,IF(E238&lt;201,E238/2,IF(E238&lt;=301,E238/3,E238/4))))</f>
        <v>1175.4287999999999</v>
      </c>
      <c r="G238" s="124" t="str">
        <f>A237</f>
        <v>8th Floor</v>
      </c>
      <c r="H238" s="124"/>
      <c r="I238" s="34">
        <f>3.05*4.13+0.76*3.53+2.23*2.4+3.05*2.4+3.16*3.55+2.5*3.08+1.25*2.3+2.1*1.25+1.3*2.38+4.82*1</f>
        <v>60.283300000000004</v>
      </c>
      <c r="L238" s="110"/>
      <c r="M238" s="110"/>
      <c r="N238" s="34"/>
    </row>
    <row r="239" spans="1:14" s="69" customFormat="1" ht="15.75" customHeight="1" x14ac:dyDescent="0.25">
      <c r="A239" s="79">
        <f t="shared" ref="A239:A242" si="16">A238+1</f>
        <v>2</v>
      </c>
      <c r="B239" s="79" t="s">
        <v>297</v>
      </c>
      <c r="C239" s="79" t="s">
        <v>269</v>
      </c>
      <c r="D239" s="57">
        <f>(55.49)*10.764</f>
        <v>597.29435999999998</v>
      </c>
      <c r="E239" s="79">
        <v>0</v>
      </c>
      <c r="F239" s="79">
        <f>D239*(($F$216)+1)+(IF(E239&lt;101,E239,IF(E239&lt;201,E239/2,IF(E239&lt;=301,E239/3,E239/4))))</f>
        <v>895.94154000000003</v>
      </c>
      <c r="G239" s="124"/>
      <c r="H239" s="124"/>
      <c r="I239" s="34"/>
      <c r="L239" s="110"/>
      <c r="M239" s="110"/>
      <c r="N239" s="34"/>
    </row>
    <row r="240" spans="1:14" s="69" customFormat="1" ht="15.75" customHeight="1" x14ac:dyDescent="0.25">
      <c r="A240" s="79">
        <f t="shared" si="16"/>
        <v>3</v>
      </c>
      <c r="B240" s="79" t="s">
        <v>297</v>
      </c>
      <c r="C240" s="79" t="s">
        <v>269</v>
      </c>
      <c r="D240" s="57">
        <f>(55.49)*10.764</f>
        <v>597.29435999999998</v>
      </c>
      <c r="E240" s="79">
        <v>0</v>
      </c>
      <c r="F240" s="79">
        <f>D240*(($F$216)+1)+(IF(E240&lt;101,E240,IF(E240&lt;201,E240/2,IF(E240&lt;=301,E240/3,E240/4))))</f>
        <v>895.94154000000003</v>
      </c>
      <c r="G240" s="124"/>
      <c r="H240" s="124"/>
      <c r="I240" s="34"/>
      <c r="J240" s="34">
        <f>18200000/F240</f>
        <v>20313.825386419743</v>
      </c>
      <c r="L240" s="110"/>
      <c r="M240" s="110"/>
      <c r="N240" s="34"/>
    </row>
    <row r="241" spans="1:14" s="69" customFormat="1" ht="15.75" customHeight="1" x14ac:dyDescent="0.25">
      <c r="A241" s="79">
        <f t="shared" si="16"/>
        <v>4</v>
      </c>
      <c r="B241" s="79" t="s">
        <v>297</v>
      </c>
      <c r="C241" s="79" t="s">
        <v>268</v>
      </c>
      <c r="D241" s="57">
        <f>(72.8)*10.764</f>
        <v>783.61919999999998</v>
      </c>
      <c r="E241" s="79">
        <v>0</v>
      </c>
      <c r="F241" s="79">
        <f>D241*(($F$216)+1)+(IF(E241&lt;101,E241,IF(E241&lt;201,E241/2,IF(E241&lt;=301,E241/3,E241/4))))</f>
        <v>1175.4287999999999</v>
      </c>
      <c r="G241" s="124"/>
      <c r="H241" s="124"/>
      <c r="I241" s="34"/>
      <c r="L241" s="110"/>
      <c r="M241" s="110"/>
      <c r="N241" s="34"/>
    </row>
    <row r="242" spans="1:14" s="69" customFormat="1" ht="15.75" customHeight="1" x14ac:dyDescent="0.25">
      <c r="A242" s="79">
        <f t="shared" si="16"/>
        <v>5</v>
      </c>
      <c r="B242" s="80" t="s">
        <v>263</v>
      </c>
      <c r="C242" s="79" t="s">
        <v>270</v>
      </c>
      <c r="D242" s="57">
        <f>(39.03)*10.764</f>
        <v>420.11892</v>
      </c>
      <c r="E242" s="79">
        <v>0</v>
      </c>
      <c r="F242" s="79">
        <f>D242*(($F$216)+1)+(IF(E242&lt;101,E242,IF(E242&lt;201,E242/2,IF(E242&lt;=301,E242/3,E242/4))))</f>
        <v>630.17838000000006</v>
      </c>
      <c r="G242" s="124"/>
      <c r="H242" s="124"/>
      <c r="I242" s="34"/>
      <c r="J242" s="34">
        <f>12800000/F242</f>
        <v>20311.709202083384</v>
      </c>
      <c r="K242" s="69">
        <f>12900000/F242</f>
        <v>20470.39443022466</v>
      </c>
      <c r="L242" s="110"/>
      <c r="M242" s="110"/>
      <c r="N242" s="34"/>
    </row>
    <row r="243" spans="1:14" s="69" customFormat="1" x14ac:dyDescent="0.25">
      <c r="A243" s="111" t="s">
        <v>305</v>
      </c>
      <c r="B243" s="112"/>
      <c r="C243" s="112"/>
      <c r="D243" s="112"/>
      <c r="E243" s="112"/>
      <c r="F243" s="112"/>
      <c r="G243" s="112"/>
      <c r="H243" s="113"/>
      <c r="J243" s="34"/>
    </row>
    <row r="244" spans="1:14" s="69" customFormat="1" ht="15.75" customHeight="1" x14ac:dyDescent="0.25">
      <c r="A244" s="68">
        <v>1</v>
      </c>
      <c r="B244" s="68" t="s">
        <v>297</v>
      </c>
      <c r="C244" s="68" t="s">
        <v>268</v>
      </c>
      <c r="D244" s="57">
        <f>(72.8)*10.764</f>
        <v>783.61919999999998</v>
      </c>
      <c r="E244" s="68">
        <v>0</v>
      </c>
      <c r="F244" s="68">
        <f>D244*(($F$216)+1)+(IF(E244&lt;101,E244,IF(E244&lt;201,E244/2,IF(E244&lt;=301,E244/3,E244/4))))</f>
        <v>1175.4287999999999</v>
      </c>
      <c r="G244" s="114" t="str">
        <f>A243</f>
        <v>9th Floor</v>
      </c>
      <c r="H244" s="115"/>
      <c r="I244" s="34">
        <f>3.05*4.13+0.76*3.53+2.23*2.4+3.05*2.4+3.16*3.55+2.5*3.08+1.25*2.3+2.1*1.25+1.3*2.38+4.82*1</f>
        <v>60.283300000000004</v>
      </c>
      <c r="L244" s="110"/>
      <c r="M244" s="110"/>
      <c r="N244" s="34"/>
    </row>
    <row r="245" spans="1:14" s="69" customFormat="1" ht="15.75" customHeight="1" x14ac:dyDescent="0.25">
      <c r="A245" s="68">
        <f t="shared" ref="A245:A248" si="17">A244+1</f>
        <v>2</v>
      </c>
      <c r="B245" s="68" t="s">
        <v>297</v>
      </c>
      <c r="C245" s="68" t="s">
        <v>269</v>
      </c>
      <c r="D245" s="57">
        <f>(55.49)*10.764</f>
        <v>597.29435999999998</v>
      </c>
      <c r="E245" s="68">
        <v>0</v>
      </c>
      <c r="F245" s="68">
        <f>D245*(($F$216)+1)+(IF(E245&lt;101,E245,IF(E245&lt;201,E245/2,IF(E245&lt;=301,E245/3,E245/4))))</f>
        <v>895.94154000000003</v>
      </c>
      <c r="G245" s="116"/>
      <c r="H245" s="117"/>
      <c r="I245" s="34"/>
      <c r="L245" s="110"/>
      <c r="M245" s="110"/>
      <c r="N245" s="34"/>
    </row>
    <row r="246" spans="1:14" s="69" customFormat="1" ht="15.75" customHeight="1" x14ac:dyDescent="0.25">
      <c r="A246" s="68">
        <f t="shared" si="17"/>
        <v>3</v>
      </c>
      <c r="B246" s="68" t="s">
        <v>297</v>
      </c>
      <c r="C246" s="68" t="s">
        <v>269</v>
      </c>
      <c r="D246" s="57">
        <f>(55.49)*10.764</f>
        <v>597.29435999999998</v>
      </c>
      <c r="E246" s="68">
        <v>0</v>
      </c>
      <c r="F246" s="68">
        <f>D246*(($F$216)+1)+(IF(E246&lt;101,E246,IF(E246&lt;201,E246/2,IF(E246&lt;=301,E246/3,E246/4))))</f>
        <v>895.94154000000003</v>
      </c>
      <c r="G246" s="116"/>
      <c r="H246" s="117"/>
      <c r="I246" s="34"/>
      <c r="J246" s="34">
        <f>18200000/F246</f>
        <v>20313.825386419743</v>
      </c>
      <c r="L246" s="110"/>
      <c r="M246" s="110"/>
      <c r="N246" s="34"/>
    </row>
    <row r="247" spans="1:14" s="69" customFormat="1" ht="15.75" customHeight="1" x14ac:dyDescent="0.25">
      <c r="A247" s="68">
        <f t="shared" si="17"/>
        <v>4</v>
      </c>
      <c r="B247" s="68" t="s">
        <v>297</v>
      </c>
      <c r="C247" s="68" t="s">
        <v>268</v>
      </c>
      <c r="D247" s="57">
        <f>(72.8)*10.764</f>
        <v>783.61919999999998</v>
      </c>
      <c r="E247" s="68">
        <v>0</v>
      </c>
      <c r="F247" s="68">
        <f>D247*(($F$216)+1)+(IF(E247&lt;101,E247,IF(E247&lt;201,E247/2,IF(E247&lt;=301,E247/3,E247/4))))</f>
        <v>1175.4287999999999</v>
      </c>
      <c r="G247" s="116"/>
      <c r="H247" s="117"/>
      <c r="I247" s="34"/>
      <c r="L247" s="110"/>
      <c r="M247" s="110"/>
      <c r="N247" s="34"/>
    </row>
    <row r="248" spans="1:14" s="69" customFormat="1" ht="15.75" customHeight="1" x14ac:dyDescent="0.25">
      <c r="A248" s="68">
        <f t="shared" si="17"/>
        <v>5</v>
      </c>
      <c r="B248" s="71" t="s">
        <v>263</v>
      </c>
      <c r="C248" s="68" t="s">
        <v>270</v>
      </c>
      <c r="D248" s="57">
        <f>(39.03)*10.764</f>
        <v>420.11892</v>
      </c>
      <c r="E248" s="68">
        <v>0</v>
      </c>
      <c r="F248" s="68">
        <f>D248*(($F$216)+1)+(IF(E248&lt;101,E248,IF(E248&lt;201,E248/2,IF(E248&lt;=301,E248/3,E248/4))))</f>
        <v>630.17838000000006</v>
      </c>
      <c r="G248" s="118"/>
      <c r="H248" s="119"/>
      <c r="I248" s="34"/>
      <c r="J248" s="34">
        <f>12800000/F248</f>
        <v>20311.709202083384</v>
      </c>
      <c r="K248" s="69">
        <f>12900000/F248</f>
        <v>20470.39443022466</v>
      </c>
      <c r="L248" s="110"/>
      <c r="M248" s="110"/>
      <c r="N248" s="34"/>
    </row>
    <row r="249" spans="1:14" s="56" customFormat="1" x14ac:dyDescent="0.25">
      <c r="A249" s="120" t="s">
        <v>271</v>
      </c>
      <c r="B249" s="121"/>
      <c r="C249" s="121"/>
      <c r="D249" s="121"/>
      <c r="E249" s="121"/>
      <c r="F249" s="121"/>
      <c r="G249" s="121"/>
      <c r="H249" s="122"/>
      <c r="J249" s="34"/>
    </row>
    <row r="250" spans="1:14" s="56" customFormat="1" x14ac:dyDescent="0.25">
      <c r="A250" s="111" t="s">
        <v>265</v>
      </c>
      <c r="B250" s="112"/>
      <c r="C250" s="112"/>
      <c r="D250" s="112"/>
      <c r="E250" s="112"/>
      <c r="F250" s="112"/>
      <c r="G250" s="112"/>
      <c r="H250" s="113"/>
      <c r="J250" s="34"/>
      <c r="K250" s="56">
        <f>30000/1.5</f>
        <v>20000</v>
      </c>
    </row>
    <row r="251" spans="1:14" s="56" customFormat="1" x14ac:dyDescent="0.25">
      <c r="A251" s="111" t="s">
        <v>267</v>
      </c>
      <c r="B251" s="112"/>
      <c r="C251" s="112"/>
      <c r="D251" s="112"/>
      <c r="E251" s="112"/>
      <c r="F251" s="112"/>
      <c r="G251" s="112"/>
      <c r="H251" s="113"/>
      <c r="J251" s="34"/>
    </row>
    <row r="252" spans="1:14" s="56" customFormat="1" ht="15.75" customHeight="1" x14ac:dyDescent="0.25">
      <c r="A252" s="68">
        <v>1</v>
      </c>
      <c r="B252" s="68" t="s">
        <v>297</v>
      </c>
      <c r="C252" s="55" t="s">
        <v>272</v>
      </c>
      <c r="D252" s="57">
        <f>(92.37)*10.764</f>
        <v>994.27067999999997</v>
      </c>
      <c r="E252" s="55">
        <v>0</v>
      </c>
      <c r="F252" s="55">
        <f>D252*(($F$216)+1)+(IF(E252&lt;101,E252,IF(E252&lt;201,E252/2,IF(E252&lt;=301,E252/3,E252/4))))</f>
        <v>1491.4060199999999</v>
      </c>
      <c r="G252" s="114" t="str">
        <f>A251</f>
        <v>4th Floor for Residential</v>
      </c>
      <c r="H252" s="115"/>
      <c r="I252" s="34"/>
      <c r="L252" s="110"/>
      <c r="M252" s="110"/>
      <c r="N252" s="34"/>
    </row>
    <row r="253" spans="1:14" s="56" customFormat="1" ht="15.75" customHeight="1" x14ac:dyDescent="0.25">
      <c r="A253" s="68">
        <f t="shared" ref="A253" si="18">A252+1</f>
        <v>2</v>
      </c>
      <c r="B253" s="68" t="s">
        <v>297</v>
      </c>
      <c r="C253" s="55" t="s">
        <v>272</v>
      </c>
      <c r="D253" s="57">
        <f>(101.02)*10.764</f>
        <v>1087.3792799999999</v>
      </c>
      <c r="E253" s="55">
        <v>0</v>
      </c>
      <c r="F253" s="55">
        <f>D253*(($F$216)+1)+(IF(E253&lt;101,E253,IF(E253&lt;201,E253/2,IF(E253&lt;=301,E253/3,E253/4))))</f>
        <v>1631.0689199999997</v>
      </c>
      <c r="G253" s="116"/>
      <c r="H253" s="117"/>
      <c r="I253" s="34"/>
      <c r="L253" s="110"/>
      <c r="M253" s="110"/>
      <c r="N253" s="34"/>
    </row>
    <row r="254" spans="1:14" s="69" customFormat="1" x14ac:dyDescent="0.25">
      <c r="A254" s="111" t="s">
        <v>298</v>
      </c>
      <c r="B254" s="112"/>
      <c r="C254" s="112"/>
      <c r="D254" s="112"/>
      <c r="E254" s="112"/>
      <c r="F254" s="112"/>
      <c r="G254" s="112"/>
      <c r="H254" s="113"/>
      <c r="J254" s="34"/>
    </row>
    <row r="255" spans="1:14" s="69" customFormat="1" ht="15.6" customHeight="1" x14ac:dyDescent="0.25">
      <c r="A255" s="68">
        <v>1</v>
      </c>
      <c r="B255" s="71" t="s">
        <v>263</v>
      </c>
      <c r="C255" s="68" t="s">
        <v>269</v>
      </c>
      <c r="D255" s="57">
        <f>(56.29)*10.764</f>
        <v>605.90555999999992</v>
      </c>
      <c r="E255" s="68">
        <v>0</v>
      </c>
      <c r="F255" s="68">
        <f>D255*(($F$216)+1)+(IF(E255&lt;101,E255,IF(E255&lt;201,E255/2,IF(E255&lt;=301,E255/3,E255/4))))</f>
        <v>908.85833999999988</v>
      </c>
      <c r="G255" s="114" t="str">
        <f>A254</f>
        <v>5th &amp; 6th Floor</v>
      </c>
      <c r="H255" s="115"/>
      <c r="I255" s="34"/>
      <c r="L255" s="110"/>
      <c r="M255" s="110"/>
      <c r="N255" s="34"/>
    </row>
    <row r="256" spans="1:14" s="69" customFormat="1" ht="15.6" customHeight="1" x14ac:dyDescent="0.25">
      <c r="A256" s="68">
        <f t="shared" ref="A256:A258" si="19">A255+1</f>
        <v>2</v>
      </c>
      <c r="B256" s="71" t="s">
        <v>263</v>
      </c>
      <c r="C256" s="68" t="s">
        <v>269</v>
      </c>
      <c r="D256" s="57">
        <f>(56.29)*10.764</f>
        <v>605.90555999999992</v>
      </c>
      <c r="E256" s="68">
        <v>0</v>
      </c>
      <c r="F256" s="68">
        <f>D256*(($F$216)+1)+(IF(E256&lt;101,E256,IF(E256&lt;201,E256/2,IF(E256&lt;=301,E256/3,E256/4))))</f>
        <v>908.85833999999988</v>
      </c>
      <c r="G256" s="116"/>
      <c r="H256" s="117"/>
      <c r="I256" s="34"/>
      <c r="L256" s="110"/>
      <c r="M256" s="110"/>
      <c r="N256" s="34"/>
    </row>
    <row r="257" spans="1:14" s="69" customFormat="1" ht="15.6" customHeight="1" x14ac:dyDescent="0.25">
      <c r="A257" s="68">
        <f t="shared" si="19"/>
        <v>3</v>
      </c>
      <c r="B257" s="71" t="s">
        <v>263</v>
      </c>
      <c r="C257" s="68" t="s">
        <v>269</v>
      </c>
      <c r="D257" s="57">
        <f>(56.29)*10.764</f>
        <v>605.90555999999992</v>
      </c>
      <c r="E257" s="68">
        <v>0</v>
      </c>
      <c r="F257" s="68">
        <f>D257*(($F$216)+1)+(IF(E257&lt;101,E257,IF(E257&lt;201,E257/2,IF(E257&lt;=301,E257/3,E257/4))))</f>
        <v>908.85833999999988</v>
      </c>
      <c r="G257" s="116"/>
      <c r="H257" s="117"/>
      <c r="I257" s="34"/>
      <c r="L257" s="110"/>
      <c r="M257" s="110"/>
      <c r="N257" s="34"/>
    </row>
    <row r="258" spans="1:14" s="69" customFormat="1" ht="15.6" customHeight="1" x14ac:dyDescent="0.25">
      <c r="A258" s="68">
        <f t="shared" si="19"/>
        <v>4</v>
      </c>
      <c r="B258" s="71" t="s">
        <v>263</v>
      </c>
      <c r="C258" s="68" t="s">
        <v>269</v>
      </c>
      <c r="D258" s="57">
        <f>(56.29)*10.764</f>
        <v>605.90555999999992</v>
      </c>
      <c r="E258" s="68">
        <v>0</v>
      </c>
      <c r="F258" s="68">
        <f>D258*(($F$216)+1)+(IF(E258&lt;101,E258,IF(E258&lt;201,E258/2,IF(E258&lt;=301,E258/3,E258/4))))</f>
        <v>908.85833999999988</v>
      </c>
      <c r="G258" s="118"/>
      <c r="H258" s="119"/>
      <c r="I258" s="34"/>
      <c r="L258" s="110"/>
      <c r="M258" s="110"/>
      <c r="N258" s="34"/>
    </row>
    <row r="259" spans="1:14" s="69" customFormat="1" x14ac:dyDescent="0.25">
      <c r="A259" s="111" t="s">
        <v>303</v>
      </c>
      <c r="B259" s="112"/>
      <c r="C259" s="112"/>
      <c r="D259" s="112"/>
      <c r="E259" s="112"/>
      <c r="F259" s="112"/>
      <c r="G259" s="112"/>
      <c r="H259" s="113"/>
      <c r="J259" s="34"/>
    </row>
    <row r="260" spans="1:14" s="69" customFormat="1" ht="15.6" customHeight="1" x14ac:dyDescent="0.25">
      <c r="A260" s="68">
        <v>1</v>
      </c>
      <c r="B260" s="71" t="s">
        <v>263</v>
      </c>
      <c r="C260" s="68" t="s">
        <v>269</v>
      </c>
      <c r="D260" s="57">
        <f>(56.29)*10.764</f>
        <v>605.90555999999992</v>
      </c>
      <c r="E260" s="68">
        <v>0</v>
      </c>
      <c r="F260" s="68">
        <f>D260*(($F$216)+1)+(IF(E260&lt;101,E260,IF(E260&lt;201,E260/2,IF(E260&lt;=301,E260/3,E260/4))))</f>
        <v>908.85833999999988</v>
      </c>
      <c r="G260" s="114" t="str">
        <f>A259</f>
        <v>7th Floor (Part Refuge Area)</v>
      </c>
      <c r="H260" s="115"/>
      <c r="I260" s="34"/>
      <c r="L260" s="110"/>
      <c r="M260" s="110"/>
      <c r="N260" s="34"/>
    </row>
    <row r="261" spans="1:14" s="69" customFormat="1" ht="15.6" customHeight="1" x14ac:dyDescent="0.25">
      <c r="A261" s="68">
        <f t="shared" ref="A261:A263" si="20">A260+1</f>
        <v>2</v>
      </c>
      <c r="B261" s="71" t="s">
        <v>263</v>
      </c>
      <c r="C261" s="68" t="s">
        <v>269</v>
      </c>
      <c r="D261" s="57">
        <f>(56.29)*10.764</f>
        <v>605.90555999999992</v>
      </c>
      <c r="E261" s="68">
        <v>0</v>
      </c>
      <c r="F261" s="68">
        <f>D261*(($F$216)+1)+(IF(E261&lt;101,E261,IF(E261&lt;201,E261/2,IF(E261&lt;=301,E261/3,E261/4))))</f>
        <v>908.85833999999988</v>
      </c>
      <c r="G261" s="116"/>
      <c r="H261" s="117"/>
      <c r="I261" s="34"/>
      <c r="L261" s="110"/>
      <c r="M261" s="110"/>
      <c r="N261" s="34"/>
    </row>
    <row r="262" spans="1:14" s="69" customFormat="1" ht="15.6" customHeight="1" x14ac:dyDescent="0.25">
      <c r="A262" s="68">
        <f t="shared" si="20"/>
        <v>3</v>
      </c>
      <c r="B262" s="71" t="s">
        <v>300</v>
      </c>
      <c r="C262" s="114" t="s">
        <v>302</v>
      </c>
      <c r="D262" s="231"/>
      <c r="E262" s="231"/>
      <c r="F262" s="115"/>
      <c r="G262" s="116"/>
      <c r="H262" s="117"/>
      <c r="I262" s="34"/>
      <c r="L262" s="110"/>
      <c r="M262" s="110"/>
      <c r="N262" s="34"/>
    </row>
    <row r="263" spans="1:14" s="69" customFormat="1" ht="15.6" customHeight="1" x14ac:dyDescent="0.25">
      <c r="A263" s="68">
        <f t="shared" si="20"/>
        <v>4</v>
      </c>
      <c r="B263" s="71" t="s">
        <v>300</v>
      </c>
      <c r="C263" s="118"/>
      <c r="D263" s="232"/>
      <c r="E263" s="232"/>
      <c r="F263" s="119"/>
      <c r="G263" s="118"/>
      <c r="H263" s="119"/>
      <c r="I263" s="34"/>
      <c r="L263" s="110"/>
      <c r="M263" s="110"/>
      <c r="N263" s="34"/>
    </row>
    <row r="264" spans="1:14" s="69" customFormat="1" x14ac:dyDescent="0.25">
      <c r="A264" s="111" t="s">
        <v>304</v>
      </c>
      <c r="B264" s="112"/>
      <c r="C264" s="112"/>
      <c r="D264" s="112"/>
      <c r="E264" s="112"/>
      <c r="F264" s="112"/>
      <c r="G264" s="112"/>
      <c r="H264" s="113"/>
      <c r="J264" s="34"/>
    </row>
    <row r="265" spans="1:14" s="69" customFormat="1" ht="15.6" customHeight="1" x14ac:dyDescent="0.25">
      <c r="A265" s="68">
        <v>1</v>
      </c>
      <c r="B265" s="71" t="s">
        <v>263</v>
      </c>
      <c r="C265" s="68" t="s">
        <v>269</v>
      </c>
      <c r="D265" s="57">
        <f>(56.29)*10.764</f>
        <v>605.90555999999992</v>
      </c>
      <c r="E265" s="68">
        <v>0</v>
      </c>
      <c r="F265" s="68">
        <f>D265*(($F$216)+1)+(IF(E265&lt;101,E265,IF(E265&lt;201,E265/2,IF(E265&lt;=301,E265/3,E265/4))))</f>
        <v>908.85833999999988</v>
      </c>
      <c r="G265" s="114" t="str">
        <f>A264</f>
        <v>8th Floor</v>
      </c>
      <c r="H265" s="115"/>
      <c r="I265" s="34"/>
      <c r="L265" s="110"/>
      <c r="M265" s="110"/>
      <c r="N265" s="34"/>
    </row>
    <row r="266" spans="1:14" s="69" customFormat="1" ht="15.6" customHeight="1" x14ac:dyDescent="0.25">
      <c r="A266" s="68">
        <f t="shared" ref="A266:A268" si="21">A265+1</f>
        <v>2</v>
      </c>
      <c r="B266" s="71" t="s">
        <v>263</v>
      </c>
      <c r="C266" s="68" t="s">
        <v>269</v>
      </c>
      <c r="D266" s="57">
        <f>(56.29)*10.764</f>
        <v>605.90555999999992</v>
      </c>
      <c r="E266" s="68">
        <v>0</v>
      </c>
      <c r="F266" s="68">
        <f>D266*(($F$216)+1)+(IF(E266&lt;101,E266,IF(E266&lt;201,E266/2,IF(E266&lt;=301,E266/3,E266/4))))</f>
        <v>908.85833999999988</v>
      </c>
      <c r="G266" s="116"/>
      <c r="H266" s="117"/>
      <c r="I266" s="34"/>
      <c r="L266" s="110"/>
      <c r="M266" s="110"/>
      <c r="N266" s="34"/>
    </row>
    <row r="267" spans="1:14" s="69" customFormat="1" ht="15.6" customHeight="1" x14ac:dyDescent="0.25">
      <c r="A267" s="68">
        <f t="shared" si="21"/>
        <v>3</v>
      </c>
      <c r="B267" s="71" t="s">
        <v>263</v>
      </c>
      <c r="C267" s="68" t="s">
        <v>269</v>
      </c>
      <c r="D267" s="57">
        <f>(56.29)*10.764</f>
        <v>605.90555999999992</v>
      </c>
      <c r="E267" s="68">
        <v>0</v>
      </c>
      <c r="F267" s="68">
        <f>D267*(($F$216)+1)+(IF(E267&lt;101,E267,IF(E267&lt;201,E267/2,IF(E267&lt;=301,E267/3,E267/4))))</f>
        <v>908.85833999999988</v>
      </c>
      <c r="G267" s="116"/>
      <c r="H267" s="117"/>
      <c r="I267" s="34"/>
      <c r="L267" s="110"/>
      <c r="M267" s="110"/>
      <c r="N267" s="34"/>
    </row>
    <row r="268" spans="1:14" s="69" customFormat="1" ht="15.6" customHeight="1" x14ac:dyDescent="0.25">
      <c r="A268" s="68">
        <f t="shared" si="21"/>
        <v>4</v>
      </c>
      <c r="B268" s="71" t="s">
        <v>263</v>
      </c>
      <c r="C268" s="68" t="s">
        <v>269</v>
      </c>
      <c r="D268" s="57">
        <f>(56.29)*10.764</f>
        <v>605.90555999999992</v>
      </c>
      <c r="E268" s="68">
        <v>0</v>
      </c>
      <c r="F268" s="68">
        <f>D268*(($F$216)+1)+(IF(E268&lt;101,E268,IF(E268&lt;201,E268/2,IF(E268&lt;=301,E268/3,E268/4))))</f>
        <v>908.85833999999988</v>
      </c>
      <c r="G268" s="118"/>
      <c r="H268" s="119"/>
      <c r="I268" s="34"/>
      <c r="L268" s="110"/>
      <c r="M268" s="110"/>
      <c r="N268" s="34"/>
    </row>
    <row r="269" spans="1:14" s="69" customFormat="1" x14ac:dyDescent="0.25">
      <c r="A269" s="111" t="s">
        <v>305</v>
      </c>
      <c r="B269" s="112"/>
      <c r="C269" s="112"/>
      <c r="D269" s="112"/>
      <c r="E269" s="112"/>
      <c r="F269" s="112"/>
      <c r="G269" s="112"/>
      <c r="H269" s="113"/>
      <c r="J269" s="34"/>
    </row>
    <row r="270" spans="1:14" s="69" customFormat="1" ht="15.6" customHeight="1" x14ac:dyDescent="0.25">
      <c r="A270" s="68">
        <v>1</v>
      </c>
      <c r="B270" s="71" t="s">
        <v>263</v>
      </c>
      <c r="C270" s="68" t="s">
        <v>269</v>
      </c>
      <c r="D270" s="57">
        <f>(56.29)*10.764</f>
        <v>605.90555999999992</v>
      </c>
      <c r="E270" s="68">
        <v>0</v>
      </c>
      <c r="F270" s="68">
        <f>D270*(($F$216)+1)+(IF(E270&lt;101,E270,IF(E270&lt;201,E270/2,IF(E270&lt;=301,E270/3,E270/4))))</f>
        <v>908.85833999999988</v>
      </c>
      <c r="G270" s="114" t="str">
        <f>A269</f>
        <v>9th Floor</v>
      </c>
      <c r="H270" s="115"/>
      <c r="I270" s="34"/>
      <c r="L270" s="110"/>
      <c r="M270" s="110"/>
      <c r="N270" s="34"/>
    </row>
    <row r="271" spans="1:14" s="69" customFormat="1" ht="15.6" customHeight="1" x14ac:dyDescent="0.25">
      <c r="A271" s="68">
        <f t="shared" ref="A271:A273" si="22">A270+1</f>
        <v>2</v>
      </c>
      <c r="B271" s="71" t="s">
        <v>263</v>
      </c>
      <c r="C271" s="68" t="s">
        <v>269</v>
      </c>
      <c r="D271" s="57">
        <f>(56.29)*10.764</f>
        <v>605.90555999999992</v>
      </c>
      <c r="E271" s="68">
        <v>0</v>
      </c>
      <c r="F271" s="68">
        <f>D271*(($F$216)+1)+(IF(E271&lt;101,E271,IF(E271&lt;201,E271/2,IF(E271&lt;=301,E271/3,E271/4))))</f>
        <v>908.85833999999988</v>
      </c>
      <c r="G271" s="116"/>
      <c r="H271" s="117"/>
      <c r="I271" s="34"/>
      <c r="L271" s="110"/>
      <c r="M271" s="110"/>
      <c r="N271" s="34"/>
    </row>
    <row r="272" spans="1:14" s="69" customFormat="1" ht="15.6" customHeight="1" x14ac:dyDescent="0.25">
      <c r="A272" s="68">
        <f t="shared" si="22"/>
        <v>3</v>
      </c>
      <c r="B272" s="71" t="s">
        <v>263</v>
      </c>
      <c r="C272" s="68" t="s">
        <v>269</v>
      </c>
      <c r="D272" s="57">
        <f>(56.29)*10.764</f>
        <v>605.90555999999992</v>
      </c>
      <c r="E272" s="68">
        <v>0</v>
      </c>
      <c r="F272" s="68">
        <f>D272*(($F$216)+1)+(IF(E272&lt;101,E272,IF(E272&lt;201,E272/2,IF(E272&lt;=301,E272/3,E272/4))))</f>
        <v>908.85833999999988</v>
      </c>
      <c r="G272" s="116"/>
      <c r="H272" s="117"/>
      <c r="I272" s="34"/>
      <c r="L272" s="110"/>
      <c r="M272" s="110"/>
      <c r="N272" s="34"/>
    </row>
    <row r="273" spans="1:14" s="69" customFormat="1" ht="15.6" customHeight="1" x14ac:dyDescent="0.25">
      <c r="A273" s="68">
        <f t="shared" si="22"/>
        <v>4</v>
      </c>
      <c r="B273" s="71" t="s">
        <v>263</v>
      </c>
      <c r="C273" s="68" t="s">
        <v>269</v>
      </c>
      <c r="D273" s="57">
        <f>(56.29)*10.764</f>
        <v>605.90555999999992</v>
      </c>
      <c r="E273" s="68">
        <v>0</v>
      </c>
      <c r="F273" s="68">
        <f>D273*(($F$216)+1)+(IF(E273&lt;101,E273,IF(E273&lt;201,E273/2,IF(E273&lt;=301,E273/3,E273/4))))</f>
        <v>908.85833999999988</v>
      </c>
      <c r="G273" s="118"/>
      <c r="H273" s="119"/>
      <c r="I273" s="34"/>
      <c r="L273" s="110"/>
      <c r="M273" s="110"/>
      <c r="N273" s="34"/>
    </row>
    <row r="274" spans="1:14" s="56" customFormat="1" x14ac:dyDescent="0.25">
      <c r="A274" s="120" t="s">
        <v>273</v>
      </c>
      <c r="B274" s="121"/>
      <c r="C274" s="121"/>
      <c r="D274" s="121"/>
      <c r="E274" s="121"/>
      <c r="F274" s="121"/>
      <c r="G274" s="121"/>
      <c r="H274" s="122"/>
      <c r="J274" s="34"/>
    </row>
    <row r="275" spans="1:14" s="56" customFormat="1" x14ac:dyDescent="0.25">
      <c r="A275" s="123" t="s">
        <v>265</v>
      </c>
      <c r="B275" s="123"/>
      <c r="C275" s="123"/>
      <c r="D275" s="123"/>
      <c r="E275" s="123"/>
      <c r="F275" s="123"/>
      <c r="G275" s="123"/>
      <c r="H275" s="123"/>
      <c r="J275" s="34"/>
    </row>
    <row r="276" spans="1:14" s="56" customFormat="1" x14ac:dyDescent="0.25">
      <c r="A276" s="123" t="s">
        <v>267</v>
      </c>
      <c r="B276" s="123"/>
      <c r="C276" s="123"/>
      <c r="D276" s="123"/>
      <c r="E276" s="123"/>
      <c r="F276" s="123"/>
      <c r="G276" s="123"/>
      <c r="H276" s="123"/>
      <c r="J276" s="34"/>
    </row>
    <row r="277" spans="1:14" s="56" customFormat="1" ht="15.75" customHeight="1" x14ac:dyDescent="0.25">
      <c r="A277" s="79">
        <v>1</v>
      </c>
      <c r="B277" s="79" t="s">
        <v>297</v>
      </c>
      <c r="C277" s="79" t="s">
        <v>268</v>
      </c>
      <c r="D277" s="57">
        <f>(71.33)*10.764</f>
        <v>767.79611999999997</v>
      </c>
      <c r="E277" s="79">
        <v>0</v>
      </c>
      <c r="F277" s="79">
        <f>D277*(($F$216)+1)+(IF(E277&lt;101,E277,IF(E277&lt;201,E277/2,IF(E277&lt;=301,E277/3,E277/4))))</f>
        <v>1151.69418</v>
      </c>
      <c r="G277" s="124" t="str">
        <f>A276</f>
        <v>4th Floor for Residential</v>
      </c>
      <c r="H277" s="124"/>
      <c r="I277" s="34"/>
      <c r="L277" s="110"/>
      <c r="M277" s="110"/>
      <c r="N277" s="34"/>
    </row>
    <row r="278" spans="1:14" s="56" customFormat="1" ht="15.75" customHeight="1" x14ac:dyDescent="0.25">
      <c r="A278" s="79">
        <f t="shared" ref="A278:A281" si="23">A277+1</f>
        <v>2</v>
      </c>
      <c r="B278" s="79" t="s">
        <v>297</v>
      </c>
      <c r="C278" s="79" t="s">
        <v>270</v>
      </c>
      <c r="D278" s="57">
        <f>(44.83)*10.764</f>
        <v>482.55011999999994</v>
      </c>
      <c r="E278" s="79">
        <v>0</v>
      </c>
      <c r="F278" s="79">
        <f>D278*(($F$216)+1)+(IF(E278&lt;101,E278,IF(E278&lt;201,E278/2,IF(E278&lt;=301,E278/3,E278/4))))</f>
        <v>723.82517999999993</v>
      </c>
      <c r="G278" s="124"/>
      <c r="H278" s="124"/>
      <c r="I278" s="34"/>
      <c r="L278" s="110"/>
      <c r="M278" s="110"/>
      <c r="N278" s="34"/>
    </row>
    <row r="279" spans="1:14" s="56" customFormat="1" ht="15.75" customHeight="1" x14ac:dyDescent="0.25">
      <c r="A279" s="79">
        <f t="shared" si="23"/>
        <v>3</v>
      </c>
      <c r="B279" s="79" t="s">
        <v>297</v>
      </c>
      <c r="C279" s="79" t="s">
        <v>269</v>
      </c>
      <c r="D279" s="57">
        <f>(55.98)*10.764</f>
        <v>602.56871999999998</v>
      </c>
      <c r="E279" s="79">
        <v>0</v>
      </c>
      <c r="F279" s="79">
        <f>D279*(($F$216)+1)+(IF(E279&lt;101,E279,IF(E279&lt;201,E279/2,IF(E279&lt;=301,E279/3,E279/4))))</f>
        <v>903.85307999999998</v>
      </c>
      <c r="G279" s="124"/>
      <c r="H279" s="124"/>
      <c r="I279" s="34"/>
      <c r="J279" s="34">
        <f>19700000/F279</f>
        <v>21795.577661803178</v>
      </c>
      <c r="L279" s="110"/>
      <c r="M279" s="110"/>
      <c r="N279" s="34"/>
    </row>
    <row r="280" spans="1:14" s="56" customFormat="1" ht="15.75" customHeight="1" x14ac:dyDescent="0.25">
      <c r="A280" s="79">
        <f t="shared" si="23"/>
        <v>4</v>
      </c>
      <c r="B280" s="79" t="s">
        <v>297</v>
      </c>
      <c r="C280" s="79" t="s">
        <v>268</v>
      </c>
      <c r="D280" s="57">
        <f>(72.7)*10.764</f>
        <v>782.54279999999994</v>
      </c>
      <c r="E280" s="79">
        <v>0</v>
      </c>
      <c r="F280" s="79">
        <f>D280*(($F$216)+1)+(IF(E280&lt;101,E280,IF(E280&lt;201,E280/2,IF(E280&lt;=301,E280/3,E280/4))))</f>
        <v>1173.8141999999998</v>
      </c>
      <c r="G280" s="124"/>
      <c r="H280" s="124"/>
      <c r="I280" s="34"/>
      <c r="J280" s="34">
        <f>23900000/F280</f>
        <v>20360.973653240864</v>
      </c>
      <c r="L280" s="110"/>
      <c r="M280" s="110"/>
      <c r="N280" s="34"/>
    </row>
    <row r="281" spans="1:14" s="56" customFormat="1" ht="15.75" customHeight="1" x14ac:dyDescent="0.25">
      <c r="A281" s="79">
        <f t="shared" si="23"/>
        <v>5</v>
      </c>
      <c r="B281" s="80" t="s">
        <v>263</v>
      </c>
      <c r="C281" s="79" t="s">
        <v>270</v>
      </c>
      <c r="D281" s="57">
        <f>(39.03)*10.764</f>
        <v>420.11892</v>
      </c>
      <c r="E281" s="79">
        <v>0</v>
      </c>
      <c r="F281" s="79">
        <f>D281*(($F$216)+1)+(IF(E281&lt;101,E281,IF(E281&lt;201,E281/2,IF(E281&lt;=301,E281/3,E281/4))))</f>
        <v>630.17838000000006</v>
      </c>
      <c r="G281" s="124"/>
      <c r="H281" s="124"/>
      <c r="I281" s="34"/>
      <c r="L281" s="110"/>
      <c r="M281" s="110"/>
      <c r="N281" s="34"/>
    </row>
    <row r="282" spans="1:14" s="69" customFormat="1" x14ac:dyDescent="0.25">
      <c r="A282" s="123" t="s">
        <v>298</v>
      </c>
      <c r="B282" s="123"/>
      <c r="C282" s="123"/>
      <c r="D282" s="123"/>
      <c r="E282" s="123"/>
      <c r="F282" s="123"/>
      <c r="G282" s="123"/>
      <c r="H282" s="123"/>
      <c r="J282" s="34"/>
    </row>
    <row r="283" spans="1:14" s="69" customFormat="1" ht="15.75" customHeight="1" x14ac:dyDescent="0.25">
      <c r="A283" s="68">
        <v>1</v>
      </c>
      <c r="B283" s="68" t="s">
        <v>297</v>
      </c>
      <c r="C283" s="68" t="s">
        <v>268</v>
      </c>
      <c r="D283" s="57">
        <f>(72.7)*10.764</f>
        <v>782.54279999999994</v>
      </c>
      <c r="E283" s="68">
        <v>0</v>
      </c>
      <c r="F283" s="68">
        <f>D283*(($F$216)+1)+(IF(E283&lt;101,E283,IF(E283&lt;201,E283/2,IF(E283&lt;=301,E283/3,E283/4))))</f>
        <v>1173.8141999999998</v>
      </c>
      <c r="G283" s="114" t="str">
        <f>A282</f>
        <v>5th &amp; 6th Floor</v>
      </c>
      <c r="H283" s="115"/>
      <c r="I283" s="34"/>
      <c r="L283" s="110"/>
      <c r="M283" s="110"/>
      <c r="N283" s="34"/>
    </row>
    <row r="284" spans="1:14" s="69" customFormat="1" ht="15.75" customHeight="1" x14ac:dyDescent="0.25">
      <c r="A284" s="68">
        <f t="shared" ref="A284:A287" si="24">A283+1</f>
        <v>2</v>
      </c>
      <c r="B284" s="68" t="s">
        <v>297</v>
      </c>
      <c r="C284" s="68" t="s">
        <v>269</v>
      </c>
      <c r="D284" s="57">
        <f>(58.8)*10.764</f>
        <v>632.92319999999995</v>
      </c>
      <c r="E284" s="68">
        <v>0</v>
      </c>
      <c r="F284" s="68">
        <f>D284*(($F$216)+1)+(IF(E284&lt;101,E284,IF(E284&lt;201,E284/2,IF(E284&lt;=301,E284/3,E284/4))))</f>
        <v>949.38479999999993</v>
      </c>
      <c r="G284" s="116"/>
      <c r="H284" s="117"/>
      <c r="I284" s="34"/>
      <c r="L284" s="110"/>
      <c r="M284" s="110"/>
      <c r="N284" s="34"/>
    </row>
    <row r="285" spans="1:14" s="69" customFormat="1" ht="15.75" customHeight="1" x14ac:dyDescent="0.25">
      <c r="A285" s="68">
        <f t="shared" si="24"/>
        <v>3</v>
      </c>
      <c r="B285" s="68" t="s">
        <v>297</v>
      </c>
      <c r="C285" s="68" t="s">
        <v>269</v>
      </c>
      <c r="D285" s="57">
        <f>(58.99)*10.764</f>
        <v>634.96835999999996</v>
      </c>
      <c r="E285" s="68">
        <v>0</v>
      </c>
      <c r="F285" s="68">
        <f>D285*(($F$216)+1)+(IF(E285&lt;101,E285,IF(E285&lt;201,E285/2,IF(E285&lt;=301,E285/3,E285/4))))</f>
        <v>952.45254</v>
      </c>
      <c r="G285" s="116"/>
      <c r="H285" s="117"/>
      <c r="I285" s="34"/>
      <c r="J285" s="34"/>
      <c r="L285" s="110"/>
      <c r="M285" s="110"/>
      <c r="N285" s="34"/>
    </row>
    <row r="286" spans="1:14" s="69" customFormat="1" ht="15.75" customHeight="1" x14ac:dyDescent="0.25">
      <c r="A286" s="68">
        <f t="shared" si="24"/>
        <v>4</v>
      </c>
      <c r="B286" s="68" t="s">
        <v>297</v>
      </c>
      <c r="C286" s="68" t="s">
        <v>268</v>
      </c>
      <c r="D286" s="57">
        <f>(72.7)*10.764</f>
        <v>782.54279999999994</v>
      </c>
      <c r="E286" s="68">
        <v>0</v>
      </c>
      <c r="F286" s="68">
        <f>D286*(($F$216)+1)+(IF(E286&lt;101,E286,IF(E286&lt;201,E286/2,IF(E286&lt;=301,E286/3,E286/4))))</f>
        <v>1173.8141999999998</v>
      </c>
      <c r="G286" s="116"/>
      <c r="H286" s="117"/>
      <c r="I286" s="34"/>
      <c r="J286" s="34"/>
      <c r="L286" s="110"/>
      <c r="M286" s="110"/>
      <c r="N286" s="34"/>
    </row>
    <row r="287" spans="1:14" s="69" customFormat="1" ht="15.75" customHeight="1" x14ac:dyDescent="0.25">
      <c r="A287" s="68">
        <f t="shared" si="24"/>
        <v>5</v>
      </c>
      <c r="B287" s="71" t="s">
        <v>263</v>
      </c>
      <c r="C287" s="68" t="s">
        <v>270</v>
      </c>
      <c r="D287" s="57">
        <f>(39.03)*10.764</f>
        <v>420.11892</v>
      </c>
      <c r="E287" s="68">
        <v>0</v>
      </c>
      <c r="F287" s="68">
        <f>D287*(($F$216)+1)+(IF(E287&lt;101,E287,IF(E287&lt;201,E287/2,IF(E287&lt;=301,E287/3,E287/4))))</f>
        <v>630.17838000000006</v>
      </c>
      <c r="G287" s="118"/>
      <c r="H287" s="119"/>
      <c r="I287" s="34"/>
      <c r="L287" s="110"/>
      <c r="M287" s="110"/>
      <c r="N287" s="34"/>
    </row>
    <row r="288" spans="1:14" s="69" customFormat="1" x14ac:dyDescent="0.25">
      <c r="A288" s="111" t="s">
        <v>303</v>
      </c>
      <c r="B288" s="112"/>
      <c r="C288" s="112"/>
      <c r="D288" s="112"/>
      <c r="E288" s="112"/>
      <c r="F288" s="112"/>
      <c r="G288" s="112"/>
      <c r="H288" s="113"/>
      <c r="J288" s="34"/>
    </row>
    <row r="289" spans="1:14" s="69" customFormat="1" ht="15.75" customHeight="1" x14ac:dyDescent="0.25">
      <c r="A289" s="68">
        <v>1</v>
      </c>
      <c r="B289" s="68" t="s">
        <v>300</v>
      </c>
      <c r="C289" s="114" t="s">
        <v>302</v>
      </c>
      <c r="D289" s="231"/>
      <c r="E289" s="231"/>
      <c r="F289" s="115"/>
      <c r="G289" s="114" t="str">
        <f>A288</f>
        <v>7th Floor (Part Refuge Area)</v>
      </c>
      <c r="H289" s="115"/>
      <c r="I289" s="34"/>
      <c r="L289" s="110"/>
      <c r="M289" s="110"/>
      <c r="N289" s="34"/>
    </row>
    <row r="290" spans="1:14" s="69" customFormat="1" ht="15.75" customHeight="1" x14ac:dyDescent="0.25">
      <c r="A290" s="68">
        <f t="shared" ref="A290:A293" si="25">A289+1</f>
        <v>2</v>
      </c>
      <c r="B290" s="68" t="s">
        <v>300</v>
      </c>
      <c r="C290" s="118"/>
      <c r="D290" s="232"/>
      <c r="E290" s="232"/>
      <c r="F290" s="119"/>
      <c r="G290" s="116"/>
      <c r="H290" s="117"/>
      <c r="I290" s="34"/>
      <c r="L290" s="110"/>
      <c r="M290" s="110"/>
      <c r="N290" s="34"/>
    </row>
    <row r="291" spans="1:14" s="69" customFormat="1" ht="15.75" customHeight="1" x14ac:dyDescent="0.25">
      <c r="A291" s="68">
        <f t="shared" si="25"/>
        <v>3</v>
      </c>
      <c r="B291" s="68" t="s">
        <v>297</v>
      </c>
      <c r="C291" s="68" t="s">
        <v>269</v>
      </c>
      <c r="D291" s="57">
        <f>(59.99)*10.764</f>
        <v>645.73235999999997</v>
      </c>
      <c r="E291" s="68">
        <v>0</v>
      </c>
      <c r="F291" s="68">
        <f>D291*(($F$216)+1)+(IF(E291&lt;101,E291,IF(E291&lt;201,E291/2,IF(E291&lt;=301,E291/3,E291/4))))</f>
        <v>968.59853999999996</v>
      </c>
      <c r="G291" s="116"/>
      <c r="H291" s="117"/>
      <c r="I291" s="34"/>
      <c r="J291" s="34"/>
      <c r="L291" s="110"/>
      <c r="M291" s="110"/>
      <c r="N291" s="34"/>
    </row>
    <row r="292" spans="1:14" s="69" customFormat="1" ht="15.75" customHeight="1" x14ac:dyDescent="0.25">
      <c r="A292" s="68">
        <f t="shared" si="25"/>
        <v>4</v>
      </c>
      <c r="B292" s="68" t="s">
        <v>297</v>
      </c>
      <c r="C292" s="68" t="s">
        <v>268</v>
      </c>
      <c r="D292" s="57">
        <f>(72.7)*10.764</f>
        <v>782.54279999999994</v>
      </c>
      <c r="E292" s="68">
        <v>0</v>
      </c>
      <c r="F292" s="68">
        <f>D292*(($F$216)+1)+(IF(E292&lt;101,E292,IF(E292&lt;201,E292/2,IF(E292&lt;=301,E292/3,E292/4))))</f>
        <v>1173.8141999999998</v>
      </c>
      <c r="G292" s="116"/>
      <c r="H292" s="117"/>
      <c r="I292" s="34"/>
      <c r="J292" s="34"/>
      <c r="L292" s="110"/>
      <c r="M292" s="110"/>
      <c r="N292" s="34"/>
    </row>
    <row r="293" spans="1:14" s="69" customFormat="1" ht="15.75" customHeight="1" x14ac:dyDescent="0.25">
      <c r="A293" s="68">
        <f t="shared" si="25"/>
        <v>5</v>
      </c>
      <c r="B293" s="71" t="s">
        <v>263</v>
      </c>
      <c r="C293" s="68" t="s">
        <v>270</v>
      </c>
      <c r="D293" s="57">
        <f>(39.03)*10.764</f>
        <v>420.11892</v>
      </c>
      <c r="E293" s="68">
        <v>0</v>
      </c>
      <c r="F293" s="68">
        <f>D293*(($F$216)+1)+(IF(E293&lt;101,E293,IF(E293&lt;201,E293/2,IF(E293&lt;=301,E293/3,E293/4))))</f>
        <v>630.17838000000006</v>
      </c>
      <c r="G293" s="118"/>
      <c r="H293" s="119"/>
      <c r="I293" s="34"/>
      <c r="L293" s="110"/>
      <c r="M293" s="110"/>
      <c r="N293" s="34"/>
    </row>
    <row r="294" spans="1:14" s="69" customFormat="1" x14ac:dyDescent="0.25">
      <c r="A294" s="111" t="s">
        <v>304</v>
      </c>
      <c r="B294" s="112"/>
      <c r="C294" s="112"/>
      <c r="D294" s="112"/>
      <c r="E294" s="112"/>
      <c r="F294" s="112"/>
      <c r="G294" s="112"/>
      <c r="H294" s="113"/>
      <c r="J294" s="34"/>
    </row>
    <row r="295" spans="1:14" s="69" customFormat="1" ht="15.75" customHeight="1" x14ac:dyDescent="0.25">
      <c r="A295" s="68">
        <v>1</v>
      </c>
      <c r="B295" s="68" t="s">
        <v>297</v>
      </c>
      <c r="C295" s="68" t="s">
        <v>268</v>
      </c>
      <c r="D295" s="57">
        <f>(72.7)*10.764</f>
        <v>782.54279999999994</v>
      </c>
      <c r="E295" s="68">
        <v>0</v>
      </c>
      <c r="F295" s="68">
        <f>D295*(($F$216)+1)+(IF(E295&lt;101,E295,IF(E295&lt;201,E295/2,IF(E295&lt;=301,E295/3,E295/4))))</f>
        <v>1173.8141999999998</v>
      </c>
      <c r="G295" s="114" t="str">
        <f>A294</f>
        <v>8th Floor</v>
      </c>
      <c r="H295" s="115"/>
      <c r="I295" s="34"/>
      <c r="L295" s="110"/>
      <c r="M295" s="110"/>
      <c r="N295" s="34"/>
    </row>
    <row r="296" spans="1:14" s="69" customFormat="1" ht="15.75" customHeight="1" x14ac:dyDescent="0.25">
      <c r="A296" s="68">
        <f t="shared" ref="A296:A299" si="26">A295+1</f>
        <v>2</v>
      </c>
      <c r="B296" s="68" t="s">
        <v>297</v>
      </c>
      <c r="C296" s="68" t="s">
        <v>269</v>
      </c>
      <c r="D296" s="57">
        <f>(59.78)*10.764</f>
        <v>643.47191999999995</v>
      </c>
      <c r="E296" s="68">
        <v>0</v>
      </c>
      <c r="F296" s="68">
        <f>D296*(($F$216)+1)+(IF(E296&lt;101,E296,IF(E296&lt;201,E296/2,IF(E296&lt;=301,E296/3,E296/4))))</f>
        <v>965.20787999999993</v>
      </c>
      <c r="G296" s="116"/>
      <c r="H296" s="117"/>
      <c r="I296" s="34"/>
      <c r="L296" s="110"/>
      <c r="M296" s="110"/>
      <c r="N296" s="34"/>
    </row>
    <row r="297" spans="1:14" s="69" customFormat="1" ht="15.75" customHeight="1" x14ac:dyDescent="0.25">
      <c r="A297" s="68">
        <f t="shared" si="26"/>
        <v>3</v>
      </c>
      <c r="B297" s="68" t="s">
        <v>297</v>
      </c>
      <c r="C297" s="68" t="s">
        <v>269</v>
      </c>
      <c r="D297" s="57">
        <f>(59.99)*10.764</f>
        <v>645.73235999999997</v>
      </c>
      <c r="E297" s="68">
        <v>0</v>
      </c>
      <c r="F297" s="68">
        <f>D297*(($F$216)+1)+(IF(E297&lt;101,E297,IF(E297&lt;201,E297/2,IF(E297&lt;=301,E297/3,E297/4))))</f>
        <v>968.59853999999996</v>
      </c>
      <c r="G297" s="116"/>
      <c r="H297" s="117"/>
      <c r="I297" s="34"/>
      <c r="J297" s="34"/>
      <c r="L297" s="110"/>
      <c r="M297" s="110"/>
      <c r="N297" s="34"/>
    </row>
    <row r="298" spans="1:14" s="69" customFormat="1" ht="15.75" customHeight="1" x14ac:dyDescent="0.25">
      <c r="A298" s="68">
        <f t="shared" si="26"/>
        <v>4</v>
      </c>
      <c r="B298" s="68" t="s">
        <v>297</v>
      </c>
      <c r="C298" s="68" t="s">
        <v>268</v>
      </c>
      <c r="D298" s="57">
        <f>(72.7)*10.764</f>
        <v>782.54279999999994</v>
      </c>
      <c r="E298" s="68">
        <v>0</v>
      </c>
      <c r="F298" s="68">
        <f>D298*(($F$216)+1)+(IF(E298&lt;101,E298,IF(E298&lt;201,E298/2,IF(E298&lt;=301,E298/3,E298/4))))</f>
        <v>1173.8141999999998</v>
      </c>
      <c r="G298" s="116"/>
      <c r="H298" s="117"/>
      <c r="I298" s="34"/>
      <c r="J298" s="34"/>
      <c r="L298" s="110"/>
      <c r="M298" s="110"/>
      <c r="N298" s="34"/>
    </row>
    <row r="299" spans="1:14" s="69" customFormat="1" ht="15.75" customHeight="1" x14ac:dyDescent="0.25">
      <c r="A299" s="68">
        <f t="shared" si="26"/>
        <v>5</v>
      </c>
      <c r="B299" s="71" t="s">
        <v>263</v>
      </c>
      <c r="C299" s="68" t="s">
        <v>270</v>
      </c>
      <c r="D299" s="57">
        <f>(39.03)*10.764</f>
        <v>420.11892</v>
      </c>
      <c r="E299" s="68">
        <v>0</v>
      </c>
      <c r="F299" s="68">
        <f>D299*(($F$216)+1)+(IF(E299&lt;101,E299,IF(E299&lt;201,E299/2,IF(E299&lt;=301,E299/3,E299/4))))</f>
        <v>630.17838000000006</v>
      </c>
      <c r="G299" s="118"/>
      <c r="H299" s="119"/>
      <c r="I299" s="34"/>
      <c r="L299" s="110"/>
      <c r="M299" s="110"/>
      <c r="N299" s="34"/>
    </row>
    <row r="300" spans="1:14" s="69" customFormat="1" x14ac:dyDescent="0.25">
      <c r="A300" s="111" t="s">
        <v>306</v>
      </c>
      <c r="B300" s="112"/>
      <c r="C300" s="112"/>
      <c r="D300" s="112"/>
      <c r="E300" s="112"/>
      <c r="F300" s="112"/>
      <c r="G300" s="112"/>
      <c r="H300" s="113"/>
      <c r="J300" s="34"/>
    </row>
    <row r="301" spans="1:14" s="69" customFormat="1" ht="15.75" customHeight="1" x14ac:dyDescent="0.25">
      <c r="A301" s="68">
        <v>1</v>
      </c>
      <c r="B301" s="68" t="s">
        <v>297</v>
      </c>
      <c r="C301" s="68" t="s">
        <v>268</v>
      </c>
      <c r="D301" s="57">
        <f>(74.8)*10.764</f>
        <v>805.14719999999988</v>
      </c>
      <c r="E301" s="68">
        <v>0</v>
      </c>
      <c r="F301" s="68">
        <f>D301*(($F$216)+1)+(IF(E301&lt;101,E301,IF(E301&lt;201,E301/2,IF(E301&lt;=301,E301/3,E301/4))))</f>
        <v>1207.7207999999998</v>
      </c>
      <c r="G301" s="114" t="str">
        <f>A300</f>
        <v>9th Floor (Part Terrace Area)</v>
      </c>
      <c r="H301" s="115"/>
      <c r="I301" s="34"/>
      <c r="L301" s="110"/>
      <c r="M301" s="110"/>
      <c r="N301" s="34"/>
    </row>
    <row r="302" spans="1:14" s="69" customFormat="1" ht="15.75" customHeight="1" x14ac:dyDescent="0.25">
      <c r="A302" s="68">
        <f t="shared" ref="A302:A305" si="27">A301+1</f>
        <v>2</v>
      </c>
      <c r="B302" s="71" t="s">
        <v>263</v>
      </c>
      <c r="C302" s="68" t="s">
        <v>269</v>
      </c>
      <c r="D302" s="57">
        <f>(59.78)*10.764</f>
        <v>643.47191999999995</v>
      </c>
      <c r="E302" s="68">
        <v>0</v>
      </c>
      <c r="F302" s="68">
        <f>D302*(($F$216)+1)+(IF(E302&lt;101,E302,IF(E302&lt;201,E302/2,IF(E302&lt;=301,E302/3,E302/4))))</f>
        <v>965.20787999999993</v>
      </c>
      <c r="G302" s="116"/>
      <c r="H302" s="117"/>
      <c r="I302" s="34"/>
      <c r="L302" s="110"/>
      <c r="M302" s="110"/>
      <c r="N302" s="34"/>
    </row>
    <row r="303" spans="1:14" s="69" customFormat="1" ht="15.75" customHeight="1" x14ac:dyDescent="0.25">
      <c r="A303" s="68">
        <f t="shared" si="27"/>
        <v>3</v>
      </c>
      <c r="B303" s="68" t="s">
        <v>300</v>
      </c>
      <c r="C303" s="114" t="s">
        <v>307</v>
      </c>
      <c r="D303" s="231"/>
      <c r="E303" s="231"/>
      <c r="F303" s="115"/>
      <c r="G303" s="116"/>
      <c r="H303" s="117"/>
      <c r="I303" s="34"/>
      <c r="J303" s="34"/>
      <c r="L303" s="110"/>
      <c r="M303" s="110"/>
      <c r="N303" s="34"/>
    </row>
    <row r="304" spans="1:14" s="69" customFormat="1" ht="15.75" customHeight="1" x14ac:dyDescent="0.25">
      <c r="A304" s="68">
        <f t="shared" si="27"/>
        <v>4</v>
      </c>
      <c r="B304" s="68" t="s">
        <v>300</v>
      </c>
      <c r="C304" s="118"/>
      <c r="D304" s="232"/>
      <c r="E304" s="232"/>
      <c r="F304" s="119"/>
      <c r="G304" s="116"/>
      <c r="H304" s="117"/>
      <c r="I304" s="34"/>
      <c r="J304" s="34"/>
      <c r="L304" s="110"/>
      <c r="M304" s="110"/>
      <c r="N304" s="34"/>
    </row>
    <row r="305" spans="1:14" s="69" customFormat="1" ht="15.75" customHeight="1" x14ac:dyDescent="0.25">
      <c r="A305" s="68">
        <f t="shared" si="27"/>
        <v>5</v>
      </c>
      <c r="B305" s="71" t="s">
        <v>263</v>
      </c>
      <c r="C305" s="68" t="s">
        <v>270</v>
      </c>
      <c r="D305" s="57">
        <f>(39.03)*10.764</f>
        <v>420.11892</v>
      </c>
      <c r="E305" s="68">
        <v>0</v>
      </c>
      <c r="F305" s="68">
        <f>D305*(($F$216)+1)+(IF(E305&lt;101,E305,IF(E305&lt;201,E305/2,IF(E305&lt;=301,E305/3,E305/4))))</f>
        <v>630.17838000000006</v>
      </c>
      <c r="G305" s="118"/>
      <c r="H305" s="119"/>
      <c r="I305" s="34"/>
      <c r="L305" s="110"/>
      <c r="M305" s="110"/>
      <c r="N305" s="34"/>
    </row>
    <row r="306" spans="1:14" s="35" customFormat="1" hidden="1" x14ac:dyDescent="0.25">
      <c r="A306" s="111" t="s">
        <v>117</v>
      </c>
      <c r="B306" s="112"/>
      <c r="C306" s="112"/>
      <c r="D306" s="112"/>
      <c r="E306" s="112"/>
      <c r="F306" s="112"/>
      <c r="G306" s="112"/>
      <c r="H306" s="113"/>
      <c r="J306" s="34"/>
    </row>
    <row r="307" spans="1:14" s="35" customFormat="1" hidden="1" x14ac:dyDescent="0.25">
      <c r="A307" s="147">
        <v>1</v>
      </c>
      <c r="B307" s="148"/>
      <c r="C307" s="40"/>
      <c r="D307" s="40"/>
      <c r="E307" s="40">
        <v>0</v>
      </c>
      <c r="F307" s="40">
        <f>D307*(($F$216)+1)+(IF(E307&lt;101,E307,IF(E307&lt;201,E307/2,IF(E307&lt;=301,E307/3,E307/4))))</f>
        <v>0</v>
      </c>
      <c r="G307" s="147" t="str">
        <f>A306</f>
        <v>Ground Floor</v>
      </c>
      <c r="H307" s="148"/>
      <c r="I307" s="34"/>
      <c r="L307" s="110"/>
      <c r="M307" s="110"/>
      <c r="N307" s="34"/>
    </row>
    <row r="308" spans="1:14" s="35" customFormat="1" hidden="1" x14ac:dyDescent="0.25">
      <c r="A308" s="147">
        <f t="shared" ref="A308:A310" si="28">A307+1</f>
        <v>2</v>
      </c>
      <c r="B308" s="148"/>
      <c r="C308" s="40"/>
      <c r="D308" s="40"/>
      <c r="E308" s="40">
        <v>0</v>
      </c>
      <c r="F308" s="40">
        <f>D308*(($F$216)+1)+(IF(E308&lt;101,E308,IF(E308&lt;201,E308/2,IF(E308&lt;=301,E308/3,E308/4))))</f>
        <v>0</v>
      </c>
      <c r="G308" s="147" t="str">
        <f t="shared" ref="G308:G310" si="29">G307</f>
        <v>Ground Floor</v>
      </c>
      <c r="H308" s="148"/>
      <c r="I308" s="34"/>
      <c r="L308" s="110"/>
      <c r="M308" s="110"/>
      <c r="N308" s="34"/>
    </row>
    <row r="309" spans="1:14" s="35" customFormat="1" hidden="1" x14ac:dyDescent="0.25">
      <c r="A309" s="147">
        <f t="shared" si="28"/>
        <v>3</v>
      </c>
      <c r="B309" s="148"/>
      <c r="C309" s="40"/>
      <c r="D309" s="40"/>
      <c r="E309" s="40">
        <v>0</v>
      </c>
      <c r="F309" s="40">
        <f>D309*(($F$216)+1)+(IF(E309&lt;101,E309,IF(E309&lt;201,E309/2,IF(E309&lt;=301,E309/3,E309/4))))</f>
        <v>0</v>
      </c>
      <c r="G309" s="147" t="str">
        <f t="shared" si="29"/>
        <v>Ground Floor</v>
      </c>
      <c r="H309" s="148"/>
      <c r="I309" s="34"/>
      <c r="L309" s="110"/>
      <c r="M309" s="110"/>
      <c r="N309" s="34"/>
    </row>
    <row r="310" spans="1:14" s="35" customFormat="1" hidden="1" x14ac:dyDescent="0.25">
      <c r="A310" s="147">
        <f t="shared" si="28"/>
        <v>4</v>
      </c>
      <c r="B310" s="148"/>
      <c r="C310" s="40"/>
      <c r="D310" s="40"/>
      <c r="E310" s="40">
        <v>0</v>
      </c>
      <c r="F310" s="40">
        <f>D310*(($F$216)+1)+(IF(E310&lt;101,E310,IF(E310&lt;201,E310/2,IF(E310&lt;=301,E310/3,E310/4))))</f>
        <v>0</v>
      </c>
      <c r="G310" s="147" t="str">
        <f t="shared" si="29"/>
        <v>Ground Floor</v>
      </c>
      <c r="H310" s="148"/>
      <c r="I310" s="34"/>
      <c r="L310" s="110"/>
      <c r="M310" s="110"/>
      <c r="N310" s="34"/>
    </row>
    <row r="311" spans="1:14" s="35" customFormat="1" hidden="1" x14ac:dyDescent="0.25">
      <c r="A311" s="123" t="s">
        <v>118</v>
      </c>
      <c r="B311" s="123"/>
      <c r="C311" s="123"/>
      <c r="D311" s="123"/>
      <c r="E311" s="123"/>
      <c r="F311" s="123"/>
      <c r="G311" s="123"/>
      <c r="H311" s="123"/>
      <c r="I311" s="34"/>
      <c r="L311" s="110"/>
      <c r="M311" s="110"/>
    </row>
    <row r="312" spans="1:14" s="35" customFormat="1" hidden="1" x14ac:dyDescent="0.25">
      <c r="A312" s="124">
        <f>LEFT(A311,SUM(LEN(A311)-LEN(SUBSTITUTE(A311,{"0","1","2","3","4","5","6","7","8","9"},""))))*100+1</f>
        <v>201</v>
      </c>
      <c r="B312" s="124"/>
      <c r="C312" s="40"/>
      <c r="D312" s="40"/>
      <c r="E312" s="40">
        <v>0</v>
      </c>
      <c r="F312" s="40">
        <f t="shared" ref="F312:F313" si="30">D312*(($F$216)+1)+(IF(E312&lt;101,E312,IF(E312&lt;201,E312/2,IF(E312&lt;=301,E312/3,E312/4))))</f>
        <v>0</v>
      </c>
      <c r="G312" s="124" t="str">
        <f>A311</f>
        <v>2nd Floor</v>
      </c>
      <c r="H312" s="124"/>
      <c r="I312" s="34"/>
      <c r="N312" s="34"/>
    </row>
    <row r="313" spans="1:14" s="35" customFormat="1" hidden="1" x14ac:dyDescent="0.25">
      <c r="A313" s="124">
        <f>A312+1</f>
        <v>202</v>
      </c>
      <c r="B313" s="124"/>
      <c r="C313" s="40"/>
      <c r="D313" s="40"/>
      <c r="E313" s="40">
        <v>0</v>
      </c>
      <c r="F313" s="40">
        <f t="shared" si="30"/>
        <v>0</v>
      </c>
      <c r="G313" s="124" t="str">
        <f>G312</f>
        <v>2nd Floor</v>
      </c>
      <c r="H313" s="124"/>
      <c r="I313" s="34"/>
      <c r="N313" s="34"/>
    </row>
    <row r="314" spans="1:14" s="35" customFormat="1" hidden="1" x14ac:dyDescent="0.25">
      <c r="A314" s="124">
        <f>A313+1</f>
        <v>203</v>
      </c>
      <c r="B314" s="124"/>
      <c r="C314" s="40"/>
      <c r="D314" s="40"/>
      <c r="E314" s="40">
        <v>0</v>
      </c>
      <c r="F314" s="40">
        <f>D314*(($F$216)+1)+(IF(E314&lt;101,E314,IF(E314&lt;201,E314/2,IF(E314&lt;=301,E314/3,E314/4))))</f>
        <v>0</v>
      </c>
      <c r="G314" s="124" t="str">
        <f>G313</f>
        <v>2nd Floor</v>
      </c>
      <c r="H314" s="124"/>
      <c r="I314" s="34"/>
      <c r="N314" s="34"/>
    </row>
    <row r="315" spans="1:14" s="35" customFormat="1" hidden="1" x14ac:dyDescent="0.25">
      <c r="A315" s="124">
        <f>A314+1</f>
        <v>204</v>
      </c>
      <c r="B315" s="124"/>
      <c r="C315" s="40"/>
      <c r="D315" s="40"/>
      <c r="E315" s="40">
        <v>0</v>
      </c>
      <c r="F315" s="40">
        <f>D315*(($F$216)+1)+(IF(E315&lt;101,E315,IF(E315&lt;201,E315/2,IF(E315&lt;=301,E315/3,E315/4))))</f>
        <v>0</v>
      </c>
      <c r="G315" s="124" t="str">
        <f>G314</f>
        <v>2nd Floor</v>
      </c>
      <c r="H315" s="124"/>
      <c r="I315" s="34"/>
      <c r="N315" s="34"/>
    </row>
    <row r="316" spans="1:14" s="35" customFormat="1" hidden="1" x14ac:dyDescent="0.25">
      <c r="A316" s="124">
        <f>A315+1</f>
        <v>205</v>
      </c>
      <c r="B316" s="124"/>
      <c r="C316" s="40"/>
      <c r="D316" s="40"/>
      <c r="E316" s="40">
        <v>0</v>
      </c>
      <c r="F316" s="40">
        <f>D316*(($F$216)+1)+(IF(E316&lt;101,E316,IF(E316&lt;201,E316/2,IF(E316&lt;=301,E316/3,E316/4))))</f>
        <v>0</v>
      </c>
      <c r="G316" s="124" t="str">
        <f>G315</f>
        <v>2nd Floor</v>
      </c>
      <c r="H316" s="124"/>
      <c r="I316" s="34"/>
      <c r="N316" s="34"/>
    </row>
    <row r="317" spans="1:14" s="35" customFormat="1" ht="15.75" hidden="1" customHeight="1" x14ac:dyDescent="0.25">
      <c r="A317" s="111" t="s">
        <v>152</v>
      </c>
      <c r="B317" s="112"/>
      <c r="C317" s="112"/>
      <c r="D317" s="112"/>
      <c r="E317" s="112"/>
      <c r="F317" s="112"/>
      <c r="G317" s="112"/>
      <c r="H317" s="113"/>
      <c r="I317" s="34"/>
    </row>
    <row r="318" spans="1:14" s="35" customFormat="1" hidden="1" x14ac:dyDescent="0.25">
      <c r="A318" s="147" t="str">
        <f ca="1">(SUMPRODUCT(MID(0&amp;(LEFT(A317,SUM(LEN(A317)-LEN(SUBSTITUTE(A317,{"0","1","2"},""))))), LARGE(INDEX(ISNUMBER(--MID((LEFT(A317,SUM(LEN(A317)-LEN(SUBSTITUTE(A317,{"0","1","2"},""))))), ROW(INDIRECT("1:"&amp;LEN((LEFT(A317,SUM(LEN(A317)-LEN(SUBSTITUTE(A317,{"0","1","2"},"")))))))), 1)) * ROW(INDIRECT("1:"&amp;LEN((LEFT(A317,SUM(LEN(A317)-LEN(SUBSTITUTE(A317,{"0","1","2"},"")))))))), 0), ROW(INDIRECT("1:"&amp;LEN((LEFT(A317,SUM(LEN(A317)-LEN(SUBSTITUTE(A317,{"0","1","2"},"")))))))))+1, 1) * 10^ROW(INDIRECT("1:"&amp;LEN((LEFT(A317,SUM(LEN(A317)-LEN(SUBSTITUTE(A317,{"0","1","2"},""))))))))/10))*100+1&amp;""&amp;" ,.., "&amp;""&amp;(SUMPRODUCT(MID(0&amp;(--TRIM(RIGHT(SUBSTITUTE(LEFT(A317,_xlfn.AGGREGATE(16,6,FIND({0,1,2,3,4,5,6,7,8,9},A317,ROW(INDIRECT("1:"&amp;LEN(A317)))),1))," ",REPT(" ",LEN(A317))),LEN(A317)))), LARGE(INDEX(ISNUMBER(--MID((--TRIM(RIGHT(SUBSTITUTE(LEFT(A317,_xlfn.AGGREGATE(16,6,FIND({0,1,2,3,4,5,6,7,8,9},A317,ROW(INDIRECT("1:"&amp;LEN(A317)))),1))," ",REPT(" ",LEN(A317))),LEN(A317)))), ROW(INDIRECT("1:"&amp;LEN((--TRIM(RIGHT(SUBSTITUTE(LEFT(A317,_xlfn.AGGREGATE(16,6,FIND({0,1,2,3,4,5,6,7,8,9},A317,ROW(INDIRECT("1:"&amp;LEN(A317)))),1))," ",REPT(" ",LEN(A317))),LEN(A317))))))), 1)) * ROW(INDIRECT("1:"&amp;LEN((--TRIM(RIGHT(SUBSTITUTE(LEFT(A317,_xlfn.AGGREGATE(16,6,FIND({0,1,2,3,4,5,6,7,8,9},A317,ROW(INDIRECT("1:"&amp;LEN(A317)))),1))," ",REPT(" ",LEN(A317))),LEN(A317))))))), 0), ROW(INDIRECT("1:"&amp;LEN((--TRIM(RIGHT(SUBSTITUTE(LEFT(A317,_xlfn.AGGREGATE(16,6,FIND({0,1,2,3,4,5,6,7,8,9},A317,ROW(INDIRECT("1:"&amp;LEN(A317)))),1))," ",REPT(" ",LEN(A317))),LEN(A317))))))))+1, 1) * 10^ROW(INDIRECT("1:"&amp;LEN((--TRIM(RIGHT(SUBSTITUTE(LEFT(A317,_xlfn.AGGREGATE(16,6,FIND({0,1,2,3,4,5,6,7,8,9},A317,ROW(INDIRECT("1:"&amp;LEN(A317)))),1))," ",REPT(" ",LEN(A317))),LEN(A317)))))))/10))*100+1</f>
        <v>301 ,.., 1501</v>
      </c>
      <c r="B318" s="148"/>
      <c r="C318" s="40"/>
      <c r="D318" s="40"/>
      <c r="E318" s="40">
        <v>0</v>
      </c>
      <c r="F318" s="40">
        <f>D318*(($F$216)+1)+(IF(E318&lt;101,E318,IF(E318&lt;201,E318/2,IF(E318&lt;=301,E318/3,E318/4))))</f>
        <v>0</v>
      </c>
      <c r="G318" s="147" t="str">
        <f>A317</f>
        <v>3rd, 5th, 7th, 9th, 11th, 13th, 15th Floor</v>
      </c>
      <c r="H318" s="148"/>
      <c r="I318" s="34"/>
    </row>
    <row r="319" spans="1:14" s="35" customFormat="1" hidden="1" x14ac:dyDescent="0.25">
      <c r="A319" s="147" t="str">
        <f ca="1">(SUMPRODUCT(MID(0&amp;(LEFT(A318,SUM(LEN(A318)-LEN(SUBSTITUTE(A318,{"0","1","2"},""))))), LARGE(INDEX(ISNUMBER(--MID((LEFT(A318,SUM(LEN(A318)-LEN(SUBSTITUTE(A318,{"0","1","2"},""))))), ROW(INDIRECT("1:"&amp;LEN((LEFT(A318,SUM(LEN(A318)-LEN(SUBSTITUTE(A318,{"0","1","2"},"")))))))), 1)) * ROW(INDIRECT("1:"&amp;LEN((LEFT(A318,SUM(LEN(A318)-LEN(SUBSTITUTE(A318,{"0","1","2"},"")))))))), 0), ROW(INDIRECT("1:"&amp;LEN((LEFT(A318,SUM(LEN(A318)-LEN(SUBSTITUTE(A318,{"0","1","2"},"")))))))))+1, 1) * 10^ROW(INDIRECT("1:"&amp;LEN((LEFT(A318,SUM(LEN(A318)-LEN(SUBSTITUTE(A318,{"0","1","2"},""))))))))/10))*1+1&amp;""&amp;" ,.., "&amp;""&amp;(SUMPRODUCT(MID(0&amp;(--TRIM(RIGHT(SUBSTITUTE(LEFT(A318,_xlfn.AGGREGATE(16,6,FIND({0,1,2,3,4,5,6,7,8,9},A318,ROW(INDIRECT("1:"&amp;LEN(A318)))),1))," ",REPT(" ",LEN(A318))),LEN(A318)))), LARGE(INDEX(ISNUMBER(--MID((--TRIM(RIGHT(SUBSTITUTE(LEFT(A318,_xlfn.AGGREGATE(16,6,FIND({0,1,2,3,4,5,6,7,8,9},A318,ROW(INDIRECT("1:"&amp;LEN(A318)))),1))," ",REPT(" ",LEN(A318))),LEN(A318)))), ROW(INDIRECT("1:"&amp;LEN((--TRIM(RIGHT(SUBSTITUTE(LEFT(A318,_xlfn.AGGREGATE(16,6,FIND({0,1,2,3,4,5,6,7,8,9},A318,ROW(INDIRECT("1:"&amp;LEN(A318)))),1))," ",REPT(" ",LEN(A318))),LEN(A318))))))), 1)) * ROW(INDIRECT("1:"&amp;LEN((--TRIM(RIGHT(SUBSTITUTE(LEFT(A318,_xlfn.AGGREGATE(16,6,FIND({0,1,2,3,4,5,6,7,8,9},A318,ROW(INDIRECT("1:"&amp;LEN(A318)))),1))," ",REPT(" ",LEN(A318))),LEN(A318))))))), 0), ROW(INDIRECT("1:"&amp;LEN((--TRIM(RIGHT(SUBSTITUTE(LEFT(A318,_xlfn.AGGREGATE(16,6,FIND({0,1,2,3,4,5,6,7,8,9},A318,ROW(INDIRECT("1:"&amp;LEN(A318)))),1))," ",REPT(" ",LEN(A318))),LEN(A318))))))))+1, 1) * 10^ROW(INDIRECT("1:"&amp;LEN((--TRIM(RIGHT(SUBSTITUTE(LEFT(A318,_xlfn.AGGREGATE(16,6,FIND({0,1,2,3,4,5,6,7,8,9},A318,ROW(INDIRECT("1:"&amp;LEN(A318)))),1))," ",REPT(" ",LEN(A318))),LEN(A318)))))))/10))*1+1</f>
        <v>302 ,.., 1502</v>
      </c>
      <c r="B319" s="148"/>
      <c r="C319" s="40"/>
      <c r="D319" s="40"/>
      <c r="E319" s="40">
        <v>0</v>
      </c>
      <c r="F319" s="40">
        <f>D319*(($F$216)+1)+(IF(E319&lt;101,E319,IF(E319&lt;201,E319/2,IF(E319&lt;=301,E319/3,E319/4))))</f>
        <v>0</v>
      </c>
      <c r="G319" s="147" t="str">
        <f>G318</f>
        <v>3rd, 5th, 7th, 9th, 11th, 13th, 15th Floor</v>
      </c>
      <c r="H319" s="148"/>
      <c r="I319" s="34"/>
    </row>
    <row r="320" spans="1:14" s="35" customFormat="1" ht="15.75" hidden="1" customHeight="1" x14ac:dyDescent="0.25">
      <c r="A320" s="147" t="str">
        <f ca="1">(SUMPRODUCT(MID(0&amp;(LEFT(A319,SUM(LEN(A319)-LEN(SUBSTITUTE(A319,{"0","1","2"},""))))), LARGE(INDEX(ISNUMBER(--MID((LEFT(A319,SUM(LEN(A319)-LEN(SUBSTITUTE(A319,{"0","1","2"},""))))), ROW(INDIRECT("1:"&amp;LEN((LEFT(A319,SUM(LEN(A319)-LEN(SUBSTITUTE(A319,{"0","1","2"},"")))))))), 1)) * ROW(INDIRECT("1:"&amp;LEN((LEFT(A319,SUM(LEN(A319)-LEN(SUBSTITUTE(A319,{"0","1","2"},"")))))))), 0), ROW(INDIRECT("1:"&amp;LEN((LEFT(A319,SUM(LEN(A319)-LEN(SUBSTITUTE(A319,{"0","1","2"},"")))))))))+1, 1) * 10^ROW(INDIRECT("1:"&amp;LEN((LEFT(A319,SUM(LEN(A319)-LEN(SUBSTITUTE(A319,{"0","1","2"},""))))))))/10))*1+1&amp;""&amp;" ,.., "&amp;""&amp;(SUMPRODUCT(MID(0&amp;(--TRIM(RIGHT(SUBSTITUTE(LEFT(A319,_xlfn.AGGREGATE(16,6,FIND({0,1,2,3,4,5,6,7,8,9},A319,ROW(INDIRECT("1:"&amp;LEN(A319)))),1))," ",REPT(" ",LEN(A319))),LEN(A319)))), LARGE(INDEX(ISNUMBER(--MID((--TRIM(RIGHT(SUBSTITUTE(LEFT(A319,_xlfn.AGGREGATE(16,6,FIND({0,1,2,3,4,5,6,7,8,9},A319,ROW(INDIRECT("1:"&amp;LEN(A319)))),1))," ",REPT(" ",LEN(A319))),LEN(A319)))), ROW(INDIRECT("1:"&amp;LEN((--TRIM(RIGHT(SUBSTITUTE(LEFT(A319,_xlfn.AGGREGATE(16,6,FIND({0,1,2,3,4,5,6,7,8,9},A319,ROW(INDIRECT("1:"&amp;LEN(A319)))),1))," ",REPT(" ",LEN(A319))),LEN(A319))))))), 1)) * ROW(INDIRECT("1:"&amp;LEN((--TRIM(RIGHT(SUBSTITUTE(LEFT(A319,_xlfn.AGGREGATE(16,6,FIND({0,1,2,3,4,5,6,7,8,9},A319,ROW(INDIRECT("1:"&amp;LEN(A319)))),1))," ",REPT(" ",LEN(A319))),LEN(A319))))))), 0), ROW(INDIRECT("1:"&amp;LEN((--TRIM(RIGHT(SUBSTITUTE(LEFT(A319,_xlfn.AGGREGATE(16,6,FIND({0,1,2,3,4,5,6,7,8,9},A319,ROW(INDIRECT("1:"&amp;LEN(A319)))),1))," ",REPT(" ",LEN(A319))),LEN(A319))))))))+1, 1) * 10^ROW(INDIRECT("1:"&amp;LEN((--TRIM(RIGHT(SUBSTITUTE(LEFT(A319,_xlfn.AGGREGATE(16,6,FIND({0,1,2,3,4,5,6,7,8,9},A319,ROW(INDIRECT("1:"&amp;LEN(A319)))),1))," ",REPT(" ",LEN(A319))),LEN(A319)))))))/10))*1+1</f>
        <v>303 ,.., 1503</v>
      </c>
      <c r="B320" s="148"/>
      <c r="C320" s="40"/>
      <c r="D320" s="40"/>
      <c r="E320" s="40">
        <v>0</v>
      </c>
      <c r="F320" s="40">
        <f>D320*(($F$216)+1)+(IF(E320&lt;101,E320,IF(E320&lt;201,E320/2,IF(E320&lt;=301,E320/3,E320/4))))</f>
        <v>0</v>
      </c>
      <c r="G320" s="147" t="str">
        <f>G319</f>
        <v>3rd, 5th, 7th, 9th, 11th, 13th, 15th Floor</v>
      </c>
      <c r="H320" s="148"/>
      <c r="I320" s="34"/>
    </row>
    <row r="321" spans="1:9" s="35" customFormat="1" ht="15.75" hidden="1" customHeight="1" x14ac:dyDescent="0.25">
      <c r="A321" s="147" t="str">
        <f ca="1">(SUMPRODUCT(MID(0&amp;(LEFT(A320,SUM(LEN(A320)-LEN(SUBSTITUTE(A320,{"0","1","2"},""))))), LARGE(INDEX(ISNUMBER(--MID((LEFT(A320,SUM(LEN(A320)-LEN(SUBSTITUTE(A320,{"0","1","2"},""))))), ROW(INDIRECT("1:"&amp;LEN((LEFT(A320,SUM(LEN(A320)-LEN(SUBSTITUTE(A320,{"0","1","2"},"")))))))), 1)) * ROW(INDIRECT("1:"&amp;LEN((LEFT(A320,SUM(LEN(A320)-LEN(SUBSTITUTE(A320,{"0","1","2"},"")))))))), 0), ROW(INDIRECT("1:"&amp;LEN((LEFT(A320,SUM(LEN(A320)-LEN(SUBSTITUTE(A320,{"0","1","2"},"")))))))))+1, 1) * 10^ROW(INDIRECT("1:"&amp;LEN((LEFT(A320,SUM(LEN(A320)-LEN(SUBSTITUTE(A320,{"0","1","2"},""))))))))/10))*1+1&amp;""&amp;" ,.., "&amp;""&amp;(SUMPRODUCT(MID(0&amp;(--TRIM(RIGHT(SUBSTITUTE(LEFT(A320,_xlfn.AGGREGATE(16,6,FIND({0,1,2,3,4,5,6,7,8,9},A320,ROW(INDIRECT("1:"&amp;LEN(A320)))),1))," ",REPT(" ",LEN(A320))),LEN(A320)))), LARGE(INDEX(ISNUMBER(--MID((--TRIM(RIGHT(SUBSTITUTE(LEFT(A320,_xlfn.AGGREGATE(16,6,FIND({0,1,2,3,4,5,6,7,8,9},A320,ROW(INDIRECT("1:"&amp;LEN(A320)))),1))," ",REPT(" ",LEN(A320))),LEN(A320)))), ROW(INDIRECT("1:"&amp;LEN((--TRIM(RIGHT(SUBSTITUTE(LEFT(A320,_xlfn.AGGREGATE(16,6,FIND({0,1,2,3,4,5,6,7,8,9},A320,ROW(INDIRECT("1:"&amp;LEN(A320)))),1))," ",REPT(" ",LEN(A320))),LEN(A320))))))), 1)) * ROW(INDIRECT("1:"&amp;LEN((--TRIM(RIGHT(SUBSTITUTE(LEFT(A320,_xlfn.AGGREGATE(16,6,FIND({0,1,2,3,4,5,6,7,8,9},A320,ROW(INDIRECT("1:"&amp;LEN(A320)))),1))," ",REPT(" ",LEN(A320))),LEN(A320))))))), 0), ROW(INDIRECT("1:"&amp;LEN((--TRIM(RIGHT(SUBSTITUTE(LEFT(A320,_xlfn.AGGREGATE(16,6,FIND({0,1,2,3,4,5,6,7,8,9},A320,ROW(INDIRECT("1:"&amp;LEN(A320)))),1))," ",REPT(" ",LEN(A320))),LEN(A320))))))))+1, 1) * 10^ROW(INDIRECT("1:"&amp;LEN((--TRIM(RIGHT(SUBSTITUTE(LEFT(A320,_xlfn.AGGREGATE(16,6,FIND({0,1,2,3,4,5,6,7,8,9},A320,ROW(INDIRECT("1:"&amp;LEN(A320)))),1))," ",REPT(" ",LEN(A320))),LEN(A320)))))))/10))*1+1</f>
        <v>304 ,.., 1504</v>
      </c>
      <c r="B321" s="148"/>
      <c r="C321" s="40"/>
      <c r="D321" s="40"/>
      <c r="E321" s="40">
        <v>0</v>
      </c>
      <c r="F321" s="40">
        <f>D321*(($F$216)+1)+(IF(E321&lt;101,E321,IF(E321&lt;201,E321/2,IF(E321&lt;=301,E321/3,E321/4))))</f>
        <v>0</v>
      </c>
      <c r="G321" s="147" t="str">
        <f>G320</f>
        <v>3rd, 5th, 7th, 9th, 11th, 13th, 15th Floor</v>
      </c>
      <c r="H321" s="148"/>
      <c r="I321" s="34"/>
    </row>
    <row r="322" spans="1:9" s="35" customFormat="1" ht="15.75" hidden="1" customHeight="1" x14ac:dyDescent="0.25">
      <c r="A322" s="147" t="str">
        <f ca="1">(SUMPRODUCT(MID(0&amp;(LEFT(A321,SUM(LEN(A321)-LEN(SUBSTITUTE(A321,{"0","1","2"},""))))), LARGE(INDEX(ISNUMBER(--MID((LEFT(A321,SUM(LEN(A321)-LEN(SUBSTITUTE(A321,{"0","1","2"},""))))), ROW(INDIRECT("1:"&amp;LEN((LEFT(A321,SUM(LEN(A321)-LEN(SUBSTITUTE(A321,{"0","1","2"},"")))))))), 1)) * ROW(INDIRECT("1:"&amp;LEN((LEFT(A321,SUM(LEN(A321)-LEN(SUBSTITUTE(A321,{"0","1","2"},"")))))))), 0), ROW(INDIRECT("1:"&amp;LEN((LEFT(A321,SUM(LEN(A321)-LEN(SUBSTITUTE(A321,{"0","1","2"},"")))))))))+1, 1) * 10^ROW(INDIRECT("1:"&amp;LEN((LEFT(A321,SUM(LEN(A321)-LEN(SUBSTITUTE(A321,{"0","1","2"},""))))))))/10))*1+1&amp;""&amp;" ,.., "&amp;""&amp;(SUMPRODUCT(MID(0&amp;(--TRIM(RIGHT(SUBSTITUTE(LEFT(A321,_xlfn.AGGREGATE(16,6,FIND({0,1,2,3,4,5,6,7,8,9},A321,ROW(INDIRECT("1:"&amp;LEN(A321)))),1))," ",REPT(" ",LEN(A321))),LEN(A321)))), LARGE(INDEX(ISNUMBER(--MID((--TRIM(RIGHT(SUBSTITUTE(LEFT(A321,_xlfn.AGGREGATE(16,6,FIND({0,1,2,3,4,5,6,7,8,9},A321,ROW(INDIRECT("1:"&amp;LEN(A321)))),1))," ",REPT(" ",LEN(A321))),LEN(A321)))), ROW(INDIRECT("1:"&amp;LEN((--TRIM(RIGHT(SUBSTITUTE(LEFT(A321,_xlfn.AGGREGATE(16,6,FIND({0,1,2,3,4,5,6,7,8,9},A321,ROW(INDIRECT("1:"&amp;LEN(A321)))),1))," ",REPT(" ",LEN(A321))),LEN(A321))))))), 1)) * ROW(INDIRECT("1:"&amp;LEN((--TRIM(RIGHT(SUBSTITUTE(LEFT(A321,_xlfn.AGGREGATE(16,6,FIND({0,1,2,3,4,5,6,7,8,9},A321,ROW(INDIRECT("1:"&amp;LEN(A321)))),1))," ",REPT(" ",LEN(A321))),LEN(A321))))))), 0), ROW(INDIRECT("1:"&amp;LEN((--TRIM(RIGHT(SUBSTITUTE(LEFT(A321,_xlfn.AGGREGATE(16,6,FIND({0,1,2,3,4,5,6,7,8,9},A321,ROW(INDIRECT("1:"&amp;LEN(A321)))),1))," ",REPT(" ",LEN(A321))),LEN(A321))))))))+1, 1) * 10^ROW(INDIRECT("1:"&amp;LEN((--TRIM(RIGHT(SUBSTITUTE(LEFT(A321,_xlfn.AGGREGATE(16,6,FIND({0,1,2,3,4,5,6,7,8,9},A321,ROW(INDIRECT("1:"&amp;LEN(A321)))),1))," ",REPT(" ",LEN(A321))),LEN(A321)))))))/10))*1+1</f>
        <v>305 ,.., 1505</v>
      </c>
      <c r="B322" s="148"/>
      <c r="C322" s="40"/>
      <c r="D322" s="40"/>
      <c r="E322" s="40">
        <v>0</v>
      </c>
      <c r="F322" s="40">
        <f>D322*(($F$216)+1)+(IF(E322&lt;101,E322,IF(E322&lt;201,E322/2,IF(E322&lt;=301,E322/3,E322/4))))</f>
        <v>0</v>
      </c>
      <c r="G322" s="147" t="str">
        <f>G321</f>
        <v>3rd, 5th, 7th, 9th, 11th, 13th, 15th Floor</v>
      </c>
      <c r="H322" s="148"/>
      <c r="I322" s="34"/>
    </row>
    <row r="323" spans="1:9" s="35" customFormat="1" hidden="1" x14ac:dyDescent="0.25">
      <c r="A323" s="111" t="s">
        <v>146</v>
      </c>
      <c r="B323" s="112"/>
      <c r="C323" s="112"/>
      <c r="D323" s="112"/>
      <c r="E323" s="112"/>
      <c r="F323" s="112"/>
      <c r="G323" s="112"/>
      <c r="H323" s="113"/>
      <c r="I323" s="34"/>
    </row>
    <row r="324" spans="1:9" s="35" customFormat="1" hidden="1" x14ac:dyDescent="0.25">
      <c r="A324" s="147" t="str">
        <f ca="1">(SUMPRODUCT(MID(0&amp;(LEFT(A323,SUM(LEN(A323)-LEN(SUBSTITUTE(A323,{"0","1","2"},""))))), LARGE(INDEX(ISNUMBER(--MID((LEFT(A323,SUM(LEN(A323)-LEN(SUBSTITUTE(A323,{"0","1","2"},""))))), ROW(INDIRECT("1:"&amp;LEN((LEFT(A323,SUM(LEN(A323)-LEN(SUBSTITUTE(A323,{"0","1","2"},"")))))))), 1)) * ROW(INDIRECT("1:"&amp;LEN((LEFT(A323,SUM(LEN(A323)-LEN(SUBSTITUTE(A323,{"0","1","2"},"")))))))), 0), ROW(INDIRECT("1:"&amp;LEN((LEFT(A323,SUM(LEN(A323)-LEN(SUBSTITUTE(A323,{"0","1","2"},"")))))))))+1, 1) * 10^ROW(INDIRECT("1:"&amp;LEN((LEFT(A323,SUM(LEN(A323)-LEN(SUBSTITUTE(A323,{"0","1","2"},""))))))))/10))*100+1&amp;""&amp;" to "&amp;""&amp;(SUMPRODUCT(MID(0&amp;(--TRIM(RIGHT(SUBSTITUTE(LEFT(A323,_xlfn.AGGREGATE(16,6,FIND({0,1,2,3,4,5,6,7,8,9},A323,ROW(INDIRECT("1:"&amp;LEN(A323)))),1))," ",REPT(" ",LEN(A323))),LEN(A323)))), LARGE(INDEX(ISNUMBER(--MID((--TRIM(RIGHT(SUBSTITUTE(LEFT(A323,_xlfn.AGGREGATE(16,6,FIND({0,1,2,3,4,5,6,7,8,9},A323,ROW(INDIRECT("1:"&amp;LEN(A323)))),1))," ",REPT(" ",LEN(A323))),LEN(A323)))), ROW(INDIRECT("1:"&amp;LEN((--TRIM(RIGHT(SUBSTITUTE(LEFT(A323,_xlfn.AGGREGATE(16,6,FIND({0,1,2,3,4,5,6,7,8,9},A323,ROW(INDIRECT("1:"&amp;LEN(A323)))),1))," ",REPT(" ",LEN(A323))),LEN(A323))))))), 1)) * ROW(INDIRECT("1:"&amp;LEN((--TRIM(RIGHT(SUBSTITUTE(LEFT(A323,_xlfn.AGGREGATE(16,6,FIND({0,1,2,3,4,5,6,7,8,9},A323,ROW(INDIRECT("1:"&amp;LEN(A323)))),1))," ",REPT(" ",LEN(A323))),LEN(A323))))))), 0), ROW(INDIRECT("1:"&amp;LEN((--TRIM(RIGHT(SUBSTITUTE(LEFT(A323,_xlfn.AGGREGATE(16,6,FIND({0,1,2,3,4,5,6,7,8,9},A323,ROW(INDIRECT("1:"&amp;LEN(A323)))),1))," ",REPT(" ",LEN(A323))),LEN(A323))))))))+1, 1) * 10^ROW(INDIRECT("1:"&amp;LEN((--TRIM(RIGHT(SUBSTITUTE(LEFT(A323,_xlfn.AGGREGATE(16,6,FIND({0,1,2,3,4,5,6,7,8,9},A323,ROW(INDIRECT("1:"&amp;LEN(A323)))),1))," ",REPT(" ",LEN(A323))),LEN(A323)))))))/10))*100+1</f>
        <v>201 to 501</v>
      </c>
      <c r="B324" s="148"/>
      <c r="C324" s="40"/>
      <c r="D324" s="40"/>
      <c r="E324" s="40">
        <v>0</v>
      </c>
      <c r="F324" s="40">
        <f>D324*(($F$216)+1)+(IF(E324&lt;101,E324,IF(E324&lt;201,E324/2,IF(E324&lt;=301,E324/3,E324/4))))</f>
        <v>0</v>
      </c>
      <c r="G324" s="147" t="str">
        <f>A323</f>
        <v>2nd to 5th Floor</v>
      </c>
      <c r="H324" s="148"/>
      <c r="I324" s="34"/>
    </row>
    <row r="325" spans="1:9" s="35" customFormat="1" hidden="1" x14ac:dyDescent="0.25">
      <c r="A325" s="147" t="str">
        <f ca="1">(SUMPRODUCT(MID(0&amp;(LEFT(A324,SUM(LEN(A324)-LEN(SUBSTITUTE(A324,{"0","1","2"},""))))), LARGE(INDEX(ISNUMBER(--MID((LEFT(A324,SUM(LEN(A324)-LEN(SUBSTITUTE(A324,{"0","1","2"},""))))), ROW(INDIRECT("1:"&amp;LEN((LEFT(A324,SUM(LEN(A324)-LEN(SUBSTITUTE(A324,{"0","1","2"},"")))))))), 1)) * ROW(INDIRECT("1:"&amp;LEN((LEFT(A324,SUM(LEN(A324)-LEN(SUBSTITUTE(A324,{"0","1","2"},"")))))))), 0), ROW(INDIRECT("1:"&amp;LEN((LEFT(A324,SUM(LEN(A324)-LEN(SUBSTITUTE(A324,{"0","1","2"},"")))))))))+1, 1) * 10^ROW(INDIRECT("1:"&amp;LEN((LEFT(A324,SUM(LEN(A324)-LEN(SUBSTITUTE(A324,{"0","1","2"},""))))))))/10))*1+1&amp;""&amp;" to "&amp;""&amp;(SUMPRODUCT(MID(0&amp;(--TRIM(RIGHT(SUBSTITUTE(LEFT(A324,_xlfn.AGGREGATE(16,6,FIND({0,1,2,3,4,5,6,7,8,9},A324,ROW(INDIRECT("1:"&amp;LEN(A324)))),1))," ",REPT(" ",LEN(A324))),LEN(A324)))), LARGE(INDEX(ISNUMBER(--MID((--TRIM(RIGHT(SUBSTITUTE(LEFT(A324,_xlfn.AGGREGATE(16,6,FIND({0,1,2,3,4,5,6,7,8,9},A324,ROW(INDIRECT("1:"&amp;LEN(A324)))),1))," ",REPT(" ",LEN(A324))),LEN(A324)))), ROW(INDIRECT("1:"&amp;LEN((--TRIM(RIGHT(SUBSTITUTE(LEFT(A324,_xlfn.AGGREGATE(16,6,FIND({0,1,2,3,4,5,6,7,8,9},A324,ROW(INDIRECT("1:"&amp;LEN(A324)))),1))," ",REPT(" ",LEN(A324))),LEN(A324))))))), 1)) * ROW(INDIRECT("1:"&amp;LEN((--TRIM(RIGHT(SUBSTITUTE(LEFT(A324,_xlfn.AGGREGATE(16,6,FIND({0,1,2,3,4,5,6,7,8,9},A324,ROW(INDIRECT("1:"&amp;LEN(A324)))),1))," ",REPT(" ",LEN(A324))),LEN(A324))))))), 0), ROW(INDIRECT("1:"&amp;LEN((--TRIM(RIGHT(SUBSTITUTE(LEFT(A324,_xlfn.AGGREGATE(16,6,FIND({0,1,2,3,4,5,6,7,8,9},A324,ROW(INDIRECT("1:"&amp;LEN(A324)))),1))," ",REPT(" ",LEN(A324))),LEN(A324))))))))+1, 1) * 10^ROW(INDIRECT("1:"&amp;LEN((--TRIM(RIGHT(SUBSTITUTE(LEFT(A324,_xlfn.AGGREGATE(16,6,FIND({0,1,2,3,4,5,6,7,8,9},A324,ROW(INDIRECT("1:"&amp;LEN(A324)))),1))," ",REPT(" ",LEN(A324))),LEN(A324)))))))/10))*1+1</f>
        <v>202 to 502</v>
      </c>
      <c r="B325" s="148"/>
      <c r="C325" s="40"/>
      <c r="D325" s="40"/>
      <c r="E325" s="40">
        <v>0</v>
      </c>
      <c r="F325" s="40">
        <f>D325*(($F$216)+1)+(IF(E325&lt;101,E325,IF(E325&lt;201,E325/2,IF(E325&lt;=301,E325/3,E325/4))))</f>
        <v>0</v>
      </c>
      <c r="G325" s="147" t="str">
        <f>G324</f>
        <v>2nd to 5th Floor</v>
      </c>
      <c r="H325" s="148"/>
      <c r="I325" s="34"/>
    </row>
    <row r="326" spans="1:9" s="35" customFormat="1" hidden="1" x14ac:dyDescent="0.25">
      <c r="A326" s="147" t="str">
        <f ca="1">(SUMPRODUCT(MID(0&amp;(LEFT(A325,SUM(LEN(A325)-LEN(SUBSTITUTE(A325,{"0","1","2"},""))))), LARGE(INDEX(ISNUMBER(--MID((LEFT(A325,SUM(LEN(A325)-LEN(SUBSTITUTE(A325,{"0","1","2"},""))))), ROW(INDIRECT("1:"&amp;LEN((LEFT(A325,SUM(LEN(A325)-LEN(SUBSTITUTE(A325,{"0","1","2"},"")))))))), 1)) * ROW(INDIRECT("1:"&amp;LEN((LEFT(A325,SUM(LEN(A325)-LEN(SUBSTITUTE(A325,{"0","1","2"},"")))))))), 0), ROW(INDIRECT("1:"&amp;LEN((LEFT(A325,SUM(LEN(A325)-LEN(SUBSTITUTE(A325,{"0","1","2"},"")))))))))+1, 1) * 10^ROW(INDIRECT("1:"&amp;LEN((LEFT(A325,SUM(LEN(A325)-LEN(SUBSTITUTE(A325,{"0","1","2"},""))))))))/10))*1+1&amp;""&amp;" to "&amp;""&amp;(SUMPRODUCT(MID(0&amp;(--TRIM(RIGHT(SUBSTITUTE(LEFT(A325,_xlfn.AGGREGATE(16,6,FIND({0,1,2,3,4,5,6,7,8,9},A325,ROW(INDIRECT("1:"&amp;LEN(A325)))),1))," ",REPT(" ",LEN(A325))),LEN(A325)))), LARGE(INDEX(ISNUMBER(--MID((--TRIM(RIGHT(SUBSTITUTE(LEFT(A325,_xlfn.AGGREGATE(16,6,FIND({0,1,2,3,4,5,6,7,8,9},A325,ROW(INDIRECT("1:"&amp;LEN(A325)))),1))," ",REPT(" ",LEN(A325))),LEN(A325)))), ROW(INDIRECT("1:"&amp;LEN((--TRIM(RIGHT(SUBSTITUTE(LEFT(A325,_xlfn.AGGREGATE(16,6,FIND({0,1,2,3,4,5,6,7,8,9},A325,ROW(INDIRECT("1:"&amp;LEN(A325)))),1))," ",REPT(" ",LEN(A325))),LEN(A325))))))), 1)) * ROW(INDIRECT("1:"&amp;LEN((--TRIM(RIGHT(SUBSTITUTE(LEFT(A325,_xlfn.AGGREGATE(16,6,FIND({0,1,2,3,4,5,6,7,8,9},A325,ROW(INDIRECT("1:"&amp;LEN(A325)))),1))," ",REPT(" ",LEN(A325))),LEN(A325))))))), 0), ROW(INDIRECT("1:"&amp;LEN((--TRIM(RIGHT(SUBSTITUTE(LEFT(A325,_xlfn.AGGREGATE(16,6,FIND({0,1,2,3,4,5,6,7,8,9},A325,ROW(INDIRECT("1:"&amp;LEN(A325)))),1))," ",REPT(" ",LEN(A325))),LEN(A325))))))))+1, 1) * 10^ROW(INDIRECT("1:"&amp;LEN((--TRIM(RIGHT(SUBSTITUTE(LEFT(A325,_xlfn.AGGREGATE(16,6,FIND({0,1,2,3,4,5,6,7,8,9},A325,ROW(INDIRECT("1:"&amp;LEN(A325)))),1))," ",REPT(" ",LEN(A325))),LEN(A325)))))))/10))*1+1</f>
        <v>203 to 503</v>
      </c>
      <c r="B326" s="148"/>
      <c r="C326" s="40"/>
      <c r="D326" s="40"/>
      <c r="E326" s="40">
        <v>0</v>
      </c>
      <c r="F326" s="40">
        <f>D326*(($F$216)+1)+(IF(E326&lt;101,E326,IF(E326&lt;201,E326/2,IF(E326&lt;=301,E326/3,E326/4))))</f>
        <v>0</v>
      </c>
      <c r="G326" s="147" t="str">
        <f>G325</f>
        <v>2nd to 5th Floor</v>
      </c>
      <c r="H326" s="148"/>
      <c r="I326" s="34"/>
    </row>
    <row r="327" spans="1:9" s="35" customFormat="1" hidden="1" x14ac:dyDescent="0.25">
      <c r="A327" s="147" t="str">
        <f ca="1">(SUMPRODUCT(MID(0&amp;(LEFT(A326,SUM(LEN(A326)-LEN(SUBSTITUTE(A326,{"0","1","2"},""))))), LARGE(INDEX(ISNUMBER(--MID((LEFT(A326,SUM(LEN(A326)-LEN(SUBSTITUTE(A326,{"0","1","2"},""))))), ROW(INDIRECT("1:"&amp;LEN((LEFT(A326,SUM(LEN(A326)-LEN(SUBSTITUTE(A326,{"0","1","2"},"")))))))), 1)) * ROW(INDIRECT("1:"&amp;LEN((LEFT(A326,SUM(LEN(A326)-LEN(SUBSTITUTE(A326,{"0","1","2"},"")))))))), 0), ROW(INDIRECT("1:"&amp;LEN((LEFT(A326,SUM(LEN(A326)-LEN(SUBSTITUTE(A326,{"0","1","2"},"")))))))))+1, 1) * 10^ROW(INDIRECT("1:"&amp;LEN((LEFT(A326,SUM(LEN(A326)-LEN(SUBSTITUTE(A326,{"0","1","2"},""))))))))/10))*1+1&amp;""&amp;" to "&amp;""&amp;(SUMPRODUCT(MID(0&amp;(--TRIM(RIGHT(SUBSTITUTE(LEFT(A326,_xlfn.AGGREGATE(16,6,FIND({0,1,2,3,4,5,6,7,8,9},A326,ROW(INDIRECT("1:"&amp;LEN(A326)))),1))," ",REPT(" ",LEN(A326))),LEN(A326)))), LARGE(INDEX(ISNUMBER(--MID((--TRIM(RIGHT(SUBSTITUTE(LEFT(A326,_xlfn.AGGREGATE(16,6,FIND({0,1,2,3,4,5,6,7,8,9},A326,ROW(INDIRECT("1:"&amp;LEN(A326)))),1))," ",REPT(" ",LEN(A326))),LEN(A326)))), ROW(INDIRECT("1:"&amp;LEN((--TRIM(RIGHT(SUBSTITUTE(LEFT(A326,_xlfn.AGGREGATE(16,6,FIND({0,1,2,3,4,5,6,7,8,9},A326,ROW(INDIRECT("1:"&amp;LEN(A326)))),1))," ",REPT(" ",LEN(A326))),LEN(A326))))))), 1)) * ROW(INDIRECT("1:"&amp;LEN((--TRIM(RIGHT(SUBSTITUTE(LEFT(A326,_xlfn.AGGREGATE(16,6,FIND({0,1,2,3,4,5,6,7,8,9},A326,ROW(INDIRECT("1:"&amp;LEN(A326)))),1))," ",REPT(" ",LEN(A326))),LEN(A326))))))), 0), ROW(INDIRECT("1:"&amp;LEN((--TRIM(RIGHT(SUBSTITUTE(LEFT(A326,_xlfn.AGGREGATE(16,6,FIND({0,1,2,3,4,5,6,7,8,9},A326,ROW(INDIRECT("1:"&amp;LEN(A326)))),1))," ",REPT(" ",LEN(A326))),LEN(A326))))))))+1, 1) * 10^ROW(INDIRECT("1:"&amp;LEN((--TRIM(RIGHT(SUBSTITUTE(LEFT(A326,_xlfn.AGGREGATE(16,6,FIND({0,1,2,3,4,5,6,7,8,9},A326,ROW(INDIRECT("1:"&amp;LEN(A326)))),1))," ",REPT(" ",LEN(A326))),LEN(A326)))))))/10))*1+1</f>
        <v>204 to 504</v>
      </c>
      <c r="B327" s="148"/>
      <c r="C327" s="40"/>
      <c r="D327" s="40"/>
      <c r="E327" s="40">
        <v>0</v>
      </c>
      <c r="F327" s="40">
        <f>D327*(($F$216)+1)+(IF(E327&lt;101,E327,IF(E327&lt;201,E327/2,IF(E327&lt;=301,E327/3,E327/4))))</f>
        <v>0</v>
      </c>
      <c r="G327" s="147" t="str">
        <f>G326</f>
        <v>2nd to 5th Floor</v>
      </c>
      <c r="H327" s="148"/>
      <c r="I327" s="34"/>
    </row>
    <row r="328" spans="1:9" s="35" customFormat="1" hidden="1" x14ac:dyDescent="0.25">
      <c r="A328" s="147" t="str">
        <f ca="1">(SUMPRODUCT(MID(0&amp;(LEFT(A327,SUM(LEN(A327)-LEN(SUBSTITUTE(A327,{"0","1","2"},""))))), LARGE(INDEX(ISNUMBER(--MID((LEFT(A327,SUM(LEN(A327)-LEN(SUBSTITUTE(A327,{"0","1","2"},""))))), ROW(INDIRECT("1:"&amp;LEN((LEFT(A327,SUM(LEN(A327)-LEN(SUBSTITUTE(A327,{"0","1","2"},"")))))))), 1)) * ROW(INDIRECT("1:"&amp;LEN((LEFT(A327,SUM(LEN(A327)-LEN(SUBSTITUTE(A327,{"0","1","2"},"")))))))), 0), ROW(INDIRECT("1:"&amp;LEN((LEFT(A327,SUM(LEN(A327)-LEN(SUBSTITUTE(A327,{"0","1","2"},"")))))))))+1, 1) * 10^ROW(INDIRECT("1:"&amp;LEN((LEFT(A327,SUM(LEN(A327)-LEN(SUBSTITUTE(A327,{"0","1","2"},""))))))))/10))*1+1&amp;""&amp;" to "&amp;""&amp;(SUMPRODUCT(MID(0&amp;(--TRIM(RIGHT(SUBSTITUTE(LEFT(A327,_xlfn.AGGREGATE(16,6,FIND({0,1,2,3,4,5,6,7,8,9},A327,ROW(INDIRECT("1:"&amp;LEN(A327)))),1))," ",REPT(" ",LEN(A327))),LEN(A327)))), LARGE(INDEX(ISNUMBER(--MID((--TRIM(RIGHT(SUBSTITUTE(LEFT(A327,_xlfn.AGGREGATE(16,6,FIND({0,1,2,3,4,5,6,7,8,9},A327,ROW(INDIRECT("1:"&amp;LEN(A327)))),1))," ",REPT(" ",LEN(A327))),LEN(A327)))), ROW(INDIRECT("1:"&amp;LEN((--TRIM(RIGHT(SUBSTITUTE(LEFT(A327,_xlfn.AGGREGATE(16,6,FIND({0,1,2,3,4,5,6,7,8,9},A327,ROW(INDIRECT("1:"&amp;LEN(A327)))),1))," ",REPT(" ",LEN(A327))),LEN(A327))))))), 1)) * ROW(INDIRECT("1:"&amp;LEN((--TRIM(RIGHT(SUBSTITUTE(LEFT(A327,_xlfn.AGGREGATE(16,6,FIND({0,1,2,3,4,5,6,7,8,9},A327,ROW(INDIRECT("1:"&amp;LEN(A327)))),1))," ",REPT(" ",LEN(A327))),LEN(A327))))))), 0), ROW(INDIRECT("1:"&amp;LEN((--TRIM(RIGHT(SUBSTITUTE(LEFT(A327,_xlfn.AGGREGATE(16,6,FIND({0,1,2,3,4,5,6,7,8,9},A327,ROW(INDIRECT("1:"&amp;LEN(A327)))),1))," ",REPT(" ",LEN(A327))),LEN(A327))))))))+1, 1) * 10^ROW(INDIRECT("1:"&amp;LEN((--TRIM(RIGHT(SUBSTITUTE(LEFT(A327,_xlfn.AGGREGATE(16,6,FIND({0,1,2,3,4,5,6,7,8,9},A327,ROW(INDIRECT("1:"&amp;LEN(A327)))),1))," ",REPT(" ",LEN(A327))),LEN(A327)))))))/10))*1+1</f>
        <v>205 to 505</v>
      </c>
      <c r="B328" s="148"/>
      <c r="C328" s="40"/>
      <c r="D328" s="40"/>
      <c r="E328" s="40">
        <v>0</v>
      </c>
      <c r="F328" s="40">
        <f>D328*(($F$216)+1)+(IF(E328&lt;101,E328,IF(E328&lt;201,E328/2,IF(E328&lt;=301,E328/3,E328/4))))</f>
        <v>0</v>
      </c>
      <c r="G328" s="147" t="str">
        <f>G327</f>
        <v>2nd to 5th Floor</v>
      </c>
      <c r="H328" s="148"/>
      <c r="I328" s="34"/>
    </row>
    <row r="329" spans="1:9" s="35" customFormat="1" hidden="1" x14ac:dyDescent="0.25">
      <c r="A329" s="111" t="s">
        <v>147</v>
      </c>
      <c r="B329" s="112"/>
      <c r="C329" s="112"/>
      <c r="D329" s="112"/>
      <c r="E329" s="112"/>
      <c r="F329" s="112"/>
      <c r="G329" s="112"/>
      <c r="H329" s="113"/>
      <c r="I329" s="34"/>
    </row>
    <row r="330" spans="1:9" s="35" customFormat="1" hidden="1" x14ac:dyDescent="0.25">
      <c r="A330" s="147" t="str">
        <f ca="1">(SUMPRODUCT(MID(0&amp;(LEFT(A329,SUM(LEN(A329)-LEN(SUBSTITUTE(A329,{"0","1","2"},""))))), LARGE(INDEX(ISNUMBER(--MID((LEFT(A329,SUM(LEN(A329)-LEN(SUBSTITUTE(A329,{"0","1","2"},""))))), ROW(INDIRECT("1:"&amp;LEN((LEFT(A329,SUM(LEN(A329)-LEN(SUBSTITUTE(A329,{"0","1","2"},"")))))))), 1)) * ROW(INDIRECT("1:"&amp;LEN((LEFT(A329,SUM(LEN(A329)-LEN(SUBSTITUTE(A329,{"0","1","2"},"")))))))), 0), ROW(INDIRECT("1:"&amp;LEN((LEFT(A329,SUM(LEN(A329)-LEN(SUBSTITUTE(A329,{"0","1","2"},"")))))))))+1, 1) * 10^ROW(INDIRECT("1:"&amp;LEN((LEFT(A329,SUM(LEN(A329)-LEN(SUBSTITUTE(A329,{"0","1","2"},""))))))))/10))*100+1&amp;""&amp;" &amp; "&amp;""&amp;(SUMPRODUCT(MID(0&amp;(--TRIM(RIGHT(SUBSTITUTE(LEFT(A329,_xlfn.AGGREGATE(16,6,FIND({0,1,2,3,4,5,6,7,8,9},A329,ROW(INDIRECT("1:"&amp;LEN(A329)))),1))," ",REPT(" ",LEN(A329))),LEN(A329)))), LARGE(INDEX(ISNUMBER(--MID((--TRIM(RIGHT(SUBSTITUTE(LEFT(A329,_xlfn.AGGREGATE(16,6,FIND({0,1,2,3,4,5,6,7,8,9},A329,ROW(INDIRECT("1:"&amp;LEN(A329)))),1))," ",REPT(" ",LEN(A329))),LEN(A329)))), ROW(INDIRECT("1:"&amp;LEN((--TRIM(RIGHT(SUBSTITUTE(LEFT(A329,_xlfn.AGGREGATE(16,6,FIND({0,1,2,3,4,5,6,7,8,9},A329,ROW(INDIRECT("1:"&amp;LEN(A329)))),1))," ",REPT(" ",LEN(A329))),LEN(A329))))))), 1)) * ROW(INDIRECT("1:"&amp;LEN((--TRIM(RIGHT(SUBSTITUTE(LEFT(A329,_xlfn.AGGREGATE(16,6,FIND({0,1,2,3,4,5,6,7,8,9},A329,ROW(INDIRECT("1:"&amp;LEN(A329)))),1))," ",REPT(" ",LEN(A329))),LEN(A329))))))), 0), ROW(INDIRECT("1:"&amp;LEN((--TRIM(RIGHT(SUBSTITUTE(LEFT(A329,_xlfn.AGGREGATE(16,6,FIND({0,1,2,3,4,5,6,7,8,9},A329,ROW(INDIRECT("1:"&amp;LEN(A329)))),1))," ",REPT(" ",LEN(A329))),LEN(A329))))))))+1, 1) * 10^ROW(INDIRECT("1:"&amp;LEN((--TRIM(RIGHT(SUBSTITUTE(LEFT(A329,_xlfn.AGGREGATE(16,6,FIND({0,1,2,3,4,5,6,7,8,9},A329,ROW(INDIRECT("1:"&amp;LEN(A329)))),1))," ",REPT(" ",LEN(A329))),LEN(A329)))))))/10))*100+1</f>
        <v>201 &amp; 501</v>
      </c>
      <c r="B330" s="148"/>
      <c r="C330" s="40"/>
      <c r="D330" s="40"/>
      <c r="E330" s="40">
        <v>0</v>
      </c>
      <c r="F330" s="40">
        <f>D330*(($F$216)+1)+(IF(E330&lt;101,E330,IF(E330&lt;201,E330/2,IF(E330&lt;=301,E330/3,E330/4))))</f>
        <v>0</v>
      </c>
      <c r="G330" s="147" t="str">
        <f>A329</f>
        <v>2nd &amp; 5th Floor</v>
      </c>
      <c r="H330" s="148"/>
      <c r="I330" s="34"/>
    </row>
    <row r="331" spans="1:9" s="35" customFormat="1" hidden="1" x14ac:dyDescent="0.25">
      <c r="A331" s="147" t="str">
        <f ca="1">(SUMPRODUCT(MID(0&amp;(LEFT(A330,SUM(LEN(A330)-LEN(SUBSTITUTE(A330,{"0","1","2"},""))))), LARGE(INDEX(ISNUMBER(--MID((LEFT(A330,SUM(LEN(A330)-LEN(SUBSTITUTE(A330,{"0","1","2"},""))))), ROW(INDIRECT("1:"&amp;LEN((LEFT(A330,SUM(LEN(A330)-LEN(SUBSTITUTE(A330,{"0","1","2"},"")))))))), 1)) * ROW(INDIRECT("1:"&amp;LEN((LEFT(A330,SUM(LEN(A330)-LEN(SUBSTITUTE(A330,{"0","1","2"},"")))))))), 0), ROW(INDIRECT("1:"&amp;LEN((LEFT(A330,SUM(LEN(A330)-LEN(SUBSTITUTE(A330,{"0","1","2"},"")))))))))+1, 1) * 10^ROW(INDIRECT("1:"&amp;LEN((LEFT(A330,SUM(LEN(A330)-LEN(SUBSTITUTE(A330,{"0","1","2"},""))))))))/10))*1+1&amp;""&amp;" &amp; "&amp;""&amp;(SUMPRODUCT(MID(0&amp;(--TRIM(RIGHT(SUBSTITUTE(LEFT(A330,_xlfn.AGGREGATE(16,6,FIND({0,1,2,3,4,5,6,7,8,9},A330,ROW(INDIRECT("1:"&amp;LEN(A330)))),1))," ",REPT(" ",LEN(A330))),LEN(A330)))), LARGE(INDEX(ISNUMBER(--MID((--TRIM(RIGHT(SUBSTITUTE(LEFT(A330,_xlfn.AGGREGATE(16,6,FIND({0,1,2,3,4,5,6,7,8,9},A330,ROW(INDIRECT("1:"&amp;LEN(A330)))),1))," ",REPT(" ",LEN(A330))),LEN(A330)))), ROW(INDIRECT("1:"&amp;LEN((--TRIM(RIGHT(SUBSTITUTE(LEFT(A330,_xlfn.AGGREGATE(16,6,FIND({0,1,2,3,4,5,6,7,8,9},A330,ROW(INDIRECT("1:"&amp;LEN(A330)))),1))," ",REPT(" ",LEN(A330))),LEN(A330))))))), 1)) * ROW(INDIRECT("1:"&amp;LEN((--TRIM(RIGHT(SUBSTITUTE(LEFT(A330,_xlfn.AGGREGATE(16,6,FIND({0,1,2,3,4,5,6,7,8,9},A330,ROW(INDIRECT("1:"&amp;LEN(A330)))),1))," ",REPT(" ",LEN(A330))),LEN(A330))))))), 0), ROW(INDIRECT("1:"&amp;LEN((--TRIM(RIGHT(SUBSTITUTE(LEFT(A330,_xlfn.AGGREGATE(16,6,FIND({0,1,2,3,4,5,6,7,8,9},A330,ROW(INDIRECT("1:"&amp;LEN(A330)))),1))," ",REPT(" ",LEN(A330))),LEN(A330))))))))+1, 1) * 10^ROW(INDIRECT("1:"&amp;LEN((--TRIM(RIGHT(SUBSTITUTE(LEFT(A330,_xlfn.AGGREGATE(16,6,FIND({0,1,2,3,4,5,6,7,8,9},A330,ROW(INDIRECT("1:"&amp;LEN(A330)))),1))," ",REPT(" ",LEN(A330))),LEN(A330)))))))/10))*1+1</f>
        <v>202 &amp; 502</v>
      </c>
      <c r="B331" s="148"/>
      <c r="C331" s="40"/>
      <c r="D331" s="40"/>
      <c r="E331" s="40">
        <v>0</v>
      </c>
      <c r="F331" s="40">
        <f>D331*(($F$216)+1)+(IF(E331&lt;101,E331,IF(E331&lt;201,E331/2,IF(E331&lt;=301,E331/3,E331/4))))</f>
        <v>0</v>
      </c>
      <c r="G331" s="147" t="str">
        <f t="shared" ref="G331:G334" si="31">G330</f>
        <v>2nd &amp; 5th Floor</v>
      </c>
      <c r="H331" s="148"/>
      <c r="I331" s="34"/>
    </row>
    <row r="332" spans="1:9" s="35" customFormat="1" hidden="1" x14ac:dyDescent="0.25">
      <c r="A332" s="147" t="str">
        <f ca="1">(SUMPRODUCT(MID(0&amp;(LEFT(A331,SUM(LEN(A331)-LEN(SUBSTITUTE(A331,{"0","1","2"},""))))), LARGE(INDEX(ISNUMBER(--MID((LEFT(A331,SUM(LEN(A331)-LEN(SUBSTITUTE(A331,{"0","1","2"},""))))), ROW(INDIRECT("1:"&amp;LEN((LEFT(A331,SUM(LEN(A331)-LEN(SUBSTITUTE(A331,{"0","1","2"},"")))))))), 1)) * ROW(INDIRECT("1:"&amp;LEN((LEFT(A331,SUM(LEN(A331)-LEN(SUBSTITUTE(A331,{"0","1","2"},"")))))))), 0), ROW(INDIRECT("1:"&amp;LEN((LEFT(A331,SUM(LEN(A331)-LEN(SUBSTITUTE(A331,{"0","1","2"},"")))))))))+1, 1) * 10^ROW(INDIRECT("1:"&amp;LEN((LEFT(A331,SUM(LEN(A331)-LEN(SUBSTITUTE(A331,{"0","1","2"},""))))))))/10))*1+1&amp;""&amp;" &amp; "&amp;""&amp;(SUMPRODUCT(MID(0&amp;(--TRIM(RIGHT(SUBSTITUTE(LEFT(A331,_xlfn.AGGREGATE(16,6,FIND({0,1,2,3,4,5,6,7,8,9},A331,ROW(INDIRECT("1:"&amp;LEN(A331)))),1))," ",REPT(" ",LEN(A331))),LEN(A331)))), LARGE(INDEX(ISNUMBER(--MID((--TRIM(RIGHT(SUBSTITUTE(LEFT(A331,_xlfn.AGGREGATE(16,6,FIND({0,1,2,3,4,5,6,7,8,9},A331,ROW(INDIRECT("1:"&amp;LEN(A331)))),1))," ",REPT(" ",LEN(A331))),LEN(A331)))), ROW(INDIRECT("1:"&amp;LEN((--TRIM(RIGHT(SUBSTITUTE(LEFT(A331,_xlfn.AGGREGATE(16,6,FIND({0,1,2,3,4,5,6,7,8,9},A331,ROW(INDIRECT("1:"&amp;LEN(A331)))),1))," ",REPT(" ",LEN(A331))),LEN(A331))))))), 1)) * ROW(INDIRECT("1:"&amp;LEN((--TRIM(RIGHT(SUBSTITUTE(LEFT(A331,_xlfn.AGGREGATE(16,6,FIND({0,1,2,3,4,5,6,7,8,9},A331,ROW(INDIRECT("1:"&amp;LEN(A331)))),1))," ",REPT(" ",LEN(A331))),LEN(A331))))))), 0), ROW(INDIRECT("1:"&amp;LEN((--TRIM(RIGHT(SUBSTITUTE(LEFT(A331,_xlfn.AGGREGATE(16,6,FIND({0,1,2,3,4,5,6,7,8,9},A331,ROW(INDIRECT("1:"&amp;LEN(A331)))),1))," ",REPT(" ",LEN(A331))),LEN(A331))))))))+1, 1) * 10^ROW(INDIRECT("1:"&amp;LEN((--TRIM(RIGHT(SUBSTITUTE(LEFT(A331,_xlfn.AGGREGATE(16,6,FIND({0,1,2,3,4,5,6,7,8,9},A331,ROW(INDIRECT("1:"&amp;LEN(A331)))),1))," ",REPT(" ",LEN(A331))),LEN(A331)))))))/10))*1+1</f>
        <v>203 &amp; 503</v>
      </c>
      <c r="B332" s="148"/>
      <c r="C332" s="40"/>
      <c r="D332" s="40"/>
      <c r="E332" s="40">
        <v>0</v>
      </c>
      <c r="F332" s="40">
        <f>D332*(($F$216)+1)+(IF(E332&lt;101,E332,IF(E332&lt;201,E332/2,IF(E332&lt;=301,E332/3,E332/4))))</f>
        <v>0</v>
      </c>
      <c r="G332" s="147" t="str">
        <f t="shared" si="31"/>
        <v>2nd &amp; 5th Floor</v>
      </c>
      <c r="H332" s="148"/>
      <c r="I332" s="34"/>
    </row>
    <row r="333" spans="1:9" s="35" customFormat="1" hidden="1" x14ac:dyDescent="0.25">
      <c r="A333" s="147" t="str">
        <f ca="1">(SUMPRODUCT(MID(0&amp;(LEFT(A332,SUM(LEN(A332)-LEN(SUBSTITUTE(A332,{"0","1","2"},""))))), LARGE(INDEX(ISNUMBER(--MID((LEFT(A332,SUM(LEN(A332)-LEN(SUBSTITUTE(A332,{"0","1","2"},""))))), ROW(INDIRECT("1:"&amp;LEN((LEFT(A332,SUM(LEN(A332)-LEN(SUBSTITUTE(A332,{"0","1","2"},"")))))))), 1)) * ROW(INDIRECT("1:"&amp;LEN((LEFT(A332,SUM(LEN(A332)-LEN(SUBSTITUTE(A332,{"0","1","2"},"")))))))), 0), ROW(INDIRECT("1:"&amp;LEN((LEFT(A332,SUM(LEN(A332)-LEN(SUBSTITUTE(A332,{"0","1","2"},"")))))))))+1, 1) * 10^ROW(INDIRECT("1:"&amp;LEN((LEFT(A332,SUM(LEN(A332)-LEN(SUBSTITUTE(A332,{"0","1","2"},""))))))))/10))*1+1&amp;""&amp;" &amp; "&amp;""&amp;(SUMPRODUCT(MID(0&amp;(--TRIM(RIGHT(SUBSTITUTE(LEFT(A332,_xlfn.AGGREGATE(16,6,FIND({0,1,2,3,4,5,6,7,8,9},A332,ROW(INDIRECT("1:"&amp;LEN(A332)))),1))," ",REPT(" ",LEN(A332))),LEN(A332)))), LARGE(INDEX(ISNUMBER(--MID((--TRIM(RIGHT(SUBSTITUTE(LEFT(A332,_xlfn.AGGREGATE(16,6,FIND({0,1,2,3,4,5,6,7,8,9},A332,ROW(INDIRECT("1:"&amp;LEN(A332)))),1))," ",REPT(" ",LEN(A332))),LEN(A332)))), ROW(INDIRECT("1:"&amp;LEN((--TRIM(RIGHT(SUBSTITUTE(LEFT(A332,_xlfn.AGGREGATE(16,6,FIND({0,1,2,3,4,5,6,7,8,9},A332,ROW(INDIRECT("1:"&amp;LEN(A332)))),1))," ",REPT(" ",LEN(A332))),LEN(A332))))))), 1)) * ROW(INDIRECT("1:"&amp;LEN((--TRIM(RIGHT(SUBSTITUTE(LEFT(A332,_xlfn.AGGREGATE(16,6,FIND({0,1,2,3,4,5,6,7,8,9},A332,ROW(INDIRECT("1:"&amp;LEN(A332)))),1))," ",REPT(" ",LEN(A332))),LEN(A332))))))), 0), ROW(INDIRECT("1:"&amp;LEN((--TRIM(RIGHT(SUBSTITUTE(LEFT(A332,_xlfn.AGGREGATE(16,6,FIND({0,1,2,3,4,5,6,7,8,9},A332,ROW(INDIRECT("1:"&amp;LEN(A332)))),1))," ",REPT(" ",LEN(A332))),LEN(A332))))))))+1, 1) * 10^ROW(INDIRECT("1:"&amp;LEN((--TRIM(RIGHT(SUBSTITUTE(LEFT(A332,_xlfn.AGGREGATE(16,6,FIND({0,1,2,3,4,5,6,7,8,9},A332,ROW(INDIRECT("1:"&amp;LEN(A332)))),1))," ",REPT(" ",LEN(A332))),LEN(A332)))))))/10))*1+1</f>
        <v>204 &amp; 504</v>
      </c>
      <c r="B333" s="148"/>
      <c r="C333" s="40"/>
      <c r="D333" s="40"/>
      <c r="E333" s="40">
        <v>0</v>
      </c>
      <c r="F333" s="40">
        <f>D333*(($F$216)+1)+(IF(E333&lt;101,E333,IF(E333&lt;201,E333/2,IF(E333&lt;=301,E333/3,E333/4))))</f>
        <v>0</v>
      </c>
      <c r="G333" s="147" t="str">
        <f t="shared" si="31"/>
        <v>2nd &amp; 5th Floor</v>
      </c>
      <c r="H333" s="148"/>
      <c r="I333" s="34"/>
    </row>
    <row r="334" spans="1:9" s="35" customFormat="1" hidden="1" x14ac:dyDescent="0.25">
      <c r="A334" s="147" t="str">
        <f ca="1">(SUMPRODUCT(MID(0&amp;(LEFT(A333,SUM(LEN(A333)-LEN(SUBSTITUTE(A333,{"0","1","2"},""))))), LARGE(INDEX(ISNUMBER(--MID((LEFT(A333,SUM(LEN(A333)-LEN(SUBSTITUTE(A333,{"0","1","2"},""))))), ROW(INDIRECT("1:"&amp;LEN((LEFT(A333,SUM(LEN(A333)-LEN(SUBSTITUTE(A333,{"0","1","2"},"")))))))), 1)) * ROW(INDIRECT("1:"&amp;LEN((LEFT(A333,SUM(LEN(A333)-LEN(SUBSTITUTE(A333,{"0","1","2"},"")))))))), 0), ROW(INDIRECT("1:"&amp;LEN((LEFT(A333,SUM(LEN(A333)-LEN(SUBSTITUTE(A333,{"0","1","2"},"")))))))))+1, 1) * 10^ROW(INDIRECT("1:"&amp;LEN((LEFT(A333,SUM(LEN(A333)-LEN(SUBSTITUTE(A333,{"0","1","2"},""))))))))/10))*1+1&amp;""&amp;" &amp; "&amp;""&amp;(SUMPRODUCT(MID(0&amp;(--TRIM(RIGHT(SUBSTITUTE(LEFT(A333,_xlfn.AGGREGATE(16,6,FIND({0,1,2,3,4,5,6,7,8,9},A333,ROW(INDIRECT("1:"&amp;LEN(A333)))),1))," ",REPT(" ",LEN(A333))),LEN(A333)))), LARGE(INDEX(ISNUMBER(--MID((--TRIM(RIGHT(SUBSTITUTE(LEFT(A333,_xlfn.AGGREGATE(16,6,FIND({0,1,2,3,4,5,6,7,8,9},A333,ROW(INDIRECT("1:"&amp;LEN(A333)))),1))," ",REPT(" ",LEN(A333))),LEN(A333)))), ROW(INDIRECT("1:"&amp;LEN((--TRIM(RIGHT(SUBSTITUTE(LEFT(A333,_xlfn.AGGREGATE(16,6,FIND({0,1,2,3,4,5,6,7,8,9},A333,ROW(INDIRECT("1:"&amp;LEN(A333)))),1))," ",REPT(" ",LEN(A333))),LEN(A333))))))), 1)) * ROW(INDIRECT("1:"&amp;LEN((--TRIM(RIGHT(SUBSTITUTE(LEFT(A333,_xlfn.AGGREGATE(16,6,FIND({0,1,2,3,4,5,6,7,8,9},A333,ROW(INDIRECT("1:"&amp;LEN(A333)))),1))," ",REPT(" ",LEN(A333))),LEN(A333))))))), 0), ROW(INDIRECT("1:"&amp;LEN((--TRIM(RIGHT(SUBSTITUTE(LEFT(A333,_xlfn.AGGREGATE(16,6,FIND({0,1,2,3,4,5,6,7,8,9},A333,ROW(INDIRECT("1:"&amp;LEN(A333)))),1))," ",REPT(" ",LEN(A333))),LEN(A333))))))))+1, 1) * 10^ROW(INDIRECT("1:"&amp;LEN((--TRIM(RIGHT(SUBSTITUTE(LEFT(A333,_xlfn.AGGREGATE(16,6,FIND({0,1,2,3,4,5,6,7,8,9},A333,ROW(INDIRECT("1:"&amp;LEN(A333)))),1))," ",REPT(" ",LEN(A333))),LEN(A333)))))))/10))*1+1</f>
        <v>205 &amp; 505</v>
      </c>
      <c r="B334" s="148"/>
      <c r="C334" s="40"/>
      <c r="D334" s="40"/>
      <c r="E334" s="40">
        <v>0</v>
      </c>
      <c r="F334" s="40">
        <f>D334*(($F$216)+1)+(IF(E334&lt;101,E334,IF(E334&lt;201,E334/2,IF(E334&lt;=301,E334/3,E334/4))))</f>
        <v>0</v>
      </c>
      <c r="G334" s="147" t="str">
        <f t="shared" si="31"/>
        <v>2nd &amp; 5th Floor</v>
      </c>
      <c r="H334" s="148"/>
      <c r="I334" s="34"/>
    </row>
    <row r="335" spans="1:9" s="33" customFormat="1" x14ac:dyDescent="0.25">
      <c r="A335" s="224" t="s">
        <v>68</v>
      </c>
      <c r="B335" s="224"/>
      <c r="C335" s="224"/>
      <c r="D335" s="224"/>
      <c r="E335" s="224"/>
      <c r="F335" s="224"/>
      <c r="G335" s="224"/>
      <c r="H335" s="224"/>
    </row>
    <row r="336" spans="1:9" s="33" customFormat="1" x14ac:dyDescent="0.25">
      <c r="A336" s="43" t="s">
        <v>156</v>
      </c>
      <c r="B336" s="107" t="s">
        <v>326</v>
      </c>
      <c r="C336" s="108"/>
      <c r="D336" s="108"/>
      <c r="E336" s="108"/>
      <c r="F336" s="108"/>
      <c r="G336" s="108"/>
      <c r="H336" s="109"/>
    </row>
    <row r="337" spans="1:10" s="33" customFormat="1" x14ac:dyDescent="0.25">
      <c r="A337" s="43" t="s">
        <v>156</v>
      </c>
      <c r="B337" s="107" t="str">
        <f>(IF(F215="Saleable area Loading :","We have considered Saleable area of Flats as per our Calculation.","We considered Saleable area of Flat as per Builder area Sheet."))</f>
        <v>We have considered Saleable area of Flats as per our Calculation.</v>
      </c>
      <c r="C337" s="108"/>
      <c r="D337" s="108"/>
      <c r="E337" s="108"/>
      <c r="F337" s="108"/>
      <c r="G337" s="108"/>
      <c r="H337" s="109"/>
    </row>
    <row r="338" spans="1:10" s="33" customFormat="1" x14ac:dyDescent="0.25">
      <c r="A338" s="43" t="s">
        <v>156</v>
      </c>
      <c r="B338" s="107" t="str">
        <f>(IF(F138="Saleable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38" s="108"/>
      <c r="D338" s="108"/>
      <c r="E338" s="108"/>
      <c r="F338" s="108"/>
      <c r="G338" s="108"/>
      <c r="H338" s="109"/>
    </row>
    <row r="339" spans="1:10" s="33" customFormat="1" x14ac:dyDescent="0.25">
      <c r="A339" s="43" t="s">
        <v>156</v>
      </c>
      <c r="B339" s="85" t="s">
        <v>123</v>
      </c>
      <c r="C339" s="86"/>
      <c r="D339" s="86"/>
      <c r="E339" s="86"/>
      <c r="F339" s="86"/>
      <c r="G339" s="86"/>
      <c r="H339" s="87"/>
    </row>
    <row r="340" spans="1:10" s="33" customFormat="1" x14ac:dyDescent="0.25">
      <c r="A340" s="43" t="s">
        <v>156</v>
      </c>
      <c r="B340" s="85" t="s">
        <v>274</v>
      </c>
      <c r="C340" s="86"/>
      <c r="D340" s="86"/>
      <c r="E340" s="86"/>
      <c r="F340" s="86"/>
      <c r="G340" s="86"/>
      <c r="H340" s="87"/>
    </row>
    <row r="341" spans="1:10" s="33" customFormat="1" x14ac:dyDescent="0.25">
      <c r="A341" s="43" t="s">
        <v>156</v>
      </c>
      <c r="B341" s="85" t="s">
        <v>155</v>
      </c>
      <c r="C341" s="86"/>
      <c r="D341" s="86"/>
      <c r="E341" s="86"/>
      <c r="F341" s="86"/>
      <c r="G341" s="86"/>
      <c r="H341" s="87"/>
    </row>
    <row r="342" spans="1:10" s="33" customFormat="1" x14ac:dyDescent="0.25">
      <c r="A342" s="43" t="s">
        <v>156</v>
      </c>
      <c r="B342" s="85" t="s">
        <v>124</v>
      </c>
      <c r="C342" s="86"/>
      <c r="D342" s="86"/>
      <c r="E342" s="86"/>
      <c r="F342" s="86"/>
      <c r="G342" s="86"/>
      <c r="H342" s="87"/>
    </row>
    <row r="343" spans="1:10" s="33" customFormat="1" ht="34.5" customHeight="1" x14ac:dyDescent="0.25">
      <c r="A343" s="43" t="s">
        <v>156</v>
      </c>
      <c r="B343" s="85" t="s">
        <v>157</v>
      </c>
      <c r="C343" s="86"/>
      <c r="D343" s="86"/>
      <c r="E343" s="86"/>
      <c r="F343" s="86"/>
      <c r="G343" s="86"/>
      <c r="H343" s="87"/>
    </row>
    <row r="344" spans="1:10" s="33" customFormat="1" x14ac:dyDescent="0.25">
      <c r="A344" s="43" t="s">
        <v>156</v>
      </c>
      <c r="B344" s="85" t="s">
        <v>125</v>
      </c>
      <c r="C344" s="86"/>
      <c r="D344" s="86"/>
      <c r="E344" s="86"/>
      <c r="F344" s="86"/>
      <c r="G344" s="86"/>
      <c r="H344" s="87"/>
    </row>
    <row r="345" spans="1:10" s="33" customFormat="1" x14ac:dyDescent="0.25">
      <c r="A345" s="54" t="s">
        <v>156</v>
      </c>
      <c r="B345" s="85" t="s">
        <v>287</v>
      </c>
      <c r="C345" s="86"/>
      <c r="D345" s="86"/>
      <c r="E345" s="86"/>
      <c r="F345" s="86"/>
      <c r="G345" s="86"/>
      <c r="H345" s="87"/>
    </row>
    <row r="346" spans="1:10" s="33" customFormat="1" x14ac:dyDescent="0.25">
      <c r="A346" s="54" t="s">
        <v>156</v>
      </c>
      <c r="B346" s="85" t="s">
        <v>286</v>
      </c>
      <c r="C346" s="86"/>
      <c r="D346" s="86"/>
      <c r="E346" s="86"/>
      <c r="F346" s="86"/>
      <c r="G346" s="86"/>
      <c r="H346" s="87"/>
    </row>
    <row r="347" spans="1:10" s="33" customFormat="1" ht="32.25" hidden="1" customHeight="1" x14ac:dyDescent="0.25">
      <c r="A347" s="51" t="s">
        <v>156</v>
      </c>
      <c r="B347" s="107" t="s">
        <v>275</v>
      </c>
      <c r="C347" s="108"/>
      <c r="D347" s="108"/>
      <c r="E347" s="108"/>
      <c r="F347" s="108"/>
      <c r="G347" s="108"/>
      <c r="H347" s="109"/>
      <c r="J347" s="67" t="s">
        <v>285</v>
      </c>
    </row>
    <row r="348" spans="1:10" s="33" customFormat="1" x14ac:dyDescent="0.25">
      <c r="A348" s="70" t="s">
        <v>156</v>
      </c>
      <c r="B348" s="85" t="s">
        <v>311</v>
      </c>
      <c r="C348" s="86"/>
      <c r="D348" s="86"/>
      <c r="E348" s="86"/>
      <c r="F348" s="86"/>
      <c r="G348" s="86"/>
      <c r="H348" s="87"/>
    </row>
    <row r="349" spans="1:10" s="33" customFormat="1" x14ac:dyDescent="0.25">
      <c r="A349" s="78" t="s">
        <v>156</v>
      </c>
      <c r="B349" s="85" t="s">
        <v>317</v>
      </c>
      <c r="C349" s="86"/>
      <c r="D349" s="86"/>
      <c r="E349" s="86"/>
      <c r="F349" s="86"/>
      <c r="G349" s="86"/>
      <c r="H349" s="87"/>
    </row>
    <row r="350" spans="1:10" s="33" customFormat="1" x14ac:dyDescent="0.25">
      <c r="A350" s="81" t="s">
        <v>156</v>
      </c>
      <c r="B350" s="85" t="s">
        <v>323</v>
      </c>
      <c r="C350" s="86"/>
      <c r="D350" s="86"/>
      <c r="E350" s="86"/>
      <c r="F350" s="86"/>
      <c r="G350" s="86"/>
      <c r="H350" s="87"/>
    </row>
    <row r="351" spans="1:10" s="33" customFormat="1" ht="32.25" customHeight="1" x14ac:dyDescent="0.25">
      <c r="A351" s="76" t="s">
        <v>156</v>
      </c>
      <c r="B351" s="85" t="s">
        <v>327</v>
      </c>
      <c r="C351" s="86"/>
      <c r="D351" s="86"/>
      <c r="E351" s="86"/>
      <c r="F351" s="86"/>
      <c r="G351" s="86"/>
      <c r="H351" s="87"/>
    </row>
    <row r="352" spans="1:10" x14ac:dyDescent="0.25">
      <c r="A352" s="171" t="s">
        <v>61</v>
      </c>
      <c r="B352" s="171"/>
      <c r="C352" s="171"/>
      <c r="D352" s="171"/>
      <c r="E352" s="171"/>
      <c r="F352" s="171"/>
      <c r="G352" s="171"/>
      <c r="H352" s="171"/>
    </row>
    <row r="353" spans="1:8" x14ac:dyDescent="0.25">
      <c r="A353" s="125" t="s">
        <v>62</v>
      </c>
      <c r="B353" s="125"/>
      <c r="C353" s="125"/>
      <c r="D353" s="125"/>
      <c r="E353" s="125"/>
      <c r="F353" s="125"/>
      <c r="G353" s="125"/>
      <c r="H353" s="125"/>
    </row>
    <row r="354" spans="1:8" ht="15.75" customHeight="1" x14ac:dyDescent="0.25">
      <c r="A354" s="177" t="s">
        <v>63</v>
      </c>
      <c r="B354" s="177"/>
      <c r="C354" s="177"/>
      <c r="D354" s="177"/>
      <c r="E354" s="177"/>
      <c r="F354" s="177"/>
      <c r="G354" s="177"/>
      <c r="H354" s="177"/>
    </row>
    <row r="355" spans="1:8" x14ac:dyDescent="0.25">
      <c r="A355" s="125" t="s">
        <v>64</v>
      </c>
      <c r="B355" s="125"/>
      <c r="C355" s="125"/>
      <c r="D355" s="125"/>
      <c r="E355" s="125"/>
      <c r="F355" s="125"/>
      <c r="G355" s="125"/>
      <c r="H355" s="125"/>
    </row>
    <row r="356" spans="1:8" x14ac:dyDescent="0.25">
      <c r="A356" s="125" t="s">
        <v>65</v>
      </c>
      <c r="B356" s="125"/>
      <c r="C356" s="125"/>
      <c r="D356" s="125"/>
      <c r="E356" s="125"/>
      <c r="F356" s="125"/>
      <c r="G356" s="125"/>
      <c r="H356" s="125"/>
    </row>
    <row r="357" spans="1:8" x14ac:dyDescent="0.25">
      <c r="A357" s="125" t="s">
        <v>126</v>
      </c>
      <c r="B357" s="125"/>
      <c r="C357" s="125"/>
      <c r="D357" s="125"/>
      <c r="E357" s="125"/>
      <c r="F357" s="125"/>
      <c r="G357" s="125"/>
      <c r="H357" s="125"/>
    </row>
    <row r="358" spans="1:8" ht="33.950000000000003" customHeight="1" x14ac:dyDescent="0.25">
      <c r="A358" s="126" t="s">
        <v>127</v>
      </c>
      <c r="B358" s="126"/>
      <c r="C358" s="126"/>
      <c r="D358" s="126"/>
      <c r="E358" s="126"/>
      <c r="F358" s="126"/>
      <c r="G358" s="126"/>
      <c r="H358" s="126"/>
    </row>
    <row r="359" spans="1:8" x14ac:dyDescent="0.25">
      <c r="A359" s="195" t="s">
        <v>75</v>
      </c>
      <c r="B359" s="195"/>
      <c r="C359" s="195" t="s">
        <v>318</v>
      </c>
      <c r="D359" s="195"/>
      <c r="E359" s="195" t="s">
        <v>104</v>
      </c>
      <c r="F359" s="195"/>
      <c r="G359" s="195" t="s">
        <v>325</v>
      </c>
      <c r="H359" s="195"/>
    </row>
    <row r="360" spans="1:8" x14ac:dyDescent="0.25">
      <c r="A360" s="194" t="s">
        <v>77</v>
      </c>
      <c r="B360" s="194"/>
      <c r="C360" s="194"/>
      <c r="D360" s="194"/>
      <c r="E360" s="194"/>
      <c r="F360" s="194"/>
      <c r="G360" s="194"/>
      <c r="H360" s="194"/>
    </row>
    <row r="361" spans="1:8" x14ac:dyDescent="0.25">
      <c r="A361" s="194"/>
      <c r="B361" s="194"/>
      <c r="C361" s="194"/>
      <c r="D361" s="194"/>
      <c r="E361" s="194"/>
      <c r="F361" s="194"/>
      <c r="G361" s="194"/>
      <c r="H361" s="194"/>
    </row>
    <row r="362" spans="1:8" x14ac:dyDescent="0.25">
      <c r="A362" s="194"/>
      <c r="B362" s="194"/>
      <c r="C362" s="194"/>
      <c r="D362" s="194"/>
      <c r="E362" s="194"/>
      <c r="F362" s="194"/>
      <c r="G362" s="194"/>
      <c r="H362" s="194"/>
    </row>
    <row r="363" spans="1:8" x14ac:dyDescent="0.25">
      <c r="A363" s="194"/>
      <c r="B363" s="194"/>
      <c r="C363" s="194"/>
      <c r="D363" s="194"/>
      <c r="E363" s="194"/>
      <c r="F363" s="194"/>
      <c r="G363" s="194"/>
      <c r="H363" s="194"/>
    </row>
    <row r="364" spans="1:8" x14ac:dyDescent="0.25">
      <c r="A364" s="36" t="s">
        <v>66</v>
      </c>
      <c r="B364" s="37"/>
      <c r="C364" s="37"/>
      <c r="D364" s="36" t="str">
        <f>E8</f>
        <v>Alpine Primo</v>
      </c>
      <c r="F364" s="37"/>
      <c r="G364" s="37"/>
      <c r="H364" s="37"/>
    </row>
    <row r="365" spans="1:8" x14ac:dyDescent="0.25">
      <c r="A365" s="37"/>
      <c r="B365" s="37"/>
      <c r="C365" s="37"/>
      <c r="D365" s="37"/>
      <c r="E365" s="37"/>
      <c r="F365" s="37"/>
      <c r="G365" s="37"/>
      <c r="H365" s="37"/>
    </row>
    <row r="366" spans="1:8" x14ac:dyDescent="0.25">
      <c r="A366" s="37"/>
      <c r="B366" s="37"/>
      <c r="C366" s="37"/>
      <c r="D366" s="37"/>
      <c r="E366" s="37"/>
      <c r="F366" s="37"/>
      <c r="G366" s="37"/>
      <c r="H366" s="37"/>
    </row>
    <row r="367" spans="1:8" ht="15" customHeight="1" x14ac:dyDescent="0.25"/>
    <row r="407" spans="1:1" x14ac:dyDescent="0.25">
      <c r="A407" s="39" t="s">
        <v>167</v>
      </c>
    </row>
    <row r="445" spans="1:1" x14ac:dyDescent="0.25">
      <c r="A445" s="39" t="s">
        <v>67</v>
      </c>
    </row>
  </sheetData>
  <mergeCells count="578">
    <mergeCell ref="B350:H350"/>
    <mergeCell ref="L301:M301"/>
    <mergeCell ref="L302:M302"/>
    <mergeCell ref="L303:M303"/>
    <mergeCell ref="L304:M304"/>
    <mergeCell ref="L305:M305"/>
    <mergeCell ref="C303:F304"/>
    <mergeCell ref="L295:M295"/>
    <mergeCell ref="L296:M296"/>
    <mergeCell ref="L297:M297"/>
    <mergeCell ref="L298:M298"/>
    <mergeCell ref="L299:M299"/>
    <mergeCell ref="E133:F133"/>
    <mergeCell ref="G190:H213"/>
    <mergeCell ref="A218:H218"/>
    <mergeCell ref="A217:H217"/>
    <mergeCell ref="G133:H133"/>
    <mergeCell ref="A134:B134"/>
    <mergeCell ref="C134:D134"/>
    <mergeCell ref="E134:F134"/>
    <mergeCell ref="B351:H351"/>
    <mergeCell ref="G134:H134"/>
    <mergeCell ref="B348:H348"/>
    <mergeCell ref="A300:H300"/>
    <mergeCell ref="G301:H305"/>
    <mergeCell ref="A288:H288"/>
    <mergeCell ref="A294:H294"/>
    <mergeCell ref="G295:H299"/>
    <mergeCell ref="A243:H243"/>
    <mergeCell ref="G244:H248"/>
    <mergeCell ref="A269:H269"/>
    <mergeCell ref="G270:H273"/>
    <mergeCell ref="A237:H237"/>
    <mergeCell ref="G238:H242"/>
    <mergeCell ref="A219:H219"/>
    <mergeCell ref="A274:H274"/>
    <mergeCell ref="A275:H275"/>
    <mergeCell ref="A276:H276"/>
    <mergeCell ref="G277:H281"/>
    <mergeCell ref="G289:H293"/>
    <mergeCell ref="L289:M289"/>
    <mergeCell ref="L290:M290"/>
    <mergeCell ref="L291:M291"/>
    <mergeCell ref="L292:M292"/>
    <mergeCell ref="L293:M293"/>
    <mergeCell ref="C289:F290"/>
    <mergeCell ref="A282:H282"/>
    <mergeCell ref="G283:H287"/>
    <mergeCell ref="L283:M283"/>
    <mergeCell ref="L284:M284"/>
    <mergeCell ref="L285:M285"/>
    <mergeCell ref="L286:M286"/>
    <mergeCell ref="L287:M287"/>
    <mergeCell ref="L277:M277"/>
    <mergeCell ref="L278:M278"/>
    <mergeCell ref="L242:M242"/>
    <mergeCell ref="A264:H264"/>
    <mergeCell ref="G265:H268"/>
    <mergeCell ref="L265:M265"/>
    <mergeCell ref="L266:M266"/>
    <mergeCell ref="L267:M267"/>
    <mergeCell ref="L268:M268"/>
    <mergeCell ref="L270:M270"/>
    <mergeCell ref="L271:M271"/>
    <mergeCell ref="L244:M244"/>
    <mergeCell ref="L245:M245"/>
    <mergeCell ref="L246:M246"/>
    <mergeCell ref="L247:M247"/>
    <mergeCell ref="L248:M248"/>
    <mergeCell ref="L272:M272"/>
    <mergeCell ref="L273:M273"/>
    <mergeCell ref="L279:M279"/>
    <mergeCell ref="L280:M280"/>
    <mergeCell ref="L281:M281"/>
    <mergeCell ref="C234:F234"/>
    <mergeCell ref="A259:H259"/>
    <mergeCell ref="G260:H263"/>
    <mergeCell ref="L260:M260"/>
    <mergeCell ref="L261:M261"/>
    <mergeCell ref="L262:M262"/>
    <mergeCell ref="L263:M263"/>
    <mergeCell ref="C262:F263"/>
    <mergeCell ref="L258:M258"/>
    <mergeCell ref="G255:H258"/>
    <mergeCell ref="A254:H254"/>
    <mergeCell ref="L255:M255"/>
    <mergeCell ref="L256:M256"/>
    <mergeCell ref="L257:M257"/>
    <mergeCell ref="G232:H236"/>
    <mergeCell ref="L232:M232"/>
    <mergeCell ref="L233:M233"/>
    <mergeCell ref="L238:M238"/>
    <mergeCell ref="L239:M239"/>
    <mergeCell ref="L240:M240"/>
    <mergeCell ref="L241:M241"/>
    <mergeCell ref="L311:M311"/>
    <mergeCell ref="A39:B39"/>
    <mergeCell ref="C39:H39"/>
    <mergeCell ref="B343:H343"/>
    <mergeCell ref="A48:B48"/>
    <mergeCell ref="C48:H48"/>
    <mergeCell ref="B341:H341"/>
    <mergeCell ref="G90:H99"/>
    <mergeCell ref="A91:B91"/>
    <mergeCell ref="A92:B92"/>
    <mergeCell ref="A93:B93"/>
    <mergeCell ref="F102:H102"/>
    <mergeCell ref="A102:E102"/>
    <mergeCell ref="G319:H319"/>
    <mergeCell ref="G315:H315"/>
    <mergeCell ref="G312:H312"/>
    <mergeCell ref="D138:D139"/>
    <mergeCell ref="A104:E104"/>
    <mergeCell ref="A313:B313"/>
    <mergeCell ref="A314:B314"/>
    <mergeCell ref="A111:E111"/>
    <mergeCell ref="G128:H128"/>
    <mergeCell ref="A118:B118"/>
    <mergeCell ref="L234:M234"/>
    <mergeCell ref="A317:H317"/>
    <mergeCell ref="A310:B310"/>
    <mergeCell ref="G320:H320"/>
    <mergeCell ref="G318:H318"/>
    <mergeCell ref="A325:B325"/>
    <mergeCell ref="A326:B326"/>
    <mergeCell ref="A315:B315"/>
    <mergeCell ref="G316:H316"/>
    <mergeCell ref="G322:H322"/>
    <mergeCell ref="G321:H321"/>
    <mergeCell ref="G313:H313"/>
    <mergeCell ref="L310:M310"/>
    <mergeCell ref="G307:H307"/>
    <mergeCell ref="L307:M307"/>
    <mergeCell ref="A308:B308"/>
    <mergeCell ref="G308:H308"/>
    <mergeCell ref="A307:B307"/>
    <mergeCell ref="A214:H214"/>
    <mergeCell ref="L146:M146"/>
    <mergeCell ref="L147:M147"/>
    <mergeCell ref="L148:M148"/>
    <mergeCell ref="L149:M149"/>
    <mergeCell ref="B339:H339"/>
    <mergeCell ref="B340:H340"/>
    <mergeCell ref="G330:H330"/>
    <mergeCell ref="G328:H328"/>
    <mergeCell ref="A335:H335"/>
    <mergeCell ref="A327:B327"/>
    <mergeCell ref="A328:B328"/>
    <mergeCell ref="G326:H326"/>
    <mergeCell ref="A323:H323"/>
    <mergeCell ref="B337:H337"/>
    <mergeCell ref="G331:H331"/>
    <mergeCell ref="A329:H329"/>
    <mergeCell ref="A330:B330"/>
    <mergeCell ref="A331:B331"/>
    <mergeCell ref="A334:B334"/>
    <mergeCell ref="G334:H334"/>
    <mergeCell ref="A333:B333"/>
    <mergeCell ref="G333:H333"/>
    <mergeCell ref="B336:H336"/>
    <mergeCell ref="A332:B332"/>
    <mergeCell ref="G332:H332"/>
    <mergeCell ref="L156:M156"/>
    <mergeCell ref="L157:M157"/>
    <mergeCell ref="L158:M158"/>
    <mergeCell ref="L153:M153"/>
    <mergeCell ref="L154:M154"/>
    <mergeCell ref="L155:M155"/>
    <mergeCell ref="L150:M150"/>
    <mergeCell ref="L308:M308"/>
    <mergeCell ref="A309:B309"/>
    <mergeCell ref="G309:H309"/>
    <mergeCell ref="L309:M309"/>
    <mergeCell ref="L235:M235"/>
    <mergeCell ref="L236:M236"/>
    <mergeCell ref="L151:M151"/>
    <mergeCell ref="L152:M152"/>
    <mergeCell ref="L165:M165"/>
    <mergeCell ref="L166:M166"/>
    <mergeCell ref="L167:M167"/>
    <mergeCell ref="L162:M162"/>
    <mergeCell ref="L163:M163"/>
    <mergeCell ref="L164:M164"/>
    <mergeCell ref="L159:M159"/>
    <mergeCell ref="L160:M160"/>
    <mergeCell ref="L161:M161"/>
    <mergeCell ref="L145:M145"/>
    <mergeCell ref="L144:M144"/>
    <mergeCell ref="L143:M143"/>
    <mergeCell ref="L142:M142"/>
    <mergeCell ref="A83:B83"/>
    <mergeCell ref="C125:D125"/>
    <mergeCell ref="E125:F125"/>
    <mergeCell ref="G125:H125"/>
    <mergeCell ref="F107:H107"/>
    <mergeCell ref="A101:E101"/>
    <mergeCell ref="A141:H141"/>
    <mergeCell ref="E138:E139"/>
    <mergeCell ref="G138:H139"/>
    <mergeCell ref="A90:B90"/>
    <mergeCell ref="E126:F126"/>
    <mergeCell ref="G126:H126"/>
    <mergeCell ref="C116:D116"/>
    <mergeCell ref="E116:F116"/>
    <mergeCell ref="E122:F122"/>
    <mergeCell ref="G122:H122"/>
    <mergeCell ref="C117:D117"/>
    <mergeCell ref="E117:F117"/>
    <mergeCell ref="G117:H117"/>
    <mergeCell ref="A129:H129"/>
    <mergeCell ref="A89:B89"/>
    <mergeCell ref="E46:H46"/>
    <mergeCell ref="A88:B88"/>
    <mergeCell ref="C88:H88"/>
    <mergeCell ref="A44:D44"/>
    <mergeCell ref="A38:B38"/>
    <mergeCell ref="C38:H38"/>
    <mergeCell ref="A45:D45"/>
    <mergeCell ref="A46:D46"/>
    <mergeCell ref="A47:H47"/>
    <mergeCell ref="A53:B54"/>
    <mergeCell ref="C53:E53"/>
    <mergeCell ref="G53:H53"/>
    <mergeCell ref="C54:E54"/>
    <mergeCell ref="G54:H54"/>
    <mergeCell ref="E89:F89"/>
    <mergeCell ref="G89:H89"/>
    <mergeCell ref="A82:B82"/>
    <mergeCell ref="A75:B75"/>
    <mergeCell ref="A78:B78"/>
    <mergeCell ref="A74:B74"/>
    <mergeCell ref="A72:B72"/>
    <mergeCell ref="C72:H72"/>
    <mergeCell ref="A80:B80"/>
    <mergeCell ref="A37:H37"/>
    <mergeCell ref="A36:B36"/>
    <mergeCell ref="C36:E36"/>
    <mergeCell ref="A41:D41"/>
    <mergeCell ref="E41:H41"/>
    <mergeCell ref="A40:H40"/>
    <mergeCell ref="A65:C65"/>
    <mergeCell ref="A66:C66"/>
    <mergeCell ref="D65:H65"/>
    <mergeCell ref="F36:H36"/>
    <mergeCell ref="C51:E51"/>
    <mergeCell ref="A62:C64"/>
    <mergeCell ref="D62:H62"/>
    <mergeCell ref="D63:H63"/>
    <mergeCell ref="C50:E50"/>
    <mergeCell ref="D66:H66"/>
    <mergeCell ref="A43:D43"/>
    <mergeCell ref="E43:H43"/>
    <mergeCell ref="E44:H44"/>
    <mergeCell ref="E45:H45"/>
    <mergeCell ref="D61:H61"/>
    <mergeCell ref="A61:C61"/>
    <mergeCell ref="G50:H50"/>
    <mergeCell ref="A51:B52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E13:H13"/>
    <mergeCell ref="A14:D14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360:H363"/>
    <mergeCell ref="A359:B359"/>
    <mergeCell ref="E359:F359"/>
    <mergeCell ref="C359:D359"/>
    <mergeCell ref="G359:H359"/>
    <mergeCell ref="A114:H114"/>
    <mergeCell ref="A112:E112"/>
    <mergeCell ref="F112:H112"/>
    <mergeCell ref="A113:E113"/>
    <mergeCell ref="F113:H113"/>
    <mergeCell ref="A311:H311"/>
    <mergeCell ref="A125:B125"/>
    <mergeCell ref="A320:B320"/>
    <mergeCell ref="A355:H355"/>
    <mergeCell ref="A123:H123"/>
    <mergeCell ref="A358:H358"/>
    <mergeCell ref="A356:H356"/>
    <mergeCell ref="A352:H352"/>
    <mergeCell ref="G124:H124"/>
    <mergeCell ref="G324:H324"/>
    <mergeCell ref="A322:B322"/>
    <mergeCell ref="C138:C139"/>
    <mergeCell ref="B215:B216"/>
    <mergeCell ref="A316:B316"/>
    <mergeCell ref="A106:E106"/>
    <mergeCell ref="F106:H106"/>
    <mergeCell ref="A107:E107"/>
    <mergeCell ref="A109:E109"/>
    <mergeCell ref="F103:H103"/>
    <mergeCell ref="A108:E108"/>
    <mergeCell ref="E90:F99"/>
    <mergeCell ref="A97:B97"/>
    <mergeCell ref="A98:B98"/>
    <mergeCell ref="A103:E103"/>
    <mergeCell ref="A100:E100"/>
    <mergeCell ref="F104:H104"/>
    <mergeCell ref="F100:H100"/>
    <mergeCell ref="F105:H105"/>
    <mergeCell ref="A105:E105"/>
    <mergeCell ref="A99:B99"/>
    <mergeCell ref="B138:B139"/>
    <mergeCell ref="A138:A139"/>
    <mergeCell ref="C215:C216"/>
    <mergeCell ref="A128:B128"/>
    <mergeCell ref="E128:F128"/>
    <mergeCell ref="C118:D118"/>
    <mergeCell ref="E118:F118"/>
    <mergeCell ref="G118:H118"/>
    <mergeCell ref="A126:B126"/>
    <mergeCell ref="C126:D126"/>
    <mergeCell ref="A130:B130"/>
    <mergeCell ref="C130:D130"/>
    <mergeCell ref="E130:F130"/>
    <mergeCell ref="G130:H130"/>
    <mergeCell ref="A131:B131"/>
    <mergeCell ref="C131:D131"/>
    <mergeCell ref="E131:F131"/>
    <mergeCell ref="G131:H131"/>
    <mergeCell ref="A132:B132"/>
    <mergeCell ref="C132:D132"/>
    <mergeCell ref="E132:F132"/>
    <mergeCell ref="G132:H132"/>
    <mergeCell ref="A133:B133"/>
    <mergeCell ref="C133:D133"/>
    <mergeCell ref="A357:H357"/>
    <mergeCell ref="A354:H354"/>
    <mergeCell ref="G327:H327"/>
    <mergeCell ref="A312:B312"/>
    <mergeCell ref="A124:B124"/>
    <mergeCell ref="D215:D216"/>
    <mergeCell ref="E215:E216"/>
    <mergeCell ref="G215:H216"/>
    <mergeCell ref="A94:B94"/>
    <mergeCell ref="A95:B95"/>
    <mergeCell ref="A96:B96"/>
    <mergeCell ref="F101:H101"/>
    <mergeCell ref="G116:H116"/>
    <mergeCell ref="F108:H108"/>
    <mergeCell ref="C115:D115"/>
    <mergeCell ref="C128:D128"/>
    <mergeCell ref="A306:H306"/>
    <mergeCell ref="A321:B321"/>
    <mergeCell ref="A318:B318"/>
    <mergeCell ref="G310:H310"/>
    <mergeCell ref="G314:H314"/>
    <mergeCell ref="A353:H353"/>
    <mergeCell ref="B344:H344"/>
    <mergeCell ref="B342:H342"/>
    <mergeCell ref="B347:H347"/>
    <mergeCell ref="F34:H34"/>
    <mergeCell ref="A135:B135"/>
    <mergeCell ref="C135:D135"/>
    <mergeCell ref="E135:F135"/>
    <mergeCell ref="G135:H135"/>
    <mergeCell ref="E42:H42"/>
    <mergeCell ref="A42:D42"/>
    <mergeCell ref="A86:B86"/>
    <mergeCell ref="C86:H86"/>
    <mergeCell ref="A81:B81"/>
    <mergeCell ref="A49:B49"/>
    <mergeCell ref="C49:E49"/>
    <mergeCell ref="C52:E52"/>
    <mergeCell ref="G52:H52"/>
    <mergeCell ref="G49:H49"/>
    <mergeCell ref="G51:H51"/>
    <mergeCell ref="A50:B50"/>
    <mergeCell ref="A58:H58"/>
    <mergeCell ref="A59:C59"/>
    <mergeCell ref="A60:C60"/>
    <mergeCell ref="D60:H60"/>
    <mergeCell ref="G57:H57"/>
    <mergeCell ref="D64:H64"/>
    <mergeCell ref="I14:P14"/>
    <mergeCell ref="G325:H325"/>
    <mergeCell ref="F111:H111"/>
    <mergeCell ref="F109:H109"/>
    <mergeCell ref="A319:B319"/>
    <mergeCell ref="A137:H137"/>
    <mergeCell ref="G115:H115"/>
    <mergeCell ref="A110:E110"/>
    <mergeCell ref="A57:B57"/>
    <mergeCell ref="C57:E57"/>
    <mergeCell ref="D59:H59"/>
    <mergeCell ref="F110:H110"/>
    <mergeCell ref="E115:F115"/>
    <mergeCell ref="A115:B115"/>
    <mergeCell ref="C124:D124"/>
    <mergeCell ref="D69:H69"/>
    <mergeCell ref="A70:C70"/>
    <mergeCell ref="E124:F124"/>
    <mergeCell ref="A136:H136"/>
    <mergeCell ref="A324:B324"/>
    <mergeCell ref="A215:A216"/>
    <mergeCell ref="D70:H70"/>
    <mergeCell ref="A76:B76"/>
    <mergeCell ref="G75:H75"/>
    <mergeCell ref="A67:C67"/>
    <mergeCell ref="D67:H67"/>
    <mergeCell ref="C74:H74"/>
    <mergeCell ref="A77:B77"/>
    <mergeCell ref="A79:B79"/>
    <mergeCell ref="E75:F75"/>
    <mergeCell ref="A68:C68"/>
    <mergeCell ref="D68:H68"/>
    <mergeCell ref="A71:C71"/>
    <mergeCell ref="E76:F85"/>
    <mergeCell ref="G76:H85"/>
    <mergeCell ref="A84:B84"/>
    <mergeCell ref="A85:B85"/>
    <mergeCell ref="D71:H71"/>
    <mergeCell ref="A69:C69"/>
    <mergeCell ref="L179:M179"/>
    <mergeCell ref="L174:M174"/>
    <mergeCell ref="L175:M175"/>
    <mergeCell ref="L176:M176"/>
    <mergeCell ref="L171:M171"/>
    <mergeCell ref="L172:M172"/>
    <mergeCell ref="L173:M173"/>
    <mergeCell ref="L168:M168"/>
    <mergeCell ref="L169:M169"/>
    <mergeCell ref="L170:M170"/>
    <mergeCell ref="L205:M205"/>
    <mergeCell ref="L206:M206"/>
    <mergeCell ref="A140:H140"/>
    <mergeCell ref="A189:H189"/>
    <mergeCell ref="L191:M191"/>
    <mergeCell ref="L192:M192"/>
    <mergeCell ref="L193:M193"/>
    <mergeCell ref="L194:M194"/>
    <mergeCell ref="L195:M195"/>
    <mergeCell ref="L196:M196"/>
    <mergeCell ref="L197:M197"/>
    <mergeCell ref="L190:M190"/>
    <mergeCell ref="L186:M186"/>
    <mergeCell ref="L187:M187"/>
    <mergeCell ref="L188:M188"/>
    <mergeCell ref="G142:H188"/>
    <mergeCell ref="L183:M183"/>
    <mergeCell ref="L184:M184"/>
    <mergeCell ref="L185:M185"/>
    <mergeCell ref="L180:M180"/>
    <mergeCell ref="L181:M181"/>
    <mergeCell ref="L182:M182"/>
    <mergeCell ref="L177:M177"/>
    <mergeCell ref="L178:M178"/>
    <mergeCell ref="L220:M220"/>
    <mergeCell ref="L221:M221"/>
    <mergeCell ref="L222:M222"/>
    <mergeCell ref="L207:M207"/>
    <mergeCell ref="L208:M208"/>
    <mergeCell ref="L209:M209"/>
    <mergeCell ref="L210:M210"/>
    <mergeCell ref="L211:M211"/>
    <mergeCell ref="L212:M212"/>
    <mergeCell ref="L213:M213"/>
    <mergeCell ref="L198:M198"/>
    <mergeCell ref="L199:M199"/>
    <mergeCell ref="L200:M200"/>
    <mergeCell ref="L201:M201"/>
    <mergeCell ref="L202:M202"/>
    <mergeCell ref="L203:M203"/>
    <mergeCell ref="L204:M204"/>
    <mergeCell ref="A251:H251"/>
    <mergeCell ref="G252:H253"/>
    <mergeCell ref="L252:M252"/>
    <mergeCell ref="L253:M253"/>
    <mergeCell ref="L223:M223"/>
    <mergeCell ref="L224:M224"/>
    <mergeCell ref="G220:H224"/>
    <mergeCell ref="A249:H249"/>
    <mergeCell ref="A250:H250"/>
    <mergeCell ref="A225:H225"/>
    <mergeCell ref="G226:H230"/>
    <mergeCell ref="L226:M226"/>
    <mergeCell ref="L227:M227"/>
    <mergeCell ref="L228:M228"/>
    <mergeCell ref="L229:M229"/>
    <mergeCell ref="L230:M230"/>
    <mergeCell ref="A231:H231"/>
    <mergeCell ref="I102:M102"/>
    <mergeCell ref="B349:H349"/>
    <mergeCell ref="B346:H346"/>
    <mergeCell ref="B345:H345"/>
    <mergeCell ref="A55:B56"/>
    <mergeCell ref="C55:E55"/>
    <mergeCell ref="G55:H55"/>
    <mergeCell ref="C56:E56"/>
    <mergeCell ref="G56:H56"/>
    <mergeCell ref="A127:B127"/>
    <mergeCell ref="C127:D127"/>
    <mergeCell ref="E127:F127"/>
    <mergeCell ref="G127:H127"/>
    <mergeCell ref="A119:H119"/>
    <mergeCell ref="A120:B120"/>
    <mergeCell ref="C120:D120"/>
    <mergeCell ref="E120:F120"/>
    <mergeCell ref="G120:H120"/>
    <mergeCell ref="C121:D121"/>
    <mergeCell ref="E121:F121"/>
    <mergeCell ref="G121:H121"/>
    <mergeCell ref="A122:B122"/>
    <mergeCell ref="C122:D122"/>
    <mergeCell ref="B338:H338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38:E139">
      <formula1>"Attached Loft area,Attached Terrace area,Attached Mezzanine area"</formula1>
    </dataValidation>
    <dataValidation type="list" allowBlank="1" showInputMessage="1" showErrorMessage="1" sqref="F139 F216">
      <formula1>"45%,50%,55%,60%"</formula1>
    </dataValidation>
    <dataValidation type="list" allowBlank="1" showInputMessage="1" showErrorMessage="1" sqref="G359:H359">
      <formula1>"Shruti Tathare,Kunal Kadam,Pranita Mhatre,Shruti Fule,Pooja Kawale,Mansee Mohite,Anjali Kamble, Hitakshi Mhatre, Sachin Sawant"</formula1>
    </dataValidation>
    <dataValidation type="list" allowBlank="1" showInputMessage="1" showErrorMessage="1" sqref="F100:H100">
      <formula1>"On Saleable Area,On Builtup Area,On Carpet Area,On Plot Area"</formula1>
    </dataValidation>
    <dataValidation type="list" allowBlank="1" showInputMessage="1" showErrorMessage="1" sqref="F112:H112">
      <formula1>"100000,150000,200000,250000,300000,350000,400000,500000,600000,700000,800000,900000,1000000,1200000,1400000,1500000"</formula1>
    </dataValidation>
    <dataValidation type="list" allowBlank="1" showInputMessage="1" showErrorMessage="1" sqref="F138 F215">
      <formula1>"Saleable area Loading :,Builder Saleable area"</formula1>
    </dataValidation>
    <dataValidation type="list" allowBlank="1" showInputMessage="1" showErrorMessage="1" sqref="B138:B139">
      <formula1>"Shop No. (Sale Plan),Sale / Rehab,Sale / Mhada"</formula1>
    </dataValidation>
    <dataValidation type="list" allowBlank="1" showInputMessage="1" showErrorMessage="1" sqref="B215:B216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363" max="16383" man="1"/>
    <brk id="406" max="16383" man="1"/>
    <brk id="444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3" zoomScale="55" zoomScaleNormal="55" workbookViewId="0">
      <selection activeCell="B37" sqref="B37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33" t="s">
        <v>105</v>
      </c>
      <c r="C3" s="233"/>
      <c r="D3" s="233"/>
      <c r="E3" s="233"/>
      <c r="F3" s="233"/>
      <c r="G3" s="233"/>
      <c r="H3" s="233"/>
    </row>
    <row r="4" spans="1:9" x14ac:dyDescent="0.25">
      <c r="A4" s="2"/>
      <c r="B4" s="3" t="s">
        <v>106</v>
      </c>
      <c r="C4" s="3" t="s">
        <v>107</v>
      </c>
      <c r="D4" s="3" t="s">
        <v>69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2"/>
      <c r="C4" s="52" t="s">
        <v>12</v>
      </c>
      <c r="D4" s="53" t="s">
        <v>183</v>
      </c>
      <c r="E4" s="53" t="s">
        <v>193</v>
      </c>
      <c r="F4" s="53" t="s">
        <v>178</v>
      </c>
      <c r="G4" s="53" t="s">
        <v>198</v>
      </c>
      <c r="H4" s="53" t="s">
        <v>216</v>
      </c>
      <c r="J4" t="s">
        <v>198</v>
      </c>
      <c r="K4" t="s">
        <v>214</v>
      </c>
    </row>
    <row r="5" spans="2:11" x14ac:dyDescent="0.25">
      <c r="B5" s="52"/>
      <c r="C5" s="52"/>
      <c r="D5" s="53" t="s">
        <v>184</v>
      </c>
      <c r="E5" s="53" t="s">
        <v>191</v>
      </c>
      <c r="F5" s="53" t="s">
        <v>213</v>
      </c>
      <c r="G5" s="53" t="s">
        <v>199</v>
      </c>
      <c r="H5" s="53" t="s">
        <v>217</v>
      </c>
    </row>
    <row r="6" spans="2:11" x14ac:dyDescent="0.25">
      <c r="B6" s="52"/>
      <c r="C6" s="52"/>
      <c r="D6" s="53" t="s">
        <v>185</v>
      </c>
      <c r="E6" s="53" t="s">
        <v>192</v>
      </c>
      <c r="F6" s="53" t="s">
        <v>214</v>
      </c>
      <c r="G6" s="53" t="s">
        <v>200</v>
      </c>
      <c r="H6" s="53" t="s">
        <v>230</v>
      </c>
    </row>
    <row r="7" spans="2:11" x14ac:dyDescent="0.25">
      <c r="B7" s="52"/>
      <c r="C7" s="52"/>
      <c r="D7" s="53" t="s">
        <v>186</v>
      </c>
      <c r="E7" s="53" t="s">
        <v>194</v>
      </c>
      <c r="F7" s="53" t="s">
        <v>215</v>
      </c>
      <c r="G7" s="53" t="s">
        <v>201</v>
      </c>
      <c r="H7" s="53" t="s">
        <v>218</v>
      </c>
    </row>
    <row r="8" spans="2:11" x14ac:dyDescent="0.25">
      <c r="B8" s="52"/>
      <c r="C8" s="52"/>
      <c r="D8" s="53" t="s">
        <v>187</v>
      </c>
      <c r="E8" s="53" t="s">
        <v>195</v>
      </c>
      <c r="F8" s="53"/>
      <c r="G8" s="53" t="s">
        <v>202</v>
      </c>
      <c r="H8" s="53" t="s">
        <v>219</v>
      </c>
    </row>
    <row r="9" spans="2:11" x14ac:dyDescent="0.25">
      <c r="B9" s="52"/>
      <c r="C9" s="52"/>
      <c r="D9" s="53" t="s">
        <v>188</v>
      </c>
      <c r="E9" s="53" t="s">
        <v>193</v>
      </c>
      <c r="F9" s="53"/>
      <c r="G9" s="53" t="s">
        <v>203</v>
      </c>
      <c r="H9" s="53" t="s">
        <v>220</v>
      </c>
    </row>
    <row r="10" spans="2:11" x14ac:dyDescent="0.25">
      <c r="B10" s="52"/>
      <c r="C10" s="52"/>
      <c r="D10" s="53" t="s">
        <v>189</v>
      </c>
      <c r="E10" s="53" t="s">
        <v>196</v>
      </c>
      <c r="F10" s="53"/>
      <c r="G10" s="53" t="s">
        <v>204</v>
      </c>
      <c r="H10" s="53" t="s">
        <v>221</v>
      </c>
    </row>
    <row r="11" spans="2:11" x14ac:dyDescent="0.25">
      <c r="B11" s="52"/>
      <c r="C11" s="52"/>
      <c r="D11" s="53" t="s">
        <v>190</v>
      </c>
      <c r="E11" s="53" t="s">
        <v>197</v>
      </c>
      <c r="F11" s="53"/>
      <c r="G11" s="53" t="s">
        <v>205</v>
      </c>
      <c r="H11" s="53" t="s">
        <v>222</v>
      </c>
    </row>
    <row r="12" spans="2:11" x14ac:dyDescent="0.25">
      <c r="B12" s="52"/>
      <c r="C12" s="52"/>
      <c r="D12" s="53"/>
      <c r="E12" s="53"/>
      <c r="F12" s="53"/>
      <c r="G12" s="53" t="s">
        <v>206</v>
      </c>
      <c r="H12" s="53" t="s">
        <v>223</v>
      </c>
    </row>
    <row r="13" spans="2:11" x14ac:dyDescent="0.25">
      <c r="B13" s="52"/>
      <c r="C13" s="52"/>
      <c r="D13" s="53"/>
      <c r="E13" s="53"/>
      <c r="F13" s="53"/>
      <c r="G13" s="53" t="s">
        <v>207</v>
      </c>
      <c r="H13" s="53" t="s">
        <v>224</v>
      </c>
    </row>
    <row r="14" spans="2:11" x14ac:dyDescent="0.25">
      <c r="B14" s="52"/>
      <c r="C14" s="52"/>
      <c r="D14" s="53"/>
      <c r="E14" s="53"/>
      <c r="F14" s="53"/>
      <c r="G14" s="53" t="s">
        <v>208</v>
      </c>
      <c r="H14" s="53" t="s">
        <v>225</v>
      </c>
    </row>
    <row r="15" spans="2:11" x14ac:dyDescent="0.25">
      <c r="B15" s="52"/>
      <c r="C15" s="52"/>
      <c r="D15" s="53"/>
      <c r="E15" s="53"/>
      <c r="F15" s="53"/>
      <c r="G15" s="53" t="s">
        <v>209</v>
      </c>
      <c r="H15" s="53" t="s">
        <v>226</v>
      </c>
    </row>
    <row r="16" spans="2:11" x14ac:dyDescent="0.25">
      <c r="B16" s="52"/>
      <c r="C16" s="52"/>
      <c r="D16" s="53"/>
      <c r="E16" s="53"/>
      <c r="F16" s="53"/>
      <c r="G16" s="53" t="s">
        <v>210</v>
      </c>
      <c r="H16" s="53" t="s">
        <v>227</v>
      </c>
    </row>
    <row r="17" spans="2:8" x14ac:dyDescent="0.25">
      <c r="B17" s="52"/>
      <c r="C17" s="52"/>
      <c r="D17" s="53"/>
      <c r="E17" s="53"/>
      <c r="F17" s="53"/>
      <c r="G17" s="53" t="s">
        <v>211</v>
      </c>
      <c r="H17" s="53" t="s">
        <v>228</v>
      </c>
    </row>
    <row r="18" spans="2:8" x14ac:dyDescent="0.25">
      <c r="B18" s="52"/>
      <c r="C18" s="52"/>
      <c r="D18" s="53"/>
      <c r="E18" s="53"/>
      <c r="F18" s="53"/>
      <c r="G18" s="53" t="s">
        <v>212</v>
      </c>
      <c r="H18" s="53" t="s">
        <v>229</v>
      </c>
    </row>
    <row r="24" spans="2:8" x14ac:dyDescent="0.25">
      <c r="C24" t="s">
        <v>175</v>
      </c>
    </row>
    <row r="25" spans="2:8" x14ac:dyDescent="0.25">
      <c r="C25" t="s">
        <v>231</v>
      </c>
    </row>
    <row r="26" spans="2:8" x14ac:dyDescent="0.25">
      <c r="C26" t="s">
        <v>232</v>
      </c>
    </row>
    <row r="27" spans="2:8" x14ac:dyDescent="0.25">
      <c r="C27" t="s">
        <v>233</v>
      </c>
    </row>
    <row r="28" spans="2:8" x14ac:dyDescent="0.25">
      <c r="C28" t="s">
        <v>234</v>
      </c>
    </row>
    <row r="29" spans="2:8" x14ac:dyDescent="0.25">
      <c r="C29" t="s">
        <v>235</v>
      </c>
    </row>
    <row r="30" spans="2:8" x14ac:dyDescent="0.25">
      <c r="C30" t="s">
        <v>175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2025-07-11T05:51:33Z</cp:lastPrinted>
  <dcterms:created xsi:type="dcterms:W3CDTF">2019-07-16T09:29:46Z</dcterms:created>
  <dcterms:modified xsi:type="dcterms:W3CDTF">2025-07-11T05:51:35Z</dcterms:modified>
</cp:coreProperties>
</file>