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July 25\Dump\"/>
    </mc:Choice>
  </mc:AlternateContent>
  <bookViews>
    <workbookView xWindow="0" yWindow="0" windowWidth="19200" windowHeight="664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1" i="1" l="1"/>
  <c r="J90" i="1"/>
  <c r="J89" i="1"/>
  <c r="J88" i="1"/>
  <c r="H81" i="1"/>
  <c r="J86" i="1" l="1"/>
  <c r="J87" i="1" s="1"/>
  <c r="J92" i="1" s="1"/>
  <c r="J84" i="1"/>
  <c r="J80" i="1"/>
  <c r="J82" i="1" s="1"/>
  <c r="D92" i="1"/>
  <c r="D90" i="1"/>
  <c r="D88" i="1"/>
  <c r="D86" i="1"/>
  <c r="J83" i="1"/>
  <c r="J85" i="1"/>
  <c r="C84" i="1" s="1"/>
  <c r="D93" i="1"/>
  <c r="D91" i="1"/>
  <c r="D89" i="1"/>
  <c r="D87" i="1"/>
  <c r="I32" i="1"/>
  <c r="J93" i="1" l="1"/>
  <c r="C85" i="1"/>
  <c r="G84" i="1" s="1"/>
  <c r="D84" i="1"/>
  <c r="J105" i="1"/>
  <c r="J104" i="1"/>
  <c r="J103" i="1"/>
  <c r="J102" i="1"/>
  <c r="E84" i="1" l="1"/>
  <c r="D85" i="1"/>
  <c r="I81" i="1" s="1"/>
  <c r="I82" i="1" s="1"/>
  <c r="J81" i="1"/>
  <c r="E207" i="1"/>
  <c r="D207" i="1"/>
  <c r="E206" i="1"/>
  <c r="D206" i="1"/>
  <c r="D208" i="1"/>
  <c r="F208" i="1" s="1"/>
  <c r="D205" i="1"/>
  <c r="F205" i="1" s="1"/>
  <c r="G207" i="1"/>
  <c r="G208" i="1"/>
  <c r="D203" i="1"/>
  <c r="F203" i="1" s="1"/>
  <c r="D202" i="1"/>
  <c r="F202" i="1" s="1"/>
  <c r="D201" i="1"/>
  <c r="F201" i="1" s="1"/>
  <c r="D200" i="1"/>
  <c r="F200" i="1" s="1"/>
  <c r="D198" i="1"/>
  <c r="F198" i="1" s="1"/>
  <c r="D197" i="1"/>
  <c r="F197" i="1" s="1"/>
  <c r="E196" i="1"/>
  <c r="D196" i="1"/>
  <c r="E195" i="1"/>
  <c r="D195" i="1"/>
  <c r="D193" i="1"/>
  <c r="F193" i="1" s="1"/>
  <c r="G205" i="1"/>
  <c r="A205" i="1"/>
  <c r="G206" i="1" s="1"/>
  <c r="G200" i="1"/>
  <c r="G201" i="1" s="1"/>
  <c r="G202" i="1" s="1"/>
  <c r="G203" i="1" s="1"/>
  <c r="I196" i="1"/>
  <c r="G195" i="1"/>
  <c r="G196" i="1" s="1"/>
  <c r="G197" i="1" s="1"/>
  <c r="G198" i="1" s="1"/>
  <c r="A195" i="1"/>
  <c r="A196" i="1" s="1"/>
  <c r="A197" i="1" s="1"/>
  <c r="A198" i="1" s="1"/>
  <c r="G193" i="1"/>
  <c r="I118" i="1"/>
  <c r="D188" i="1"/>
  <c r="D184" i="1"/>
  <c r="D182" i="1"/>
  <c r="F182" i="1" s="1"/>
  <c r="D181" i="1"/>
  <c r="F181" i="1" s="1"/>
  <c r="D180" i="1"/>
  <c r="F180" i="1" s="1"/>
  <c r="D179" i="1"/>
  <c r="F179" i="1" s="1"/>
  <c r="D178" i="1"/>
  <c r="F178" i="1" s="1"/>
  <c r="D177" i="1"/>
  <c r="F177" i="1" s="1"/>
  <c r="D176" i="1"/>
  <c r="F176" i="1" s="1"/>
  <c r="E162" i="1"/>
  <c r="D162" i="1"/>
  <c r="D161" i="1"/>
  <c r="F161" i="1" s="1"/>
  <c r="D160" i="1"/>
  <c r="F160" i="1" s="1"/>
  <c r="D159" i="1"/>
  <c r="F159" i="1" s="1"/>
  <c r="I160" i="1"/>
  <c r="G159" i="1"/>
  <c r="G160" i="1" s="1"/>
  <c r="G161" i="1" s="1"/>
  <c r="G162" i="1" s="1"/>
  <c r="A159" i="1"/>
  <c r="A160" i="1" s="1"/>
  <c r="A161" i="1" s="1"/>
  <c r="A162" i="1" s="1"/>
  <c r="D156" i="1"/>
  <c r="F156" i="1" s="1"/>
  <c r="D155" i="1"/>
  <c r="F155" i="1" s="1"/>
  <c r="D157" i="1"/>
  <c r="F157" i="1" s="1"/>
  <c r="D154" i="1"/>
  <c r="F154" i="1" s="1"/>
  <c r="G154" i="1"/>
  <c r="G155" i="1" s="1"/>
  <c r="G156" i="1" s="1"/>
  <c r="G157" i="1" s="1"/>
  <c r="G176" i="1"/>
  <c r="G177" i="1" s="1"/>
  <c r="G178" i="1" s="1"/>
  <c r="G179" i="1" s="1"/>
  <c r="G180" i="1" s="1"/>
  <c r="G181" i="1" s="1"/>
  <c r="G182" i="1" s="1"/>
  <c r="D174" i="1"/>
  <c r="F174" i="1" s="1"/>
  <c r="D173" i="1"/>
  <c r="F173" i="1" s="1"/>
  <c r="D172" i="1"/>
  <c r="F172" i="1" s="1"/>
  <c r="D171" i="1"/>
  <c r="F171" i="1" s="1"/>
  <c r="D170" i="1"/>
  <c r="F170" i="1" s="1"/>
  <c r="D169" i="1"/>
  <c r="F169" i="1" s="1"/>
  <c r="D168" i="1"/>
  <c r="F168" i="1" s="1"/>
  <c r="I169" i="1"/>
  <c r="G168" i="1"/>
  <c r="G169" i="1" s="1"/>
  <c r="G170" i="1" s="1"/>
  <c r="G171" i="1" s="1"/>
  <c r="G172" i="1" s="1"/>
  <c r="G173" i="1" s="1"/>
  <c r="G174" i="1" s="1"/>
  <c r="A168" i="1"/>
  <c r="A169" i="1" s="1"/>
  <c r="A170" i="1" s="1"/>
  <c r="A171" i="1" s="1"/>
  <c r="A172" i="1" s="1"/>
  <c r="A173" i="1" s="1"/>
  <c r="A174" i="1" s="1"/>
  <c r="D152" i="1"/>
  <c r="F152" i="1" s="1"/>
  <c r="E151" i="1"/>
  <c r="D151" i="1"/>
  <c r="E150" i="1"/>
  <c r="D150" i="1"/>
  <c r="I150" i="1"/>
  <c r="D149" i="1"/>
  <c r="F149" i="1" s="1"/>
  <c r="G149" i="1"/>
  <c r="G150" i="1" s="1"/>
  <c r="G151" i="1" s="1"/>
  <c r="G152" i="1" s="1"/>
  <c r="A149" i="1"/>
  <c r="A150" i="1" s="1"/>
  <c r="A151" i="1" s="1"/>
  <c r="A152" i="1" s="1"/>
  <c r="A176" i="1"/>
  <c r="A154" i="1"/>
  <c r="A200" i="1"/>
  <c r="I80" i="1" l="1"/>
  <c r="C82" i="1" s="1"/>
  <c r="E129" i="1"/>
  <c r="F207" i="1"/>
  <c r="C129" i="1"/>
  <c r="F206" i="1"/>
  <c r="F195" i="1"/>
  <c r="F196" i="1"/>
  <c r="F162" i="1"/>
  <c r="F151" i="1"/>
  <c r="E127" i="1"/>
  <c r="C127" i="1"/>
  <c r="F150" i="1"/>
  <c r="D166" i="1"/>
  <c r="D165" i="1"/>
  <c r="D142" i="1"/>
  <c r="F142" i="1" s="1"/>
  <c r="D141" i="1"/>
  <c r="F141" i="1" s="1"/>
  <c r="D140" i="1"/>
  <c r="D139" i="1"/>
  <c r="D138" i="1"/>
  <c r="I137" i="1"/>
  <c r="D137" i="1"/>
  <c r="G49" i="1"/>
  <c r="A155" i="1"/>
  <c r="A177" i="1"/>
  <c r="A201" i="1"/>
  <c r="G129" i="1" l="1"/>
  <c r="G127" i="1"/>
  <c r="E128" i="1"/>
  <c r="E130" i="1" s="1"/>
  <c r="C128" i="1"/>
  <c r="C130" i="1" s="1"/>
  <c r="C124" i="1"/>
  <c r="E124" i="1"/>
  <c r="C14" i="1"/>
  <c r="A202" i="1"/>
  <c r="A178" i="1"/>
  <c r="A156" i="1"/>
  <c r="E29" i="1" l="1"/>
  <c r="A203" i="1"/>
  <c r="A179" i="1"/>
  <c r="A157" i="1"/>
  <c r="F166" i="1" l="1"/>
  <c r="F165" i="1"/>
  <c r="A166" i="1"/>
  <c r="G165" i="1"/>
  <c r="G166" i="1" s="1"/>
  <c r="A180" i="1"/>
  <c r="F121" i="1" l="1"/>
  <c r="A181" i="1"/>
  <c r="F138" i="1" l="1"/>
  <c r="F139" i="1"/>
  <c r="F140" i="1"/>
  <c r="F137" i="1"/>
  <c r="A182" i="1"/>
  <c r="G124" i="1" l="1"/>
  <c r="B211" i="1"/>
  <c r="F188" i="1" l="1"/>
  <c r="F184" i="1"/>
  <c r="G128" i="1" l="1"/>
  <c r="G130" i="1" s="1"/>
  <c r="B21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34" i="1"/>
  <c r="G184" i="1"/>
  <c r="G185" i="1" s="1"/>
  <c r="G186" i="1" s="1"/>
  <c r="G187" i="1" s="1"/>
  <c r="G188" i="1" s="1"/>
  <c r="G189" i="1" s="1"/>
  <c r="G190" i="1" s="1"/>
  <c r="A184" i="1"/>
  <c r="A185" i="1" s="1"/>
  <c r="A186" i="1" s="1"/>
  <c r="A187" i="1" s="1"/>
  <c r="A188" i="1" s="1"/>
  <c r="A189" i="1" s="1"/>
  <c r="A190" i="1" s="1"/>
  <c r="A138" i="1"/>
  <c r="A139" i="1" s="1"/>
  <c r="A140" i="1" s="1"/>
  <c r="A141" i="1" s="1"/>
  <c r="A142" i="1" s="1"/>
  <c r="G137" i="1"/>
  <c r="G138" i="1" s="1"/>
  <c r="G139" i="1" s="1"/>
  <c r="G140" i="1" s="1"/>
  <c r="G141" i="1" s="1"/>
  <c r="G142" i="1" s="1"/>
  <c r="J77" i="1"/>
  <c r="J76" i="1"/>
  <c r="J75" i="1"/>
  <c r="J74" i="1"/>
  <c r="C66" i="1"/>
  <c r="D54" i="1"/>
  <c r="C49" i="1"/>
  <c r="E42" i="1"/>
  <c r="E43" i="1" s="1"/>
  <c r="E26" i="1"/>
  <c r="E24" i="1"/>
  <c r="E7" i="1"/>
  <c r="E3" i="1"/>
  <c r="H67" i="1"/>
  <c r="E70" i="1" l="1"/>
  <c r="D60" i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l="1"/>
  <c r="J78" i="1" s="1"/>
  <c r="J79" i="1" s="1"/>
  <c r="D72" i="1"/>
  <c r="J68" i="1"/>
  <c r="D70" i="1"/>
  <c r="J67" i="1" l="1"/>
  <c r="G70" i="1"/>
  <c r="D64" i="1" s="1"/>
  <c r="F65" i="1" s="1"/>
  <c r="D71" i="1"/>
  <c r="I67" i="1" l="1"/>
  <c r="I68" i="1" s="1"/>
  <c r="I66" i="1" s="1"/>
  <c r="C68" i="1" s="1"/>
  <c r="D65" i="1"/>
  <c r="H95" i="1"/>
  <c r="D107" i="1" l="1"/>
  <c r="D101" i="1"/>
  <c r="J100" i="1"/>
  <c r="J101" i="1" s="1"/>
  <c r="J106" i="1" s="1"/>
  <c r="J107" i="1" s="1"/>
  <c r="D106" i="1"/>
  <c r="D100" i="1"/>
  <c r="J99" i="1"/>
  <c r="C98" i="1" s="1"/>
  <c r="D105" i="1"/>
  <c r="D99" i="1"/>
  <c r="J98" i="1"/>
  <c r="J94" i="1"/>
  <c r="J96" i="1" s="1"/>
  <c r="D103" i="1"/>
  <c r="J97" i="1"/>
  <c r="D104" i="1"/>
  <c r="E98" i="1"/>
  <c r="D102" i="1"/>
  <c r="G98" i="1" l="1"/>
  <c r="D98" i="1"/>
  <c r="I95" i="1" s="1"/>
  <c r="I96" i="1" s="1"/>
  <c r="J95" i="1" l="1"/>
  <c r="I94" i="1" s="1"/>
  <c r="C96" i="1" s="1"/>
</calcChain>
</file>

<file path=xl/sharedStrings.xml><?xml version="1.0" encoding="utf-8"?>
<sst xmlns="http://schemas.openxmlformats.org/spreadsheetml/2006/main" count="407" uniqueCount="230">
  <si>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</si>
  <si>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</si>
  <si>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</si>
  <si>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</si>
  <si>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</si>
  <si>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</si>
  <si>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</si>
  <si>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</si>
  <si>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</si>
  <si>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</si>
  <si>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</si>
  <si>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</si>
  <si>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</si>
  <si>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</si>
  <si>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</si>
  <si>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</si>
  <si>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</si>
  <si>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</si>
  <si>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</si>
  <si>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</si>
  <si>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</si>
  <si>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</si>
  <si>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</si>
  <si>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</si>
  <si>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</si>
  <si>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</si>
  <si>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</si>
  <si>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</si>
  <si>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</si>
  <si>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</si>
  <si>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</si>
  <si>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</si>
  <si>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</si>
  <si>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</si>
  <si>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</si>
  <si>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</si>
  <si>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</si>
  <si>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</si>
  <si>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</si>
  <si>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</si>
  <si>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</si>
  <si>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</si>
  <si>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</si>
  <si>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</si>
  <si>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</si>
  <si>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</si>
  <si>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</si>
  <si>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</si>
  <si>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</si>
  <si>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</si>
  <si>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</si>
  <si>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</si>
  <si>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</si>
  <si>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</si>
  <si>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</si>
  <si>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</si>
  <si>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</si>
  <si>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</si>
  <si>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</si>
  <si>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</si>
  <si>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</si>
  <si>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</si>
  <si>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</si>
  <si>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</si>
  <si>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</si>
  <si>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</si>
  <si>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</si>
  <si>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</si>
  <si>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</si>
  <si>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</si>
  <si>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</si>
  <si>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</si>
  <si>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</si>
  <si>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</si>
  <si>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</si>
  <si>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</si>
  <si>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</si>
  <si>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</si>
  <si>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</si>
  <si>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</si>
  <si>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</si>
  <si>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</si>
  <si>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</si>
  <si>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</si>
  <si>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</si>
  <si>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</si>
  <si>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</si>
  <si>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</si>
  <si>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</si>
  <si>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</si>
  <si>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</si>
  <si>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</si>
  <si>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</si>
  <si>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</si>
  <si>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</si>
  <si>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</si>
  <si>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</si>
  <si>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</si>
  <si>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</si>
  <si>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</si>
  <si>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</si>
  <si>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</si>
  <si>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</si>
  <si>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</si>
  <si>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</si>
  <si>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</si>
  <si>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</si>
  <si>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</si>
  <si>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</si>
  <si>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</si>
  <si>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</si>
  <si>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</si>
  <si>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</si>
  <si>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</si>
  <si>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</si>
  <si>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</si>
  <si>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</si>
  <si>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</si>
  <si>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</si>
  <si>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</si>
  <si>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</si>
  <si>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</si>
  <si>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</si>
  <si>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</si>
  <si>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</si>
  <si>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</si>
  <si>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</si>
  <si>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</si>
  <si>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</si>
  <si>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</si>
  <si>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</si>
  <si>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</si>
  <si>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</si>
  <si>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</si>
  <si>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</si>
  <si>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</si>
  <si>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</si>
  <si>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</si>
  <si>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</si>
  <si>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</si>
  <si>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</si>
  <si>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</si>
  <si>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</si>
  <si>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</si>
  <si>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</si>
  <si>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</si>
  <si>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</si>
  <si>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</si>
  <si>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</si>
  <si>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</si>
  <si>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</si>
  <si>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</si>
  <si>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</si>
  <si>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</si>
  <si>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</si>
  <si>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</si>
  <si>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</si>
  <si>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</si>
  <si>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</si>
  <si>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</si>
  <si>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</si>
  <si>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</si>
  <si>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</si>
  <si>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</si>
  <si>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</si>
  <si>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</si>
  <si>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</si>
  <si>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</si>
  <si>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</si>
  <si>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</si>
  <si>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</si>
  <si>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</si>
  <si>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</si>
  <si>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</si>
  <si>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CTS/Survey No</t>
  </si>
  <si>
    <t>Location Link</t>
  </si>
  <si>
    <t>Locality</t>
  </si>
  <si>
    <t>P52000030922</t>
  </si>
  <si>
    <t>Aliya Park</t>
  </si>
  <si>
    <t>M/s.Unity Construction</t>
  </si>
  <si>
    <t>Axis Sanpada</t>
  </si>
  <si>
    <t>Raigad Jilha Parishad, Alibaug</t>
  </si>
  <si>
    <t>Ja.No./RJP/BNDH/NSVP/127/2020</t>
  </si>
  <si>
    <t>Mamdapur</t>
  </si>
  <si>
    <t>Raigad</t>
  </si>
  <si>
    <t>Shop</t>
  </si>
  <si>
    <t>Wing A</t>
  </si>
  <si>
    <t>Wing B</t>
  </si>
  <si>
    <t>1BHK</t>
  </si>
  <si>
    <t>Ground Floor for Parking</t>
  </si>
  <si>
    <t>1st Floor for Residential</t>
  </si>
  <si>
    <t>Ground Floor for Residential &amp; Parking</t>
  </si>
  <si>
    <t>1st Floor</t>
  </si>
  <si>
    <t>2nd &amp; 3rd Floor</t>
  </si>
  <si>
    <t>4th Floor(Part Terrace Area)</t>
  </si>
  <si>
    <t>Terrace</t>
  </si>
  <si>
    <t>Wing A - Shop</t>
  </si>
  <si>
    <t>79, H.No.1, Plot No.1</t>
  </si>
  <si>
    <t>Karjat</t>
  </si>
  <si>
    <t>Internal Road</t>
  </si>
  <si>
    <t>Tulsi Estates 2</t>
  </si>
  <si>
    <t>Neral</t>
  </si>
  <si>
    <t>Slum</t>
  </si>
  <si>
    <t>1.7KM from Neral Railway Station</t>
  </si>
  <si>
    <t>Approved Plans, CC, Sale Plans, Cost Sheet</t>
  </si>
  <si>
    <t>https://goo.gl/maps/jMsEYL2aCduiPcQS8</t>
  </si>
  <si>
    <t>Wing A, B &amp; C</t>
  </si>
  <si>
    <t>Wing C</t>
  </si>
  <si>
    <t>1RK</t>
  </si>
  <si>
    <t>03 Wings</t>
  </si>
  <si>
    <t>Flats - 62, Shops - 06</t>
  </si>
  <si>
    <t>On Site, we meet Mr.Zishan Mufit - 8356811055.</t>
  </si>
  <si>
    <t>We considered Gross carpet area = Net carpet + Enclose balcony + W. S Area.</t>
  </si>
  <si>
    <t>Site Meet Contact Details ( Name &amp; Contact No.)</t>
  </si>
  <si>
    <t>Vardhaman Nest Homes</t>
  </si>
  <si>
    <t>Wing B - Gr/St + 1st to 4th Floor</t>
  </si>
  <si>
    <t>Wing C - Gr/St + 1st to 4th Floor</t>
  </si>
  <si>
    <t xml:space="preserve">Office No. 1031, Wing J, Akshar Business Park, Plot No. 03 Sector 25, Near APMC Market, Vashi, 
Navi Mumbai, Maharashtra 400703 TEL: 022-46090378/79/80                                                                                                     Email : vsjcapf@gmail.com. Web site : www.vsjadon.com
</t>
  </si>
  <si>
    <t>Wing A, B &amp; C = Gr/St + 1st to 4th Floor</t>
  </si>
  <si>
    <t>Wing A = Gr/St + 1st to 4th Floor</t>
  </si>
  <si>
    <t>Wing B &amp; C = Gr/St + 1st to 4th Floor</t>
  </si>
  <si>
    <t>Naynesh Sunil Lovanshi</t>
  </si>
  <si>
    <t>Construction work was stopped. Work is same as last visit 15/09/2022.</t>
  </si>
  <si>
    <t xml:space="preserve">As per RERA, completion period of project Aliya Park is expired on 31/12/2024 but still project is under construction.
</t>
  </si>
  <si>
    <t>As per RERA - 31/03/2027</t>
  </si>
  <si>
    <t>Shruti Tathare</t>
  </si>
  <si>
    <t>Since the project has received first CC on 17/03/2020., But construction work of Wing A, B &amp; C is under construction.</t>
  </si>
  <si>
    <t>Wing A = Lift &amp; finishing work is pending.
Wing B = Construction work is the same as last visit (dtd.14/01/2025).
Wing C = Construction work is in process at the time of Visit (Slow Speed).</t>
  </si>
  <si>
    <t>Yakul  9273841427</t>
  </si>
  <si>
    <t>Zeeshan  8356811055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</si>
</sst>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82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2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Fill="1" applyBorder="1" applyProtection="1">
      <protection hidden="1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4" fillId="0" borderId="0" xfId="1" applyFont="1" applyFill="1"/>
    <xf numFmtId="0" fontId="7" fillId="0" borderId="8" xfId="1" applyFont="1" applyFill="1" applyBorder="1"/>
    <xf numFmtId="0" fontId="18" fillId="0" borderId="8" xfId="0" applyNumberFormat="1" applyFont="1" applyFill="1" applyBorder="1" applyProtection="1">
      <protection hidden="1"/>
    </xf>
    <xf numFmtId="1" fontId="0" fillId="0" borderId="8" xfId="0" applyNumberFormat="1" applyFill="1" applyBorder="1"/>
    <xf numFmtId="1" fontId="0" fillId="0" borderId="8" xfId="0" applyNumberFormat="1" applyFill="1" applyBorder="1" applyAlignment="1">
      <alignment horizontal="right"/>
    </xf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25" fillId="2" borderId="23" xfId="0" applyFont="1" applyFill="1" applyBorder="1"/>
    <xf numFmtId="0" fontId="26" fillId="0" borderId="24" xfId="0" applyFont="1" applyFill="1" applyBorder="1"/>
    <xf numFmtId="0" fontId="26" fillId="0" borderId="1" xfId="0" applyFont="1" applyFill="1" applyBorder="1"/>
    <xf numFmtId="0" fontId="26" fillId="0" borderId="5" xfId="0" applyFont="1" applyFill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13" fillId="0" borderId="1" xfId="1" applyFont="1" applyFill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/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0" xfId="0" applyFont="1" applyFill="1" applyAlignment="1">
      <alignment horizontal="left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11" xfId="1" applyFont="1" applyFill="1" applyBorder="1" applyAlignment="1" applyProtection="1">
      <alignment horizontal="left" vertical="top" wrapText="1"/>
      <protection locked="0"/>
    </xf>
    <xf numFmtId="0" fontId="13" fillId="0" borderId="9" xfId="1" applyFont="1" applyFill="1" applyBorder="1" applyAlignment="1" applyProtection="1">
      <alignment horizontal="left" vertical="top" wrapText="1"/>
      <protection locked="0"/>
    </xf>
    <xf numFmtId="0" fontId="13" fillId="0" borderId="10" xfId="1" applyFont="1" applyFill="1" applyBorder="1" applyAlignment="1" applyProtection="1">
      <alignment horizontal="left" vertical="top" wrapText="1"/>
      <protection locked="0"/>
    </xf>
    <xf numFmtId="0" fontId="13" fillId="0" borderId="19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6" xfId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7" xfId="1" applyFont="1" applyFill="1" applyBorder="1" applyAlignment="1" applyProtection="1">
      <alignment horizontal="left" vertical="top" wrapText="1"/>
      <protection locked="0"/>
    </xf>
    <xf numFmtId="0" fontId="13" fillId="0" borderId="6" xfId="1" applyFont="1" applyFill="1" applyBorder="1" applyAlignment="1" applyProtection="1">
      <alignment horizontal="left" vertical="top" wrapText="1"/>
      <protection locked="0"/>
    </xf>
    <xf numFmtId="0" fontId="13" fillId="0" borderId="7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164" fontId="12" fillId="0" borderId="1" xfId="1" applyNumberFormat="1" applyFont="1" applyFill="1" applyBorder="1" applyAlignment="1" applyProtection="1">
      <alignment horizontal="left" vertical="top"/>
      <protection locked="0"/>
    </xf>
    <xf numFmtId="14" fontId="12" fillId="0" borderId="6" xfId="1" applyNumberFormat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6" xfId="1" applyFont="1" applyFill="1" applyBorder="1" applyAlignment="1" applyProtection="1">
      <alignment horizontal="left" vertical="top"/>
      <protection locked="0"/>
    </xf>
    <xf numFmtId="0" fontId="13" fillId="0" borderId="6" xfId="1" applyFont="1" applyFill="1" applyBorder="1" applyAlignment="1" applyProtection="1">
      <alignment horizontal="left" vertical="top"/>
      <protection locked="0"/>
    </xf>
    <xf numFmtId="0" fontId="13" fillId="0" borderId="7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2" xfId="1" applyNumberFormat="1" applyFont="1" applyFill="1" applyBorder="1" applyAlignment="1" applyProtection="1">
      <alignment horizontal="center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4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3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1" fontId="8" fillId="0" borderId="6" xfId="0" applyNumberFormat="1" applyFont="1" applyFill="1" applyBorder="1" applyAlignment="1" applyProtection="1">
      <alignment vertical="top" wrapText="1"/>
      <protection locked="0"/>
    </xf>
    <xf numFmtId="1" fontId="8" fillId="0" borderId="17" xfId="0" applyNumberFormat="1" applyFont="1" applyFill="1" applyBorder="1" applyAlignment="1" applyProtection="1">
      <alignment vertical="top" wrapText="1"/>
      <protection locked="0"/>
    </xf>
    <xf numFmtId="1" fontId="8" fillId="0" borderId="7" xfId="0" applyNumberFormat="1" applyFont="1" applyFill="1" applyBorder="1" applyAlignment="1" applyProtection="1">
      <alignment vertical="top" wrapText="1"/>
      <protection locked="0"/>
    </xf>
    <xf numFmtId="1" fontId="17" fillId="0" borderId="6" xfId="0" applyNumberFormat="1" applyFont="1" applyFill="1" applyBorder="1" applyAlignment="1" applyProtection="1">
      <alignment vertical="top" wrapText="1"/>
      <protection locked="0"/>
    </xf>
    <xf numFmtId="1" fontId="17" fillId="0" borderId="17" xfId="0" applyNumberFormat="1" applyFont="1" applyFill="1" applyBorder="1" applyAlignment="1" applyProtection="1">
      <alignment vertical="top" wrapText="1"/>
      <protection locked="0"/>
    </xf>
    <xf numFmtId="1" fontId="17" fillId="0" borderId="7" xfId="0" applyNumberFormat="1" applyFont="1" applyFill="1" applyBorder="1" applyAlignment="1" applyProtection="1">
      <alignment vertical="top" wrapText="1"/>
      <protection locked="0"/>
    </xf>
    <xf numFmtId="1" fontId="13" fillId="0" borderId="6" xfId="0" applyNumberFormat="1" applyFont="1" applyFill="1" applyBorder="1" applyAlignment="1" applyProtection="1">
      <alignment vertical="top" wrapText="1"/>
      <protection locked="0"/>
    </xf>
    <xf numFmtId="1" fontId="13" fillId="0" borderId="17" xfId="0" applyNumberFormat="1" applyFont="1" applyFill="1" applyBorder="1" applyAlignment="1" applyProtection="1">
      <alignment vertical="top" wrapText="1"/>
      <protection locked="0"/>
    </xf>
    <xf numFmtId="1" fontId="13" fillId="0" borderId="7" xfId="0" applyNumberFormat="1" applyFont="1" applyFill="1" applyBorder="1" applyAlignment="1" applyProtection="1">
      <alignment vertical="top" wrapText="1"/>
      <protection locked="0"/>
    </xf>
    <xf numFmtId="1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 wrapText="1"/>
      <protection locked="0"/>
    </xf>
    <xf numFmtId="0" fontId="6" fillId="0" borderId="6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8" fillId="0" borderId="3" xfId="1" applyFont="1" applyFill="1" applyBorder="1" applyAlignment="1" applyProtection="1">
      <alignment horizontal="center" vertical="top"/>
      <protection locked="0"/>
    </xf>
    <xf numFmtId="0" fontId="7" fillId="0" borderId="3" xfId="1" applyFont="1" applyFill="1" applyBorder="1" applyAlignment="1" applyProtection="1">
      <alignment horizontal="center"/>
      <protection locked="0"/>
    </xf>
    <xf numFmtId="0" fontId="6" fillId="0" borderId="3" xfId="1" applyFont="1" applyFill="1" applyBorder="1" applyAlignment="1" applyProtection="1">
      <alignment horizontal="center" vertical="top"/>
      <protection locked="0"/>
    </xf>
    <xf numFmtId="0" fontId="12" fillId="0" borderId="14" xfId="1" applyFont="1" applyFill="1" applyBorder="1" applyAlignment="1" applyProtection="1">
      <alignment horizontal="left" vertical="top" wrapText="1"/>
      <protection locked="0"/>
    </xf>
    <xf numFmtId="0" fontId="12" fillId="0" borderId="15" xfId="1" applyFont="1" applyFill="1" applyBorder="1" applyAlignment="1" applyProtection="1">
      <alignment horizontal="left" vertical="top" wrapText="1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6" fillId="0" borderId="12" xfId="1" applyFont="1" applyFill="1" applyBorder="1" applyAlignment="1" applyProtection="1">
      <alignment horizontal="left" vertical="top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1" fontId="4" fillId="0" borderId="1" xfId="1" applyNumberFormat="1" applyFont="1" applyFill="1" applyBorder="1" applyAlignment="1" applyProtection="1">
      <alignment horizontal="center" vertical="top" wrapText="1"/>
      <protection locked="0"/>
    </xf>
    <xf numFmtId="0" fontId="13" fillId="0" borderId="17" xfId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294</xdr:row>
      <xdr:rowOff>152400</xdr:rowOff>
    </xdr:from>
    <xdr:to>
      <xdr:col>7</xdr:col>
      <xdr:colOff>16063</xdr:colOff>
      <xdr:row>309</xdr:row>
      <xdr:rowOff>32026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0625" y="56749950"/>
          <a:ext cx="4940488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371475</xdr:colOff>
      <xdr:row>279</xdr:row>
      <xdr:rowOff>85725</xdr:rowOff>
    </xdr:from>
    <xdr:to>
      <xdr:col>7</xdr:col>
      <xdr:colOff>16063</xdr:colOff>
      <xdr:row>293</xdr:row>
      <xdr:rowOff>165374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0625" y="53682900"/>
          <a:ext cx="4940488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78343</xdr:colOff>
      <xdr:row>234</xdr:row>
      <xdr:rowOff>74799</xdr:rowOff>
    </xdr:from>
    <xdr:to>
      <xdr:col>7</xdr:col>
      <xdr:colOff>1120772</xdr:colOff>
      <xdr:row>268</xdr:row>
      <xdr:rowOff>42087</xdr:rowOff>
    </xdr:to>
    <xdr:grpSp>
      <xdr:nvGrpSpPr>
        <xdr:cNvPr id="3" name="Group 2"/>
        <xdr:cNvGrpSpPr/>
      </xdr:nvGrpSpPr>
      <xdr:grpSpPr>
        <a:xfrm>
          <a:off x="78343" y="48674711"/>
          <a:ext cx="6746223" cy="6814082"/>
          <a:chOff x="78343" y="48293711"/>
          <a:chExt cx="6746223" cy="6814082"/>
        </a:xfrm>
      </xdr:grpSpPr>
      <xdr:grpSp>
        <xdr:nvGrpSpPr>
          <xdr:cNvPr id="2" name="Group 1"/>
          <xdr:cNvGrpSpPr/>
        </xdr:nvGrpSpPr>
        <xdr:grpSpPr>
          <a:xfrm>
            <a:off x="78343" y="48293711"/>
            <a:ext cx="6746223" cy="6814082"/>
            <a:chOff x="78343" y="48293711"/>
            <a:chExt cx="6746223" cy="6814082"/>
          </a:xfrm>
        </xdr:grpSpPr>
        <xdr:pic>
          <xdr:nvPicPr>
            <xdr:cNvPr id="47" name="Picture 46" descr="https://vsjcllp.vsjadon.com/upload/insp-239860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59086" y="52947793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8" name="Picture 47" descr="https://vsjcllp.vsjadon.com/upload/insp-239860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343" y="50690929"/>
              <a:ext cx="1623721" cy="216721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9" name="Picture 48" descr="https://vsjcllp.vsjadon.com/upload/insp-239860-84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0854" y="48299594"/>
              <a:ext cx="1707960" cy="227965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" name="Picture 50" descr="https://vsjcllp.vsjadon.com/upload/insp-239860-86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069541" y="48301835"/>
              <a:ext cx="1717752" cy="229272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" name="Picture 51" descr="https://vsjcllp.vsjadon.com/upload/insp-239860-86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905000" y="48293711"/>
              <a:ext cx="3054134" cy="229272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3" name="Picture 52" descr="https://vsjcllp.vsjadon.com/upload/insp-239860-87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07440" y="50684205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4" name="Picture 53" descr="https://vsjcllp.vsjadon.com/upload/insp-239860-102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206253" y="50679723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5" name="Picture 54" descr="https://vsjcllp.vsjadon.com/upload/insp-239860-88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43535" y="52938828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6" name="Picture 55" descr="https://vsjcllp.vsjadon.com/upload/insp-239860-88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90699" y="50693171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8" name="Picture 57" descr="https://vsjcllp.vsjadon.com/upload/insp-239860-151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655793" y="52947793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61" name="TextBox 60"/>
          <xdr:cNvSpPr txBox="1"/>
        </xdr:nvSpPr>
        <xdr:spPr>
          <a:xfrm>
            <a:off x="5851613" y="48363187"/>
            <a:ext cx="681416" cy="3039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  <xdr:sp macro="" textlink="">
        <xdr:nvSpPr>
          <xdr:cNvPr id="62" name="TextBox 61"/>
          <xdr:cNvSpPr txBox="1"/>
        </xdr:nvSpPr>
        <xdr:spPr>
          <a:xfrm>
            <a:off x="929990" y="48316123"/>
            <a:ext cx="681416" cy="3039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63" name="TextBox 62"/>
          <xdr:cNvSpPr txBox="1"/>
        </xdr:nvSpPr>
        <xdr:spPr>
          <a:xfrm>
            <a:off x="3659743" y="48356464"/>
            <a:ext cx="681416" cy="3039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jMsEYL2aCduiPcQS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78"/>
  <sheetViews>
    <sheetView tabSelected="1" view="pageBreakPreview" zoomScale="85" zoomScaleNormal="100" zoomScaleSheetLayoutView="85" workbookViewId="0">
      <selection activeCell="O16" sqref="O16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140625" style="38" customWidth="1"/>
    <col min="5" max="7" width="11.7109375" style="38" customWidth="1"/>
    <col min="8" max="8" width="17.7109375" style="38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8" ht="46.5" customHeight="1" x14ac:dyDescent="0.25">
      <c r="A1" s="150" t="s">
        <v>217</v>
      </c>
      <c r="B1" s="150"/>
      <c r="C1" s="150"/>
      <c r="D1" s="150"/>
      <c r="E1" s="150"/>
      <c r="F1" s="150"/>
      <c r="G1" s="150"/>
      <c r="H1" s="150"/>
    </row>
    <row r="2" spans="1:8" ht="16.5" customHeight="1" x14ac:dyDescent="0.25">
      <c r="A2" s="124" t="s">
        <v>0</v>
      </c>
      <c r="B2" s="124"/>
      <c r="C2" s="124"/>
      <c r="D2" s="124"/>
      <c r="E2" s="124"/>
      <c r="F2" s="124"/>
      <c r="G2" s="124"/>
      <c r="H2" s="124"/>
    </row>
    <row r="3" spans="1:8" x14ac:dyDescent="0.25">
      <c r="A3" s="97" t="s">
        <v>1</v>
      </c>
      <c r="B3" s="97"/>
      <c r="C3" s="97"/>
      <c r="D3" s="97"/>
      <c r="E3" s="97" t="str">
        <f ca="1">TEXT(TODAY(),"DD/MM/YYYY")</f>
        <v>14/07/2025</v>
      </c>
      <c r="F3" s="97"/>
      <c r="G3" s="97"/>
      <c r="H3" s="97"/>
    </row>
    <row r="4" spans="1:8" ht="15" customHeight="1" x14ac:dyDescent="0.25">
      <c r="A4" s="97" t="s">
        <v>2</v>
      </c>
      <c r="B4" s="97"/>
      <c r="C4" s="97"/>
      <c r="D4" s="97"/>
      <c r="E4" s="97" t="s">
        <v>180</v>
      </c>
      <c r="F4" s="97"/>
      <c r="G4" s="97"/>
      <c r="H4" s="97"/>
    </row>
    <row r="5" spans="1:8" x14ac:dyDescent="0.25">
      <c r="A5" s="97" t="s">
        <v>3</v>
      </c>
      <c r="B5" s="97"/>
      <c r="C5" s="97"/>
      <c r="D5" s="97"/>
      <c r="E5" s="151">
        <v>45847</v>
      </c>
      <c r="F5" s="97"/>
      <c r="G5" s="97"/>
      <c r="H5" s="97"/>
    </row>
    <row r="6" spans="1:8" ht="16.5" customHeight="1" x14ac:dyDescent="0.25">
      <c r="A6" s="97" t="s">
        <v>4</v>
      </c>
      <c r="B6" s="97"/>
      <c r="C6" s="97"/>
      <c r="D6" s="97"/>
      <c r="E6" s="97" t="s">
        <v>179</v>
      </c>
      <c r="F6" s="97"/>
      <c r="G6" s="97"/>
      <c r="H6" s="97"/>
    </row>
    <row r="7" spans="1:8" ht="15" customHeight="1" x14ac:dyDescent="0.25">
      <c r="A7" s="97" t="s">
        <v>5</v>
      </c>
      <c r="B7" s="97"/>
      <c r="C7" s="97"/>
      <c r="D7" s="97"/>
      <c r="E7" s="97" t="str">
        <f>E6</f>
        <v>M/s.Unity Construction</v>
      </c>
      <c r="F7" s="97"/>
      <c r="G7" s="97"/>
      <c r="H7" s="97"/>
    </row>
    <row r="8" spans="1:8" x14ac:dyDescent="0.25">
      <c r="A8" s="97" t="s">
        <v>6</v>
      </c>
      <c r="B8" s="97"/>
      <c r="C8" s="97"/>
      <c r="D8" s="97"/>
      <c r="E8" s="77" t="s">
        <v>178</v>
      </c>
      <c r="F8" s="77"/>
      <c r="G8" s="77"/>
      <c r="H8" s="77"/>
    </row>
    <row r="9" spans="1:8" x14ac:dyDescent="0.25">
      <c r="A9" s="97" t="s">
        <v>130</v>
      </c>
      <c r="B9" s="97"/>
      <c r="C9" s="97"/>
      <c r="D9" s="97"/>
      <c r="E9" s="97" t="s">
        <v>229</v>
      </c>
      <c r="F9" s="97"/>
      <c r="G9" s="97"/>
      <c r="H9" s="97"/>
    </row>
    <row r="10" spans="1:8" x14ac:dyDescent="0.25">
      <c r="A10" s="97" t="s">
        <v>213</v>
      </c>
      <c r="B10" s="97"/>
      <c r="C10" s="97"/>
      <c r="D10" s="97"/>
      <c r="E10" s="97" t="s">
        <v>228</v>
      </c>
      <c r="F10" s="97"/>
      <c r="G10" s="97"/>
      <c r="H10" s="97"/>
    </row>
    <row r="11" spans="1:8" x14ac:dyDescent="0.25">
      <c r="A11" s="97" t="s">
        <v>7</v>
      </c>
      <c r="B11" s="97"/>
      <c r="C11" s="97"/>
      <c r="D11" s="97"/>
      <c r="E11" s="97" t="s">
        <v>206</v>
      </c>
      <c r="F11" s="97"/>
      <c r="G11" s="97"/>
      <c r="H11" s="97"/>
    </row>
    <row r="12" spans="1:8" x14ac:dyDescent="0.25">
      <c r="A12" s="112" t="s">
        <v>8</v>
      </c>
      <c r="B12" s="112"/>
      <c r="C12" s="112"/>
      <c r="D12" s="112"/>
      <c r="E12" s="96" t="s">
        <v>204</v>
      </c>
      <c r="F12" s="96"/>
      <c r="G12" s="96"/>
      <c r="H12" s="96"/>
    </row>
    <row r="13" spans="1:8" x14ac:dyDescent="0.25">
      <c r="A13" s="97" t="s">
        <v>9</v>
      </c>
      <c r="B13" s="97"/>
      <c r="C13" s="97"/>
      <c r="D13" s="97"/>
      <c r="E13" s="96" t="s">
        <v>177</v>
      </c>
      <c r="F13" s="97"/>
      <c r="G13" s="97"/>
      <c r="H13" s="97"/>
    </row>
    <row r="14" spans="1:8" ht="33.75" customHeight="1" x14ac:dyDescent="0.25">
      <c r="A14" s="96" t="s">
        <v>10</v>
      </c>
      <c r="B14" s="96"/>
      <c r="C14" s="9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Aliya Park, CTS/Survey No.79, H.No.1, Plot No.1, near Tulsi Estates 2, Internal Road, Mamdapur, Mamdapur, Neral, Karjat, Raigad - 410101.</v>
      </c>
      <c r="D14" s="96"/>
      <c r="E14" s="96"/>
      <c r="F14" s="96"/>
      <c r="G14" s="96"/>
      <c r="H14" s="96"/>
    </row>
    <row r="15" spans="1:8" x14ac:dyDescent="0.25">
      <c r="A15" s="96" t="s">
        <v>174</v>
      </c>
      <c r="B15" s="96"/>
      <c r="C15" s="96" t="s">
        <v>197</v>
      </c>
      <c r="D15" s="96"/>
      <c r="E15" s="96"/>
      <c r="F15" s="96"/>
      <c r="G15" s="96"/>
      <c r="H15" s="96"/>
    </row>
    <row r="16" spans="1:8" ht="15.75" customHeight="1" x14ac:dyDescent="0.25">
      <c r="A16" s="96" t="s">
        <v>176</v>
      </c>
      <c r="B16" s="96"/>
      <c r="C16" s="96" t="s">
        <v>183</v>
      </c>
      <c r="D16" s="96"/>
      <c r="E16" s="96"/>
      <c r="F16" s="96"/>
      <c r="G16" s="96"/>
      <c r="H16" s="96"/>
    </row>
    <row r="17" spans="1:10" ht="15.75" customHeight="1" x14ac:dyDescent="0.25">
      <c r="A17" s="96" t="s">
        <v>11</v>
      </c>
      <c r="B17" s="96"/>
      <c r="C17" s="97" t="s">
        <v>199</v>
      </c>
      <c r="D17" s="97"/>
      <c r="E17" s="96" t="s">
        <v>77</v>
      </c>
      <c r="F17" s="96"/>
      <c r="G17" s="96" t="s">
        <v>183</v>
      </c>
      <c r="H17" s="96"/>
    </row>
    <row r="18" spans="1:10" x14ac:dyDescent="0.25">
      <c r="A18" s="97" t="s">
        <v>13</v>
      </c>
      <c r="B18" s="97"/>
      <c r="C18" s="96" t="s">
        <v>201</v>
      </c>
      <c r="D18" s="96"/>
      <c r="E18" s="96" t="s">
        <v>12</v>
      </c>
      <c r="F18" s="96"/>
      <c r="G18" s="152" t="s">
        <v>184</v>
      </c>
      <c r="H18" s="152"/>
    </row>
    <row r="19" spans="1:10" x14ac:dyDescent="0.25">
      <c r="A19" s="97" t="s">
        <v>78</v>
      </c>
      <c r="B19" s="97"/>
      <c r="C19" s="96" t="s">
        <v>198</v>
      </c>
      <c r="D19" s="96"/>
      <c r="E19" s="96" t="s">
        <v>14</v>
      </c>
      <c r="F19" s="96"/>
      <c r="G19" s="96">
        <v>410101</v>
      </c>
      <c r="H19" s="96"/>
    </row>
    <row r="20" spans="1:10" ht="32.25" customHeight="1" x14ac:dyDescent="0.25">
      <c r="A20" s="97" t="s">
        <v>131</v>
      </c>
      <c r="B20" s="97"/>
      <c r="C20" s="96" t="s">
        <v>200</v>
      </c>
      <c r="D20" s="96"/>
      <c r="E20" s="96" t="s">
        <v>15</v>
      </c>
      <c r="F20" s="96"/>
      <c r="G20" s="96" t="s">
        <v>203</v>
      </c>
      <c r="H20" s="96"/>
    </row>
    <row r="21" spans="1:10" ht="15" customHeight="1" x14ac:dyDescent="0.25">
      <c r="A21" s="108" t="s">
        <v>81</v>
      </c>
      <c r="B21" s="108"/>
      <c r="C21" s="108"/>
      <c r="D21" s="108"/>
      <c r="E21" s="97" t="s">
        <v>16</v>
      </c>
      <c r="F21" s="97"/>
      <c r="G21" s="97"/>
      <c r="H21" s="97"/>
    </row>
    <row r="22" spans="1:10" ht="18.75" customHeight="1" x14ac:dyDescent="0.25">
      <c r="A22" s="108"/>
      <c r="B22" s="108"/>
      <c r="C22" s="108"/>
      <c r="D22" s="108"/>
      <c r="E22" s="97"/>
      <c r="F22" s="97"/>
      <c r="G22" s="97"/>
      <c r="H22" s="97"/>
    </row>
    <row r="23" spans="1:10" ht="15" customHeight="1" x14ac:dyDescent="0.25">
      <c r="A23" s="108" t="s">
        <v>17</v>
      </c>
      <c r="B23" s="108"/>
      <c r="C23" s="108"/>
      <c r="D23" s="108"/>
      <c r="E23" s="96" t="s">
        <v>18</v>
      </c>
      <c r="F23" s="96"/>
      <c r="G23" s="96"/>
      <c r="H23" s="96"/>
    </row>
    <row r="24" spans="1:10" ht="15" customHeight="1" x14ac:dyDescent="0.25">
      <c r="A24" s="112" t="s">
        <v>19</v>
      </c>
      <c r="B24" s="112"/>
      <c r="C24" s="112"/>
      <c r="D24" s="112"/>
      <c r="E24" s="96" t="str">
        <f>IF(AND(G18="Mumbai"),"Upper Class","Middle Class")</f>
        <v>Middle Class</v>
      </c>
      <c r="F24" s="96"/>
      <c r="G24" s="96"/>
      <c r="H24" s="96"/>
    </row>
    <row r="25" spans="1:10" x14ac:dyDescent="0.25">
      <c r="A25" s="112" t="s">
        <v>20</v>
      </c>
      <c r="B25" s="112"/>
      <c r="C25" s="112"/>
      <c r="D25" s="112"/>
      <c r="E25" s="96" t="s">
        <v>21</v>
      </c>
      <c r="F25" s="96"/>
      <c r="G25" s="96"/>
      <c r="H25" s="96"/>
    </row>
    <row r="26" spans="1:10" ht="15.75" customHeight="1" x14ac:dyDescent="0.25">
      <c r="A26" s="112" t="s">
        <v>22</v>
      </c>
      <c r="B26" s="112"/>
      <c r="C26" s="112"/>
      <c r="D26" s="112"/>
      <c r="E26" s="96" t="str">
        <f>IF(AND(G18="Mumbai"),"Developed","Developing")</f>
        <v>Developing</v>
      </c>
      <c r="F26" s="96"/>
      <c r="G26" s="96"/>
      <c r="H26" s="96"/>
    </row>
    <row r="27" spans="1:10" x14ac:dyDescent="0.25">
      <c r="A27" s="112" t="s">
        <v>23</v>
      </c>
      <c r="B27" s="112"/>
      <c r="C27" s="112"/>
      <c r="D27" s="112"/>
      <c r="E27" s="96" t="s">
        <v>24</v>
      </c>
      <c r="F27" s="96"/>
      <c r="G27" s="96"/>
      <c r="H27" s="96"/>
    </row>
    <row r="28" spans="1:10" ht="15.75" customHeight="1" x14ac:dyDescent="0.25">
      <c r="A28" s="112" t="s">
        <v>86</v>
      </c>
      <c r="B28" s="112"/>
      <c r="C28" s="112"/>
      <c r="D28" s="112"/>
      <c r="E28" s="96" t="s">
        <v>87</v>
      </c>
      <c r="F28" s="96"/>
      <c r="G28" s="96"/>
      <c r="H28" s="96"/>
    </row>
    <row r="29" spans="1:10" ht="15" customHeight="1" x14ac:dyDescent="0.25">
      <c r="A29" s="112" t="s">
        <v>35</v>
      </c>
      <c r="B29" s="112"/>
      <c r="C29" s="112"/>
      <c r="D29" s="112"/>
      <c r="E29" s="96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96"/>
      <c r="G29" s="96"/>
      <c r="H29" s="96"/>
    </row>
    <row r="30" spans="1:10" ht="15.75" customHeight="1" x14ac:dyDescent="0.25">
      <c r="A30" s="112" t="s">
        <v>98</v>
      </c>
      <c r="B30" s="112"/>
      <c r="C30" s="112"/>
      <c r="D30" s="112"/>
      <c r="E30" s="96" t="s">
        <v>36</v>
      </c>
      <c r="F30" s="96"/>
      <c r="G30" s="96"/>
      <c r="H30" s="96"/>
    </row>
    <row r="31" spans="1:10" s="20" customFormat="1" x14ac:dyDescent="0.25">
      <c r="A31" s="156" t="s">
        <v>99</v>
      </c>
      <c r="B31" s="156"/>
      <c r="C31" s="155" t="s">
        <v>29</v>
      </c>
      <c r="D31" s="155"/>
      <c r="E31" s="155"/>
      <c r="F31" s="155" t="s">
        <v>31</v>
      </c>
      <c r="G31" s="155"/>
      <c r="H31" s="155"/>
    </row>
    <row r="32" spans="1:10" s="20" customFormat="1" x14ac:dyDescent="0.25">
      <c r="A32" s="153" t="s">
        <v>25</v>
      </c>
      <c r="B32" s="153" t="s">
        <v>30</v>
      </c>
      <c r="C32" s="154" t="s">
        <v>30</v>
      </c>
      <c r="D32" s="154"/>
      <c r="E32" s="154"/>
      <c r="F32" s="154" t="s">
        <v>214</v>
      </c>
      <c r="G32" s="154"/>
      <c r="H32" s="154"/>
      <c r="I32" s="20" t="str">
        <f>PROPER(F32)</f>
        <v>Vardhaman Nest Homes</v>
      </c>
      <c r="J32" s="21" t="s">
        <v>214</v>
      </c>
    </row>
    <row r="33" spans="1:8" x14ac:dyDescent="0.25">
      <c r="A33" s="153" t="s">
        <v>26</v>
      </c>
      <c r="B33" s="153" t="s">
        <v>30</v>
      </c>
      <c r="C33" s="154" t="s">
        <v>30</v>
      </c>
      <c r="D33" s="154"/>
      <c r="E33" s="154"/>
      <c r="F33" s="154" t="s">
        <v>200</v>
      </c>
      <c r="G33" s="154"/>
      <c r="H33" s="154"/>
    </row>
    <row r="34" spans="1:8" s="20" customFormat="1" x14ac:dyDescent="0.25">
      <c r="A34" s="153" t="s">
        <v>28</v>
      </c>
      <c r="B34" s="153" t="s">
        <v>30</v>
      </c>
      <c r="C34" s="154" t="s">
        <v>30</v>
      </c>
      <c r="D34" s="154"/>
      <c r="E34" s="154"/>
      <c r="F34" s="154" t="s">
        <v>202</v>
      </c>
      <c r="G34" s="154"/>
      <c r="H34" s="154"/>
    </row>
    <row r="35" spans="1:8" x14ac:dyDescent="0.25">
      <c r="A35" s="153" t="s">
        <v>27</v>
      </c>
      <c r="B35" s="153" t="s">
        <v>30</v>
      </c>
      <c r="C35" s="154" t="s">
        <v>30</v>
      </c>
      <c r="D35" s="154"/>
      <c r="E35" s="154"/>
      <c r="F35" s="154" t="s">
        <v>199</v>
      </c>
      <c r="G35" s="154"/>
      <c r="H35" s="154"/>
    </row>
    <row r="36" spans="1:8" x14ac:dyDescent="0.25">
      <c r="A36" s="112" t="s">
        <v>32</v>
      </c>
      <c r="B36" s="112"/>
      <c r="C36" s="112"/>
      <c r="D36" s="112"/>
      <c r="E36" s="112"/>
      <c r="F36" s="112"/>
      <c r="G36" s="112"/>
      <c r="H36" s="112"/>
    </row>
    <row r="37" spans="1:8" ht="15.75" customHeight="1" x14ac:dyDescent="0.25">
      <c r="A37" s="159" t="s">
        <v>33</v>
      </c>
      <c r="B37" s="159"/>
      <c r="C37" s="160">
        <v>19.036236174100001</v>
      </c>
      <c r="D37" s="160"/>
      <c r="E37" s="159" t="s">
        <v>34</v>
      </c>
      <c r="F37" s="159"/>
      <c r="G37" s="161">
        <v>73.309407269999994</v>
      </c>
      <c r="H37" s="161"/>
    </row>
    <row r="38" spans="1:8" s="61" customFormat="1" x14ac:dyDescent="0.25">
      <c r="A38" s="124" t="s">
        <v>175</v>
      </c>
      <c r="B38" s="124"/>
      <c r="C38" s="168" t="s">
        <v>205</v>
      </c>
      <c r="D38" s="96"/>
      <c r="E38" s="96"/>
      <c r="F38" s="96"/>
      <c r="G38" s="96"/>
      <c r="H38" s="96"/>
    </row>
    <row r="39" spans="1:8" s="61" customFormat="1" x14ac:dyDescent="0.25">
      <c r="A39" s="149" t="s">
        <v>37</v>
      </c>
      <c r="B39" s="149"/>
      <c r="C39" s="149"/>
      <c r="D39" s="149"/>
      <c r="E39" s="149"/>
      <c r="F39" s="149"/>
      <c r="G39" s="149"/>
      <c r="H39" s="149"/>
    </row>
    <row r="40" spans="1:8" x14ac:dyDescent="0.25">
      <c r="A40" s="112" t="s">
        <v>38</v>
      </c>
      <c r="B40" s="112"/>
      <c r="C40" s="112"/>
      <c r="D40" s="112"/>
      <c r="E40" s="157">
        <v>1400</v>
      </c>
      <c r="F40" s="157"/>
      <c r="G40" s="157"/>
      <c r="H40" s="157"/>
    </row>
    <row r="41" spans="1:8" x14ac:dyDescent="0.25">
      <c r="A41" s="97" t="s">
        <v>39</v>
      </c>
      <c r="B41" s="97"/>
      <c r="C41" s="97"/>
      <c r="D41" s="97"/>
      <c r="E41" s="104">
        <v>1</v>
      </c>
      <c r="F41" s="104"/>
      <c r="G41" s="104"/>
      <c r="H41" s="104"/>
    </row>
    <row r="42" spans="1:8" x14ac:dyDescent="0.25">
      <c r="A42" s="97" t="s">
        <v>40</v>
      </c>
      <c r="B42" s="97"/>
      <c r="C42" s="97"/>
      <c r="D42" s="97"/>
      <c r="E42" s="104">
        <f>E44/E40-E41</f>
        <v>0</v>
      </c>
      <c r="F42" s="104"/>
      <c r="G42" s="104"/>
      <c r="H42" s="104"/>
    </row>
    <row r="43" spans="1:8" x14ac:dyDescent="0.25">
      <c r="A43" s="97" t="s">
        <v>41</v>
      </c>
      <c r="B43" s="97"/>
      <c r="C43" s="97"/>
      <c r="D43" s="97"/>
      <c r="E43" s="104">
        <f>E41+E42</f>
        <v>1</v>
      </c>
      <c r="F43" s="104"/>
      <c r="G43" s="104"/>
      <c r="H43" s="104"/>
    </row>
    <row r="44" spans="1:8" x14ac:dyDescent="0.25">
      <c r="A44" s="97" t="s">
        <v>97</v>
      </c>
      <c r="B44" s="97"/>
      <c r="C44" s="97"/>
      <c r="D44" s="97"/>
      <c r="E44" s="158">
        <v>1400</v>
      </c>
      <c r="F44" s="158"/>
      <c r="G44" s="158"/>
      <c r="H44" s="158"/>
    </row>
    <row r="45" spans="1:8" x14ac:dyDescent="0.25">
      <c r="A45" s="97" t="s">
        <v>42</v>
      </c>
      <c r="B45" s="97"/>
      <c r="C45" s="97"/>
      <c r="D45" s="97"/>
      <c r="E45" s="97" t="s">
        <v>209</v>
      </c>
      <c r="F45" s="97"/>
      <c r="G45" s="97"/>
      <c r="H45" s="97"/>
    </row>
    <row r="46" spans="1:8" x14ac:dyDescent="0.25">
      <c r="A46" s="97" t="s">
        <v>43</v>
      </c>
      <c r="B46" s="97"/>
      <c r="C46" s="97"/>
      <c r="D46" s="97"/>
      <c r="E46" s="97"/>
      <c r="F46" s="97"/>
      <c r="G46" s="97"/>
      <c r="H46" s="97"/>
    </row>
    <row r="47" spans="1:8" ht="33.75" customHeight="1" x14ac:dyDescent="0.25">
      <c r="A47" s="98" t="s">
        <v>161</v>
      </c>
      <c r="B47" s="100"/>
      <c r="C47" s="110" t="s">
        <v>181</v>
      </c>
      <c r="D47" s="170"/>
      <c r="E47" s="170"/>
      <c r="F47" s="170"/>
      <c r="G47" s="170"/>
      <c r="H47" s="111"/>
    </row>
    <row r="48" spans="1:8" x14ac:dyDescent="0.25">
      <c r="A48" s="98" t="s">
        <v>44</v>
      </c>
      <c r="B48" s="100"/>
      <c r="C48" s="98" t="s">
        <v>182</v>
      </c>
      <c r="D48" s="99"/>
      <c r="E48" s="100"/>
      <c r="F48" s="52" t="s">
        <v>45</v>
      </c>
      <c r="G48" s="105">
        <v>43907</v>
      </c>
      <c r="H48" s="100"/>
    </row>
    <row r="49" spans="1:14" x14ac:dyDescent="0.25">
      <c r="A49" s="98" t="s">
        <v>46</v>
      </c>
      <c r="B49" s="100"/>
      <c r="C49" s="98" t="str">
        <f>C48</f>
        <v>Ja.No./RJP/BNDH/NSVP/127/2020</v>
      </c>
      <c r="D49" s="99"/>
      <c r="E49" s="100"/>
      <c r="F49" s="52" t="s">
        <v>45</v>
      </c>
      <c r="G49" s="105">
        <f>G48</f>
        <v>43907</v>
      </c>
      <c r="H49" s="100"/>
    </row>
    <row r="50" spans="1:14" s="21" customFormat="1" ht="15.75" customHeight="1" x14ac:dyDescent="0.25">
      <c r="A50" s="126" t="s">
        <v>165</v>
      </c>
      <c r="B50" s="162"/>
      <c r="C50" s="98" t="s">
        <v>182</v>
      </c>
      <c r="D50" s="99"/>
      <c r="E50" s="100"/>
      <c r="F50" s="52" t="s">
        <v>45</v>
      </c>
      <c r="G50" s="105">
        <v>43907</v>
      </c>
      <c r="H50" s="100"/>
    </row>
    <row r="51" spans="1:14" s="21" customFormat="1" x14ac:dyDescent="0.25">
      <c r="A51" s="163"/>
      <c r="B51" s="164"/>
      <c r="C51" s="98" t="s">
        <v>218</v>
      </c>
      <c r="D51" s="99"/>
      <c r="E51" s="99"/>
      <c r="F51" s="99"/>
      <c r="G51" s="99"/>
      <c r="H51" s="100"/>
    </row>
    <row r="52" spans="1:14" x14ac:dyDescent="0.25">
      <c r="A52" s="101" t="s">
        <v>47</v>
      </c>
      <c r="B52" s="102"/>
      <c r="C52" s="101" t="s">
        <v>111</v>
      </c>
      <c r="D52" s="103"/>
      <c r="E52" s="102"/>
      <c r="F52" s="57" t="s">
        <v>45</v>
      </c>
      <c r="G52" s="110" t="s">
        <v>30</v>
      </c>
      <c r="H52" s="111"/>
    </row>
    <row r="53" spans="1:14" x14ac:dyDescent="0.25">
      <c r="A53" s="107" t="s">
        <v>49</v>
      </c>
      <c r="B53" s="107"/>
      <c r="C53" s="107"/>
      <c r="D53" s="107"/>
      <c r="E53" s="107"/>
      <c r="F53" s="107"/>
      <c r="G53" s="107"/>
      <c r="H53" s="107"/>
    </row>
    <row r="54" spans="1:14" x14ac:dyDescent="0.25">
      <c r="A54" s="108" t="s">
        <v>96</v>
      </c>
      <c r="B54" s="108"/>
      <c r="C54" s="108"/>
      <c r="D54" s="106">
        <f>E44</f>
        <v>1400</v>
      </c>
      <c r="E54" s="106"/>
      <c r="F54" s="106"/>
      <c r="G54" s="106"/>
      <c r="H54" s="106"/>
    </row>
    <row r="55" spans="1:14" x14ac:dyDescent="0.25">
      <c r="A55" s="96" t="s">
        <v>50</v>
      </c>
      <c r="B55" s="97"/>
      <c r="C55" s="109"/>
      <c r="D55" s="97" t="s">
        <v>210</v>
      </c>
      <c r="E55" s="97"/>
      <c r="F55" s="97"/>
      <c r="G55" s="97"/>
      <c r="H55" s="97"/>
      <c r="I55" s="22"/>
    </row>
    <row r="56" spans="1:14" x14ac:dyDescent="0.25">
      <c r="A56" s="126" t="s">
        <v>51</v>
      </c>
      <c r="B56" s="127"/>
      <c r="C56" s="127"/>
      <c r="D56" s="96" t="s">
        <v>218</v>
      </c>
      <c r="E56" s="97"/>
      <c r="F56" s="97"/>
      <c r="G56" s="97"/>
      <c r="H56" s="97"/>
      <c r="I56" s="23"/>
    </row>
    <row r="57" spans="1:14" ht="15.75" customHeight="1" x14ac:dyDescent="0.25">
      <c r="A57" s="126" t="s">
        <v>94</v>
      </c>
      <c r="B57" s="127"/>
      <c r="C57" s="127"/>
      <c r="D57" s="96" t="s">
        <v>219</v>
      </c>
      <c r="E57" s="97"/>
      <c r="F57" s="97"/>
      <c r="G57" s="97"/>
      <c r="H57" s="97"/>
      <c r="I57" s="23"/>
    </row>
    <row r="58" spans="1:14" ht="15.75" customHeight="1" x14ac:dyDescent="0.25">
      <c r="A58" s="128"/>
      <c r="B58" s="129"/>
      <c r="C58" s="129"/>
      <c r="D58" s="96" t="s">
        <v>220</v>
      </c>
      <c r="E58" s="97"/>
      <c r="F58" s="97"/>
      <c r="G58" s="97"/>
      <c r="H58" s="97"/>
      <c r="I58" s="23"/>
    </row>
    <row r="59" spans="1:14" ht="15.75" customHeight="1" x14ac:dyDescent="0.25">
      <c r="A59" s="112" t="s">
        <v>48</v>
      </c>
      <c r="B59" s="112"/>
      <c r="C59" s="145"/>
      <c r="D59" s="96" t="s">
        <v>224</v>
      </c>
      <c r="E59" s="96"/>
      <c r="F59" s="96"/>
      <c r="G59" s="96"/>
      <c r="H59" s="96"/>
      <c r="J59" s="24"/>
      <c r="K59" s="22"/>
      <c r="N59" s="22"/>
    </row>
    <row r="60" spans="1:14" ht="15.75" customHeight="1" x14ac:dyDescent="0.25">
      <c r="A60" s="112" t="s">
        <v>92</v>
      </c>
      <c r="B60" s="112"/>
      <c r="C60" s="145"/>
      <c r="D60" s="139" t="str">
        <f>(IF(G52="NA","60 Years After Completion",IF(G52&lt;&gt;"NA",""&amp;60-ROUNDDOWN((E3-G52)/360,0)&amp;" Years"," ")))</f>
        <v>60 Years After Completion</v>
      </c>
      <c r="E60" s="139"/>
      <c r="F60" s="139"/>
      <c r="G60" s="139"/>
      <c r="H60" s="139"/>
      <c r="N60" s="22"/>
    </row>
    <row r="61" spans="1:14" ht="15.75" customHeight="1" x14ac:dyDescent="0.25">
      <c r="A61" s="112" t="s">
        <v>93</v>
      </c>
      <c r="B61" s="112"/>
      <c r="C61" s="112"/>
      <c r="D61" s="165" t="s">
        <v>24</v>
      </c>
      <c r="E61" s="165"/>
      <c r="F61" s="165"/>
      <c r="G61" s="165"/>
      <c r="H61" s="165"/>
      <c r="J61" s="25"/>
      <c r="K61" s="25"/>
    </row>
    <row r="62" spans="1:14" ht="15" hidden="1" customHeight="1" x14ac:dyDescent="0.25">
      <c r="A62" s="112" t="s">
        <v>79</v>
      </c>
      <c r="B62" s="112"/>
      <c r="C62" s="112"/>
      <c r="D62" s="96" t="s">
        <v>157</v>
      </c>
      <c r="E62" s="108"/>
      <c r="F62" s="108"/>
      <c r="G62" s="108"/>
      <c r="H62" s="108"/>
    </row>
    <row r="63" spans="1:14" x14ac:dyDescent="0.25">
      <c r="A63" s="108" t="s">
        <v>158</v>
      </c>
      <c r="B63" s="108"/>
      <c r="C63" s="108"/>
      <c r="D63" s="108" t="s">
        <v>30</v>
      </c>
      <c r="E63" s="108"/>
      <c r="F63" s="108"/>
      <c r="G63" s="108"/>
      <c r="H63" s="108"/>
      <c r="I63" s="26"/>
      <c r="J63" s="26"/>
      <c r="K63" s="26"/>
      <c r="L63" s="26"/>
      <c r="M63" s="26"/>
      <c r="N63" s="26"/>
    </row>
    <row r="64" spans="1:14" ht="15.75" customHeight="1" x14ac:dyDescent="0.25">
      <c r="A64" s="106" t="s">
        <v>91</v>
      </c>
      <c r="B64" s="106"/>
      <c r="C64" s="106"/>
      <c r="D64" s="143" t="str">
        <f ca="1">(IF(G70&gt;95%,"Nothing",IF(G70&gt;0%,"Cement, Aggregate, Steel, etc",IF(G70=0%,"Work not yet Started"))))</f>
        <v>Cement, Aggregate, Steel, etc</v>
      </c>
      <c r="E64" s="143"/>
      <c r="F64" s="143"/>
      <c r="G64" s="143"/>
      <c r="H64" s="143"/>
      <c r="J64" s="25"/>
    </row>
    <row r="65" spans="1:10" ht="33.75" customHeight="1" thickBot="1" x14ac:dyDescent="0.3">
      <c r="A65" s="144" t="s">
        <v>124</v>
      </c>
      <c r="B65" s="144"/>
      <c r="C65" s="144"/>
      <c r="D65" s="143" t="str">
        <f ca="1">(IF(D64="Nothing","Yes",IF(D64="Cement, Aggregate, Steel, etc","Under Construction",IF(D64="Work not yet Started","Work not yet Started"))))</f>
        <v>Under Construction</v>
      </c>
      <c r="E65" s="143"/>
      <c r="F65" s="143" t="str">
        <f ca="1">(IF(D64="Nothing","Yes",IF(D64="Cement, Aggregate, Steel, etc","Under Construction",IF(D64="Work not yet Started","Work not yet Started"))))</f>
        <v>Under Construction</v>
      </c>
      <c r="G65" s="143"/>
      <c r="H65" s="143"/>
    </row>
    <row r="66" spans="1:10" ht="15.75" customHeight="1" x14ac:dyDescent="0.25">
      <c r="A66" s="71" t="s">
        <v>149</v>
      </c>
      <c r="B66" s="72"/>
      <c r="C66" s="73" t="str">
        <f>D57</f>
        <v>Wing A = Gr/St + 1st to 4th Floor</v>
      </c>
      <c r="D66" s="74"/>
      <c r="E66" s="74"/>
      <c r="F66" s="74"/>
      <c r="G66" s="74"/>
      <c r="H66" s="75"/>
      <c r="I66" s="44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Plaster, Flooring Completed, Painting upto 3 Floor, Finishing upto 2 Floor Completed</v>
      </c>
      <c r="J66" s="45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Painting upto 3 Floor, Finishing upto 2 Floor</v>
      </c>
    </row>
    <row r="67" spans="1:10" x14ac:dyDescent="0.25">
      <c r="A67" s="17" t="s">
        <v>151</v>
      </c>
      <c r="B67" s="54">
        <v>0</v>
      </c>
      <c r="C67" s="54" t="s">
        <v>76</v>
      </c>
      <c r="D67" s="54">
        <v>1</v>
      </c>
      <c r="E67" s="54" t="s">
        <v>75</v>
      </c>
      <c r="F67" s="54">
        <v>0</v>
      </c>
      <c r="G67" s="54" t="s">
        <v>85</v>
      </c>
      <c r="H67" s="18">
        <f ca="1">--TRIM(RIGHT(SUBSTITUTE(LEFT(C66,_xlfn.AGGREGATE(16,6,FIND({0,1,2,3,4,5,6,7,8,9},C66,ROW(INDIRECT("1:"&amp;LEN(C66)))),1))," ",REPT(" ",LEN(C66))),LEN(C66)))</f>
        <v>4</v>
      </c>
      <c r="I67" s="46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</v>
      </c>
      <c r="J67" s="47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3.75" customHeight="1" x14ac:dyDescent="0.25">
      <c r="A68" s="76" t="s">
        <v>95</v>
      </c>
      <c r="B68" s="77"/>
      <c r="C68" s="78" t="str">
        <f ca="1">(IF($G$52="NA",I66,"All work Completed. OC Received."))</f>
        <v>Excavation, Plinth, RCC Slab, Brickwork, Internal Plaster, External Plaster, Flooring Completed, Painting upto 3 Floor, Finishing upto 2 Floor Completed</v>
      </c>
      <c r="D68" s="78"/>
      <c r="E68" s="78"/>
      <c r="F68" s="78"/>
      <c r="G68" s="78"/>
      <c r="H68" s="79"/>
      <c r="I68" s="46" t="str">
        <f ca="1">IF(I67&lt;&gt;""," Completed","")</f>
        <v xml:space="preserve"> Completed</v>
      </c>
      <c r="J68" s="47" t="str">
        <f ca="1">IF(J66&lt;&gt;"","Completed","")</f>
        <v>Completed</v>
      </c>
    </row>
    <row r="69" spans="1:10" ht="15.75" customHeight="1" x14ac:dyDescent="0.25">
      <c r="A69" s="80" t="s">
        <v>52</v>
      </c>
      <c r="B69" s="81"/>
      <c r="C69" s="58" t="s">
        <v>148</v>
      </c>
      <c r="D69" s="58" t="s">
        <v>88</v>
      </c>
      <c r="E69" s="81" t="s">
        <v>90</v>
      </c>
      <c r="F69" s="81"/>
      <c r="G69" s="81" t="s">
        <v>89</v>
      </c>
      <c r="H69" s="82"/>
      <c r="I69" s="16" t="s">
        <v>150</v>
      </c>
      <c r="J69" s="27">
        <f ca="1">H67*25%</f>
        <v>1</v>
      </c>
    </row>
    <row r="70" spans="1:10" x14ac:dyDescent="0.25">
      <c r="A70" s="81" t="s">
        <v>137</v>
      </c>
      <c r="B70" s="81"/>
      <c r="C70" s="58">
        <f ca="1">J71</f>
        <v>4</v>
      </c>
      <c r="D70" s="59">
        <f ca="1">((100/H67)*C70)/100</f>
        <v>1</v>
      </c>
      <c r="E70" s="83">
        <f ca="1">(((C71/H67*10)+(40/(D67+F67+H67)*C72)+(7.5/(H67)*C73)+(7.5/(H67)*C74)+(10/H67*C75)+(10/H67*C76)+(5/H67*C77)+(5/H67*C78)+(5/H67*C79))/100)</f>
        <v>0.91249999999999998</v>
      </c>
      <c r="F70" s="83"/>
      <c r="G70" s="83">
        <f ca="1">((((C70/H67)*20)+((C71/H67)*25)+(30/(H67+F67+D67)*C72)+(5/H67*C73)+(5/H67*C74)+(5/H67*C75)+(5/H67*C76)+(0/H67*C77)+(0/H67*C78)+(5/H67*C79))/100)</f>
        <v>0.95</v>
      </c>
      <c r="H70" s="83"/>
      <c r="I70" s="16" t="s">
        <v>106</v>
      </c>
      <c r="J70" s="28">
        <f ca="1">H67*50%</f>
        <v>2</v>
      </c>
    </row>
    <row r="71" spans="1:10" x14ac:dyDescent="0.25">
      <c r="A71" s="81" t="s">
        <v>53</v>
      </c>
      <c r="B71" s="81"/>
      <c r="C71" s="60">
        <v>4</v>
      </c>
      <c r="D71" s="59">
        <f ca="1">((100/H67)*C71)/100</f>
        <v>1</v>
      </c>
      <c r="E71" s="83"/>
      <c r="F71" s="83"/>
      <c r="G71" s="83"/>
      <c r="H71" s="83"/>
      <c r="I71" s="16" t="s">
        <v>107</v>
      </c>
      <c r="J71" s="28">
        <f ca="1">H67</f>
        <v>4</v>
      </c>
    </row>
    <row r="72" spans="1:10" ht="15.75" customHeight="1" x14ac:dyDescent="0.25">
      <c r="A72" s="81" t="s">
        <v>138</v>
      </c>
      <c r="B72" s="81"/>
      <c r="C72" s="58">
        <v>5</v>
      </c>
      <c r="D72" s="59">
        <f ca="1">((100/(D67+F67+H67))*C72)/100</f>
        <v>1</v>
      </c>
      <c r="E72" s="83"/>
      <c r="F72" s="83"/>
      <c r="G72" s="83"/>
      <c r="H72" s="83"/>
      <c r="I72" s="16" t="s">
        <v>108</v>
      </c>
      <c r="J72" s="29">
        <f ca="1">(IF(B67&gt;1,(H67/(B67+2)),H67/4))</f>
        <v>1</v>
      </c>
    </row>
    <row r="73" spans="1:10" ht="15.75" customHeight="1" x14ac:dyDescent="0.25">
      <c r="A73" s="81" t="s">
        <v>145</v>
      </c>
      <c r="B73" s="81" t="s">
        <v>139</v>
      </c>
      <c r="C73" s="58">
        <v>4</v>
      </c>
      <c r="D73" s="59">
        <f ca="1">((100/H67)*C73)/100</f>
        <v>1</v>
      </c>
      <c r="E73" s="83"/>
      <c r="F73" s="83"/>
      <c r="G73" s="83"/>
      <c r="H73" s="83"/>
      <c r="I73" s="16" t="s">
        <v>109</v>
      </c>
      <c r="J73" s="29">
        <f ca="1">(IF(B67&gt;1,(H67/(B67+2)+J72),H67/4+J72))</f>
        <v>2</v>
      </c>
    </row>
    <row r="74" spans="1:10" ht="15.75" customHeight="1" x14ac:dyDescent="0.25">
      <c r="A74" s="81" t="s">
        <v>146</v>
      </c>
      <c r="B74" s="81" t="s">
        <v>139</v>
      </c>
      <c r="C74" s="58">
        <v>4</v>
      </c>
      <c r="D74" s="59">
        <f ca="1">((100/H67)*C74)/100</f>
        <v>1</v>
      </c>
      <c r="E74" s="83"/>
      <c r="F74" s="83"/>
      <c r="G74" s="83"/>
      <c r="H74" s="83"/>
      <c r="I74" s="16" t="s">
        <v>155</v>
      </c>
      <c r="J74" s="29">
        <f>(IF(B67&gt;1,(H67/(B67+2)+J73),0))</f>
        <v>0</v>
      </c>
    </row>
    <row r="75" spans="1:10" ht="15" customHeight="1" x14ac:dyDescent="0.25">
      <c r="A75" s="81" t="s">
        <v>144</v>
      </c>
      <c r="B75" s="81" t="s">
        <v>141</v>
      </c>
      <c r="C75" s="58">
        <v>4</v>
      </c>
      <c r="D75" s="59">
        <f ca="1">((100/(H67))*C75)/100</f>
        <v>1</v>
      </c>
      <c r="E75" s="83"/>
      <c r="F75" s="83"/>
      <c r="G75" s="83"/>
      <c r="H75" s="83"/>
      <c r="I75" s="16" t="s">
        <v>152</v>
      </c>
      <c r="J75" s="29">
        <f>(IF(B67&gt;2,(H67/(B67+2)+J74),0))</f>
        <v>0</v>
      </c>
    </row>
    <row r="76" spans="1:10" ht="15.75" customHeight="1" x14ac:dyDescent="0.25">
      <c r="A76" s="81" t="s">
        <v>140</v>
      </c>
      <c r="B76" s="81" t="s">
        <v>140</v>
      </c>
      <c r="C76" s="58">
        <v>4</v>
      </c>
      <c r="D76" s="59">
        <f ca="1">((100/H67)*C76)/100</f>
        <v>1</v>
      </c>
      <c r="E76" s="83"/>
      <c r="F76" s="83"/>
      <c r="G76" s="83"/>
      <c r="H76" s="83"/>
      <c r="I76" s="16" t="s">
        <v>153</v>
      </c>
      <c r="J76" s="30">
        <f>(IF(B67&gt;3,(H67/(B67+2)+J75),0))</f>
        <v>0</v>
      </c>
    </row>
    <row r="77" spans="1:10" ht="15.75" customHeight="1" x14ac:dyDescent="0.25">
      <c r="A77" s="81" t="s">
        <v>147</v>
      </c>
      <c r="B77" s="81"/>
      <c r="C77" s="58">
        <v>3</v>
      </c>
      <c r="D77" s="59">
        <f ca="1">((100/H67)*C77)/100</f>
        <v>0.75</v>
      </c>
      <c r="E77" s="83"/>
      <c r="F77" s="83"/>
      <c r="G77" s="83"/>
      <c r="H77" s="83"/>
      <c r="I77" s="16" t="s">
        <v>154</v>
      </c>
      <c r="J77" s="29">
        <f>(IF(B67&gt;4,(H67/(B67+2)+J76),0))</f>
        <v>0</v>
      </c>
    </row>
    <row r="78" spans="1:10" ht="15.75" customHeight="1" x14ac:dyDescent="0.25">
      <c r="A78" s="81" t="s">
        <v>142</v>
      </c>
      <c r="B78" s="81" t="s">
        <v>142</v>
      </c>
      <c r="C78" s="58">
        <v>2</v>
      </c>
      <c r="D78" s="59">
        <f ca="1">((100/(H67))*C78)/100</f>
        <v>0.5</v>
      </c>
      <c r="E78" s="83"/>
      <c r="F78" s="83"/>
      <c r="G78" s="83"/>
      <c r="H78" s="83"/>
      <c r="I78" s="16" t="s">
        <v>156</v>
      </c>
      <c r="J78" s="29">
        <f ca="1">(IF(B67=1,(H67/(B67+3)+J73),IF(B67=0,(H67/4+J73),IF(B67&gt;1,0))))</f>
        <v>3</v>
      </c>
    </row>
    <row r="79" spans="1:10" ht="16.5" thickBot="1" x14ac:dyDescent="0.3">
      <c r="A79" s="81" t="s">
        <v>143</v>
      </c>
      <c r="B79" s="81"/>
      <c r="C79" s="58">
        <v>0</v>
      </c>
      <c r="D79" s="59">
        <f ca="1">((100/(H67))*C79)/100</f>
        <v>0</v>
      </c>
      <c r="E79" s="83"/>
      <c r="F79" s="83"/>
      <c r="G79" s="83"/>
      <c r="H79" s="83"/>
      <c r="I79" s="16" t="s">
        <v>110</v>
      </c>
      <c r="J79" s="29">
        <f ca="1">(IF(B67&gt;1.5,(H67/(B67+2)+J73+MAX(0,J74-J73)+MAX(0,J75-J74)+MAX(0,J76-J75)+MAX(0,J77-J76)+MAX(0,J78-J77)),IF(B67=1,(H67/(B67+3)+J78),IF(B67=0,H67/4+J78))))</f>
        <v>4</v>
      </c>
    </row>
    <row r="80" spans="1:10" ht="15.75" customHeight="1" x14ac:dyDescent="0.25">
      <c r="A80" s="71" t="s">
        <v>149</v>
      </c>
      <c r="B80" s="72"/>
      <c r="C80" s="73" t="s">
        <v>215</v>
      </c>
      <c r="D80" s="74"/>
      <c r="E80" s="74"/>
      <c r="F80" s="74"/>
      <c r="G80" s="74"/>
      <c r="H80" s="75"/>
      <c r="I80" s="44" t="str">
        <f ca="1">IF(D93=100%,"All work Completed. Possession granted to the Building.",IF(D92=100%,"All work Completed, Waiting for OC",I81&amp;""&amp;I82&amp;""&amp;J81&amp;""&amp;J80&amp;" "&amp;J82))</f>
        <v xml:space="preserve">Excavation Completed, Plinth work is process </v>
      </c>
      <c r="J80" s="45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/>
      </c>
    </row>
    <row r="81" spans="1:10" x14ac:dyDescent="0.25">
      <c r="A81" s="17" t="s">
        <v>151</v>
      </c>
      <c r="B81" s="65">
        <v>0</v>
      </c>
      <c r="C81" s="65" t="s">
        <v>76</v>
      </c>
      <c r="D81" s="65">
        <v>1</v>
      </c>
      <c r="E81" s="65" t="s">
        <v>75</v>
      </c>
      <c r="F81" s="65">
        <v>0</v>
      </c>
      <c r="G81" s="65" t="s">
        <v>85</v>
      </c>
      <c r="H81" s="18">
        <f ca="1">--TRIM(RIGHT(SUBSTITUTE(LEFT(C80,_xlfn.AGGREGATE(16,6,FIND({0,1,2,3,4,5,6,7,8,9},C80,ROW(INDIRECT("1:"&amp;LEN(C80)))),1))," ",REPT(" ",LEN(C80))),LEN(C80)))</f>
        <v>4</v>
      </c>
      <c r="I81" s="46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</v>
      </c>
      <c r="J81" s="47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>, Plinth work is process</v>
      </c>
    </row>
    <row r="82" spans="1:10" x14ac:dyDescent="0.25">
      <c r="A82" s="76" t="s">
        <v>95</v>
      </c>
      <c r="B82" s="77"/>
      <c r="C82" s="78" t="str">
        <f ca="1">(IF($G$52="NA",I80,"All work Completed. OC Received."))</f>
        <v xml:space="preserve">Excavation Completed, Plinth work is process </v>
      </c>
      <c r="D82" s="78"/>
      <c r="E82" s="78"/>
      <c r="F82" s="78"/>
      <c r="G82" s="78"/>
      <c r="H82" s="79"/>
      <c r="I82" s="46" t="str">
        <f ca="1">IF(I81&lt;&gt;""," Completed","")</f>
        <v xml:space="preserve"> Completed</v>
      </c>
      <c r="J82" s="47" t="str">
        <f ca="1">IF(J80&lt;&gt;"","Completed","")</f>
        <v/>
      </c>
    </row>
    <row r="83" spans="1:10" ht="15.75" customHeight="1" x14ac:dyDescent="0.25">
      <c r="A83" s="80" t="s">
        <v>52</v>
      </c>
      <c r="B83" s="81"/>
      <c r="C83" s="64" t="s">
        <v>148</v>
      </c>
      <c r="D83" s="64" t="s">
        <v>88</v>
      </c>
      <c r="E83" s="81" t="s">
        <v>90</v>
      </c>
      <c r="F83" s="81"/>
      <c r="G83" s="81" t="s">
        <v>89</v>
      </c>
      <c r="H83" s="82"/>
      <c r="I83" s="16" t="s">
        <v>150</v>
      </c>
      <c r="J83" s="27">
        <f ca="1">H81*25%</f>
        <v>1</v>
      </c>
    </row>
    <row r="84" spans="1:10" x14ac:dyDescent="0.25">
      <c r="A84" s="81" t="s">
        <v>137</v>
      </c>
      <c r="B84" s="81"/>
      <c r="C84" s="64">
        <f ca="1">J85</f>
        <v>4</v>
      </c>
      <c r="D84" s="59">
        <f ca="1">((100/H81)*C84)/100</f>
        <v>1</v>
      </c>
      <c r="E84" s="83">
        <f ca="1">(((C85/H81*10)+(40/(D81+F81+H81)*C86)+(7.5/(H81)*C87)+(7.5/(H81)*C88)+(10/H81*C89)+(10/H81*C90)+(5/H81*C91)+(5/H81*C92)+(5/H81*C93))/100)</f>
        <v>7.4999999999999997E-2</v>
      </c>
      <c r="F84" s="83"/>
      <c r="G84" s="83">
        <f ca="1">((((C84/H81)*20)+((C85/H81)*25)+(30/(H81+F81+D81)*C86)+(5/H81*C87)+(5/H81*C88)+(5/H81*C89)+(5/H81*C90)+(0/H81*C91)+(0/H81*C92)+(5/H81*C93))/100)</f>
        <v>0.38750000000000001</v>
      </c>
      <c r="H84" s="83"/>
      <c r="I84" s="16" t="s">
        <v>106</v>
      </c>
      <c r="J84" s="28">
        <f ca="1">H81*50%</f>
        <v>2</v>
      </c>
    </row>
    <row r="85" spans="1:10" x14ac:dyDescent="0.25">
      <c r="A85" s="81" t="s">
        <v>53</v>
      </c>
      <c r="B85" s="81"/>
      <c r="C85" s="60">
        <f ca="1">J92</f>
        <v>3</v>
      </c>
      <c r="D85" s="59">
        <f ca="1">((100/H81)*C85)/100</f>
        <v>0.75</v>
      </c>
      <c r="E85" s="83"/>
      <c r="F85" s="83"/>
      <c r="G85" s="83"/>
      <c r="H85" s="83"/>
      <c r="I85" s="16" t="s">
        <v>107</v>
      </c>
      <c r="J85" s="28">
        <f ca="1">H81</f>
        <v>4</v>
      </c>
    </row>
    <row r="86" spans="1:10" ht="15.75" customHeight="1" x14ac:dyDescent="0.25">
      <c r="A86" s="81" t="s">
        <v>138</v>
      </c>
      <c r="B86" s="81"/>
      <c r="C86" s="64">
        <v>0</v>
      </c>
      <c r="D86" s="59">
        <f ca="1">((100/(D81+F81+H81))*C86)/100</f>
        <v>0</v>
      </c>
      <c r="E86" s="83"/>
      <c r="F86" s="83"/>
      <c r="G86" s="83"/>
      <c r="H86" s="83"/>
      <c r="I86" s="16" t="s">
        <v>108</v>
      </c>
      <c r="J86" s="29">
        <f ca="1">(IF(B81&gt;1,(H81/(B81+2)),H81/4))</f>
        <v>1</v>
      </c>
    </row>
    <row r="87" spans="1:10" ht="15.75" customHeight="1" x14ac:dyDescent="0.25">
      <c r="A87" s="81" t="s">
        <v>145</v>
      </c>
      <c r="B87" s="81" t="s">
        <v>139</v>
      </c>
      <c r="C87" s="64">
        <v>0</v>
      </c>
      <c r="D87" s="59">
        <f ca="1">((100/H81)*C87)/100</f>
        <v>0</v>
      </c>
      <c r="E87" s="83"/>
      <c r="F87" s="83"/>
      <c r="G87" s="83"/>
      <c r="H87" s="83"/>
      <c r="I87" s="16" t="s">
        <v>109</v>
      </c>
      <c r="J87" s="29">
        <f ca="1">(IF(B81&gt;1,(H81/(B81+2)+J86),H81/4+J86))</f>
        <v>2</v>
      </c>
    </row>
    <row r="88" spans="1:10" ht="15.75" customHeight="1" x14ac:dyDescent="0.25">
      <c r="A88" s="81" t="s">
        <v>146</v>
      </c>
      <c r="B88" s="81" t="s">
        <v>139</v>
      </c>
      <c r="C88" s="64">
        <v>0</v>
      </c>
      <c r="D88" s="59">
        <f ca="1">((100/H81)*C88)/100</f>
        <v>0</v>
      </c>
      <c r="E88" s="83"/>
      <c r="F88" s="83"/>
      <c r="G88" s="83"/>
      <c r="H88" s="83"/>
      <c r="I88" s="16" t="s">
        <v>155</v>
      </c>
      <c r="J88" s="29">
        <f>(IF(B81&gt;1,(H81/(B81+2)+J87),0))</f>
        <v>0</v>
      </c>
    </row>
    <row r="89" spans="1:10" ht="15" customHeight="1" x14ac:dyDescent="0.25">
      <c r="A89" s="81" t="s">
        <v>144</v>
      </c>
      <c r="B89" s="81" t="s">
        <v>141</v>
      </c>
      <c r="C89" s="64">
        <v>0</v>
      </c>
      <c r="D89" s="59">
        <f ca="1">((100/(H81))*C89)/100</f>
        <v>0</v>
      </c>
      <c r="E89" s="83"/>
      <c r="F89" s="83"/>
      <c r="G89" s="83"/>
      <c r="H89" s="83"/>
      <c r="I89" s="16" t="s">
        <v>152</v>
      </c>
      <c r="J89" s="29">
        <f>(IF(B81&gt;2,(H81/(B81+2)+J88),0))</f>
        <v>0</v>
      </c>
    </row>
    <row r="90" spans="1:10" ht="15.75" customHeight="1" x14ac:dyDescent="0.25">
      <c r="A90" s="81" t="s">
        <v>140</v>
      </c>
      <c r="B90" s="81" t="s">
        <v>140</v>
      </c>
      <c r="C90" s="64">
        <v>0</v>
      </c>
      <c r="D90" s="59">
        <f ca="1">((100/H81)*C90)/100</f>
        <v>0</v>
      </c>
      <c r="E90" s="83"/>
      <c r="F90" s="83"/>
      <c r="G90" s="83"/>
      <c r="H90" s="83"/>
      <c r="I90" s="16" t="s">
        <v>153</v>
      </c>
      <c r="J90" s="30">
        <f>(IF(B81&gt;3,(H81/(B81+2)+J89),0))</f>
        <v>0</v>
      </c>
    </row>
    <row r="91" spans="1:10" ht="15.75" customHeight="1" x14ac:dyDescent="0.25">
      <c r="A91" s="81" t="s">
        <v>147</v>
      </c>
      <c r="B91" s="81"/>
      <c r="C91" s="64">
        <v>0</v>
      </c>
      <c r="D91" s="59">
        <f ca="1">((100/H81)*C91)/100</f>
        <v>0</v>
      </c>
      <c r="E91" s="83"/>
      <c r="F91" s="83"/>
      <c r="G91" s="83"/>
      <c r="H91" s="83"/>
      <c r="I91" s="16" t="s">
        <v>154</v>
      </c>
      <c r="J91" s="29">
        <f>(IF(B81&gt;4,(H81/(B81+2)+J90),0))</f>
        <v>0</v>
      </c>
    </row>
    <row r="92" spans="1:10" ht="15.75" customHeight="1" x14ac:dyDescent="0.25">
      <c r="A92" s="81" t="s">
        <v>142</v>
      </c>
      <c r="B92" s="81" t="s">
        <v>142</v>
      </c>
      <c r="C92" s="64">
        <v>0</v>
      </c>
      <c r="D92" s="59">
        <f ca="1">((100/(H81))*C92)/100</f>
        <v>0</v>
      </c>
      <c r="E92" s="83"/>
      <c r="F92" s="83"/>
      <c r="G92" s="83"/>
      <c r="H92" s="83"/>
      <c r="I92" s="16" t="s">
        <v>156</v>
      </c>
      <c r="J92" s="29">
        <f ca="1">(IF(B81=1,(H81/(B81+3)+J87),IF(B81=0,(H81/4+J87),IF(B81&gt;1,0))))</f>
        <v>3</v>
      </c>
    </row>
    <row r="93" spans="1:10" ht="16.5" thickBot="1" x14ac:dyDescent="0.3">
      <c r="A93" s="81" t="s">
        <v>143</v>
      </c>
      <c r="B93" s="81"/>
      <c r="C93" s="64">
        <v>0</v>
      </c>
      <c r="D93" s="59">
        <f ca="1">((100/(H81))*C93)/100</f>
        <v>0</v>
      </c>
      <c r="E93" s="83"/>
      <c r="F93" s="83"/>
      <c r="G93" s="83"/>
      <c r="H93" s="83"/>
      <c r="I93" s="16" t="s">
        <v>110</v>
      </c>
      <c r="J93" s="29">
        <f ca="1">(IF(B81&gt;1.5,(H81/(B81+2)+J87+MAX(0,J88-J87)+MAX(0,J89-J88)+MAX(0,J90-J89)+MAX(0,J91-J90)+MAX(0,J92-J91)),IF(B81=1,(H81/(B81+3)+J92),IF(B81=0,H81/4+J92))))</f>
        <v>4</v>
      </c>
    </row>
    <row r="94" spans="1:10" ht="15.75" customHeight="1" x14ac:dyDescent="0.25">
      <c r="A94" s="71" t="s">
        <v>149</v>
      </c>
      <c r="B94" s="72"/>
      <c r="C94" s="73" t="s">
        <v>216</v>
      </c>
      <c r="D94" s="74"/>
      <c r="E94" s="74"/>
      <c r="F94" s="74"/>
      <c r="G94" s="74"/>
      <c r="H94" s="75"/>
      <c r="I94" s="44" t="str">
        <f ca="1">IF(D107=100%,"All work Completed. Possession granted to the Building.",IF(D106=100%,"All work Completed, Waiting for OC",I95&amp;""&amp;I96&amp;""&amp;J95&amp;""&amp;J94&amp;" "&amp;J96))</f>
        <v>Excavation, Plinth, RCC Slab, Brickwork, Internal Plaster Completed, External Plaster upto 3 Floor Completed</v>
      </c>
      <c r="J94" s="45" t="str">
        <f ca="1">(IF(C100=(D95+F95+H95),"",IF(C100&gt;0,", RCC upto "&amp;C100&amp;" Slab","")))&amp;(IF(C101=H95,"",IF(C101&gt;0,", Brickwork upto "&amp;C101&amp;" Floor","")))&amp;(IF(C102=H95,"",IF(C102&gt;0,", Internal Plaster upto "&amp;C102&amp;" Floor","")))&amp;(IF(C103=H95,"",IF(C103&gt;0,", External Plaster upto "&amp;C103&amp;" Floor","")))&amp;(IF(C104=H95,"",IF(C104&gt;0,", Flooring upto "&amp;C104&amp;" Floor","")))&amp;(IF(C105=H95,"",IF(C105&gt;0,", Painting upto "&amp;C105&amp;" Floor","")))&amp;(IF(C106=H95,"",IF(C106&gt;0,", Finishing upto "&amp;C106&amp;" Floor","")))&amp;(IF(C107=H95,"",IF(C107&gt;0,", Possession upto "&amp;C107&amp;" Floor","")))</f>
        <v>, External Plaster upto 3 Floor</v>
      </c>
    </row>
    <row r="95" spans="1:10" x14ac:dyDescent="0.25">
      <c r="A95" s="17" t="s">
        <v>151</v>
      </c>
      <c r="B95" s="63">
        <v>0</v>
      </c>
      <c r="C95" s="63" t="s">
        <v>76</v>
      </c>
      <c r="D95" s="63">
        <v>1</v>
      </c>
      <c r="E95" s="63" t="s">
        <v>75</v>
      </c>
      <c r="F95" s="63">
        <v>0</v>
      </c>
      <c r="G95" s="63" t="s">
        <v>85</v>
      </c>
      <c r="H95" s="18">
        <f ca="1">--TRIM(RIGHT(SUBSTITUTE(LEFT(C94,_xlfn.AGGREGATE(16,6,FIND({0,1,2,3,4,5,6,7,8,9},C94,ROW(INDIRECT("1:"&amp;LEN(C94)))),1))," ",REPT(" ",LEN(C94))),LEN(C94)))</f>
        <v>4</v>
      </c>
      <c r="I95" s="46" t="str">
        <f ca="1">IF(D98=100%,"Excavation","")&amp;IF(D99=100%,", Plinth","")&amp;IF(D100=100%,", RCC Slab","")&amp;IF(D101=100%,", Brickwork","")&amp;IF(D102=100%,", Internal Plaster","")&amp;IF(D103=100%,", External Plaster","")&amp;IF(D104=100%,", Flooring","")&amp;IF(D105=100%,", Painting","")&amp;IF(D106=100%,", Building common Amenities","")</f>
        <v>Excavation, Plinth, RCC Slab, Brickwork, Internal Plaster</v>
      </c>
      <c r="J95" s="47" t="str">
        <f ca="1">(IF(C98=0,"Work not yet Started.",IF(D98=25%,"Piling work in process",IF(D98=50%,"Excavation work in process",IF(D98=100%,"","0")))))&amp;(IF(C99=0%,"",IF(C99=J100,", Footing work is process",IF(C99=J101,", Footing work Completed",IF(C99=J102,", 1st Basement Completed",IF(C99=J103,", 1st &amp; 2nd Basement Completed",IF(C99=J104,", 1st to 3rd Basement Completed",IF(C99=J105,", 1st to 4th Basement Completed",IF(C99=J106,", Plinth work is process",IF(C99=J107,"","0"))))))))))</f>
        <v/>
      </c>
    </row>
    <row r="96" spans="1:10" ht="31.5" customHeight="1" x14ac:dyDescent="0.25">
      <c r="A96" s="76" t="s">
        <v>95</v>
      </c>
      <c r="B96" s="77"/>
      <c r="C96" s="78" t="str">
        <f ca="1">(IF($G$52="NA",I94,"All work Completed. OC Received."))</f>
        <v>Excavation, Plinth, RCC Slab, Brickwork, Internal Plaster Completed, External Plaster upto 3 Floor Completed</v>
      </c>
      <c r="D96" s="78"/>
      <c r="E96" s="78"/>
      <c r="F96" s="78"/>
      <c r="G96" s="78"/>
      <c r="H96" s="79"/>
      <c r="I96" s="46" t="str">
        <f ca="1">IF(I95&lt;&gt;""," Completed","")</f>
        <v xml:space="preserve"> Completed</v>
      </c>
      <c r="J96" s="47" t="str">
        <f ca="1">IF(J94&lt;&gt;"","Completed","")</f>
        <v>Completed</v>
      </c>
    </row>
    <row r="97" spans="1:10" ht="15.75" customHeight="1" x14ac:dyDescent="0.25">
      <c r="A97" s="80" t="s">
        <v>52</v>
      </c>
      <c r="B97" s="81"/>
      <c r="C97" s="62" t="s">
        <v>148</v>
      </c>
      <c r="D97" s="62" t="s">
        <v>88</v>
      </c>
      <c r="E97" s="81" t="s">
        <v>90</v>
      </c>
      <c r="F97" s="81"/>
      <c r="G97" s="81" t="s">
        <v>89</v>
      </c>
      <c r="H97" s="82"/>
      <c r="I97" s="16" t="s">
        <v>150</v>
      </c>
      <c r="J97" s="27">
        <f ca="1">H95*25%</f>
        <v>1</v>
      </c>
    </row>
    <row r="98" spans="1:10" x14ac:dyDescent="0.25">
      <c r="A98" s="81" t="s">
        <v>137</v>
      </c>
      <c r="B98" s="81"/>
      <c r="C98" s="62">
        <f ca="1">J99</f>
        <v>4</v>
      </c>
      <c r="D98" s="59">
        <f ca="1">((100/H95)*C98)/100</f>
        <v>1</v>
      </c>
      <c r="E98" s="83">
        <f ca="1">(((C99/H95*10)+(40/(D95+F95+H95)*C100)+(7.5/(H95)*C101)+(7.5/(H95)*C102)+(10/H95*C103)+(10/H95*C104)+(5/H95*C105)+(5/H95*C106)+(5/H95*C107))/100)</f>
        <v>0.72499999999999998</v>
      </c>
      <c r="F98" s="83"/>
      <c r="G98" s="83">
        <f ca="1">((((C98/H95)*20)+((C99/H95)*25)+(30/(H95+F95+D95)*C100)+(5/H95*C101)+(5/H95*C102)+(5/H95*C103)+(5/H95*C104)+(0/H95*C105)+(0/H95*C106)+(5/H95*C107))/100)</f>
        <v>0.88749999999999996</v>
      </c>
      <c r="H98" s="83"/>
      <c r="I98" s="16" t="s">
        <v>106</v>
      </c>
      <c r="J98" s="28">
        <f ca="1">H95*50%</f>
        <v>2</v>
      </c>
    </row>
    <row r="99" spans="1:10" x14ac:dyDescent="0.25">
      <c r="A99" s="81" t="s">
        <v>53</v>
      </c>
      <c r="B99" s="81"/>
      <c r="C99" s="60">
        <v>4</v>
      </c>
      <c r="D99" s="59">
        <f ca="1">((100/H95)*C99)/100</f>
        <v>1</v>
      </c>
      <c r="E99" s="83"/>
      <c r="F99" s="83"/>
      <c r="G99" s="83"/>
      <c r="H99" s="83"/>
      <c r="I99" s="16" t="s">
        <v>107</v>
      </c>
      <c r="J99" s="28">
        <f ca="1">H95</f>
        <v>4</v>
      </c>
    </row>
    <row r="100" spans="1:10" ht="15.75" customHeight="1" x14ac:dyDescent="0.25">
      <c r="A100" s="81" t="s">
        <v>138</v>
      </c>
      <c r="B100" s="81"/>
      <c r="C100" s="62">
        <v>5</v>
      </c>
      <c r="D100" s="59">
        <f ca="1">((100/(D95+F95+H95))*C100)/100</f>
        <v>1</v>
      </c>
      <c r="E100" s="83"/>
      <c r="F100" s="83"/>
      <c r="G100" s="83"/>
      <c r="H100" s="83"/>
      <c r="I100" s="16" t="s">
        <v>108</v>
      </c>
      <c r="J100" s="29">
        <f ca="1">(IF(B95&gt;1,(H95/(B95+2)),H95/4))</f>
        <v>1</v>
      </c>
    </row>
    <row r="101" spans="1:10" ht="15.75" customHeight="1" x14ac:dyDescent="0.25">
      <c r="A101" s="81" t="s">
        <v>145</v>
      </c>
      <c r="B101" s="81" t="s">
        <v>139</v>
      </c>
      <c r="C101" s="62">
        <v>4</v>
      </c>
      <c r="D101" s="59">
        <f ca="1">((100/H95)*C101)/100</f>
        <v>1</v>
      </c>
      <c r="E101" s="83"/>
      <c r="F101" s="83"/>
      <c r="G101" s="83"/>
      <c r="H101" s="83"/>
      <c r="I101" s="16" t="s">
        <v>109</v>
      </c>
      <c r="J101" s="29">
        <f ca="1">(IF(B95&gt;1,(H95/(B95+2)+J100),H95/4+J100))</f>
        <v>2</v>
      </c>
    </row>
    <row r="102" spans="1:10" ht="15.75" customHeight="1" x14ac:dyDescent="0.25">
      <c r="A102" s="81" t="s">
        <v>146</v>
      </c>
      <c r="B102" s="81" t="s">
        <v>139</v>
      </c>
      <c r="C102" s="62">
        <v>4</v>
      </c>
      <c r="D102" s="59">
        <f ca="1">((100/H95)*C102)/100</f>
        <v>1</v>
      </c>
      <c r="E102" s="83"/>
      <c r="F102" s="83"/>
      <c r="G102" s="83"/>
      <c r="H102" s="83"/>
      <c r="I102" s="16" t="s">
        <v>155</v>
      </c>
      <c r="J102" s="29">
        <f>(IF(B95&gt;1,(H95/(B95+2)+J101),0))</f>
        <v>0</v>
      </c>
    </row>
    <row r="103" spans="1:10" ht="15" customHeight="1" x14ac:dyDescent="0.25">
      <c r="A103" s="81" t="s">
        <v>144</v>
      </c>
      <c r="B103" s="81" t="s">
        <v>141</v>
      </c>
      <c r="C103" s="62">
        <v>3</v>
      </c>
      <c r="D103" s="59">
        <f ca="1">((100/(H95))*C103)/100</f>
        <v>0.75</v>
      </c>
      <c r="E103" s="83"/>
      <c r="F103" s="83"/>
      <c r="G103" s="83"/>
      <c r="H103" s="83"/>
      <c r="I103" s="16" t="s">
        <v>152</v>
      </c>
      <c r="J103" s="29">
        <f>(IF(B95&gt;2,(H95/(B95+2)+J102),0))</f>
        <v>0</v>
      </c>
    </row>
    <row r="104" spans="1:10" ht="15.75" customHeight="1" x14ac:dyDescent="0.25">
      <c r="A104" s="81" t="s">
        <v>140</v>
      </c>
      <c r="B104" s="81" t="s">
        <v>140</v>
      </c>
      <c r="C104" s="62">
        <v>0</v>
      </c>
      <c r="D104" s="59">
        <f ca="1">((100/H95)*C104)/100</f>
        <v>0</v>
      </c>
      <c r="E104" s="83"/>
      <c r="F104" s="83"/>
      <c r="G104" s="83"/>
      <c r="H104" s="83"/>
      <c r="I104" s="16" t="s">
        <v>153</v>
      </c>
      <c r="J104" s="30">
        <f>(IF(B95&gt;3,(H95/(B95+2)+J103),0))</f>
        <v>0</v>
      </c>
    </row>
    <row r="105" spans="1:10" ht="15.75" customHeight="1" x14ac:dyDescent="0.25">
      <c r="A105" s="81" t="s">
        <v>147</v>
      </c>
      <c r="B105" s="81"/>
      <c r="C105" s="62">
        <v>0</v>
      </c>
      <c r="D105" s="59">
        <f ca="1">((100/H95)*C105)/100</f>
        <v>0</v>
      </c>
      <c r="E105" s="83"/>
      <c r="F105" s="83"/>
      <c r="G105" s="83"/>
      <c r="H105" s="83"/>
      <c r="I105" s="16" t="s">
        <v>154</v>
      </c>
      <c r="J105" s="29">
        <f>(IF(B95&gt;4,(H95/(B95+2)+J104),0))</f>
        <v>0</v>
      </c>
    </row>
    <row r="106" spans="1:10" ht="15.75" customHeight="1" x14ac:dyDescent="0.25">
      <c r="A106" s="81" t="s">
        <v>142</v>
      </c>
      <c r="B106" s="81" t="s">
        <v>142</v>
      </c>
      <c r="C106" s="62">
        <v>0</v>
      </c>
      <c r="D106" s="59">
        <f ca="1">((100/(H95))*C106)/100</f>
        <v>0</v>
      </c>
      <c r="E106" s="83"/>
      <c r="F106" s="83"/>
      <c r="G106" s="83"/>
      <c r="H106" s="83"/>
      <c r="I106" s="16" t="s">
        <v>156</v>
      </c>
      <c r="J106" s="29">
        <f ca="1">(IF(B95=1,(H95/(B95+3)+J101),IF(B95=0,(H95/4+J101),IF(B95&gt;1,0))))</f>
        <v>3</v>
      </c>
    </row>
    <row r="107" spans="1:10" x14ac:dyDescent="0.25">
      <c r="A107" s="81" t="s">
        <v>143</v>
      </c>
      <c r="B107" s="81"/>
      <c r="C107" s="62">
        <v>0</v>
      </c>
      <c r="D107" s="59">
        <f ca="1">((100/(H95))*C107)/100</f>
        <v>0</v>
      </c>
      <c r="E107" s="83"/>
      <c r="F107" s="83"/>
      <c r="G107" s="83"/>
      <c r="H107" s="83"/>
      <c r="I107" s="16" t="s">
        <v>110</v>
      </c>
      <c r="J107" s="29">
        <f ca="1">(IF(B95&gt;1.5,(H95/(B95+2)+J101+MAX(0,J102-J101)+MAX(0,J103-J102)+MAX(0,J104-J103)+MAX(0,J105-J104)+MAX(0,J106-J105)),IF(B95=1,(H95/(B95+3)+J106),IF(B95=0,H95/4+J106))))</f>
        <v>4</v>
      </c>
    </row>
    <row r="108" spans="1:10" s="61" customFormat="1" x14ac:dyDescent="0.25">
      <c r="A108" s="149" t="s">
        <v>167</v>
      </c>
      <c r="B108" s="149"/>
      <c r="C108" s="149"/>
      <c r="D108" s="149"/>
      <c r="E108" s="149"/>
      <c r="F108" s="124" t="s">
        <v>172</v>
      </c>
      <c r="G108" s="124"/>
      <c r="H108" s="124"/>
    </row>
    <row r="109" spans="1:10" x14ac:dyDescent="0.25">
      <c r="A109" s="112" t="s">
        <v>170</v>
      </c>
      <c r="B109" s="112"/>
      <c r="C109" s="112"/>
      <c r="D109" s="112"/>
      <c r="E109" s="112"/>
      <c r="F109" s="123">
        <v>3500</v>
      </c>
      <c r="G109" s="123"/>
      <c r="H109" s="123"/>
    </row>
    <row r="110" spans="1:10" x14ac:dyDescent="0.25">
      <c r="A110" s="112" t="s">
        <v>169</v>
      </c>
      <c r="B110" s="112"/>
      <c r="C110" s="112"/>
      <c r="D110" s="112"/>
      <c r="E110" s="112"/>
      <c r="F110" s="123">
        <v>7000</v>
      </c>
      <c r="G110" s="123"/>
      <c r="H110" s="123"/>
    </row>
    <row r="111" spans="1:10" hidden="1" x14ac:dyDescent="0.25">
      <c r="A111" s="112" t="s">
        <v>171</v>
      </c>
      <c r="B111" s="112"/>
      <c r="C111" s="112"/>
      <c r="D111" s="112"/>
      <c r="E111" s="112"/>
      <c r="F111" s="123"/>
      <c r="G111" s="123"/>
      <c r="H111" s="123"/>
    </row>
    <row r="112" spans="1:10" s="31" customFormat="1" hidden="1" x14ac:dyDescent="0.25">
      <c r="A112" s="112" t="s">
        <v>168</v>
      </c>
      <c r="B112" s="112"/>
      <c r="C112" s="112"/>
      <c r="D112" s="112"/>
      <c r="E112" s="112"/>
      <c r="F112" s="123"/>
      <c r="G112" s="123"/>
      <c r="H112" s="123"/>
    </row>
    <row r="113" spans="1:9" s="31" customFormat="1" x14ac:dyDescent="0.25">
      <c r="A113" s="112" t="s">
        <v>100</v>
      </c>
      <c r="B113" s="112"/>
      <c r="C113" s="112"/>
      <c r="D113" s="112"/>
      <c r="E113" s="112"/>
      <c r="F113" s="123">
        <v>150000</v>
      </c>
      <c r="G113" s="123"/>
      <c r="H113" s="123"/>
    </row>
    <row r="114" spans="1:9" s="31" customFormat="1" hidden="1" x14ac:dyDescent="0.25">
      <c r="A114" s="112" t="s">
        <v>101</v>
      </c>
      <c r="B114" s="112"/>
      <c r="C114" s="112"/>
      <c r="D114" s="112"/>
      <c r="E114" s="112"/>
      <c r="F114" s="123"/>
      <c r="G114" s="123"/>
      <c r="H114" s="123"/>
    </row>
    <row r="115" spans="1:9" s="31" customFormat="1" hidden="1" x14ac:dyDescent="0.25">
      <c r="A115" s="112" t="s">
        <v>173</v>
      </c>
      <c r="B115" s="112"/>
      <c r="C115" s="112"/>
      <c r="D115" s="112"/>
      <c r="E115" s="112"/>
      <c r="F115" s="123"/>
      <c r="G115" s="123"/>
      <c r="H115" s="123"/>
    </row>
    <row r="116" spans="1:9" s="31" customFormat="1" hidden="1" x14ac:dyDescent="0.25">
      <c r="A116" s="112" t="s">
        <v>102</v>
      </c>
      <c r="B116" s="112"/>
      <c r="C116" s="112"/>
      <c r="D116" s="112"/>
      <c r="E116" s="112"/>
      <c r="F116" s="123"/>
      <c r="G116" s="123"/>
      <c r="H116" s="123"/>
    </row>
    <row r="117" spans="1:9" s="31" customFormat="1" hidden="1" x14ac:dyDescent="0.25">
      <c r="A117" s="112" t="s">
        <v>103</v>
      </c>
      <c r="B117" s="112"/>
      <c r="C117" s="112"/>
      <c r="D117" s="112"/>
      <c r="E117" s="112"/>
      <c r="F117" s="123"/>
      <c r="G117" s="123"/>
      <c r="H117" s="123"/>
    </row>
    <row r="118" spans="1:9" s="31" customFormat="1" hidden="1" x14ac:dyDescent="0.25">
      <c r="A118" s="112" t="s">
        <v>104</v>
      </c>
      <c r="B118" s="112"/>
      <c r="C118" s="112"/>
      <c r="D118" s="112"/>
      <c r="E118" s="112"/>
      <c r="F118" s="123"/>
      <c r="G118" s="123"/>
      <c r="H118" s="123"/>
      <c r="I118" s="31">
        <f>2240000/560</f>
        <v>4000</v>
      </c>
    </row>
    <row r="119" spans="1:9" s="31" customFormat="1" hidden="1" x14ac:dyDescent="0.25">
      <c r="A119" s="112" t="s">
        <v>105</v>
      </c>
      <c r="B119" s="112"/>
      <c r="C119" s="112"/>
      <c r="D119" s="112"/>
      <c r="E119" s="112"/>
      <c r="F119" s="123"/>
      <c r="G119" s="123"/>
      <c r="H119" s="123"/>
    </row>
    <row r="120" spans="1:9" x14ac:dyDescent="0.25">
      <c r="A120" s="112" t="s">
        <v>54</v>
      </c>
      <c r="B120" s="112"/>
      <c r="C120" s="112"/>
      <c r="D120" s="112"/>
      <c r="E120" s="112"/>
      <c r="F120" s="123">
        <v>100000</v>
      </c>
      <c r="G120" s="123"/>
      <c r="H120" s="123"/>
    </row>
    <row r="121" spans="1:9" s="32" customFormat="1" x14ac:dyDescent="0.25">
      <c r="A121" s="149" t="s">
        <v>55</v>
      </c>
      <c r="B121" s="149"/>
      <c r="C121" s="149"/>
      <c r="D121" s="149"/>
      <c r="E121" s="149"/>
      <c r="F121" s="123">
        <f>F109*0.8</f>
        <v>2800</v>
      </c>
      <c r="G121" s="123"/>
      <c r="H121" s="123"/>
    </row>
    <row r="122" spans="1:9" s="33" customFormat="1" ht="15.75" customHeight="1" x14ac:dyDescent="0.25">
      <c r="A122" s="148" t="s">
        <v>80</v>
      </c>
      <c r="B122" s="148"/>
      <c r="C122" s="148"/>
      <c r="D122" s="148"/>
      <c r="E122" s="148"/>
      <c r="F122" s="148"/>
      <c r="G122" s="148"/>
      <c r="H122" s="148"/>
    </row>
    <row r="123" spans="1:9" s="33" customFormat="1" ht="15.75" customHeight="1" x14ac:dyDescent="0.25">
      <c r="A123" s="114" t="s">
        <v>56</v>
      </c>
      <c r="B123" s="114"/>
      <c r="C123" s="141" t="s">
        <v>83</v>
      </c>
      <c r="D123" s="141"/>
      <c r="E123" s="140" t="s">
        <v>57</v>
      </c>
      <c r="F123" s="140"/>
      <c r="G123" s="114" t="s">
        <v>58</v>
      </c>
      <c r="H123" s="114"/>
    </row>
    <row r="124" spans="1:9" s="33" customFormat="1" x14ac:dyDescent="0.25">
      <c r="A124" s="84" t="s">
        <v>196</v>
      </c>
      <c r="B124" s="84"/>
      <c r="C124" s="85">
        <f>COUNT(D137:D142)</f>
        <v>6</v>
      </c>
      <c r="D124" s="85"/>
      <c r="E124" s="86">
        <f>SUM(D137:D142)</f>
        <v>657.46511999999996</v>
      </c>
      <c r="F124" s="87"/>
      <c r="G124" s="86">
        <f>SUM(F137:F142)</f>
        <v>986.19767999999999</v>
      </c>
      <c r="H124" s="87"/>
    </row>
    <row r="125" spans="1:9" s="33" customFormat="1" x14ac:dyDescent="0.25">
      <c r="A125" s="148" t="s">
        <v>74</v>
      </c>
      <c r="B125" s="148"/>
      <c r="C125" s="148"/>
      <c r="D125" s="148"/>
      <c r="E125" s="148"/>
      <c r="F125" s="148"/>
      <c r="G125" s="148"/>
      <c r="H125" s="148"/>
    </row>
    <row r="126" spans="1:9" s="33" customFormat="1" ht="15.75" customHeight="1" x14ac:dyDescent="0.25">
      <c r="A126" s="114" t="s">
        <v>56</v>
      </c>
      <c r="B126" s="114"/>
      <c r="C126" s="141" t="s">
        <v>83</v>
      </c>
      <c r="D126" s="141"/>
      <c r="E126" s="140" t="s">
        <v>57</v>
      </c>
      <c r="F126" s="140"/>
      <c r="G126" s="114" t="s">
        <v>58</v>
      </c>
      <c r="H126" s="114"/>
    </row>
    <row r="127" spans="1:9" s="33" customFormat="1" x14ac:dyDescent="0.25">
      <c r="A127" s="84" t="s">
        <v>186</v>
      </c>
      <c r="B127" s="84"/>
      <c r="C127" s="85">
        <f>COUNT(D149:D152)+COUNT(D154:D157)*2+COUNT(D159:D162)</f>
        <v>16</v>
      </c>
      <c r="D127" s="85"/>
      <c r="E127" s="86">
        <f>SUM(D149:D152)+SUM(D154:D157)*2+SUM(D159:D162)</f>
        <v>4358.0960279999999</v>
      </c>
      <c r="F127" s="87"/>
      <c r="G127" s="86">
        <f>SUM(F149:F152)+SUM(F154:F157)*2+SUM(F159:F162)</f>
        <v>6559.6747085999996</v>
      </c>
      <c r="H127" s="87"/>
    </row>
    <row r="128" spans="1:9" s="33" customFormat="1" x14ac:dyDescent="0.25">
      <c r="A128" s="84" t="s">
        <v>187</v>
      </c>
      <c r="B128" s="84"/>
      <c r="C128" s="85">
        <f>COUNT(D165:D166,D168:D174)+COUNT(D176:D182)*2+COUNT(D184,D188)</f>
        <v>25</v>
      </c>
      <c r="D128" s="85"/>
      <c r="E128" s="86">
        <f>SUM(D165:D166,D168:D174)+SUM(D176:D182)*2+SUM(D184,D188)</f>
        <v>6829.2822311999989</v>
      </c>
      <c r="F128" s="87"/>
      <c r="G128" s="86">
        <f>SUM(F165:F166,F168:F174)+SUM(F176:F182)*2+SUM(F184,F188)</f>
        <v>9902.4592352399977</v>
      </c>
      <c r="H128" s="87"/>
    </row>
    <row r="129" spans="1:14" s="33" customFormat="1" x14ac:dyDescent="0.25">
      <c r="A129" s="84" t="s">
        <v>207</v>
      </c>
      <c r="B129" s="84"/>
      <c r="C129" s="85">
        <f>COUNT(D193)+COUNT(D195:D198)+COUNT(D200:D203)*3+COUNT(D205:D208)</f>
        <v>21</v>
      </c>
      <c r="D129" s="85"/>
      <c r="E129" s="86">
        <f>SUM(D193)+SUM(D195:D198)+SUM(D200:D203)*3+SUM(D205:D208)</f>
        <v>5724.2865887999997</v>
      </c>
      <c r="F129" s="87"/>
      <c r="G129" s="86">
        <f>SUM(F193)+SUM(F195:F198)+SUM(F200:F203)*3+SUM(F205:F208)</f>
        <v>8527.3897737599982</v>
      </c>
      <c r="H129" s="87"/>
    </row>
    <row r="130" spans="1:14" s="33" customFormat="1" x14ac:dyDescent="0.25">
      <c r="A130" s="148" t="s">
        <v>160</v>
      </c>
      <c r="B130" s="148"/>
      <c r="C130" s="141">
        <f>SUM(C127:D129)</f>
        <v>62</v>
      </c>
      <c r="D130" s="141"/>
      <c r="E130" s="167">
        <f>SUM(E127:F129)</f>
        <v>16911.664848</v>
      </c>
      <c r="F130" s="140"/>
      <c r="G130" s="114">
        <f>SUM(G127:H129)</f>
        <v>24989.523717599994</v>
      </c>
      <c r="H130" s="114"/>
    </row>
    <row r="131" spans="1:14" s="32" customFormat="1" x14ac:dyDescent="0.25">
      <c r="A131" s="124" t="s">
        <v>59</v>
      </c>
      <c r="B131" s="124"/>
      <c r="C131" s="124"/>
      <c r="D131" s="124"/>
      <c r="E131" s="124"/>
      <c r="F131" s="124"/>
      <c r="G131" s="124"/>
      <c r="H131" s="124"/>
    </row>
    <row r="132" spans="1:14" x14ac:dyDescent="0.25">
      <c r="A132" s="124" t="s">
        <v>60</v>
      </c>
      <c r="B132" s="124"/>
      <c r="C132" s="124"/>
      <c r="D132" s="124"/>
      <c r="E132" s="124"/>
      <c r="F132" s="124"/>
      <c r="G132" s="124"/>
      <c r="H132" s="124"/>
    </row>
    <row r="133" spans="1:14" ht="47.25" customHeight="1" x14ac:dyDescent="0.25">
      <c r="A133" s="125" t="s">
        <v>127</v>
      </c>
      <c r="B133" s="125" t="s">
        <v>126</v>
      </c>
      <c r="C133" s="125" t="s">
        <v>61</v>
      </c>
      <c r="D133" s="125" t="s">
        <v>62</v>
      </c>
      <c r="E133" s="169" t="s">
        <v>166</v>
      </c>
      <c r="F133" s="69" t="s">
        <v>159</v>
      </c>
      <c r="G133" s="125" t="s">
        <v>64</v>
      </c>
      <c r="H133" s="125"/>
    </row>
    <row r="134" spans="1:14" s="43" customFormat="1" x14ac:dyDescent="0.25">
      <c r="A134" s="125"/>
      <c r="B134" s="125"/>
      <c r="C134" s="125"/>
      <c r="D134" s="125"/>
      <c r="E134" s="169"/>
      <c r="F134" s="70">
        <v>0.5</v>
      </c>
      <c r="G134" s="125"/>
      <c r="H134" s="125"/>
    </row>
    <row r="135" spans="1:14" s="49" customFormat="1" x14ac:dyDescent="0.25">
      <c r="A135" s="91" t="s">
        <v>186</v>
      </c>
      <c r="B135" s="92"/>
      <c r="C135" s="92"/>
      <c r="D135" s="92"/>
      <c r="E135" s="92"/>
      <c r="F135" s="92"/>
      <c r="G135" s="92"/>
      <c r="H135" s="93"/>
    </row>
    <row r="136" spans="1:14" s="43" customFormat="1" x14ac:dyDescent="0.25">
      <c r="A136" s="91" t="s">
        <v>125</v>
      </c>
      <c r="B136" s="92"/>
      <c r="C136" s="92"/>
      <c r="D136" s="92"/>
      <c r="E136" s="92"/>
      <c r="F136" s="92"/>
      <c r="G136" s="92"/>
      <c r="H136" s="93"/>
      <c r="J136" s="34"/>
    </row>
    <row r="137" spans="1:14" s="43" customFormat="1" x14ac:dyDescent="0.25">
      <c r="A137" s="94">
        <v>1</v>
      </c>
      <c r="B137" s="95"/>
      <c r="C137" s="40" t="s">
        <v>185</v>
      </c>
      <c r="D137" s="40">
        <f>11.52*10.764</f>
        <v>124.00127999999999</v>
      </c>
      <c r="E137" s="40">
        <v>0</v>
      </c>
      <c r="F137" s="40">
        <f>(D137+E137)*(($F$134)+1)</f>
        <v>186.00191999999998</v>
      </c>
      <c r="G137" s="94" t="str">
        <f>A136</f>
        <v>Ground Floor</v>
      </c>
      <c r="H137" s="95"/>
      <c r="I137" s="34">
        <f>2.4*4.8*10.764</f>
        <v>124.00127999999999</v>
      </c>
      <c r="L137" s="90"/>
      <c r="M137" s="90"/>
      <c r="N137" s="34"/>
    </row>
    <row r="138" spans="1:14" s="43" customFormat="1" x14ac:dyDescent="0.25">
      <c r="A138" s="94">
        <f t="shared" ref="A138:A142" si="0">A137+1</f>
        <v>2</v>
      </c>
      <c r="B138" s="95"/>
      <c r="C138" s="48" t="s">
        <v>185</v>
      </c>
      <c r="D138" s="40">
        <f>8.64*10.764</f>
        <v>93.000960000000006</v>
      </c>
      <c r="E138" s="40">
        <v>0</v>
      </c>
      <c r="F138" s="40">
        <f t="shared" ref="F138:F140" si="1">(D138+E138)*(($F$134)+1)</f>
        <v>139.50144</v>
      </c>
      <c r="G138" s="94" t="str">
        <f t="shared" ref="G138:G142" si="2">G137</f>
        <v>Ground Floor</v>
      </c>
      <c r="H138" s="95"/>
      <c r="I138" s="34"/>
      <c r="L138" s="90"/>
      <c r="M138" s="90"/>
      <c r="N138" s="34"/>
    </row>
    <row r="139" spans="1:14" s="43" customFormat="1" x14ac:dyDescent="0.25">
      <c r="A139" s="94">
        <f t="shared" si="0"/>
        <v>3</v>
      </c>
      <c r="B139" s="95"/>
      <c r="C139" s="48" t="s">
        <v>185</v>
      </c>
      <c r="D139" s="40">
        <f>12.48*10.764</f>
        <v>134.33472</v>
      </c>
      <c r="E139" s="40">
        <v>0</v>
      </c>
      <c r="F139" s="40">
        <f t="shared" si="1"/>
        <v>201.50208000000001</v>
      </c>
      <c r="G139" s="94" t="str">
        <f t="shared" si="2"/>
        <v>Ground Floor</v>
      </c>
      <c r="H139" s="95"/>
      <c r="I139" s="34"/>
      <c r="L139" s="90"/>
      <c r="M139" s="90"/>
      <c r="N139" s="34"/>
    </row>
    <row r="140" spans="1:14" s="43" customFormat="1" x14ac:dyDescent="0.25">
      <c r="A140" s="94">
        <f t="shared" si="0"/>
        <v>4</v>
      </c>
      <c r="B140" s="95"/>
      <c r="C140" s="48" t="s">
        <v>185</v>
      </c>
      <c r="D140" s="40">
        <f>12.48*10.764</f>
        <v>134.33472</v>
      </c>
      <c r="E140" s="40">
        <v>0</v>
      </c>
      <c r="F140" s="40">
        <f t="shared" si="1"/>
        <v>201.50208000000001</v>
      </c>
      <c r="G140" s="94" t="str">
        <f t="shared" si="2"/>
        <v>Ground Floor</v>
      </c>
      <c r="H140" s="95"/>
      <c r="I140" s="34"/>
      <c r="L140" s="90"/>
      <c r="M140" s="90"/>
      <c r="N140" s="34"/>
    </row>
    <row r="141" spans="1:14" s="49" customFormat="1" x14ac:dyDescent="0.25">
      <c r="A141" s="94">
        <f t="shared" si="0"/>
        <v>5</v>
      </c>
      <c r="B141" s="95"/>
      <c r="C141" s="48" t="s">
        <v>185</v>
      </c>
      <c r="D141" s="48">
        <f>6.84*10.764</f>
        <v>73.62576</v>
      </c>
      <c r="E141" s="48">
        <v>0</v>
      </c>
      <c r="F141" s="48">
        <f t="shared" ref="F141:F142" si="3">(D141+E141)*(($F$134)+1)</f>
        <v>110.43863999999999</v>
      </c>
      <c r="G141" s="94" t="str">
        <f t="shared" si="2"/>
        <v>Ground Floor</v>
      </c>
      <c r="H141" s="95"/>
      <c r="I141" s="34"/>
      <c r="L141" s="90"/>
      <c r="M141" s="90"/>
      <c r="N141" s="34"/>
    </row>
    <row r="142" spans="1:14" s="49" customFormat="1" x14ac:dyDescent="0.25">
      <c r="A142" s="94">
        <f t="shared" si="0"/>
        <v>6</v>
      </c>
      <c r="B142" s="95"/>
      <c r="C142" s="48" t="s">
        <v>185</v>
      </c>
      <c r="D142" s="48">
        <f>9.12*10.764</f>
        <v>98.16767999999999</v>
      </c>
      <c r="E142" s="48">
        <v>0</v>
      </c>
      <c r="F142" s="48">
        <f t="shared" si="3"/>
        <v>147.25151999999997</v>
      </c>
      <c r="G142" s="94" t="str">
        <f t="shared" si="2"/>
        <v>Ground Floor</v>
      </c>
      <c r="H142" s="95"/>
      <c r="I142" s="34"/>
      <c r="L142" s="90"/>
      <c r="M142" s="90"/>
      <c r="N142" s="34"/>
    </row>
    <row r="143" spans="1:14" s="43" customFormat="1" x14ac:dyDescent="0.25">
      <c r="A143" s="94"/>
      <c r="B143" s="166"/>
      <c r="C143" s="166"/>
      <c r="D143" s="166"/>
      <c r="E143" s="166"/>
      <c r="F143" s="166"/>
      <c r="G143" s="166"/>
      <c r="H143" s="95"/>
      <c r="I143" s="34"/>
      <c r="N143" s="34"/>
    </row>
    <row r="144" spans="1:14" ht="47.25" customHeight="1" x14ac:dyDescent="0.25">
      <c r="A144" s="119" t="s">
        <v>128</v>
      </c>
      <c r="B144" s="119" t="s">
        <v>129</v>
      </c>
      <c r="C144" s="115" t="s">
        <v>61</v>
      </c>
      <c r="D144" s="115" t="s">
        <v>62</v>
      </c>
      <c r="E144" s="117" t="s">
        <v>63</v>
      </c>
      <c r="F144" s="41" t="s">
        <v>159</v>
      </c>
      <c r="G144" s="119" t="s">
        <v>64</v>
      </c>
      <c r="H144" s="120"/>
      <c r="I144" s="34"/>
    </row>
    <row r="145" spans="1:16" s="43" customFormat="1" x14ac:dyDescent="0.25">
      <c r="A145" s="121"/>
      <c r="B145" s="121"/>
      <c r="C145" s="116"/>
      <c r="D145" s="116"/>
      <c r="E145" s="118"/>
      <c r="F145" s="15">
        <v>0.45</v>
      </c>
      <c r="G145" s="121"/>
      <c r="H145" s="122"/>
      <c r="I145" s="34"/>
    </row>
    <row r="146" spans="1:16" s="49" customFormat="1" x14ac:dyDescent="0.25">
      <c r="A146" s="91" t="s">
        <v>186</v>
      </c>
      <c r="B146" s="92"/>
      <c r="C146" s="92"/>
      <c r="D146" s="92"/>
      <c r="E146" s="92"/>
      <c r="F146" s="92"/>
      <c r="G146" s="92"/>
      <c r="H146" s="93"/>
      <c r="I146" s="34"/>
    </row>
    <row r="147" spans="1:16" s="51" customFormat="1" x14ac:dyDescent="0.25">
      <c r="A147" s="89" t="s">
        <v>189</v>
      </c>
      <c r="B147" s="89"/>
      <c r="C147" s="89"/>
      <c r="D147" s="89"/>
      <c r="E147" s="89"/>
      <c r="F147" s="89"/>
      <c r="G147" s="89"/>
      <c r="H147" s="89"/>
      <c r="I147" s="34"/>
    </row>
    <row r="148" spans="1:16" s="51" customFormat="1" x14ac:dyDescent="0.25">
      <c r="A148" s="89" t="s">
        <v>190</v>
      </c>
      <c r="B148" s="89"/>
      <c r="C148" s="89"/>
      <c r="D148" s="89"/>
      <c r="E148" s="89"/>
      <c r="F148" s="89"/>
      <c r="G148" s="89"/>
      <c r="H148" s="89"/>
      <c r="I148" s="34"/>
      <c r="L148" s="90"/>
      <c r="M148" s="90"/>
    </row>
    <row r="149" spans="1:16" s="51" customFormat="1" x14ac:dyDescent="0.25">
      <c r="A149" s="88">
        <f>LEFT(A148,SUM(LEN(A148)-LEN(SUBSTITUTE(A148,{"0","1","2","3","4","5","6","7","8","9"},""))))*100+1</f>
        <v>101</v>
      </c>
      <c r="B149" s="88"/>
      <c r="C149" s="50" t="s">
        <v>188</v>
      </c>
      <c r="D149" s="50">
        <f>(9.1+3.24+4.8+1.08+1.67+0.8*1.08+1*1+(1.8*0.75+2.4*1))*10.764</f>
        <v>274.52505600000001</v>
      </c>
      <c r="E149" s="50">
        <v>0</v>
      </c>
      <c r="F149" s="50">
        <f t="shared" ref="F149:F150" si="4">D149*(($F$145)+1)+(IF(E149&lt;101,E149,IF(E149&lt;201,E149/2,IF(E149&lt;=301,E149/3,E149/4))))</f>
        <v>398.06133119999998</v>
      </c>
      <c r="G149" s="88" t="str">
        <f>A148</f>
        <v>1st Floor for Residential</v>
      </c>
      <c r="H149" s="88"/>
      <c r="I149" s="34"/>
      <c r="N149" s="34"/>
    </row>
    <row r="150" spans="1:16" s="51" customFormat="1" x14ac:dyDescent="0.25">
      <c r="A150" s="88">
        <f>A149+1</f>
        <v>102</v>
      </c>
      <c r="B150" s="88"/>
      <c r="C150" s="50" t="s">
        <v>188</v>
      </c>
      <c r="D150" s="50">
        <f>(9.28+3.33+4.8+1.78+1.08+1.8*1+2.4*1)*10.764</f>
        <v>263.39508000000001</v>
      </c>
      <c r="E150" s="50">
        <f>(2.65*1.45+2.07*1.8)*10.764</f>
        <v>81.467333999999994</v>
      </c>
      <c r="F150" s="50">
        <f t="shared" si="4"/>
        <v>463.39019999999999</v>
      </c>
      <c r="G150" s="88" t="str">
        <f>G149</f>
        <v>1st Floor for Residential</v>
      </c>
      <c r="H150" s="88"/>
      <c r="I150" s="34">
        <f>1.8*1.85</f>
        <v>3.33</v>
      </c>
      <c r="N150" s="34"/>
    </row>
    <row r="151" spans="1:16" s="51" customFormat="1" x14ac:dyDescent="0.25">
      <c r="A151" s="88">
        <f>A150+1</f>
        <v>103</v>
      </c>
      <c r="B151" s="88"/>
      <c r="C151" s="50" t="s">
        <v>188</v>
      </c>
      <c r="D151" s="50">
        <f>(9.28+3.33+4.8+1.78+1.08+1.8*1+2.4*1)*10.764</f>
        <v>263.39508000000001</v>
      </c>
      <c r="E151" s="50">
        <f>(2.65*1.45+2.07*1.8)*10.764</f>
        <v>81.467333999999994</v>
      </c>
      <c r="F151" s="50">
        <f>D151*(($F$145)+1)+(IF(E151&lt;101,E151,IF(E151&lt;201,E151/2,IF(E151&lt;=301,E151/3,E151/4))))</f>
        <v>463.39019999999999</v>
      </c>
      <c r="G151" s="88" t="str">
        <f>G150</f>
        <v>1st Floor for Residential</v>
      </c>
      <c r="H151" s="88"/>
      <c r="I151" s="34"/>
      <c r="N151" s="34"/>
    </row>
    <row r="152" spans="1:16" s="51" customFormat="1" x14ac:dyDescent="0.25">
      <c r="A152" s="88">
        <f>A151+1</f>
        <v>104</v>
      </c>
      <c r="B152" s="88"/>
      <c r="C152" s="50" t="s">
        <v>188</v>
      </c>
      <c r="D152" s="50">
        <f>(9.1+3.33+4.8+1.08+1.67+0.8*1.08+1*1+2.4*1+1.8*0.75)*10.764</f>
        <v>275.49381600000004</v>
      </c>
      <c r="E152" s="50">
        <v>0</v>
      </c>
      <c r="F152" s="50">
        <f>D152*(($F$145)+1)+(IF(E152&lt;101,E152,IF(E152&lt;201,E152/2,IF(E152&lt;=301,E152/3,E152/4))))</f>
        <v>399.46603320000003</v>
      </c>
      <c r="G152" s="88" t="str">
        <f>G151</f>
        <v>1st Floor for Residential</v>
      </c>
      <c r="H152" s="88"/>
      <c r="I152" s="34"/>
      <c r="N152" s="34"/>
    </row>
    <row r="153" spans="1:16" s="51" customFormat="1" x14ac:dyDescent="0.25">
      <c r="A153" s="91" t="s">
        <v>193</v>
      </c>
      <c r="B153" s="92"/>
      <c r="C153" s="92"/>
      <c r="D153" s="92"/>
      <c r="E153" s="92"/>
      <c r="F153" s="92"/>
      <c r="G153" s="92"/>
      <c r="H153" s="93"/>
      <c r="I153" s="34"/>
      <c r="P153" s="35"/>
    </row>
    <row r="154" spans="1:16" s="51" customFormat="1" x14ac:dyDescent="0.25">
      <c r="A154" s="94" t="str">
        <f ca="1">(SUMPRODUCT(MID(0&amp;(LEFT(A153,SUM(LEN(A153)-LEN(SUBSTITUTE(A153,{"0","1","2"},""))))), LARGE(INDEX(ISNUMBER(--MID((LEFT(A153,SUM(LEN(A153)-LEN(SUBSTITUTE(A153,{"0","1","2"},""))))), ROW(INDIRECT("1:"&amp;LEN((LEFT(A153,SUM(LEN(A153)-LEN(SUBSTITUTE(A153,{"0","1","2"},"")))))))), 1)) * ROW(INDIRECT("1:"&amp;LEN((LEFT(A153,SUM(LEN(A153)-LEN(SUBSTITUTE(A153,{"0","1","2"},"")))))))), 0), ROW(INDIRECT("1:"&amp;LEN((LEFT(A153,SUM(LEN(A153)-LEN(SUBSTITUTE(A153,{"0","1","2"},"")))))))))+1, 1) * 10^ROW(INDIRECT("1:"&amp;LEN((LEFT(A153,SUM(LEN(A153)-LEN(SUBSTITUTE(A153,{"0","1","2"},""))))))))/10))*100+1&amp;""&amp;" &amp; "&amp;""&amp;(SUMPRODUCT(MID(0&amp;(--TRIM(RIGHT(SUBSTITUTE(LEFT(A153,_xlfn.AGGREGATE(16,6,FIND({0,1,2,3,4,5,6,7,8,9},A153,ROW(INDIRECT("1:"&amp;LEN(A153)))),1))," ",REPT(" ",LEN(A153))),LEN(A153)))), LARGE(INDEX(ISNUMBER(--MID((--TRIM(RIGHT(SUBSTITUTE(LEFT(A153,_xlfn.AGGREGATE(16,6,FIND({0,1,2,3,4,5,6,7,8,9},A153,ROW(INDIRECT("1:"&amp;LEN(A153)))),1))," ",REPT(" ",LEN(A153))),LEN(A153)))), ROW(INDIRECT("1:"&amp;LEN((--TRIM(RIGHT(SUBSTITUTE(LEFT(A153,_xlfn.AGGREGATE(16,6,FIND({0,1,2,3,4,5,6,7,8,9},A153,ROW(INDIRECT("1:"&amp;LEN(A153)))),1))," ",REPT(" ",LEN(A153))),LEN(A153))))))), 1)) * ROW(INDIRECT("1:"&amp;LEN((--TRIM(RIGHT(SUBSTITUTE(LEFT(A153,_xlfn.AGGREGATE(16,6,FIND({0,1,2,3,4,5,6,7,8,9},A153,ROW(INDIRECT("1:"&amp;LEN(A153)))),1))," ",REPT(" ",LEN(A153))),LEN(A153))))))), 0), ROW(INDIRECT("1:"&amp;LEN((--TRIM(RIGHT(SUBSTITUTE(LEFT(A153,_xlfn.AGGREGATE(16,6,FIND({0,1,2,3,4,5,6,7,8,9},A153,ROW(INDIRECT("1:"&amp;LEN(A153)))),1))," ",REPT(" ",LEN(A153))),LEN(A153))))))))+1, 1) * 10^ROW(INDIRECT("1:"&amp;LEN((--TRIM(RIGHT(SUBSTITUTE(LEFT(A153,_xlfn.AGGREGATE(16,6,FIND({0,1,2,3,4,5,6,7,8,9},A153,ROW(INDIRECT("1:"&amp;LEN(A153)))),1))," ",REPT(" ",LEN(A153))),LEN(A153)))))))/10))*100+1</f>
        <v>201 &amp; 301</v>
      </c>
      <c r="B154" s="95"/>
      <c r="C154" s="50" t="s">
        <v>188</v>
      </c>
      <c r="D154" s="50">
        <f>(9.1+3.24+4.8+1.08+1.67+0.8*1.08+1*1+(1.8*0.75+2.4*1))*10.764</f>
        <v>274.52505600000001</v>
      </c>
      <c r="E154" s="50">
        <v>0</v>
      </c>
      <c r="F154" s="50">
        <f>D154*(($F$145)+1)+(IF(E154&lt;101,E154,IF(E154&lt;201,E154/2,IF(E154&lt;=301,E154/3,E154/4))))</f>
        <v>398.06133119999998</v>
      </c>
      <c r="G154" s="94" t="str">
        <f>A153</f>
        <v>2nd &amp; 3rd Floor</v>
      </c>
      <c r="H154" s="95"/>
      <c r="I154" s="34"/>
    </row>
    <row r="155" spans="1:16" s="51" customFormat="1" x14ac:dyDescent="0.25">
      <c r="A155" s="94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10^ROW(INDIRECT("1:"&amp;LEN((LEFT(A154,SUM(LEN(A154)-LEN(SUBSTITUTE(A154,{"0","1","2"},""))))))))/10))*1+1&amp;""&amp;" &amp;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",LEN(A154))),LEN(A154)))))))/10))*1+1</f>
        <v>202 &amp; 302</v>
      </c>
      <c r="B155" s="95"/>
      <c r="C155" s="50" t="s">
        <v>188</v>
      </c>
      <c r="D155" s="50">
        <f>(9.28+3.33+4.8+1.78+1.08+1.8*1+2.4*1+2.65*0.75)*10.764</f>
        <v>284.78853000000004</v>
      </c>
      <c r="E155" s="50">
        <v>0</v>
      </c>
      <c r="F155" s="50">
        <f>D155*(($F$145)+1)+(IF(E155&lt;101,E155,IF(E155&lt;201,E155/2,IF(E155&lt;=301,E155/3,E155/4))))</f>
        <v>412.94336850000002</v>
      </c>
      <c r="G155" s="94" t="str">
        <f t="shared" ref="G155:G157" si="5">G154</f>
        <v>2nd &amp; 3rd Floor</v>
      </c>
      <c r="H155" s="95"/>
      <c r="I155" s="34"/>
    </row>
    <row r="156" spans="1:16" s="51" customFormat="1" x14ac:dyDescent="0.25">
      <c r="A156" s="94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10^ROW(INDIRECT("1:"&amp;LEN((LEFT(A155,SUM(LEN(A155)-LEN(SUBSTITUTE(A155,{"0","1","2"},""))))))))/10))*1+1&amp;""&amp;" &amp;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",LEN(A155))),LEN(A155)))))))/10))*1+1</f>
        <v>203 &amp; 303</v>
      </c>
      <c r="B156" s="95"/>
      <c r="C156" s="50" t="s">
        <v>188</v>
      </c>
      <c r="D156" s="50">
        <f>(9.28+3.33+4.8+1.78+1.08+1.8*1+2.4*1+2.65*0.75)*10.764</f>
        <v>284.78853000000004</v>
      </c>
      <c r="E156" s="50">
        <v>0</v>
      </c>
      <c r="F156" s="50">
        <f>D156*(($F$145)+1)+(IF(E156&lt;101,E156,IF(E156&lt;201,E156/2,IF(E156&lt;=301,E156/3,E156/4))))</f>
        <v>412.94336850000002</v>
      </c>
      <c r="G156" s="94" t="str">
        <f t="shared" si="5"/>
        <v>2nd &amp; 3rd Floor</v>
      </c>
      <c r="H156" s="95"/>
      <c r="I156" s="34"/>
    </row>
    <row r="157" spans="1:16" s="51" customFormat="1" x14ac:dyDescent="0.25">
      <c r="A157" s="94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&amp;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204 &amp; 304</v>
      </c>
      <c r="B157" s="95"/>
      <c r="C157" s="50" t="s">
        <v>188</v>
      </c>
      <c r="D157" s="50">
        <f>(9.1+3.33+4.8+1.08+1.67+0.8*1.08+1*1+2.4*1+1.8*0.75)*10.764</f>
        <v>275.49381600000004</v>
      </c>
      <c r="E157" s="50">
        <v>0</v>
      </c>
      <c r="F157" s="50">
        <f>D157*(($F$145)+1)+(IF(E157&lt;101,E157,IF(E157&lt;201,E157/2,IF(E157&lt;=301,E157/3,E157/4))))</f>
        <v>399.46603320000003</v>
      </c>
      <c r="G157" s="94" t="str">
        <f t="shared" si="5"/>
        <v>2nd &amp; 3rd Floor</v>
      </c>
      <c r="H157" s="95"/>
      <c r="I157" s="34"/>
    </row>
    <row r="158" spans="1:16" s="51" customFormat="1" x14ac:dyDescent="0.25">
      <c r="A158" s="89" t="s">
        <v>194</v>
      </c>
      <c r="B158" s="89"/>
      <c r="C158" s="89"/>
      <c r="D158" s="89"/>
      <c r="E158" s="89"/>
      <c r="F158" s="89"/>
      <c r="G158" s="89"/>
      <c r="H158" s="89"/>
      <c r="I158" s="34"/>
      <c r="L158" s="90"/>
      <c r="M158" s="90"/>
    </row>
    <row r="159" spans="1:16" s="51" customFormat="1" x14ac:dyDescent="0.25">
      <c r="A159" s="88">
        <f>LEFT(A158,SUM(LEN(A158)-LEN(SUBSTITUTE(A158,{"0","1","2","3","4","5","6","7","8","9"},""))))*100+1</f>
        <v>401</v>
      </c>
      <c r="B159" s="88"/>
      <c r="C159" s="50" t="s">
        <v>188</v>
      </c>
      <c r="D159" s="50">
        <f>(9.1+3.24+4.8+1.08+1.67+0.8*1.08+1*1+(1.8*0.75+2.4*1))*10.764</f>
        <v>274.52505600000001</v>
      </c>
      <c r="E159" s="50">
        <v>0</v>
      </c>
      <c r="F159" s="50">
        <f t="shared" ref="F159:F160" si="6">D159*(($F$145)+1)+(IF(E159&lt;101,E159,IF(E159&lt;201,E159/2,IF(E159&lt;=301,E159/3,E159/4))))</f>
        <v>398.06133119999998</v>
      </c>
      <c r="G159" s="88" t="str">
        <f>A158</f>
        <v>4th Floor(Part Terrace Area)</v>
      </c>
      <c r="H159" s="88"/>
      <c r="I159" s="34"/>
      <c r="N159" s="34"/>
    </row>
    <row r="160" spans="1:16" s="51" customFormat="1" x14ac:dyDescent="0.25">
      <c r="A160" s="88">
        <f>A159+1</f>
        <v>402</v>
      </c>
      <c r="B160" s="88"/>
      <c r="C160" s="50" t="s">
        <v>188</v>
      </c>
      <c r="D160" s="50">
        <f>(9.28+3.33+4.8+1.78+1.08+1.8*1+2.4*1+2.65*0.75)*10.764</f>
        <v>284.78853000000004</v>
      </c>
      <c r="E160" s="50">
        <v>0</v>
      </c>
      <c r="F160" s="50">
        <f t="shared" si="6"/>
        <v>412.94336850000002</v>
      </c>
      <c r="G160" s="88" t="str">
        <f>G159</f>
        <v>4th Floor(Part Terrace Area)</v>
      </c>
      <c r="H160" s="88"/>
      <c r="I160" s="34">
        <f>1.8*1.85</f>
        <v>3.33</v>
      </c>
      <c r="N160" s="34"/>
    </row>
    <row r="161" spans="1:16" s="51" customFormat="1" x14ac:dyDescent="0.25">
      <c r="A161" s="88">
        <f>A160+1</f>
        <v>403</v>
      </c>
      <c r="B161" s="88"/>
      <c r="C161" s="50" t="s">
        <v>188</v>
      </c>
      <c r="D161" s="50">
        <f>(9.28+3.33+4.8+1.78+1.08+1.8*1+2.4*1+2.65*0.75)*10.764</f>
        <v>284.78853000000004</v>
      </c>
      <c r="E161" s="50">
        <v>0</v>
      </c>
      <c r="F161" s="50">
        <f>D161*(($F$145)+1)+(IF(E161&lt;101,E161,IF(E161&lt;201,E161/2,IF(E161&lt;=301,E161/3,E161/4))))</f>
        <v>412.94336850000002</v>
      </c>
      <c r="G161" s="88" t="str">
        <f>G160</f>
        <v>4th Floor(Part Terrace Area)</v>
      </c>
      <c r="H161" s="88"/>
      <c r="I161" s="34"/>
      <c r="N161" s="34"/>
    </row>
    <row r="162" spans="1:16" s="51" customFormat="1" x14ac:dyDescent="0.25">
      <c r="A162" s="88">
        <f>A161+1</f>
        <v>404</v>
      </c>
      <c r="B162" s="88"/>
      <c r="C162" s="50" t="s">
        <v>188</v>
      </c>
      <c r="D162" s="50">
        <f>(9.1+3.33+1.08+1.67+0.8*1.08+1*1+1.8*0.75)*10.764</f>
        <v>197.99301600000001</v>
      </c>
      <c r="E162" s="50">
        <f>2.4*3*10.764</f>
        <v>77.500799999999984</v>
      </c>
      <c r="F162" s="50">
        <f>D162*(($F$145)+1)+(IF(E162&lt;101,E162,IF(E162&lt;201,E162/2,IF(E162&lt;=301,E162/3,E162/4))))</f>
        <v>364.59067319999997</v>
      </c>
      <c r="G162" s="88" t="str">
        <f>G161</f>
        <v>4th Floor(Part Terrace Area)</v>
      </c>
      <c r="H162" s="88"/>
      <c r="I162" s="34"/>
      <c r="N162" s="34"/>
    </row>
    <row r="163" spans="1:16" s="49" customFormat="1" x14ac:dyDescent="0.25">
      <c r="A163" s="91" t="s">
        <v>187</v>
      </c>
      <c r="B163" s="92"/>
      <c r="C163" s="92"/>
      <c r="D163" s="92"/>
      <c r="E163" s="92"/>
      <c r="F163" s="92"/>
      <c r="G163" s="92"/>
      <c r="H163" s="93"/>
      <c r="I163" s="34"/>
    </row>
    <row r="164" spans="1:16" s="43" customFormat="1" x14ac:dyDescent="0.25">
      <c r="A164" s="91" t="s">
        <v>191</v>
      </c>
      <c r="B164" s="92"/>
      <c r="C164" s="92"/>
      <c r="D164" s="92"/>
      <c r="E164" s="92"/>
      <c r="F164" s="92"/>
      <c r="G164" s="92"/>
      <c r="H164" s="93"/>
      <c r="J164" s="34"/>
    </row>
    <row r="165" spans="1:16" s="43" customFormat="1" x14ac:dyDescent="0.25">
      <c r="A165" s="94">
        <v>1</v>
      </c>
      <c r="B165" s="95"/>
      <c r="C165" s="40" t="s">
        <v>188</v>
      </c>
      <c r="D165" s="40">
        <f>(9.1+7.03+3.24+1.08+1.67+2*1.08)*10.764</f>
        <v>261.34991999999994</v>
      </c>
      <c r="E165" s="40">
        <v>0</v>
      </c>
      <c r="F165" s="40">
        <f>D165*(($F$145)+1)+(IF(E165&lt;101,E165,IF(E165&lt;201,E165/2,IF(E165&lt;=301,E165/3,E165/4))))</f>
        <v>378.95738399999988</v>
      </c>
      <c r="G165" s="94" t="str">
        <f>A164</f>
        <v>Ground Floor for Residential &amp; Parking</v>
      </c>
      <c r="H165" s="95"/>
      <c r="I165" s="34"/>
      <c r="L165" s="90"/>
      <c r="M165" s="90"/>
      <c r="N165" s="34"/>
    </row>
    <row r="166" spans="1:16" s="43" customFormat="1" x14ac:dyDescent="0.25">
      <c r="A166" s="94">
        <f t="shared" ref="A166" si="7">A165+1</f>
        <v>2</v>
      </c>
      <c r="B166" s="95"/>
      <c r="C166" s="40" t="s">
        <v>188</v>
      </c>
      <c r="D166" s="48">
        <f>(9.1+7.03+3.24+1.08+1.67+2*1.08)*10.764</f>
        <v>261.34991999999994</v>
      </c>
      <c r="E166" s="40">
        <v>0</v>
      </c>
      <c r="F166" s="40">
        <f>D166*(($F$145)+1)+(IF(E166&lt;101,E166,IF(E166&lt;201,E166/2,IF(E166&lt;=301,E166/3,E166/4))))</f>
        <v>378.95738399999988</v>
      </c>
      <c r="G166" s="94" t="str">
        <f t="shared" ref="G166" si="8">G165</f>
        <v>Ground Floor for Residential &amp; Parking</v>
      </c>
      <c r="H166" s="95"/>
      <c r="I166" s="34"/>
      <c r="L166" s="90"/>
      <c r="M166" s="90"/>
      <c r="N166" s="34"/>
    </row>
    <row r="167" spans="1:16" s="51" customFormat="1" x14ac:dyDescent="0.25">
      <c r="A167" s="89" t="s">
        <v>192</v>
      </c>
      <c r="B167" s="89"/>
      <c r="C167" s="89"/>
      <c r="D167" s="89"/>
      <c r="E167" s="89"/>
      <c r="F167" s="89"/>
      <c r="G167" s="89"/>
      <c r="H167" s="89"/>
      <c r="I167" s="34"/>
      <c r="L167" s="90"/>
      <c r="M167" s="90"/>
    </row>
    <row r="168" spans="1:16" s="51" customFormat="1" x14ac:dyDescent="0.25">
      <c r="A168" s="88">
        <f>LEFT(A167,SUM(LEN(A167)-LEN(SUBSTITUTE(A167,{"0","1","2","3","4","5","6","7","8","9"},""))))*100+1</f>
        <v>101</v>
      </c>
      <c r="B168" s="88"/>
      <c r="C168" s="67" t="s">
        <v>188</v>
      </c>
      <c r="D168" s="67">
        <f>(2.6*2.05+2*2+3.33+4.2+1.08+1.67+3*1+1.35*1)*10.764</f>
        <v>257.90544</v>
      </c>
      <c r="E168" s="67">
        <v>0</v>
      </c>
      <c r="F168" s="67">
        <f t="shared" ref="F168:F169" si="9">D168*(($F$145)+1)+(IF(E168&lt;101,E168,IF(E168&lt;201,E168/2,IF(E168&lt;=301,E168/3,E168/4))))</f>
        <v>373.96288799999996</v>
      </c>
      <c r="G168" s="88" t="str">
        <f>A167</f>
        <v>1st Floor</v>
      </c>
      <c r="H168" s="88"/>
      <c r="I168" s="34"/>
      <c r="N168" s="34"/>
    </row>
    <row r="169" spans="1:16" s="51" customFormat="1" x14ac:dyDescent="0.25">
      <c r="A169" s="88">
        <f t="shared" ref="A169:A174" si="10">A168+1</f>
        <v>102</v>
      </c>
      <c r="B169" s="88"/>
      <c r="C169" s="67" t="s">
        <v>188</v>
      </c>
      <c r="D169" s="67">
        <f>(2.84*2.99+1.6*1+4.58+2.7+2.7+4.53+1.95*1+2.88*1)*10.764</f>
        <v>316.80174239999997</v>
      </c>
      <c r="E169" s="67">
        <v>0</v>
      </c>
      <c r="F169" s="67">
        <f t="shared" si="9"/>
        <v>459.36252647999993</v>
      </c>
      <c r="G169" s="88" t="str">
        <f t="shared" ref="G169:G174" si="11">G168</f>
        <v>1st Floor</v>
      </c>
      <c r="H169" s="88"/>
      <c r="I169" s="34">
        <f>1.8*1.85</f>
        <v>3.33</v>
      </c>
      <c r="N169" s="34"/>
    </row>
    <row r="170" spans="1:16" s="51" customFormat="1" x14ac:dyDescent="0.25">
      <c r="A170" s="88">
        <f t="shared" si="10"/>
        <v>103</v>
      </c>
      <c r="B170" s="88"/>
      <c r="C170" s="67" t="s">
        <v>188</v>
      </c>
      <c r="D170" s="67">
        <f>(2.69*3+1.3*1+2.7+4.53+2.7+2.1*1+2.73*1)*10.764</f>
        <v>259.73532</v>
      </c>
      <c r="E170" s="67">
        <v>0</v>
      </c>
      <c r="F170" s="67">
        <f>D170*(($F$145)+1)+(IF(E170&lt;101,E170,IF(E170&lt;201,E170/2,IF(E170&lt;=301,E170/3,E170/4))))</f>
        <v>376.61621400000001</v>
      </c>
      <c r="G170" s="88" t="str">
        <f t="shared" si="11"/>
        <v>1st Floor</v>
      </c>
      <c r="H170" s="88"/>
      <c r="I170" s="34"/>
      <c r="N170" s="34"/>
    </row>
    <row r="171" spans="1:16" s="51" customFormat="1" x14ac:dyDescent="0.25">
      <c r="A171" s="88">
        <f t="shared" si="10"/>
        <v>104</v>
      </c>
      <c r="B171" s="88"/>
      <c r="C171" s="67" t="s">
        <v>188</v>
      </c>
      <c r="D171" s="67">
        <f>(3.5*2.6+0.9*2.2+3.42+4.2+0.9*1.2+1.7+3*1)*10.764</f>
        <v>263.50272000000001</v>
      </c>
      <c r="E171" s="67">
        <v>0</v>
      </c>
      <c r="F171" s="67">
        <f>D171*(($F$145)+1)+(IF(E171&lt;101,E171,IF(E171&lt;201,E171/2,IF(E171&lt;=301,E171/3,E171/4))))</f>
        <v>382.07894399999998</v>
      </c>
      <c r="G171" s="88" t="str">
        <f t="shared" si="11"/>
        <v>1st Floor</v>
      </c>
      <c r="H171" s="88"/>
      <c r="I171" s="34"/>
      <c r="N171" s="34"/>
    </row>
    <row r="172" spans="1:16" s="51" customFormat="1" x14ac:dyDescent="0.25">
      <c r="A172" s="88">
        <f t="shared" si="10"/>
        <v>105</v>
      </c>
      <c r="B172" s="88"/>
      <c r="C172" s="67" t="s">
        <v>188</v>
      </c>
      <c r="D172" s="67">
        <f>(2.9*2.84+0.8*1.4+2.7+4.53+2.93+1.95*1+2.88*1)*10.764</f>
        <v>262.06034399999993</v>
      </c>
      <c r="E172" s="67">
        <v>0</v>
      </c>
      <c r="F172" s="67">
        <f>D172*(($F$145)+1)+(IF(E172&lt;101,E172,IF(E172&lt;201,E172/2,IF(E172&lt;=301,E172/3,E172/4))))</f>
        <v>379.98749879999991</v>
      </c>
      <c r="G172" s="88" t="str">
        <f t="shared" si="11"/>
        <v>1st Floor</v>
      </c>
      <c r="H172" s="88"/>
      <c r="I172" s="34"/>
      <c r="N172" s="34"/>
    </row>
    <row r="173" spans="1:16" s="51" customFormat="1" x14ac:dyDescent="0.25">
      <c r="A173" s="88">
        <f t="shared" si="10"/>
        <v>106</v>
      </c>
      <c r="B173" s="88"/>
      <c r="C173" s="67" t="s">
        <v>188</v>
      </c>
      <c r="D173" s="67">
        <f>(9.1+0.8*1.08+0.9*0.9+1.8*1.8+4.8+1.08+1.67+2.4*1+1.8*0.75+1.5*0.75)*10.764</f>
        <v>284.58939599999997</v>
      </c>
      <c r="E173" s="67">
        <v>0</v>
      </c>
      <c r="F173" s="67">
        <f>D173*(($F$145)+1)+(IF(E173&lt;101,E173,IF(E173&lt;201,E173/2,IF(E173&lt;=301,E173/3,E173/4))))</f>
        <v>412.65462419999994</v>
      </c>
      <c r="G173" s="88" t="str">
        <f t="shared" si="11"/>
        <v>1st Floor</v>
      </c>
      <c r="H173" s="88"/>
      <c r="I173" s="34"/>
      <c r="N173" s="34"/>
    </row>
    <row r="174" spans="1:16" s="51" customFormat="1" x14ac:dyDescent="0.25">
      <c r="A174" s="88">
        <f t="shared" si="10"/>
        <v>107</v>
      </c>
      <c r="B174" s="88"/>
      <c r="C174" s="50" t="s">
        <v>188</v>
      </c>
      <c r="D174" s="50">
        <f>(10.52+3.24+4.8+1.08+1.67+1.35*1+1.8*0.75+2.4*1)*10.764</f>
        <v>284.27724000000001</v>
      </c>
      <c r="E174" s="50">
        <v>0</v>
      </c>
      <c r="F174" s="50">
        <f>D174*(($F$145)+1)+(IF(E174&lt;101,E174,IF(E174&lt;201,E174/2,IF(E174&lt;=301,E174/3,E174/4))))</f>
        <v>412.201998</v>
      </c>
      <c r="G174" s="88" t="str">
        <f t="shared" si="11"/>
        <v>1st Floor</v>
      </c>
      <c r="H174" s="88"/>
      <c r="I174" s="34"/>
      <c r="N174" s="34"/>
    </row>
    <row r="175" spans="1:16" s="51" customFormat="1" x14ac:dyDescent="0.25">
      <c r="A175" s="91" t="s">
        <v>193</v>
      </c>
      <c r="B175" s="92"/>
      <c r="C175" s="92"/>
      <c r="D175" s="92"/>
      <c r="E175" s="92"/>
      <c r="F175" s="92"/>
      <c r="G175" s="92"/>
      <c r="H175" s="93"/>
      <c r="I175" s="34"/>
      <c r="P175" s="35"/>
    </row>
    <row r="176" spans="1:16" s="51" customFormat="1" x14ac:dyDescent="0.25">
      <c r="A176" s="94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10^ROW(INDIRECT("1:"&amp;LEN((LEFT(A175,SUM(LEN(A175)-LEN(SUBSTITUTE(A175,{"0","1","2"},""))))))))/10))*100+1&amp;""&amp;" &amp;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",LEN(A175))),LEN(A175)))))))/10))*100+1</f>
        <v>201 &amp; 301</v>
      </c>
      <c r="B176" s="95"/>
      <c r="C176" s="50" t="s">
        <v>188</v>
      </c>
      <c r="D176" s="50">
        <f>(2.6*2.05+2*2+3.33+4.2+1.08+1.67+3*1+1.35*1)*10.764</f>
        <v>257.90544</v>
      </c>
      <c r="E176" s="50">
        <v>0</v>
      </c>
      <c r="F176" s="50">
        <f t="shared" ref="F176:F182" si="12">D176*(($F$145)+1)+(IF(E176&lt;101,E176,IF(E176&lt;201,E176/2,IF(E176&lt;=301,E176/3,E176/4))))</f>
        <v>373.96288799999996</v>
      </c>
      <c r="G176" s="94" t="str">
        <f>A175</f>
        <v>2nd &amp; 3rd Floor</v>
      </c>
      <c r="H176" s="95"/>
      <c r="I176" s="34"/>
    </row>
    <row r="177" spans="1:14" s="51" customFormat="1" x14ac:dyDescent="0.25">
      <c r="A177" s="94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&amp;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202 &amp; 302</v>
      </c>
      <c r="B177" s="95"/>
      <c r="C177" s="50" t="s">
        <v>188</v>
      </c>
      <c r="D177" s="50">
        <f>(2.84*2.99+1.6*1+4.58+2.7+2.7+4.53+1.95*1+2.88*1)*10.764</f>
        <v>316.80174239999997</v>
      </c>
      <c r="E177" s="50">
        <v>0</v>
      </c>
      <c r="F177" s="50">
        <f t="shared" si="12"/>
        <v>459.36252647999993</v>
      </c>
      <c r="G177" s="94" t="str">
        <f t="shared" ref="G177:G182" si="13">G176</f>
        <v>2nd &amp; 3rd Floor</v>
      </c>
      <c r="H177" s="95"/>
      <c r="I177" s="34"/>
    </row>
    <row r="178" spans="1:14" s="51" customFormat="1" x14ac:dyDescent="0.25">
      <c r="A178" s="94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&amp;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203 &amp; 303</v>
      </c>
      <c r="B178" s="95"/>
      <c r="C178" s="50" t="s">
        <v>188</v>
      </c>
      <c r="D178" s="50">
        <f>(2.69*3+1.3*1+2.7+4.53+2.7+2.1*1+2.73*1)*10.764</f>
        <v>259.73532</v>
      </c>
      <c r="E178" s="50">
        <v>0</v>
      </c>
      <c r="F178" s="50">
        <f t="shared" si="12"/>
        <v>376.61621400000001</v>
      </c>
      <c r="G178" s="94" t="str">
        <f t="shared" si="13"/>
        <v>2nd &amp; 3rd Floor</v>
      </c>
      <c r="H178" s="95"/>
      <c r="I178" s="34"/>
    </row>
    <row r="179" spans="1:14" s="51" customFormat="1" x14ac:dyDescent="0.25">
      <c r="A179" s="94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&amp;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204 &amp; 304</v>
      </c>
      <c r="B179" s="95"/>
      <c r="C179" s="50" t="s">
        <v>188</v>
      </c>
      <c r="D179" s="50">
        <f>(3.5*2.6+0.9*2.2+3.42+4.2+0.9*1.2+1.7+3*1)*10.764</f>
        <v>263.50272000000001</v>
      </c>
      <c r="E179" s="50">
        <v>0</v>
      </c>
      <c r="F179" s="50">
        <f t="shared" si="12"/>
        <v>382.07894399999998</v>
      </c>
      <c r="G179" s="94" t="str">
        <f t="shared" si="13"/>
        <v>2nd &amp; 3rd Floor</v>
      </c>
      <c r="H179" s="95"/>
      <c r="I179" s="34"/>
    </row>
    <row r="180" spans="1:14" s="51" customFormat="1" x14ac:dyDescent="0.25">
      <c r="A180" s="94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&amp;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205 &amp; 305</v>
      </c>
      <c r="B180" s="95"/>
      <c r="C180" s="50" t="s">
        <v>188</v>
      </c>
      <c r="D180" s="50">
        <f>(2.9*2.84+0.8*1.4+2.7+4.53+2.93+1.95*1+2.88*1)*10.764</f>
        <v>262.06034399999993</v>
      </c>
      <c r="E180" s="50">
        <v>0</v>
      </c>
      <c r="F180" s="50">
        <f t="shared" si="12"/>
        <v>379.98749879999991</v>
      </c>
      <c r="G180" s="94" t="str">
        <f t="shared" si="13"/>
        <v>2nd &amp; 3rd Floor</v>
      </c>
      <c r="H180" s="95"/>
      <c r="I180" s="34"/>
    </row>
    <row r="181" spans="1:14" s="51" customFormat="1" x14ac:dyDescent="0.25">
      <c r="A181" s="94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10^ROW(INDIRECT("1:"&amp;LEN((LEFT(A180,SUM(LEN(A180)-LEN(SUBSTITUTE(A180,{"0","1","2"},""))))))))/10))*1+1&amp;""&amp;" &amp;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",LEN(A180))),LEN(A180)))))))/10))*1+1</f>
        <v>206 &amp; 306</v>
      </c>
      <c r="B181" s="95"/>
      <c r="C181" s="50" t="s">
        <v>188</v>
      </c>
      <c r="D181" s="50">
        <f>(9.1+0.8*1.08+0.9*0.9+1.8*1.8+4.8+1.08+1.67+2.4*1+1.8*0.75+1.5*0.75)*10.764</f>
        <v>284.58939599999997</v>
      </c>
      <c r="E181" s="50">
        <v>0</v>
      </c>
      <c r="F181" s="50">
        <f t="shared" si="12"/>
        <v>412.65462419999994</v>
      </c>
      <c r="G181" s="94" t="str">
        <f t="shared" si="13"/>
        <v>2nd &amp; 3rd Floor</v>
      </c>
      <c r="H181" s="95"/>
      <c r="I181" s="34"/>
    </row>
    <row r="182" spans="1:14" s="51" customFormat="1" x14ac:dyDescent="0.25">
      <c r="A182" s="94" t="str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10^ROW(INDIRECT("1:"&amp;LEN((LEFT(A181,SUM(LEN(A181)-LEN(SUBSTITUTE(A181,{"0","1","2"},""))))))))/10))*1+1&amp;""&amp;" &amp; "&amp;""&amp;(SUMPRODUCT(MID(0&amp;(--TRIM(RIGHT(SUBSTITUTE(LEFT(A181,_xlfn.AGGREGATE(16,6,FIND({0,1,2,3,4,5,6,7,8,9},A181,ROW(INDIRECT("1:"&amp;LEN(A181)))),1)),"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",LEN(A181))),LEN(A181)))))))/10))*1+1</f>
        <v>207 &amp; 307</v>
      </c>
      <c r="B182" s="95"/>
      <c r="C182" s="50" t="s">
        <v>188</v>
      </c>
      <c r="D182" s="50">
        <f>(10.52+3.24+4.8+1.08+1.67+1.35*1+1.8*0.75+2.4*1)*10.764</f>
        <v>284.27724000000001</v>
      </c>
      <c r="E182" s="50">
        <v>0</v>
      </c>
      <c r="F182" s="50">
        <f t="shared" si="12"/>
        <v>412.201998</v>
      </c>
      <c r="G182" s="94" t="str">
        <f t="shared" si="13"/>
        <v>2nd &amp; 3rd Floor</v>
      </c>
      <c r="H182" s="95"/>
      <c r="I182" s="34"/>
    </row>
    <row r="183" spans="1:14" s="43" customFormat="1" x14ac:dyDescent="0.25">
      <c r="A183" s="89" t="s">
        <v>194</v>
      </c>
      <c r="B183" s="89"/>
      <c r="C183" s="89"/>
      <c r="D183" s="89"/>
      <c r="E183" s="89"/>
      <c r="F183" s="89"/>
      <c r="G183" s="89"/>
      <c r="H183" s="89"/>
      <c r="I183" s="34"/>
      <c r="L183" s="90"/>
      <c r="M183" s="90"/>
    </row>
    <row r="184" spans="1:14" s="43" customFormat="1" x14ac:dyDescent="0.25">
      <c r="A184" s="88">
        <f>LEFT(A183,SUM(LEN(A183)-LEN(SUBSTITUTE(A183,{"0","1","2","3","4","5","6","7","8","9"},""))))*100+1</f>
        <v>401</v>
      </c>
      <c r="B184" s="88"/>
      <c r="C184" s="50" t="s">
        <v>188</v>
      </c>
      <c r="D184" s="50">
        <f>(2.6*2.05+2*2+3.33+4.2+1.08+1.67+3*1+1.35*1)*10.764</f>
        <v>257.90544</v>
      </c>
      <c r="E184" s="40">
        <v>0</v>
      </c>
      <c r="F184" s="40">
        <f>D184*(($F$145)+1)+(IF(E184&lt;101,E184,IF(E184&lt;201,E184/2,IF(E184&lt;=301,E184/3,E184/4))))</f>
        <v>373.96288799999996</v>
      </c>
      <c r="G184" s="88" t="str">
        <f>A183</f>
        <v>4th Floor(Part Terrace Area)</v>
      </c>
      <c r="H184" s="88"/>
      <c r="I184" s="34"/>
      <c r="N184" s="34"/>
    </row>
    <row r="185" spans="1:14" s="43" customFormat="1" x14ac:dyDescent="0.25">
      <c r="A185" s="88">
        <f t="shared" ref="A185:A190" si="14">A184+1</f>
        <v>402</v>
      </c>
      <c r="B185" s="88"/>
      <c r="C185" s="172" t="s">
        <v>195</v>
      </c>
      <c r="D185" s="173"/>
      <c r="E185" s="173"/>
      <c r="F185" s="174"/>
      <c r="G185" s="88" t="str">
        <f t="shared" ref="G185:G190" si="15">G184</f>
        <v>4th Floor(Part Terrace Area)</v>
      </c>
      <c r="H185" s="88"/>
      <c r="I185" s="34"/>
      <c r="N185" s="34"/>
    </row>
    <row r="186" spans="1:14" s="43" customFormat="1" x14ac:dyDescent="0.25">
      <c r="A186" s="88">
        <f t="shared" si="14"/>
        <v>403</v>
      </c>
      <c r="B186" s="88"/>
      <c r="C186" s="175"/>
      <c r="D186" s="176"/>
      <c r="E186" s="176"/>
      <c r="F186" s="177"/>
      <c r="G186" s="88" t="str">
        <f t="shared" si="15"/>
        <v>4th Floor(Part Terrace Area)</v>
      </c>
      <c r="H186" s="88"/>
      <c r="I186" s="34"/>
      <c r="N186" s="34"/>
    </row>
    <row r="187" spans="1:14" s="43" customFormat="1" x14ac:dyDescent="0.25">
      <c r="A187" s="88">
        <f t="shared" si="14"/>
        <v>404</v>
      </c>
      <c r="B187" s="88"/>
      <c r="C187" s="178"/>
      <c r="D187" s="179"/>
      <c r="E187" s="179"/>
      <c r="F187" s="180"/>
      <c r="G187" s="88" t="str">
        <f t="shared" si="15"/>
        <v>4th Floor(Part Terrace Area)</v>
      </c>
      <c r="H187" s="88"/>
      <c r="I187" s="34"/>
      <c r="N187" s="34"/>
    </row>
    <row r="188" spans="1:14" s="43" customFormat="1" x14ac:dyDescent="0.25">
      <c r="A188" s="88">
        <f t="shared" si="14"/>
        <v>405</v>
      </c>
      <c r="B188" s="88"/>
      <c r="C188" s="50" t="s">
        <v>188</v>
      </c>
      <c r="D188" s="50">
        <f>(2.9*2.84+0.8*1.4+2.7+4.53+2.93+1.95*1+2.88*1)*10.764</f>
        <v>262.06034399999993</v>
      </c>
      <c r="E188" s="40">
        <v>0</v>
      </c>
      <c r="F188" s="40">
        <f>D188*(($F$145)+1)+(IF(E188&lt;101,E188,IF(E188&lt;201,E188/2,IF(E188&lt;=301,E188/3,E188/4))))</f>
        <v>379.98749879999991</v>
      </c>
      <c r="G188" s="88" t="str">
        <f t="shared" si="15"/>
        <v>4th Floor(Part Terrace Area)</v>
      </c>
      <c r="H188" s="88"/>
      <c r="I188" s="34"/>
      <c r="N188" s="34"/>
    </row>
    <row r="189" spans="1:14" s="51" customFormat="1" x14ac:dyDescent="0.25">
      <c r="A189" s="88">
        <f t="shared" si="14"/>
        <v>406</v>
      </c>
      <c r="B189" s="88"/>
      <c r="C189" s="172" t="s">
        <v>195</v>
      </c>
      <c r="D189" s="173"/>
      <c r="E189" s="173"/>
      <c r="F189" s="174"/>
      <c r="G189" s="88" t="str">
        <f t="shared" si="15"/>
        <v>4th Floor(Part Terrace Area)</v>
      </c>
      <c r="H189" s="88"/>
      <c r="I189" s="34"/>
      <c r="N189" s="34"/>
    </row>
    <row r="190" spans="1:14" s="51" customFormat="1" x14ac:dyDescent="0.25">
      <c r="A190" s="88">
        <f t="shared" si="14"/>
        <v>407</v>
      </c>
      <c r="B190" s="88"/>
      <c r="C190" s="178"/>
      <c r="D190" s="179"/>
      <c r="E190" s="179"/>
      <c r="F190" s="180"/>
      <c r="G190" s="88" t="str">
        <f t="shared" si="15"/>
        <v>4th Floor(Part Terrace Area)</v>
      </c>
      <c r="H190" s="88"/>
      <c r="I190" s="34"/>
      <c r="N190" s="34"/>
    </row>
    <row r="191" spans="1:14" s="56" customFormat="1" x14ac:dyDescent="0.25">
      <c r="A191" s="91" t="s">
        <v>207</v>
      </c>
      <c r="B191" s="92"/>
      <c r="C191" s="92"/>
      <c r="D191" s="92"/>
      <c r="E191" s="92"/>
      <c r="F191" s="92"/>
      <c r="G191" s="92"/>
      <c r="H191" s="93"/>
      <c r="I191" s="34"/>
    </row>
    <row r="192" spans="1:14" s="56" customFormat="1" x14ac:dyDescent="0.25">
      <c r="A192" s="91" t="s">
        <v>191</v>
      </c>
      <c r="B192" s="92"/>
      <c r="C192" s="92"/>
      <c r="D192" s="92"/>
      <c r="E192" s="92"/>
      <c r="F192" s="92"/>
      <c r="G192" s="92"/>
      <c r="H192" s="93"/>
      <c r="J192" s="34"/>
    </row>
    <row r="193" spans="1:16" s="56" customFormat="1" x14ac:dyDescent="0.25">
      <c r="A193" s="94">
        <v>1</v>
      </c>
      <c r="B193" s="95"/>
      <c r="C193" s="55" t="s">
        <v>208</v>
      </c>
      <c r="D193" s="55">
        <f>(2.73*3.35+2.25*1.95+1.52*1.25+0.9*1.2+1.52*2)*10.764</f>
        <v>210.468492</v>
      </c>
      <c r="E193" s="55">
        <v>0</v>
      </c>
      <c r="F193" s="55">
        <f>D193*(($F$145)+1)+(IF(E193&lt;101,E193,IF(E193&lt;201,E193/2,IF(E193&lt;=301,E193/3,E193/4))))</f>
        <v>305.17931340000001</v>
      </c>
      <c r="G193" s="94" t="str">
        <f>A192</f>
        <v>Ground Floor for Residential &amp; Parking</v>
      </c>
      <c r="H193" s="95"/>
      <c r="I193" s="34"/>
      <c r="L193" s="90"/>
      <c r="M193" s="90"/>
      <c r="N193" s="34"/>
    </row>
    <row r="194" spans="1:16" s="56" customFormat="1" x14ac:dyDescent="0.25">
      <c r="A194" s="89" t="s">
        <v>192</v>
      </c>
      <c r="B194" s="89"/>
      <c r="C194" s="89"/>
      <c r="D194" s="89"/>
      <c r="E194" s="89"/>
      <c r="F194" s="89"/>
      <c r="G194" s="89"/>
      <c r="H194" s="89"/>
      <c r="I194" s="34"/>
      <c r="L194" s="90"/>
      <c r="M194" s="90"/>
    </row>
    <row r="195" spans="1:16" s="56" customFormat="1" x14ac:dyDescent="0.25">
      <c r="A195" s="88">
        <f>LEFT(A194,SUM(LEN(A194)-LEN(SUBSTITUTE(A194,{"0","1","2","3","4","5","6","7","8","9"},""))))*100+1</f>
        <v>101</v>
      </c>
      <c r="B195" s="88"/>
      <c r="C195" s="55" t="s">
        <v>188</v>
      </c>
      <c r="D195" s="55">
        <f>(2.9*3.84+1.8*1.5+2.73*1.66+2.25*1.2+1*2.73+0.9*1.66)*10.764</f>
        <v>272.24093519999997</v>
      </c>
      <c r="E195" s="55">
        <f>(1.35*1.45)*10.764</f>
        <v>21.070529999999998</v>
      </c>
      <c r="F195" s="55">
        <f t="shared" ref="F195:F196" si="16">D195*(($F$145)+1)+(IF(E195&lt;101,E195,IF(E195&lt;201,E195/2,IF(E195&lt;=301,E195/3,E195/4))))</f>
        <v>415.81988603999997</v>
      </c>
      <c r="G195" s="88" t="str">
        <f>A194</f>
        <v>1st Floor</v>
      </c>
      <c r="H195" s="88"/>
      <c r="I195" s="34"/>
      <c r="N195" s="34"/>
    </row>
    <row r="196" spans="1:16" s="56" customFormat="1" x14ac:dyDescent="0.25">
      <c r="A196" s="88">
        <f t="shared" ref="A196:A198" si="17">A195+1</f>
        <v>102</v>
      </c>
      <c r="B196" s="88"/>
      <c r="C196" s="55" t="s">
        <v>188</v>
      </c>
      <c r="D196" s="55">
        <f>(2.9*3.84+1.8*1.5+2.73*1.66+2.25*1.2+0.9*1.66+1*2.73)*10.764</f>
        <v>272.24093519999997</v>
      </c>
      <c r="E196" s="55">
        <f>(1.35*1.45)*10.764</f>
        <v>21.070529999999998</v>
      </c>
      <c r="F196" s="55">
        <f t="shared" si="16"/>
        <v>415.81988603999997</v>
      </c>
      <c r="G196" s="88" t="str">
        <f t="shared" ref="G196:G198" si="18">G195</f>
        <v>1st Floor</v>
      </c>
      <c r="H196" s="88"/>
      <c r="I196" s="34">
        <f>1.8*1.85</f>
        <v>3.33</v>
      </c>
      <c r="N196" s="34"/>
    </row>
    <row r="197" spans="1:16" s="56" customFormat="1" x14ac:dyDescent="0.25">
      <c r="A197" s="88">
        <f t="shared" si="17"/>
        <v>103</v>
      </c>
      <c r="B197" s="88"/>
      <c r="C197" s="55" t="s">
        <v>188</v>
      </c>
      <c r="D197" s="55">
        <f>(2.73*3.35+1.52*1.25+0.9*1.2+1.7*3+2.25*0.95+1*(2.25+3)+0.9*1.52+1.2*1.52)*10.764</f>
        <v>299.29301999999996</v>
      </c>
      <c r="E197" s="55">
        <v>0</v>
      </c>
      <c r="F197" s="55">
        <f>D197*(($F$145)+1)+(IF(E197&lt;101,E197,IF(E197&lt;201,E197/2,IF(E197&lt;=301,E197/3,E197/4))))</f>
        <v>433.97487899999993</v>
      </c>
      <c r="G197" s="88" t="str">
        <f t="shared" si="18"/>
        <v>1st Floor</v>
      </c>
      <c r="H197" s="88"/>
      <c r="I197" s="34"/>
      <c r="N197" s="34"/>
    </row>
    <row r="198" spans="1:16" s="56" customFormat="1" x14ac:dyDescent="0.25">
      <c r="A198" s="88">
        <f t="shared" si="17"/>
        <v>104</v>
      </c>
      <c r="B198" s="88"/>
      <c r="C198" s="55" t="s">
        <v>188</v>
      </c>
      <c r="D198" s="55">
        <f>(2.73*3.35+1.52*1.25+0.9*1.2+1.7*3+2.25*0.95+1*(2.25+3)+0.9*1.52+1.2*1.52)*10.764</f>
        <v>299.29301999999996</v>
      </c>
      <c r="E198" s="55">
        <v>0</v>
      </c>
      <c r="F198" s="55">
        <f>D198*(($F$145)+1)+(IF(E198&lt;101,E198,IF(E198&lt;201,E198/2,IF(E198&lt;=301,E198/3,E198/4))))</f>
        <v>433.97487899999993</v>
      </c>
      <c r="G198" s="88" t="str">
        <f t="shared" si="18"/>
        <v>1st Floor</v>
      </c>
      <c r="H198" s="88"/>
      <c r="I198" s="34"/>
      <c r="N198" s="34"/>
    </row>
    <row r="199" spans="1:16" s="56" customFormat="1" x14ac:dyDescent="0.25">
      <c r="A199" s="91" t="s">
        <v>193</v>
      </c>
      <c r="B199" s="92"/>
      <c r="C199" s="92"/>
      <c r="D199" s="92"/>
      <c r="E199" s="92"/>
      <c r="F199" s="92"/>
      <c r="G199" s="92"/>
      <c r="H199" s="93"/>
      <c r="I199" s="34"/>
      <c r="P199" s="35"/>
    </row>
    <row r="200" spans="1:16" s="56" customFormat="1" x14ac:dyDescent="0.25">
      <c r="A200" s="94" t="str">
        <f ca="1">(SUMPRODUCT(MID(0&amp;(LEFT(A199,SUM(LEN(A199)-LEN(SUBSTITUTE(A199,{"0","1","2"},""))))), LARGE(INDEX(ISNUMBER(--MID((LEFT(A199,SUM(LEN(A199)-LEN(SUBSTITUTE(A199,{"0","1","2"},""))))), ROW(INDIRECT("1:"&amp;LEN((LEFT(A199,SUM(LEN(A199)-LEN(SUBSTITUTE(A199,{"0","1","2"},"")))))))), 1)) * ROW(INDIRECT("1:"&amp;LEN((LEFT(A199,SUM(LEN(A199)-LEN(SUBSTITUTE(A199,{"0","1","2"},"")))))))), 0), ROW(INDIRECT("1:"&amp;LEN((LEFT(A199,SUM(LEN(A199)-LEN(SUBSTITUTE(A199,{"0","1","2"},"")))))))))+1, 1) * 10^ROW(INDIRECT("1:"&amp;LEN((LEFT(A199,SUM(LEN(A199)-LEN(SUBSTITUTE(A199,{"0","1","2"},""))))))))/10))*100+1&amp;""&amp;" &amp; "&amp;""&amp;(SUMPRODUCT(MID(0&amp;(--TRIM(RIGHT(SUBSTITUTE(LEFT(A199,_xlfn.AGGREGATE(16,6,FIND({0,1,2,3,4,5,6,7,8,9},A199,ROW(INDIRECT("1:"&amp;LEN(A199)))),1))," ",REPT(" ",LEN(A199))),LEN(A199)))), LARGE(INDEX(ISNUMBER(--MID((--TRIM(RIGHT(SUBSTITUTE(LEFT(A199,_xlfn.AGGREGATE(16,6,FIND({0,1,2,3,4,5,6,7,8,9},A199,ROW(INDIRECT("1:"&amp;LEN(A199)))),1))," ",REPT(" ",LEN(A199))),LEN(A199)))), ROW(INDIRECT("1:"&amp;LEN((--TRIM(RIGHT(SUBSTITUTE(LEFT(A199,_xlfn.AGGREGATE(16,6,FIND({0,1,2,3,4,5,6,7,8,9},A199,ROW(INDIRECT("1:"&amp;LEN(A199)))),1))," ",REPT(" ",LEN(A199))),LEN(A199))))))), 1)) * ROW(INDIRECT("1:"&amp;LEN((--TRIM(RIGHT(SUBSTITUTE(LEFT(A199,_xlfn.AGGREGATE(16,6,FIND({0,1,2,3,4,5,6,7,8,9},A199,ROW(INDIRECT("1:"&amp;LEN(A199)))),1))," ",REPT(" ",LEN(A199))),LEN(A199))))))), 0), ROW(INDIRECT("1:"&amp;LEN((--TRIM(RIGHT(SUBSTITUTE(LEFT(A199,_xlfn.AGGREGATE(16,6,FIND({0,1,2,3,4,5,6,7,8,9},A199,ROW(INDIRECT("1:"&amp;LEN(A199)))),1))," ",REPT(" ",LEN(A199))),LEN(A199))))))))+1, 1) * 10^ROW(INDIRECT("1:"&amp;LEN((--TRIM(RIGHT(SUBSTITUTE(LEFT(A199,_xlfn.AGGREGATE(16,6,FIND({0,1,2,3,4,5,6,7,8,9},A199,ROW(INDIRECT("1:"&amp;LEN(A199)))),1))," ",REPT(" ",LEN(A199))),LEN(A199)))))))/10))*100+1</f>
        <v>201 &amp; 301</v>
      </c>
      <c r="B200" s="95"/>
      <c r="C200" s="55" t="s">
        <v>188</v>
      </c>
      <c r="D200" s="55">
        <f>(2.9*3.84+1.8*1.5+2.73*1.66+2.25*1.2+1*2.73+0.9*1.66)*10.764</f>
        <v>272.24093519999997</v>
      </c>
      <c r="E200" s="55">
        <v>0</v>
      </c>
      <c r="F200" s="55">
        <f>D200*(($F$145)+1)+(IF(E200&lt;101,E200,IF(E200&lt;201,E200/2,IF(E200&lt;=301,E200/3,E200/4))))</f>
        <v>394.74935603999995</v>
      </c>
      <c r="G200" s="94" t="str">
        <f>A199</f>
        <v>2nd &amp; 3rd Floor</v>
      </c>
      <c r="H200" s="95"/>
      <c r="I200" s="34"/>
    </row>
    <row r="201" spans="1:16" s="56" customFormat="1" x14ac:dyDescent="0.25">
      <c r="A201" s="94" t="str">
        <f ca="1">(SUMPRODUCT(MID(0&amp;(LEFT(A200,SUM(LEN(A200)-LEN(SUBSTITUTE(A200,{"0","1","2"},""))))), LARGE(INDEX(ISNUMBER(--MID((LEFT(A200,SUM(LEN(A200)-LEN(SUBSTITUTE(A200,{"0","1","2"},""))))), ROW(INDIRECT("1:"&amp;LEN((LEFT(A200,SUM(LEN(A200)-LEN(SUBSTITUTE(A200,{"0","1","2"},"")))))))), 1)) * ROW(INDIRECT("1:"&amp;LEN((LEFT(A200,SUM(LEN(A200)-LEN(SUBSTITUTE(A200,{"0","1","2"},"")))))))), 0), ROW(INDIRECT("1:"&amp;LEN((LEFT(A200,SUM(LEN(A200)-LEN(SUBSTITUTE(A200,{"0","1","2"},"")))))))))+1, 1) * 10^ROW(INDIRECT("1:"&amp;LEN((LEFT(A200,SUM(LEN(A200)-LEN(SUBSTITUTE(A200,{"0","1","2"},""))))))))/10))*1+1&amp;""&amp;" &amp; "&amp;""&amp;(SUMPRODUCT(MID(0&amp;(--TRIM(RIGHT(SUBSTITUTE(LEFT(A200,_xlfn.AGGREGATE(16,6,FIND({0,1,2,3,4,5,6,7,8,9},A200,ROW(INDIRECT("1:"&amp;LEN(A200)))),1))," ",REPT(" ",LEN(A200))),LEN(A200)))), LARGE(INDEX(ISNUMBER(--MID((--TRIM(RIGHT(SUBSTITUTE(LEFT(A200,_xlfn.AGGREGATE(16,6,FIND({0,1,2,3,4,5,6,7,8,9},A200,ROW(INDIRECT("1:"&amp;LEN(A200)))),1))," ",REPT(" ",LEN(A200))),LEN(A200)))), ROW(INDIRECT("1:"&amp;LEN((--TRIM(RIGHT(SUBSTITUTE(LEFT(A200,_xlfn.AGGREGATE(16,6,FIND({0,1,2,3,4,5,6,7,8,9},A200,ROW(INDIRECT("1:"&amp;LEN(A200)))),1))," ",REPT(" ",LEN(A200))),LEN(A200))))))), 1)) * ROW(INDIRECT("1:"&amp;LEN((--TRIM(RIGHT(SUBSTITUTE(LEFT(A200,_xlfn.AGGREGATE(16,6,FIND({0,1,2,3,4,5,6,7,8,9},A200,ROW(INDIRECT("1:"&amp;LEN(A200)))),1))," ",REPT(" ",LEN(A200))),LEN(A200))))))), 0), ROW(INDIRECT("1:"&amp;LEN((--TRIM(RIGHT(SUBSTITUTE(LEFT(A200,_xlfn.AGGREGATE(16,6,FIND({0,1,2,3,4,5,6,7,8,9},A200,ROW(INDIRECT("1:"&amp;LEN(A200)))),1))," ",REPT(" ",LEN(A200))),LEN(A200))))))))+1, 1) * 10^ROW(INDIRECT("1:"&amp;LEN((--TRIM(RIGHT(SUBSTITUTE(LEFT(A200,_xlfn.AGGREGATE(16,6,FIND({0,1,2,3,4,5,6,7,8,9},A200,ROW(INDIRECT("1:"&amp;LEN(A200)))),1))," ",REPT(" ",LEN(A200))),LEN(A200)))))))/10))*1+1</f>
        <v>202 &amp; 302</v>
      </c>
      <c r="B201" s="95"/>
      <c r="C201" s="55" t="s">
        <v>188</v>
      </c>
      <c r="D201" s="55">
        <f>(2.9*3.84+1.8*1.5+2.73*1.66+2.25*1.2+0.9*1.66+1*2.73)*10.764</f>
        <v>272.24093519999997</v>
      </c>
      <c r="E201" s="55">
        <v>0</v>
      </c>
      <c r="F201" s="55">
        <f>D201*(($F$145)+1)+(IF(E201&lt;101,E201,IF(E201&lt;201,E201/2,IF(E201&lt;=301,E201/3,E201/4))))</f>
        <v>394.74935603999995</v>
      </c>
      <c r="G201" s="94" t="str">
        <f t="shared" ref="G201:G203" si="19">G200</f>
        <v>2nd &amp; 3rd Floor</v>
      </c>
      <c r="H201" s="95"/>
      <c r="I201" s="34"/>
    </row>
    <row r="202" spans="1:16" s="56" customFormat="1" x14ac:dyDescent="0.25">
      <c r="A202" s="94" t="str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10^ROW(INDIRECT("1:"&amp;LEN((LEFT(A201,SUM(LEN(A201)-LEN(SUBSTITUTE(A201,{"0","1","2"},""))))))))/10))*1+1&amp;""&amp;" &amp; "&amp;""&amp;(SUMPRODUCT(MID(0&amp;(--TRIM(RIGHT(SUBSTITUTE(LEFT(A201,_xlfn.AGGREGATE(16,6,FIND({0,1,2,3,4,5,6,7,8,9},A201,ROW(INDIRECT("1:"&amp;LEN(A201)))),1)),"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",LEN(A201))),LEN(A201)))))))/10))*1+1</f>
        <v>203 &amp; 303</v>
      </c>
      <c r="B202" s="95"/>
      <c r="C202" s="55" t="s">
        <v>188</v>
      </c>
      <c r="D202" s="55">
        <f>(2.73*3.35+1.52*1.25+0.9*1.2+1.7*3+2.25*0.95+1*(2.25+3)+0.9*1.52+1.2*1.52)*10.764</f>
        <v>299.29301999999996</v>
      </c>
      <c r="E202" s="55">
        <v>0</v>
      </c>
      <c r="F202" s="55">
        <f>D202*(($F$145)+1)+(IF(E202&lt;101,E202,IF(E202&lt;201,E202/2,IF(E202&lt;=301,E202/3,E202/4))))</f>
        <v>433.97487899999993</v>
      </c>
      <c r="G202" s="94" t="str">
        <f t="shared" si="19"/>
        <v>2nd &amp; 3rd Floor</v>
      </c>
      <c r="H202" s="95"/>
      <c r="I202" s="34"/>
    </row>
    <row r="203" spans="1:16" s="56" customFormat="1" x14ac:dyDescent="0.25">
      <c r="A203" s="94" t="str">
        <f ca="1">(SUMPRODUCT(MID(0&amp;(LEFT(A202,SUM(LEN(A202)-LEN(SUBSTITUTE(A202,{"0","1","2"},""))))), LARGE(INDEX(ISNUMBER(--MID((LEFT(A202,SUM(LEN(A202)-LEN(SUBSTITUTE(A202,{"0","1","2"},""))))), ROW(INDIRECT("1:"&amp;LEN((LEFT(A202,SUM(LEN(A202)-LEN(SUBSTITUTE(A202,{"0","1","2"},"")))))))), 1)) * ROW(INDIRECT("1:"&amp;LEN((LEFT(A202,SUM(LEN(A202)-LEN(SUBSTITUTE(A202,{"0","1","2"},"")))))))), 0), ROW(INDIRECT("1:"&amp;LEN((LEFT(A202,SUM(LEN(A202)-LEN(SUBSTITUTE(A202,{"0","1","2"},"")))))))))+1, 1) * 10^ROW(INDIRECT("1:"&amp;LEN((LEFT(A202,SUM(LEN(A202)-LEN(SUBSTITUTE(A202,{"0","1","2"},""))))))))/10))*1+1&amp;""&amp;" &amp; "&amp;""&amp;(SUMPRODUCT(MID(0&amp;(--TRIM(RIGHT(SUBSTITUTE(LEFT(A202,_xlfn.AGGREGATE(16,6,FIND({0,1,2,3,4,5,6,7,8,9},A202,ROW(INDIRECT("1:"&amp;LEN(A202)))),1))," ",REPT(" ",LEN(A202))),LEN(A202)))), LARGE(INDEX(ISNUMBER(--MID((--TRIM(RIGHT(SUBSTITUTE(LEFT(A202,_xlfn.AGGREGATE(16,6,FIND({0,1,2,3,4,5,6,7,8,9},A202,ROW(INDIRECT("1:"&amp;LEN(A202)))),1))," ",REPT(" ",LEN(A202))),LEN(A202)))), ROW(INDIRECT("1:"&amp;LEN((--TRIM(RIGHT(SUBSTITUTE(LEFT(A202,_xlfn.AGGREGATE(16,6,FIND({0,1,2,3,4,5,6,7,8,9},A202,ROW(INDIRECT("1:"&amp;LEN(A202)))),1))," ",REPT(" ",LEN(A202))),LEN(A202))))))), 1)) * ROW(INDIRECT("1:"&amp;LEN((--TRIM(RIGHT(SUBSTITUTE(LEFT(A202,_xlfn.AGGREGATE(16,6,FIND({0,1,2,3,4,5,6,7,8,9},A202,ROW(INDIRECT("1:"&amp;LEN(A202)))),1))," ",REPT(" ",LEN(A202))),LEN(A202))))))), 0), ROW(INDIRECT("1:"&amp;LEN((--TRIM(RIGHT(SUBSTITUTE(LEFT(A202,_xlfn.AGGREGATE(16,6,FIND({0,1,2,3,4,5,6,7,8,9},A202,ROW(INDIRECT("1:"&amp;LEN(A202)))),1))," ",REPT(" ",LEN(A202))),LEN(A202))))))))+1, 1) * 10^ROW(INDIRECT("1:"&amp;LEN((--TRIM(RIGHT(SUBSTITUTE(LEFT(A202,_xlfn.AGGREGATE(16,6,FIND({0,1,2,3,4,5,6,7,8,9},A202,ROW(INDIRECT("1:"&amp;LEN(A202)))),1))," ",REPT(" ",LEN(A202))),LEN(A202)))))))/10))*1+1</f>
        <v>204 &amp; 304</v>
      </c>
      <c r="B203" s="95"/>
      <c r="C203" s="55" t="s">
        <v>188</v>
      </c>
      <c r="D203" s="55">
        <f>(2.73*3.35+1.52*1.25+0.9*1.2+1.7*3+2.25*0.95+1*(2.25+3)+0.9*1.52+1.2*1.52)*10.764</f>
        <v>299.29301999999996</v>
      </c>
      <c r="E203" s="55">
        <v>0</v>
      </c>
      <c r="F203" s="55">
        <f>D203*(($F$145)+1)+(IF(E203&lt;101,E203,IF(E203&lt;201,E203/2,IF(E203&lt;=301,E203/3,E203/4))))</f>
        <v>433.97487899999993</v>
      </c>
      <c r="G203" s="94" t="str">
        <f t="shared" si="19"/>
        <v>2nd &amp; 3rd Floor</v>
      </c>
      <c r="H203" s="95"/>
      <c r="I203" s="34"/>
    </row>
    <row r="204" spans="1:16" s="56" customFormat="1" x14ac:dyDescent="0.25">
      <c r="A204" s="89" t="s">
        <v>194</v>
      </c>
      <c r="B204" s="89"/>
      <c r="C204" s="89"/>
      <c r="D204" s="89"/>
      <c r="E204" s="89"/>
      <c r="F204" s="89"/>
      <c r="G204" s="89"/>
      <c r="H204" s="89"/>
      <c r="I204" s="34"/>
      <c r="L204" s="90"/>
      <c r="M204" s="90"/>
    </row>
    <row r="205" spans="1:16" s="56" customFormat="1" x14ac:dyDescent="0.25">
      <c r="A205" s="88">
        <f>LEFT(A204,SUM(LEN(A204)-LEN(SUBSTITUTE(A204,{"0","1","2","3","4","5","6","7","8","9"},""))))*100+1</f>
        <v>401</v>
      </c>
      <c r="B205" s="88"/>
      <c r="C205" s="55" t="s">
        <v>188</v>
      </c>
      <c r="D205" s="55">
        <f>(2.9*3.84+1.8*1.5+2.73*1.66+2.25*1.2+1*2.73+0.9*1.66)*10.764</f>
        <v>272.24093519999997</v>
      </c>
      <c r="E205" s="55">
        <v>0</v>
      </c>
      <c r="F205" s="55">
        <f>D205*(($F$145)+1)+(IF(E205&lt;101,E205,IF(E205&lt;201,E205/2,IF(E205&lt;=301,E205/3,E205/4))))</f>
        <v>394.74935603999995</v>
      </c>
      <c r="G205" s="88" t="str">
        <f>A204</f>
        <v>4th Floor(Part Terrace Area)</v>
      </c>
      <c r="H205" s="88"/>
      <c r="I205" s="34"/>
      <c r="N205" s="34"/>
    </row>
    <row r="206" spans="1:16" s="56" customFormat="1" x14ac:dyDescent="0.25">
      <c r="A206" s="88">
        <v>402</v>
      </c>
      <c r="B206" s="88"/>
      <c r="C206" s="55" t="s">
        <v>208</v>
      </c>
      <c r="D206" s="55">
        <f>(2.9*3.84+1.8*1.5+2.25*1.2+0.9*0.9)*10.764</f>
        <v>186.71234399999994</v>
      </c>
      <c r="E206" s="55">
        <f>(2.88*3)*10.764</f>
        <v>93.000960000000006</v>
      </c>
      <c r="F206" s="55">
        <f>D206*(($F$145)+1)+(IF(E206&lt;101,E206,IF(E206&lt;201,E206/2,IF(E206&lt;=301,E206/3,E206/4))))</f>
        <v>363.73385879999995</v>
      </c>
      <c r="G206" s="88">
        <f>A205</f>
        <v>401</v>
      </c>
      <c r="H206" s="88"/>
      <c r="I206" s="34"/>
      <c r="N206" s="34"/>
    </row>
    <row r="207" spans="1:16" s="56" customFormat="1" x14ac:dyDescent="0.25">
      <c r="A207" s="88">
        <v>403</v>
      </c>
      <c r="B207" s="88"/>
      <c r="C207" s="55" t="s">
        <v>208</v>
      </c>
      <c r="D207" s="55">
        <f>(2.73*3.35+1.52*2.3+2.25*0.95+1*2.25)*10.764</f>
        <v>183.30015599999999</v>
      </c>
      <c r="E207" s="55">
        <f>(2.85*3)*10.764</f>
        <v>92.032200000000003</v>
      </c>
      <c r="F207" s="55">
        <f>D207*(($F$145)+1)+(IF(E207&lt;101,E207,IF(E207&lt;201,E207/2,IF(E207&lt;=301,E207/3,E207/4))))</f>
        <v>357.81742619999994</v>
      </c>
      <c r="G207" s="88">
        <f>A206</f>
        <v>402</v>
      </c>
      <c r="H207" s="88"/>
      <c r="I207" s="34"/>
      <c r="N207" s="34"/>
    </row>
    <row r="208" spans="1:16" s="56" customFormat="1" x14ac:dyDescent="0.25">
      <c r="A208" s="88">
        <v>404</v>
      </c>
      <c r="B208" s="88"/>
      <c r="C208" s="55" t="s">
        <v>188</v>
      </c>
      <c r="D208" s="55">
        <f>(2.73*3.35+1.52*1.25+0.9*1.2+1.7*3+2.25*0.95+1*(2.25+3)+0.9*1.52+1.2*1.52)*10.764</f>
        <v>299.29301999999996</v>
      </c>
      <c r="E208" s="55">
        <v>0</v>
      </c>
      <c r="F208" s="55">
        <f>D208*(($F$145)+1)+(IF(E208&lt;101,E208,IF(E208&lt;201,E208/2,IF(E208&lt;=301,E208/3,E208/4))))</f>
        <v>433.97487899999993</v>
      </c>
      <c r="G208" s="88">
        <f>A207</f>
        <v>403</v>
      </c>
      <c r="H208" s="88"/>
      <c r="I208" s="34"/>
      <c r="N208" s="34"/>
    </row>
    <row r="209" spans="1:9" s="33" customFormat="1" x14ac:dyDescent="0.25">
      <c r="A209" s="171" t="s">
        <v>72</v>
      </c>
      <c r="B209" s="171"/>
      <c r="C209" s="171"/>
      <c r="D209" s="171"/>
      <c r="E209" s="171"/>
      <c r="F209" s="171"/>
      <c r="G209" s="171"/>
      <c r="H209" s="171"/>
    </row>
    <row r="210" spans="1:9" s="33" customFormat="1" ht="49.5" customHeight="1" x14ac:dyDescent="0.25">
      <c r="A210" s="42" t="s">
        <v>163</v>
      </c>
      <c r="B210" s="136" t="s">
        <v>227</v>
      </c>
      <c r="C210" s="137"/>
      <c r="D210" s="137"/>
      <c r="E210" s="137"/>
      <c r="F210" s="137"/>
      <c r="G210" s="137"/>
      <c r="H210" s="138"/>
      <c r="I210" s="66" t="s">
        <v>222</v>
      </c>
    </row>
    <row r="211" spans="1:9" s="33" customFormat="1" x14ac:dyDescent="0.25">
      <c r="A211" s="42" t="s">
        <v>163</v>
      </c>
      <c r="B211" s="136" t="str">
        <f>(IF(F144="Saleable area Loading :","We have considered Saleable area of Flats as per our Calculation.","We considered Saleable area of Flat as per Builder area Sheet."))</f>
        <v>We have considered Saleable area of Flats as per our Calculation.</v>
      </c>
      <c r="C211" s="137"/>
      <c r="D211" s="137"/>
      <c r="E211" s="137"/>
      <c r="F211" s="137"/>
      <c r="G211" s="137"/>
      <c r="H211" s="138"/>
    </row>
    <row r="212" spans="1:9" s="33" customFormat="1" x14ac:dyDescent="0.25">
      <c r="A212" s="42" t="s">
        <v>163</v>
      </c>
      <c r="B212" s="136" t="str">
        <f>(IF(F133="Saleable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12" s="137"/>
      <c r="D212" s="137"/>
      <c r="E212" s="137"/>
      <c r="F212" s="137"/>
      <c r="G212" s="137"/>
      <c r="H212" s="138"/>
    </row>
    <row r="213" spans="1:9" s="33" customFormat="1" x14ac:dyDescent="0.25">
      <c r="A213" s="42" t="s">
        <v>163</v>
      </c>
      <c r="B213" s="130" t="s">
        <v>132</v>
      </c>
      <c r="C213" s="131"/>
      <c r="D213" s="131"/>
      <c r="E213" s="131"/>
      <c r="F213" s="131"/>
      <c r="G213" s="131"/>
      <c r="H213" s="132"/>
    </row>
    <row r="214" spans="1:9" s="33" customFormat="1" x14ac:dyDescent="0.25">
      <c r="A214" s="42" t="s">
        <v>163</v>
      </c>
      <c r="B214" s="130" t="s">
        <v>212</v>
      </c>
      <c r="C214" s="131"/>
      <c r="D214" s="131"/>
      <c r="E214" s="131"/>
      <c r="F214" s="131"/>
      <c r="G214" s="131"/>
      <c r="H214" s="132"/>
    </row>
    <row r="215" spans="1:9" s="33" customFormat="1" x14ac:dyDescent="0.25">
      <c r="A215" s="42" t="s">
        <v>163</v>
      </c>
      <c r="B215" s="130" t="s">
        <v>162</v>
      </c>
      <c r="C215" s="131"/>
      <c r="D215" s="131"/>
      <c r="E215" s="131"/>
      <c r="F215" s="131"/>
      <c r="G215" s="131"/>
      <c r="H215" s="132"/>
    </row>
    <row r="216" spans="1:9" s="33" customFormat="1" x14ac:dyDescent="0.25">
      <c r="A216" s="42" t="s">
        <v>163</v>
      </c>
      <c r="B216" s="130" t="s">
        <v>133</v>
      </c>
      <c r="C216" s="131"/>
      <c r="D216" s="131"/>
      <c r="E216" s="131"/>
      <c r="F216" s="131"/>
      <c r="G216" s="131"/>
      <c r="H216" s="132"/>
    </row>
    <row r="217" spans="1:9" s="33" customFormat="1" ht="34.5" customHeight="1" x14ac:dyDescent="0.25">
      <c r="A217" s="42" t="s">
        <v>163</v>
      </c>
      <c r="B217" s="130" t="s">
        <v>164</v>
      </c>
      <c r="C217" s="131"/>
      <c r="D217" s="131"/>
      <c r="E217" s="131"/>
      <c r="F217" s="131"/>
      <c r="G217" s="131"/>
      <c r="H217" s="132"/>
    </row>
    <row r="218" spans="1:9" s="33" customFormat="1" x14ac:dyDescent="0.25">
      <c r="A218" s="68" t="s">
        <v>163</v>
      </c>
      <c r="B218" s="130" t="s">
        <v>134</v>
      </c>
      <c r="C218" s="131"/>
      <c r="D218" s="131"/>
      <c r="E218" s="131"/>
      <c r="F218" s="131"/>
      <c r="G218" s="131"/>
      <c r="H218" s="132"/>
    </row>
    <row r="219" spans="1:9" s="33" customFormat="1" ht="33.75" customHeight="1" x14ac:dyDescent="0.25">
      <c r="A219" s="42" t="s">
        <v>163</v>
      </c>
      <c r="B219" s="130" t="s">
        <v>226</v>
      </c>
      <c r="C219" s="131"/>
      <c r="D219" s="131"/>
      <c r="E219" s="131"/>
      <c r="F219" s="131"/>
      <c r="G219" s="131"/>
      <c r="H219" s="132"/>
    </row>
    <row r="220" spans="1:9" s="33" customFormat="1" hidden="1" x14ac:dyDescent="0.25">
      <c r="A220" s="53" t="s">
        <v>163</v>
      </c>
      <c r="B220" s="136" t="s">
        <v>211</v>
      </c>
      <c r="C220" s="137"/>
      <c r="D220" s="137"/>
      <c r="E220" s="137"/>
      <c r="F220" s="137"/>
      <c r="G220" s="137"/>
      <c r="H220" s="138"/>
    </row>
    <row r="221" spans="1:9" s="33" customFormat="1" ht="15.75" hidden="1" customHeight="1" x14ac:dyDescent="0.25">
      <c r="A221" s="42" t="s">
        <v>163</v>
      </c>
      <c r="B221" s="133" t="s">
        <v>223</v>
      </c>
      <c r="C221" s="134"/>
      <c r="D221" s="134"/>
      <c r="E221" s="134"/>
      <c r="F221" s="134"/>
      <c r="G221" s="134"/>
      <c r="H221" s="135"/>
    </row>
    <row r="222" spans="1:9" x14ac:dyDescent="0.25">
      <c r="A222" s="142" t="s">
        <v>65</v>
      </c>
      <c r="B222" s="142"/>
      <c r="C222" s="142"/>
      <c r="D222" s="142"/>
      <c r="E222" s="142"/>
      <c r="F222" s="142"/>
      <c r="G222" s="142"/>
      <c r="H222" s="142"/>
    </row>
    <row r="223" spans="1:9" x14ac:dyDescent="0.25">
      <c r="A223" s="112" t="s">
        <v>66</v>
      </c>
      <c r="B223" s="112"/>
      <c r="C223" s="112"/>
      <c r="D223" s="112"/>
      <c r="E223" s="112"/>
      <c r="F223" s="112"/>
      <c r="G223" s="112"/>
      <c r="H223" s="112"/>
    </row>
    <row r="224" spans="1:9" ht="15.75" customHeight="1" x14ac:dyDescent="0.25">
      <c r="A224" s="113" t="s">
        <v>67</v>
      </c>
      <c r="B224" s="113"/>
      <c r="C224" s="113"/>
      <c r="D224" s="113"/>
      <c r="E224" s="113"/>
      <c r="F224" s="113"/>
      <c r="G224" s="113"/>
      <c r="H224" s="113"/>
    </row>
    <row r="225" spans="1:8" x14ac:dyDescent="0.25">
      <c r="A225" s="112" t="s">
        <v>68</v>
      </c>
      <c r="B225" s="112"/>
      <c r="C225" s="112"/>
      <c r="D225" s="112"/>
      <c r="E225" s="112"/>
      <c r="F225" s="112"/>
      <c r="G225" s="112"/>
      <c r="H225" s="112"/>
    </row>
    <row r="226" spans="1:8" x14ac:dyDescent="0.25">
      <c r="A226" s="112" t="s">
        <v>69</v>
      </c>
      <c r="B226" s="112"/>
      <c r="C226" s="112"/>
      <c r="D226" s="112"/>
      <c r="E226" s="112"/>
      <c r="F226" s="112"/>
      <c r="G226" s="112"/>
      <c r="H226" s="112"/>
    </row>
    <row r="227" spans="1:8" x14ac:dyDescent="0.25">
      <c r="A227" s="112" t="s">
        <v>135</v>
      </c>
      <c r="B227" s="112"/>
      <c r="C227" s="112"/>
      <c r="D227" s="112"/>
      <c r="E227" s="112"/>
      <c r="F227" s="112"/>
      <c r="G227" s="112"/>
      <c r="H227" s="112"/>
    </row>
    <row r="228" spans="1:8" ht="35.25" customHeight="1" x14ac:dyDescent="0.25">
      <c r="A228" s="108" t="s">
        <v>136</v>
      </c>
      <c r="B228" s="108"/>
      <c r="C228" s="108"/>
      <c r="D228" s="108"/>
      <c r="E228" s="108"/>
      <c r="F228" s="108"/>
      <c r="G228" s="108"/>
      <c r="H228" s="108"/>
    </row>
    <row r="229" spans="1:8" x14ac:dyDescent="0.25">
      <c r="A229" s="147" t="s">
        <v>82</v>
      </c>
      <c r="B229" s="147"/>
      <c r="C229" s="147" t="s">
        <v>221</v>
      </c>
      <c r="D229" s="147"/>
      <c r="E229" s="147" t="s">
        <v>112</v>
      </c>
      <c r="F229" s="147"/>
      <c r="G229" s="147" t="s">
        <v>225</v>
      </c>
      <c r="H229" s="147"/>
    </row>
    <row r="230" spans="1:8" x14ac:dyDescent="0.25">
      <c r="A230" s="146" t="s">
        <v>84</v>
      </c>
      <c r="B230" s="146"/>
      <c r="C230" s="146"/>
      <c r="D230" s="146"/>
      <c r="E230" s="146"/>
      <c r="F230" s="146"/>
      <c r="G230" s="146"/>
      <c r="H230" s="146"/>
    </row>
    <row r="231" spans="1:8" x14ac:dyDescent="0.25">
      <c r="A231" s="146"/>
      <c r="B231" s="146"/>
      <c r="C231" s="146"/>
      <c r="D231" s="146"/>
      <c r="E231" s="146"/>
      <c r="F231" s="146"/>
      <c r="G231" s="146"/>
      <c r="H231" s="146"/>
    </row>
    <row r="232" spans="1:8" x14ac:dyDescent="0.25">
      <c r="A232" s="146"/>
      <c r="B232" s="146"/>
      <c r="C232" s="146"/>
      <c r="D232" s="146"/>
      <c r="E232" s="146"/>
      <c r="F232" s="146"/>
      <c r="G232" s="146"/>
      <c r="H232" s="146"/>
    </row>
    <row r="233" spans="1:8" x14ac:dyDescent="0.25">
      <c r="A233" s="146"/>
      <c r="B233" s="146"/>
      <c r="C233" s="146"/>
      <c r="D233" s="146"/>
      <c r="E233" s="146"/>
      <c r="F233" s="146"/>
      <c r="G233" s="146"/>
      <c r="H233" s="146"/>
    </row>
    <row r="234" spans="1:8" x14ac:dyDescent="0.25">
      <c r="A234" s="36" t="s">
        <v>70</v>
      </c>
      <c r="B234" s="37"/>
      <c r="C234" s="37"/>
      <c r="D234" s="36" t="str">
        <f>E8</f>
        <v>Aliya Park</v>
      </c>
      <c r="F234" s="37"/>
      <c r="G234" s="37"/>
      <c r="H234" s="37"/>
    </row>
    <row r="235" spans="1:8" x14ac:dyDescent="0.25">
      <c r="A235" s="37"/>
      <c r="B235" s="37"/>
      <c r="C235" s="37"/>
      <c r="D235" s="37"/>
      <c r="E235" s="37"/>
      <c r="F235" s="37"/>
      <c r="G235" s="37"/>
      <c r="H235" s="37"/>
    </row>
    <row r="236" spans="1:8" x14ac:dyDescent="0.25">
      <c r="A236" s="37"/>
      <c r="B236" s="37"/>
      <c r="C236" s="37"/>
      <c r="D236" s="37"/>
      <c r="E236" s="37"/>
      <c r="F236" s="37"/>
      <c r="G236" s="37"/>
      <c r="H236" s="37"/>
    </row>
    <row r="237" spans="1:8" ht="15" customHeight="1" x14ac:dyDescent="0.25"/>
    <row r="271" hidden="1" x14ac:dyDescent="0.25"/>
    <row r="272" hidden="1" x14ac:dyDescent="0.25"/>
    <row r="273" spans="1:1" hidden="1" x14ac:dyDescent="0.25"/>
    <row r="274" spans="1:1" hidden="1" x14ac:dyDescent="0.25"/>
    <row r="275" spans="1:1" hidden="1" x14ac:dyDescent="0.25"/>
    <row r="276" spans="1:1" hidden="1" x14ac:dyDescent="0.25"/>
    <row r="277" spans="1:1" hidden="1" x14ac:dyDescent="0.25"/>
    <row r="278" spans="1:1" x14ac:dyDescent="0.25">
      <c r="A278" s="39" t="s">
        <v>71</v>
      </c>
    </row>
  </sheetData>
  <mergeCells count="436">
    <mergeCell ref="B218:H218"/>
    <mergeCell ref="B220:H220"/>
    <mergeCell ref="L158:M158"/>
    <mergeCell ref="A189:B189"/>
    <mergeCell ref="G189:H189"/>
    <mergeCell ref="A190:B190"/>
    <mergeCell ref="G190:H190"/>
    <mergeCell ref="C185:F187"/>
    <mergeCell ref="C189:F190"/>
    <mergeCell ref="A178:B178"/>
    <mergeCell ref="G178:H178"/>
    <mergeCell ref="A179:B179"/>
    <mergeCell ref="G179:H179"/>
    <mergeCell ref="A180:B180"/>
    <mergeCell ref="G180:H180"/>
    <mergeCell ref="A181:B181"/>
    <mergeCell ref="G181:H181"/>
    <mergeCell ref="A182:B182"/>
    <mergeCell ref="G182:H182"/>
    <mergeCell ref="A173:B173"/>
    <mergeCell ref="G173:H173"/>
    <mergeCell ref="A174:B174"/>
    <mergeCell ref="G174:H174"/>
    <mergeCell ref="A158:H158"/>
    <mergeCell ref="A159:B159"/>
    <mergeCell ref="G159:H159"/>
    <mergeCell ref="A160:B160"/>
    <mergeCell ref="G160:H160"/>
    <mergeCell ref="A161:B161"/>
    <mergeCell ref="A165:B165"/>
    <mergeCell ref="A175:H175"/>
    <mergeCell ref="A176:B176"/>
    <mergeCell ref="G176:H176"/>
    <mergeCell ref="A168:B168"/>
    <mergeCell ref="G168:H168"/>
    <mergeCell ref="A169:B169"/>
    <mergeCell ref="G169:H169"/>
    <mergeCell ref="A170:B170"/>
    <mergeCell ref="G170:H170"/>
    <mergeCell ref="A171:B171"/>
    <mergeCell ref="G171:H171"/>
    <mergeCell ref="A172:B172"/>
    <mergeCell ref="G172:H172"/>
    <mergeCell ref="G161:H161"/>
    <mergeCell ref="A162:B162"/>
    <mergeCell ref="G162:H162"/>
    <mergeCell ref="A153:H153"/>
    <mergeCell ref="A154:B154"/>
    <mergeCell ref="G154:H154"/>
    <mergeCell ref="A155:B155"/>
    <mergeCell ref="G155:H155"/>
    <mergeCell ref="A156:B156"/>
    <mergeCell ref="G156:H156"/>
    <mergeCell ref="A157:B157"/>
    <mergeCell ref="G157:H157"/>
    <mergeCell ref="B217:H217"/>
    <mergeCell ref="A47:B47"/>
    <mergeCell ref="C47:H47"/>
    <mergeCell ref="B215:H215"/>
    <mergeCell ref="F110:H110"/>
    <mergeCell ref="A110:E110"/>
    <mergeCell ref="G187:H187"/>
    <mergeCell ref="G184:H184"/>
    <mergeCell ref="D133:D134"/>
    <mergeCell ref="A112:E112"/>
    <mergeCell ref="A137:B137"/>
    <mergeCell ref="A138:B138"/>
    <mergeCell ref="A139:B139"/>
    <mergeCell ref="A140:B140"/>
    <mergeCell ref="A113:E113"/>
    <mergeCell ref="A148:H148"/>
    <mergeCell ref="A149:B149"/>
    <mergeCell ref="A209:H209"/>
    <mergeCell ref="A151:B151"/>
    <mergeCell ref="G151:H151"/>
    <mergeCell ref="A152:B152"/>
    <mergeCell ref="G152:H152"/>
    <mergeCell ref="A147:H147"/>
    <mergeCell ref="A167:H167"/>
    <mergeCell ref="L137:M137"/>
    <mergeCell ref="L141:M141"/>
    <mergeCell ref="L142:M142"/>
    <mergeCell ref="C126:D126"/>
    <mergeCell ref="G126:H126"/>
    <mergeCell ref="A130:B130"/>
    <mergeCell ref="E130:F130"/>
    <mergeCell ref="A38:B38"/>
    <mergeCell ref="C38:H38"/>
    <mergeCell ref="F115:H115"/>
    <mergeCell ref="A109:E109"/>
    <mergeCell ref="A136:H136"/>
    <mergeCell ref="E133:E134"/>
    <mergeCell ref="G133:H134"/>
    <mergeCell ref="F108:H108"/>
    <mergeCell ref="F113:H113"/>
    <mergeCell ref="F111:H111"/>
    <mergeCell ref="A111:E111"/>
    <mergeCell ref="A108:E108"/>
    <mergeCell ref="F112:H112"/>
    <mergeCell ref="A128:B128"/>
    <mergeCell ref="C128:D128"/>
    <mergeCell ref="E128:F128"/>
    <mergeCell ref="G128:H128"/>
    <mergeCell ref="A143:H143"/>
    <mergeCell ref="A144:A145"/>
    <mergeCell ref="L148:M148"/>
    <mergeCell ref="G149:H149"/>
    <mergeCell ref="A150:B150"/>
    <mergeCell ref="G150:H150"/>
    <mergeCell ref="L140:M140"/>
    <mergeCell ref="L139:M139"/>
    <mergeCell ref="L138:M138"/>
    <mergeCell ref="B144:B145"/>
    <mergeCell ref="A187:B187"/>
    <mergeCell ref="G188:H188"/>
    <mergeCell ref="G165:H165"/>
    <mergeCell ref="L165:M165"/>
    <mergeCell ref="A166:B166"/>
    <mergeCell ref="G166:H166"/>
    <mergeCell ref="L166:M166"/>
    <mergeCell ref="L183:M183"/>
    <mergeCell ref="L167:M167"/>
    <mergeCell ref="A177:B177"/>
    <mergeCell ref="G177:H177"/>
    <mergeCell ref="A114:E114"/>
    <mergeCell ref="F114:H114"/>
    <mergeCell ref="A115:E115"/>
    <mergeCell ref="A117:E117"/>
    <mergeCell ref="A116:E116"/>
    <mergeCell ref="F118:H118"/>
    <mergeCell ref="A119:E119"/>
    <mergeCell ref="G130:H130"/>
    <mergeCell ref="A36:H36"/>
    <mergeCell ref="A50:B51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A35:B35"/>
    <mergeCell ref="C35:E35"/>
    <mergeCell ref="A40:D40"/>
    <mergeCell ref="E40:H40"/>
    <mergeCell ref="F32:H32"/>
    <mergeCell ref="F33:H33"/>
    <mergeCell ref="A39:H39"/>
    <mergeCell ref="A59:C59"/>
    <mergeCell ref="D59:H59"/>
    <mergeCell ref="A42:D42"/>
    <mergeCell ref="E42:H42"/>
    <mergeCell ref="E43:H43"/>
    <mergeCell ref="E44:H44"/>
    <mergeCell ref="E45:H45"/>
    <mergeCell ref="A43:D43"/>
    <mergeCell ref="F35:H35"/>
    <mergeCell ref="A37:B37"/>
    <mergeCell ref="E37:F37"/>
    <mergeCell ref="C37:D37"/>
    <mergeCell ref="G37:H37"/>
    <mergeCell ref="A46:H46"/>
    <mergeCell ref="D56:H56"/>
    <mergeCell ref="A56:C56"/>
    <mergeCell ref="G49:H49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D62:H62"/>
    <mergeCell ref="A65:C65"/>
    <mergeCell ref="D65:H65"/>
    <mergeCell ref="A60:C60"/>
    <mergeCell ref="E70:F79"/>
    <mergeCell ref="A230:H233"/>
    <mergeCell ref="A229:B229"/>
    <mergeCell ref="E229:F229"/>
    <mergeCell ref="C229:D229"/>
    <mergeCell ref="G229:H229"/>
    <mergeCell ref="A122:H122"/>
    <mergeCell ref="A120:E120"/>
    <mergeCell ref="F120:H120"/>
    <mergeCell ref="A121:E121"/>
    <mergeCell ref="F121:H121"/>
    <mergeCell ref="A183:H183"/>
    <mergeCell ref="A127:B127"/>
    <mergeCell ref="A124:B124"/>
    <mergeCell ref="A225:H225"/>
    <mergeCell ref="A125:H125"/>
    <mergeCell ref="A228:H228"/>
    <mergeCell ref="A226:H226"/>
    <mergeCell ref="B210:H210"/>
    <mergeCell ref="B211:H211"/>
    <mergeCell ref="A222:H222"/>
    <mergeCell ref="A223:H223"/>
    <mergeCell ref="E126:F126"/>
    <mergeCell ref="C127:D127"/>
    <mergeCell ref="A63:C63"/>
    <mergeCell ref="D63:H63"/>
    <mergeCell ref="A64:C64"/>
    <mergeCell ref="D64:H64"/>
    <mergeCell ref="A70:B70"/>
    <mergeCell ref="F119:H119"/>
    <mergeCell ref="F117:H117"/>
    <mergeCell ref="G123:H123"/>
    <mergeCell ref="A118:E118"/>
    <mergeCell ref="C124:D124"/>
    <mergeCell ref="E124:F124"/>
    <mergeCell ref="C130:D130"/>
    <mergeCell ref="G127:H127"/>
    <mergeCell ref="A191:H191"/>
    <mergeCell ref="A192:H192"/>
    <mergeCell ref="A193:B193"/>
    <mergeCell ref="G193:H193"/>
    <mergeCell ref="A197:B197"/>
    <mergeCell ref="G197:H197"/>
    <mergeCell ref="A198:B198"/>
    <mergeCell ref="A57:C58"/>
    <mergeCell ref="B219:H219"/>
    <mergeCell ref="B221:H221"/>
    <mergeCell ref="G139:H139"/>
    <mergeCell ref="G137:H137"/>
    <mergeCell ref="G138:H138"/>
    <mergeCell ref="G140:H140"/>
    <mergeCell ref="B216:H216"/>
    <mergeCell ref="B212:H212"/>
    <mergeCell ref="B213:H213"/>
    <mergeCell ref="B214:H214"/>
    <mergeCell ref="A163:H163"/>
    <mergeCell ref="G69:H69"/>
    <mergeCell ref="G70:H79"/>
    <mergeCell ref="A78:B78"/>
    <mergeCell ref="A79:B79"/>
    <mergeCell ref="D60:H60"/>
    <mergeCell ref="A77:B77"/>
    <mergeCell ref="E127:F127"/>
    <mergeCell ref="E123:F123"/>
    <mergeCell ref="A131:H131"/>
    <mergeCell ref="A123:B123"/>
    <mergeCell ref="F116:H116"/>
    <mergeCell ref="C123:D123"/>
    <mergeCell ref="A227:H227"/>
    <mergeCell ref="A224:H224"/>
    <mergeCell ref="A184:B184"/>
    <mergeCell ref="A126:B126"/>
    <mergeCell ref="D144:D145"/>
    <mergeCell ref="E144:E145"/>
    <mergeCell ref="G144:H145"/>
    <mergeCell ref="A75:B75"/>
    <mergeCell ref="F109:H109"/>
    <mergeCell ref="G124:H124"/>
    <mergeCell ref="G186:H186"/>
    <mergeCell ref="A132:H132"/>
    <mergeCell ref="G185:H185"/>
    <mergeCell ref="B133:B134"/>
    <mergeCell ref="A133:A134"/>
    <mergeCell ref="C144:C145"/>
    <mergeCell ref="A164:H164"/>
    <mergeCell ref="A141:B141"/>
    <mergeCell ref="G141:H141"/>
    <mergeCell ref="C133:C134"/>
    <mergeCell ref="A142:B142"/>
    <mergeCell ref="G142:H142"/>
    <mergeCell ref="A135:H135"/>
    <mergeCell ref="A146:H146"/>
    <mergeCell ref="D57:H57"/>
    <mergeCell ref="D58:H58"/>
    <mergeCell ref="C49:E49"/>
    <mergeCell ref="A52:B52"/>
    <mergeCell ref="C52:E52"/>
    <mergeCell ref="A49:B49"/>
    <mergeCell ref="A16:B16"/>
    <mergeCell ref="C16:H16"/>
    <mergeCell ref="E41:H41"/>
    <mergeCell ref="A41:D41"/>
    <mergeCell ref="A48:B48"/>
    <mergeCell ref="C48:E48"/>
    <mergeCell ref="G48:H48"/>
    <mergeCell ref="G50:H50"/>
    <mergeCell ref="D54:H54"/>
    <mergeCell ref="C50:E50"/>
    <mergeCell ref="A53:H53"/>
    <mergeCell ref="A54:C54"/>
    <mergeCell ref="A55:C55"/>
    <mergeCell ref="D55:H55"/>
    <mergeCell ref="G52:H52"/>
    <mergeCell ref="C51:H51"/>
    <mergeCell ref="A44:D44"/>
    <mergeCell ref="A45:D45"/>
    <mergeCell ref="A207:B207"/>
    <mergeCell ref="G207:H207"/>
    <mergeCell ref="A208:B208"/>
    <mergeCell ref="G208:H208"/>
    <mergeCell ref="A201:B201"/>
    <mergeCell ref="G201:H201"/>
    <mergeCell ref="A202:B202"/>
    <mergeCell ref="G202:H202"/>
    <mergeCell ref="A203:B203"/>
    <mergeCell ref="G203:H203"/>
    <mergeCell ref="A129:B129"/>
    <mergeCell ref="C129:D129"/>
    <mergeCell ref="E129:F129"/>
    <mergeCell ref="G129:H129"/>
    <mergeCell ref="A206:B206"/>
    <mergeCell ref="G206:H206"/>
    <mergeCell ref="A204:H204"/>
    <mergeCell ref="L204:M204"/>
    <mergeCell ref="A205:B205"/>
    <mergeCell ref="G205:H205"/>
    <mergeCell ref="G198:H198"/>
    <mergeCell ref="A199:H199"/>
    <mergeCell ref="A200:B200"/>
    <mergeCell ref="G200:H200"/>
    <mergeCell ref="L193:M193"/>
    <mergeCell ref="A194:H194"/>
    <mergeCell ref="L194:M194"/>
    <mergeCell ref="A195:B195"/>
    <mergeCell ref="G195:H195"/>
    <mergeCell ref="A196:B196"/>
    <mergeCell ref="G196:H196"/>
    <mergeCell ref="A188:B188"/>
    <mergeCell ref="A185:B185"/>
    <mergeCell ref="A186:B186"/>
    <mergeCell ref="A94:B94"/>
    <mergeCell ref="C94:H94"/>
    <mergeCell ref="A96:B96"/>
    <mergeCell ref="C96:H96"/>
    <mergeCell ref="A97:B97"/>
    <mergeCell ref="E97:F97"/>
    <mergeCell ref="G97:H97"/>
    <mergeCell ref="A98:B98"/>
    <mergeCell ref="E98:F107"/>
    <mergeCell ref="G98:H107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80:B80"/>
    <mergeCell ref="C80:H80"/>
    <mergeCell ref="A82:B82"/>
    <mergeCell ref="C82:H82"/>
    <mergeCell ref="A83:B83"/>
    <mergeCell ref="E83:F83"/>
    <mergeCell ref="G83:H83"/>
    <mergeCell ref="A84:B84"/>
    <mergeCell ref="E84:F93"/>
    <mergeCell ref="G84:H93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79" max="16383" man="1"/>
    <brk id="233" max="16383" man="1"/>
    <brk id="27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2"/>
    <col min="2" max="2" width="22.140625" style="2" customWidth="1"/>
    <col min="3" max="3" width="37" style="2" customWidth="1"/>
    <col min="4" max="5" width="11.42578125" style="2" customWidth="1"/>
    <col min="6" max="6" width="14" style="2" customWidth="1"/>
    <col min="7" max="7" width="20" style="2" customWidth="1"/>
    <col min="8" max="8" width="16.42578125" style="2" customWidth="1"/>
    <col min="9" max="16384" width="8.7109375" style="2"/>
  </cols>
  <sheetData>
    <row r="1" spans="1:9" ht="15" customHeight="1" x14ac:dyDescent="0.25">
      <c r="A1" s="1"/>
      <c r="B1" s="1"/>
      <c r="C1" s="1"/>
      <c r="D1" s="1"/>
      <c r="E1" s="1"/>
      <c r="F1" s="1"/>
      <c r="G1" s="1"/>
      <c r="H1" s="1"/>
    </row>
    <row r="2" spans="1:9" ht="15" customHeight="1" x14ac:dyDescent="0.2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25">
      <c r="A3" s="3"/>
      <c r="B3" s="181" t="s">
        <v>113</v>
      </c>
      <c r="C3" s="181"/>
      <c r="D3" s="181"/>
      <c r="E3" s="181"/>
      <c r="F3" s="181"/>
      <c r="G3" s="181"/>
      <c r="H3" s="181"/>
    </row>
    <row r="4" spans="1:9" x14ac:dyDescent="0.25">
      <c r="A4" s="3"/>
      <c r="B4" s="4" t="s">
        <v>114</v>
      </c>
      <c r="C4" s="4" t="s">
        <v>115</v>
      </c>
      <c r="D4" s="4" t="s">
        <v>73</v>
      </c>
      <c r="E4" s="4" t="s">
        <v>116</v>
      </c>
      <c r="F4" s="4" t="s">
        <v>122</v>
      </c>
      <c r="G4" s="4" t="s">
        <v>123</v>
      </c>
      <c r="H4" s="4" t="s">
        <v>117</v>
      </c>
    </row>
    <row r="5" spans="1:9" ht="15" customHeight="1" x14ac:dyDescent="0.25">
      <c r="A5" s="3"/>
      <c r="B5" s="6" t="s">
        <v>118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25">
      <c r="A6" s="3"/>
      <c r="B6" s="6" t="s">
        <v>118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25">
      <c r="A7" s="3"/>
      <c r="B7" s="6" t="s">
        <v>118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25">
      <c r="A8" s="3"/>
      <c r="B8" s="6" t="s">
        <v>118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25">
      <c r="A9" s="3"/>
      <c r="B9" s="6" t="s">
        <v>118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25">
      <c r="A10" s="3"/>
      <c r="B10" s="6" t="s">
        <v>119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25">
      <c r="A11" s="3"/>
      <c r="B11" s="6" t="s">
        <v>119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25">
      <c r="A12" s="3"/>
      <c r="B12" s="11" t="s">
        <v>120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25">
      <c r="A13" s="1"/>
      <c r="B13" s="11" t="s">
        <v>121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25">
      <c r="B14" s="1"/>
      <c r="C14" s="1"/>
      <c r="D14" s="1"/>
      <c r="E14" s="1"/>
    </row>
    <row r="15" spans="1:9" ht="15" customHeight="1" x14ac:dyDescent="0.25">
      <c r="B15" s="1"/>
      <c r="C15" s="1"/>
      <c r="D15" s="1"/>
      <c r="E15" s="1"/>
    </row>
    <row r="16" spans="1:9" ht="15" customHeight="1" x14ac:dyDescent="0.2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2025-04-09T13:40:09Z</cp:lastPrinted>
  <dcterms:created xsi:type="dcterms:W3CDTF">2019-07-16T09:29:46Z</dcterms:created>
  <dcterms:modified xsi:type="dcterms:W3CDTF">2025-07-14T05:17:34Z</dcterms:modified>
</cp:coreProperties>
</file>