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tabRatio="871"/>
  </bookViews>
  <sheets>
    <sheet name="Report (2)" sheetId="1" r:id="rId1"/>
    <sheet name="VALUATION" sheetId="12" r:id="rId2"/>
    <sheet name="Note" sheetId="10" r:id="rId3"/>
    <sheet name="Balsam %" sheetId="2" r:id="rId4"/>
    <sheet name="Camellia% (2)" sheetId="11" r:id="rId5"/>
    <sheet name="Aaster %" sheetId="8" r:id="rId6"/>
    <sheet name="Zinnia %" sheetId="9" r:id="rId7"/>
    <sheet name="Xyris %" sheetId="7" r:id="rId8"/>
    <sheet name="Yarrow %" sheetId="6" r:id="rId9"/>
    <sheet name="C % Wisteria" sheetId="4" r:id="rId10"/>
    <sheet name="Flat detail" sheetId="3" r:id="rId11"/>
  </sheets>
  <definedNames>
    <definedName name="_xlnm.Print_Area" localSheetId="0">'Report (2)'!$A$1:$J$447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 i="1" l="1"/>
  <c r="L122" i="1" l="1"/>
  <c r="L121" i="1"/>
  <c r="L120" i="1"/>
  <c r="L119" i="1"/>
  <c r="I112" i="1"/>
  <c r="D123" i="1" l="1"/>
  <c r="D117" i="1"/>
  <c r="L116" i="1"/>
  <c r="C115" i="1" s="1"/>
  <c r="H115" i="1" s="1"/>
  <c r="D122" i="1"/>
  <c r="D116" i="1"/>
  <c r="L114" i="1"/>
  <c r="D124" i="1"/>
  <c r="D121" i="1"/>
  <c r="F115" i="1"/>
  <c r="D118" i="1"/>
  <c r="L117" i="1"/>
  <c r="L118" i="1" s="1"/>
  <c r="L123" i="1" s="1"/>
  <c r="L124" i="1" s="1"/>
  <c r="L115" i="1"/>
  <c r="D120" i="1"/>
  <c r="D119" i="1"/>
  <c r="L136" i="1"/>
  <c r="L135" i="1"/>
  <c r="L134" i="1"/>
  <c r="L133" i="1"/>
  <c r="I126" i="1"/>
  <c r="D115" i="1" l="1"/>
  <c r="K111" i="1" s="1"/>
  <c r="C113" i="1" s="1"/>
  <c r="L130" i="1"/>
  <c r="C129" i="1" s="1"/>
  <c r="H129" i="1" s="1"/>
  <c r="D138" i="1"/>
  <c r="D134" i="1"/>
  <c r="D130" i="1"/>
  <c r="L129" i="1"/>
  <c r="D137" i="1"/>
  <c r="D133" i="1"/>
  <c r="F129" i="1"/>
  <c r="L128" i="1"/>
  <c r="D136" i="1"/>
  <c r="D132" i="1"/>
  <c r="L131" i="1"/>
  <c r="L132" i="1" s="1"/>
  <c r="L137" i="1" s="1"/>
  <c r="L138" i="1" s="1"/>
  <c r="D135" i="1"/>
  <c r="D131" i="1"/>
  <c r="L164" i="1"/>
  <c r="L163" i="1"/>
  <c r="L162" i="1"/>
  <c r="L161" i="1"/>
  <c r="L150" i="1"/>
  <c r="L149" i="1"/>
  <c r="L148" i="1"/>
  <c r="L147" i="1"/>
  <c r="L108" i="1"/>
  <c r="L107" i="1"/>
  <c r="L106" i="1"/>
  <c r="L105" i="1"/>
  <c r="L94" i="1"/>
  <c r="L93" i="1"/>
  <c r="L92" i="1"/>
  <c r="L91" i="1"/>
  <c r="L66" i="1"/>
  <c r="L65" i="1"/>
  <c r="L64" i="1"/>
  <c r="L63" i="1"/>
  <c r="L80" i="1"/>
  <c r="L79" i="1"/>
  <c r="L78" i="1"/>
  <c r="L77" i="1"/>
  <c r="I140" i="1"/>
  <c r="I98" i="1"/>
  <c r="I56" i="1"/>
  <c r="I70" i="1"/>
  <c r="I154" i="1"/>
  <c r="I84" i="1"/>
  <c r="D129" i="1" l="1"/>
  <c r="K125" i="1" s="1"/>
  <c r="C127" i="1" s="1"/>
  <c r="L158" i="1"/>
  <c r="D166" i="1"/>
  <c r="D162" i="1"/>
  <c r="D158" i="1"/>
  <c r="D159" i="1"/>
  <c r="L157" i="1"/>
  <c r="D163" i="1"/>
  <c r="D165" i="1"/>
  <c r="D161" i="1"/>
  <c r="H157" i="1"/>
  <c r="F157" i="1"/>
  <c r="D164" i="1"/>
  <c r="D160" i="1"/>
  <c r="D157" i="1"/>
  <c r="L159" i="1"/>
  <c r="L160" i="1" s="1"/>
  <c r="L165" i="1" s="1"/>
  <c r="L166" i="1" s="1"/>
  <c r="L156" i="1"/>
  <c r="L143" i="1"/>
  <c r="D151" i="1"/>
  <c r="D147" i="1"/>
  <c r="L142" i="1"/>
  <c r="D150" i="1"/>
  <c r="D146" i="1"/>
  <c r="D145" i="1"/>
  <c r="D152" i="1"/>
  <c r="L145" i="1"/>
  <c r="L146" i="1" s="1"/>
  <c r="L151" i="1" s="1"/>
  <c r="D149" i="1"/>
  <c r="L144" i="1"/>
  <c r="D148" i="1"/>
  <c r="D110" i="1"/>
  <c r="D106" i="1"/>
  <c r="D102" i="1"/>
  <c r="L101" i="1"/>
  <c r="D104" i="1"/>
  <c r="D109" i="1"/>
  <c r="D105" i="1"/>
  <c r="F101" i="1"/>
  <c r="D108" i="1"/>
  <c r="L100" i="1"/>
  <c r="L102" i="1"/>
  <c r="C101" i="1" s="1"/>
  <c r="H101" i="1" s="1"/>
  <c r="L103" i="1"/>
  <c r="L104" i="1" s="1"/>
  <c r="L109" i="1" s="1"/>
  <c r="L110" i="1" s="1"/>
  <c r="D107" i="1"/>
  <c r="D103" i="1"/>
  <c r="L88" i="1"/>
  <c r="C87" i="1" s="1"/>
  <c r="D87" i="1" s="1"/>
  <c r="L86" i="1"/>
  <c r="D96" i="1"/>
  <c r="D92" i="1"/>
  <c r="D94" i="1"/>
  <c r="D95" i="1"/>
  <c r="D91" i="1"/>
  <c r="L87" i="1"/>
  <c r="D90" i="1"/>
  <c r="L89" i="1"/>
  <c r="L90" i="1" s="1"/>
  <c r="L95" i="1" s="1"/>
  <c r="D93" i="1"/>
  <c r="D89" i="1"/>
  <c r="D61" i="1"/>
  <c r="D68" i="1"/>
  <c r="D64" i="1"/>
  <c r="L60" i="1"/>
  <c r="C59" i="1" s="1"/>
  <c r="D59" i="1" s="1"/>
  <c r="L58" i="1"/>
  <c r="D67" i="1"/>
  <c r="D63" i="1"/>
  <c r="L59" i="1"/>
  <c r="D62" i="1"/>
  <c r="D65" i="1"/>
  <c r="D66" i="1"/>
  <c r="L61" i="1"/>
  <c r="L62" i="1" s="1"/>
  <c r="L67" i="1" s="1"/>
  <c r="D82" i="1"/>
  <c r="D78" i="1"/>
  <c r="L74" i="1"/>
  <c r="C73" i="1" s="1"/>
  <c r="D73" i="1" s="1"/>
  <c r="L72" i="1"/>
  <c r="L73" i="1"/>
  <c r="D81" i="1"/>
  <c r="D77" i="1"/>
  <c r="D80" i="1"/>
  <c r="D76" i="1"/>
  <c r="D79" i="1"/>
  <c r="L75" i="1"/>
  <c r="L76" i="1" s="1"/>
  <c r="L81" i="1" s="1"/>
  <c r="L82" i="1" s="1"/>
  <c r="C74" i="1" s="1"/>
  <c r="D75" i="1"/>
  <c r="L176" i="1"/>
  <c r="L175" i="1"/>
  <c r="L174" i="1"/>
  <c r="F9" i="12"/>
  <c r="G9" i="12" s="1"/>
  <c r="F12" i="12"/>
  <c r="F11" i="12"/>
  <c r="G11" i="12" s="1"/>
  <c r="F10" i="12"/>
  <c r="G10" i="12" s="1"/>
  <c r="G8" i="12"/>
  <c r="G7" i="12"/>
  <c r="G6" i="12"/>
  <c r="G5" i="12"/>
  <c r="B16" i="11"/>
  <c r="O6" i="11" s="1"/>
  <c r="G19" i="11" s="1"/>
  <c r="B14" i="11"/>
  <c r="E9" i="11" s="1"/>
  <c r="B12" i="11"/>
  <c r="M6" i="11" s="1"/>
  <c r="G17" i="11" s="1"/>
  <c r="B10" i="11"/>
  <c r="L6" i="11" s="1"/>
  <c r="G16" i="11" s="1"/>
  <c r="B8" i="11"/>
  <c r="K7" i="11" s="1"/>
  <c r="H15" i="11" s="1"/>
  <c r="I6" i="11"/>
  <c r="G13" i="11" s="1"/>
  <c r="B6" i="11"/>
  <c r="J7" i="11" s="1"/>
  <c r="H14" i="11" s="1"/>
  <c r="E4" i="11"/>
  <c r="L152" i="1" l="1"/>
  <c r="C144" i="1" s="1"/>
  <c r="C143" i="1"/>
  <c r="E10" i="11"/>
  <c r="E6" i="11"/>
  <c r="E7" i="11"/>
  <c r="G12" i="12"/>
  <c r="L7" i="11"/>
  <c r="H16" i="11" s="1"/>
  <c r="E5" i="11"/>
  <c r="O7" i="11"/>
  <c r="H19" i="11" s="1"/>
  <c r="M174" i="1"/>
  <c r="K153" i="1"/>
  <c r="C155" i="1" s="1"/>
  <c r="D101" i="1"/>
  <c r="K97" i="1" s="1"/>
  <c r="C99" i="1" s="1"/>
  <c r="L96" i="1"/>
  <c r="L68" i="1"/>
  <c r="F59" i="1"/>
  <c r="F73" i="1"/>
  <c r="K69" i="1" s="1"/>
  <c r="C71" i="1" s="1"/>
  <c r="D74" i="1"/>
  <c r="H73" i="1"/>
  <c r="M7" i="11"/>
  <c r="H17" i="11" s="1"/>
  <c r="E8" i="11"/>
  <c r="J6" i="11"/>
  <c r="G14" i="11" s="1"/>
  <c r="I7" i="11"/>
  <c r="H13" i="11" s="1"/>
  <c r="N6" i="11"/>
  <c r="G18" i="11" s="1"/>
  <c r="N7" i="11"/>
  <c r="H18" i="11" s="1"/>
  <c r="K6" i="11"/>
  <c r="G15" i="11" s="1"/>
  <c r="H143" i="1" l="1"/>
  <c r="F143" i="1"/>
  <c r="D144" i="1"/>
  <c r="D143" i="1"/>
  <c r="G20" i="11"/>
  <c r="H20" i="11"/>
  <c r="K55" i="1"/>
  <c r="C57" i="1" s="1"/>
  <c r="F87" i="1"/>
  <c r="K83" i="1" s="1"/>
  <c r="C85" i="1" s="1"/>
  <c r="D88" i="1"/>
  <c r="H87" i="1"/>
  <c r="H59" i="1"/>
  <c r="D60" i="1"/>
  <c r="B16" i="9"/>
  <c r="O7" i="9" s="1"/>
  <c r="H19" i="9" s="1"/>
  <c r="B14" i="9"/>
  <c r="N7" i="9" s="1"/>
  <c r="H18" i="9" s="1"/>
  <c r="B12" i="9"/>
  <c r="M7" i="9" s="1"/>
  <c r="H17" i="9" s="1"/>
  <c r="B10" i="9"/>
  <c r="L7" i="9" s="1"/>
  <c r="H16" i="9" s="1"/>
  <c r="B8" i="9"/>
  <c r="K6" i="9" s="1"/>
  <c r="G15" i="9" s="1"/>
  <c r="I6" i="9"/>
  <c r="G13" i="9" s="1"/>
  <c r="B6" i="9"/>
  <c r="E5" i="9" s="1"/>
  <c r="E4" i="9"/>
  <c r="B16" i="8"/>
  <c r="E10" i="8" s="1"/>
  <c r="B14" i="8"/>
  <c r="E9" i="8" s="1"/>
  <c r="B12" i="8"/>
  <c r="M7" i="8" s="1"/>
  <c r="H17" i="8" s="1"/>
  <c r="B10" i="8"/>
  <c r="L7" i="8" s="1"/>
  <c r="H16" i="8" s="1"/>
  <c r="B8" i="8"/>
  <c r="K6" i="8" s="1"/>
  <c r="G15" i="8" s="1"/>
  <c r="I6" i="8"/>
  <c r="I7" i="8" s="1"/>
  <c r="H13" i="8" s="1"/>
  <c r="B6" i="8"/>
  <c r="J7" i="8" s="1"/>
  <c r="H14" i="8" s="1"/>
  <c r="E4" i="8"/>
  <c r="B16" i="7"/>
  <c r="O7" i="7" s="1"/>
  <c r="H19" i="7" s="1"/>
  <c r="B14" i="7"/>
  <c r="N7" i="7" s="1"/>
  <c r="H18" i="7" s="1"/>
  <c r="B12" i="7"/>
  <c r="E8" i="7" s="1"/>
  <c r="B10" i="7"/>
  <c r="L7" i="7" s="1"/>
  <c r="H16" i="7" s="1"/>
  <c r="B8" i="7"/>
  <c r="K7" i="7" s="1"/>
  <c r="H15" i="7" s="1"/>
  <c r="I6" i="7"/>
  <c r="G13" i="7" s="1"/>
  <c r="B6" i="7"/>
  <c r="E5" i="7" s="1"/>
  <c r="E4" i="7"/>
  <c r="B16" i="6"/>
  <c r="E10" i="6" s="1"/>
  <c r="B14" i="6"/>
  <c r="E9" i="6" s="1"/>
  <c r="B12" i="6"/>
  <c r="M7" i="6" s="1"/>
  <c r="H17" i="6" s="1"/>
  <c r="B10" i="6"/>
  <c r="L7" i="6" s="1"/>
  <c r="H16" i="6" s="1"/>
  <c r="E8" i="6"/>
  <c r="B8" i="6"/>
  <c r="K7" i="6" s="1"/>
  <c r="H15" i="6" s="1"/>
  <c r="I6" i="6"/>
  <c r="I7" i="6" s="1"/>
  <c r="H13" i="6" s="1"/>
  <c r="B6" i="6"/>
  <c r="J7" i="6" s="1"/>
  <c r="H14" i="6" s="1"/>
  <c r="E4" i="6"/>
  <c r="E5" i="6" l="1"/>
  <c r="E6" i="8"/>
  <c r="K139" i="1"/>
  <c r="C141" i="1" s="1"/>
  <c r="J6" i="9"/>
  <c r="G14" i="9" s="1"/>
  <c r="G13" i="6"/>
  <c r="M6" i="9"/>
  <c r="G17" i="9" s="1"/>
  <c r="I7" i="9"/>
  <c r="H13" i="9" s="1"/>
  <c r="E8" i="9"/>
  <c r="M6" i="8"/>
  <c r="G17" i="8" s="1"/>
  <c r="N6" i="8"/>
  <c r="G18" i="8" s="1"/>
  <c r="N7" i="8"/>
  <c r="H18" i="8" s="1"/>
  <c r="E6" i="6"/>
  <c r="M6" i="6"/>
  <c r="G17" i="6" s="1"/>
  <c r="E8" i="8"/>
  <c r="N6" i="6"/>
  <c r="G18" i="6" s="1"/>
  <c r="O6" i="6"/>
  <c r="G19" i="6" s="1"/>
  <c r="E7" i="6"/>
  <c r="N7" i="6"/>
  <c r="H18" i="6" s="1"/>
  <c r="O7" i="6"/>
  <c r="H19" i="6" s="1"/>
  <c r="H20" i="6" s="1"/>
  <c r="M6" i="7"/>
  <c r="G17" i="7" s="1"/>
  <c r="E7" i="7"/>
  <c r="M7" i="7"/>
  <c r="H17" i="7" s="1"/>
  <c r="J7" i="9"/>
  <c r="H14" i="9" s="1"/>
  <c r="E6" i="9"/>
  <c r="E7" i="9"/>
  <c r="G13" i="8"/>
  <c r="O6" i="8"/>
  <c r="G19" i="8" s="1"/>
  <c r="E7" i="8"/>
  <c r="O7" i="8"/>
  <c r="H19" i="8" s="1"/>
  <c r="E5" i="8"/>
  <c r="E9" i="9"/>
  <c r="K7" i="9"/>
  <c r="H15" i="9" s="1"/>
  <c r="L6" i="9"/>
  <c r="G16" i="9" s="1"/>
  <c r="E10" i="9"/>
  <c r="N6" i="9"/>
  <c r="G18" i="9" s="1"/>
  <c r="O6" i="9"/>
  <c r="G19" i="9" s="1"/>
  <c r="J6" i="8"/>
  <c r="G14" i="8" s="1"/>
  <c r="K7" i="8"/>
  <c r="H15" i="8" s="1"/>
  <c r="L6" i="8"/>
  <c r="G16" i="8" s="1"/>
  <c r="I7" i="7"/>
  <c r="H13" i="7" s="1"/>
  <c r="J6" i="7"/>
  <c r="G14" i="7" s="1"/>
  <c r="J7" i="7"/>
  <c r="H14" i="7" s="1"/>
  <c r="E9" i="7"/>
  <c r="L6" i="7"/>
  <c r="G16" i="7" s="1"/>
  <c r="E10" i="7"/>
  <c r="K6" i="7"/>
  <c r="G15" i="7" s="1"/>
  <c r="E6" i="7"/>
  <c r="N6" i="7"/>
  <c r="G18" i="7" s="1"/>
  <c r="O6" i="7"/>
  <c r="G19" i="7" s="1"/>
  <c r="J6" i="6"/>
  <c r="G14" i="6" s="1"/>
  <c r="K6" i="6"/>
  <c r="G15" i="6" s="1"/>
  <c r="L6" i="6"/>
  <c r="G16" i="6" s="1"/>
  <c r="H20" i="8" l="1"/>
  <c r="H20" i="9"/>
  <c r="G20" i="9"/>
  <c r="G20" i="6"/>
  <c r="G20" i="7"/>
  <c r="G20" i="8"/>
  <c r="H20" i="7"/>
  <c r="B16" i="4"/>
  <c r="O7" i="4" s="1"/>
  <c r="H19" i="4" s="1"/>
  <c r="B14" i="4"/>
  <c r="E9" i="4" s="1"/>
  <c r="B12" i="4"/>
  <c r="E8" i="4" s="1"/>
  <c r="B10" i="4"/>
  <c r="L7" i="4" s="1"/>
  <c r="H16" i="4" s="1"/>
  <c r="B8" i="4"/>
  <c r="K7" i="4" s="1"/>
  <c r="H15" i="4" s="1"/>
  <c r="I6" i="4"/>
  <c r="G13" i="4" s="1"/>
  <c r="B6" i="4"/>
  <c r="J7" i="4" s="1"/>
  <c r="H14" i="4" s="1"/>
  <c r="E4" i="4"/>
  <c r="O6" i="4" l="1"/>
  <c r="G19" i="4" s="1"/>
  <c r="L6" i="4"/>
  <c r="G16" i="4" s="1"/>
  <c r="M6" i="4"/>
  <c r="G17" i="4" s="1"/>
  <c r="M7" i="4"/>
  <c r="H17" i="4" s="1"/>
  <c r="E10" i="4"/>
  <c r="E7" i="4"/>
  <c r="E6" i="4"/>
  <c r="I7" i="4"/>
  <c r="H13" i="4" s="1"/>
  <c r="E5" i="4"/>
  <c r="J6" i="4"/>
  <c r="G14" i="4" s="1"/>
  <c r="N6" i="4"/>
  <c r="G18" i="4" s="1"/>
  <c r="N7" i="4"/>
  <c r="H18" i="4" s="1"/>
  <c r="K6" i="4"/>
  <c r="G15" i="4" s="1"/>
  <c r="G20" i="4" l="1"/>
  <c r="H20" i="4"/>
  <c r="C188" i="1"/>
  <c r="D308" i="1"/>
  <c r="D334" i="1"/>
  <c r="C187" i="1"/>
  <c r="C186" i="1"/>
  <c r="C185" i="1"/>
  <c r="C184" i="1"/>
  <c r="C183" i="1"/>
  <c r="C182" i="1"/>
  <c r="C181" i="1"/>
  <c r="C189" i="1" l="1"/>
  <c r="D235" i="1"/>
  <c r="D234" i="1"/>
  <c r="D233" i="1"/>
  <c r="D232" i="1"/>
  <c r="D231" i="1"/>
  <c r="D230" i="1"/>
  <c r="D229" i="1"/>
  <c r="D228" i="1"/>
  <c r="D227" i="1"/>
  <c r="D226" i="1"/>
  <c r="D222" i="1"/>
  <c r="D221" i="1"/>
  <c r="D220" i="1"/>
  <c r="D224" i="1"/>
  <c r="D223" i="1"/>
  <c r="D256" i="1"/>
  <c r="D255" i="1"/>
  <c r="D254" i="1"/>
  <c r="D253" i="1"/>
  <c r="D252" i="1"/>
  <c r="D251" i="1"/>
  <c r="D250" i="1"/>
  <c r="D249" i="1"/>
  <c r="D248" i="1"/>
  <c r="D247" i="1"/>
  <c r="D246" i="1"/>
  <c r="D244" i="1"/>
  <c r="D243" i="1"/>
  <c r="D242" i="1"/>
  <c r="D241" i="1"/>
  <c r="D240" i="1"/>
  <c r="D239" i="1"/>
  <c r="D238" i="1"/>
  <c r="D217" i="1"/>
  <c r="D216" i="1"/>
  <c r="D215" i="1"/>
  <c r="D214" i="1"/>
  <c r="D213" i="1"/>
  <c r="D212" i="1"/>
  <c r="D211" i="1"/>
  <c r="D210" i="1"/>
  <c r="D202" i="1"/>
  <c r="D201" i="1"/>
  <c r="D200" i="1"/>
  <c r="D199" i="1"/>
  <c r="D208" i="1"/>
  <c r="D207" i="1"/>
  <c r="D206" i="1"/>
  <c r="D205" i="1"/>
  <c r="D348" i="1"/>
  <c r="D347" i="1"/>
  <c r="D346" i="1"/>
  <c r="D345" i="1"/>
  <c r="D344" i="1"/>
  <c r="D343" i="1"/>
  <c r="D342" i="1"/>
  <c r="D341" i="1"/>
  <c r="D340" i="1"/>
  <c r="D339" i="1"/>
  <c r="D338" i="1"/>
  <c r="I337" i="1"/>
  <c r="D337" i="1"/>
  <c r="D335" i="1"/>
  <c r="D333" i="1"/>
  <c r="D332" i="1"/>
  <c r="D331" i="1"/>
  <c r="D330" i="1"/>
  <c r="D329" i="1"/>
  <c r="D328" i="1"/>
  <c r="D327" i="1"/>
  <c r="D326" i="1"/>
  <c r="D325" i="1"/>
  <c r="I311" i="1"/>
  <c r="D322" i="1"/>
  <c r="D321" i="1"/>
  <c r="D320" i="1"/>
  <c r="D319" i="1"/>
  <c r="D318" i="1"/>
  <c r="D317" i="1"/>
  <c r="D316" i="1"/>
  <c r="D315" i="1"/>
  <c r="D314" i="1"/>
  <c r="D313" i="1"/>
  <c r="D312" i="1"/>
  <c r="D311" i="1"/>
  <c r="D309" i="1"/>
  <c r="D307" i="1"/>
  <c r="D306" i="1"/>
  <c r="D305" i="1"/>
  <c r="D304" i="1"/>
  <c r="D301" i="1"/>
  <c r="D302" i="1"/>
  <c r="D303" i="1"/>
  <c r="D300" i="1"/>
  <c r="D299" i="1"/>
  <c r="D289" i="1"/>
  <c r="D264" i="1"/>
  <c r="D263" i="1"/>
  <c r="D262" i="1"/>
  <c r="D261" i="1"/>
  <c r="D260" i="1"/>
  <c r="D259" i="1"/>
  <c r="D273" i="1"/>
  <c r="D272" i="1"/>
  <c r="D271" i="1"/>
  <c r="D270" i="1"/>
  <c r="D269" i="1"/>
  <c r="D268" i="1"/>
  <c r="D267" i="1"/>
  <c r="D266" i="1"/>
  <c r="I289" i="1"/>
  <c r="D296" i="1"/>
  <c r="F295" i="1"/>
  <c r="D295" i="1"/>
  <c r="D294" i="1"/>
  <c r="F293" i="1"/>
  <c r="D293" i="1"/>
  <c r="D292" i="1"/>
  <c r="D291" i="1"/>
  <c r="F291" i="1"/>
  <c r="F289" i="1"/>
  <c r="D290" i="1"/>
  <c r="D287" i="1"/>
  <c r="G287" i="1" s="1"/>
  <c r="D286" i="1"/>
  <c r="G286" i="1" s="1"/>
  <c r="D285" i="1"/>
  <c r="G285" i="1" s="1"/>
  <c r="D284" i="1"/>
  <c r="G284" i="1" s="1"/>
  <c r="D283" i="1"/>
  <c r="G283" i="1" s="1"/>
  <c r="D282" i="1"/>
  <c r="G282" i="1" s="1"/>
  <c r="D281" i="1"/>
  <c r="G281" i="1" s="1"/>
  <c r="D280" i="1"/>
  <c r="G280" i="1" s="1"/>
  <c r="D279" i="1"/>
  <c r="G279" i="1" s="1"/>
  <c r="D278" i="1"/>
  <c r="G278" i="1" s="1"/>
  <c r="D277" i="1"/>
  <c r="G277" i="1" s="1"/>
  <c r="D276" i="1"/>
  <c r="G276" i="1" s="1"/>
  <c r="I266" i="1"/>
  <c r="I226" i="1"/>
  <c r="I246" i="1"/>
  <c r="I210" i="1"/>
  <c r="I214" i="1" s="1"/>
  <c r="I199" i="1"/>
  <c r="H46" i="1"/>
  <c r="F39" i="1"/>
  <c r="D181" i="1" l="1"/>
  <c r="G181" i="1"/>
  <c r="G189" i="1" s="1"/>
  <c r="D182" i="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B16" i="2"/>
  <c r="O6" i="2" s="1"/>
  <c r="G19" i="2" s="1"/>
  <c r="B14" i="2"/>
  <c r="E9" i="2" s="1"/>
  <c r="B12" i="2"/>
  <c r="M7" i="2" s="1"/>
  <c r="H17" i="2" s="1"/>
  <c r="B10" i="2"/>
  <c r="L7" i="2" s="1"/>
  <c r="H16" i="2" s="1"/>
  <c r="B8" i="2"/>
  <c r="K6" i="2" s="1"/>
  <c r="G15" i="2" s="1"/>
  <c r="M6" i="2"/>
  <c r="G17" i="2" s="1"/>
  <c r="I6" i="2"/>
  <c r="G13" i="2" s="1"/>
  <c r="B6" i="2"/>
  <c r="J7" i="2" s="1"/>
  <c r="H14" i="2" s="1"/>
  <c r="E4" i="2"/>
  <c r="E8" i="2" l="1"/>
  <c r="O7" i="2"/>
  <c r="H19" i="2" s="1"/>
  <c r="E10" i="2"/>
  <c r="E6" i="2"/>
  <c r="L34" i="3"/>
  <c r="K34" i="3" s="1"/>
  <c r="K7" i="2"/>
  <c r="H15" i="2" s="1"/>
  <c r="D189" i="1"/>
  <c r="E34" i="3"/>
  <c r="I34" i="3"/>
  <c r="H34" i="3" s="1"/>
  <c r="L6" i="2"/>
  <c r="G16" i="2" s="1"/>
  <c r="E7" i="2"/>
  <c r="I7" i="2"/>
  <c r="H13" i="2" s="1"/>
  <c r="E5" i="2"/>
  <c r="J6" i="2"/>
  <c r="G14" i="2" s="1"/>
  <c r="N6" i="2"/>
  <c r="G18" i="2" s="1"/>
  <c r="N7" i="2"/>
  <c r="H18" i="2" s="1"/>
  <c r="D367" i="1"/>
  <c r="G178" i="1"/>
  <c r="D49" i="1"/>
  <c r="H45" i="1"/>
  <c r="C45" i="1"/>
  <c r="F40" i="1"/>
  <c r="D51" i="1" s="1"/>
  <c r="C14" i="1"/>
  <c r="F7" i="1"/>
  <c r="G20" i="2" l="1"/>
  <c r="H20" i="2"/>
  <c r="D34" i="3"/>
  <c r="D36" i="3" s="1"/>
  <c r="E36" i="3"/>
</calcChain>
</file>

<file path=xl/sharedStrings.xml><?xml version="1.0" encoding="utf-8"?>
<sst xmlns="http://schemas.openxmlformats.org/spreadsheetml/2006/main" count="1172" uniqueCount="303">
  <si>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</si>
  <si>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</si>
  <si>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</si>
  <si>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</si>
  <si>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</si>
  <si>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</si>
  <si>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</si>
  <si>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</si>
  <si>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</si>
  <si>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</si>
  <si>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</si>
  <si>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Locality</t>
  </si>
  <si>
    <t>Road</t>
  </si>
  <si>
    <t>District</t>
  </si>
  <si>
    <t>City</t>
  </si>
  <si>
    <t>Pin Code</t>
  </si>
  <si>
    <t>Near by Landmark</t>
  </si>
  <si>
    <t xml:space="preserve">Distance from city centre: </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</si>
  <si>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</si>
  <si>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</si>
  <si>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</si>
  <si>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</si>
  <si>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</si>
  <si>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</si>
  <si>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</si>
  <si>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</si>
  <si>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</si>
  <si>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</si>
  <si>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</si>
  <si>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</si>
  <si>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</si>
  <si>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</si>
  <si>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</si>
  <si>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</si>
  <si>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</si>
  <si>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</si>
  <si>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</si>
  <si>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</si>
  <si>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</si>
  <si>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</si>
  <si>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</si>
  <si>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</si>
  <si>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</si>
  <si>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</si>
  <si>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</si>
  <si>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</si>
  <si>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</si>
  <si>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</si>
  <si>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</si>
  <si>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</si>
  <si>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</si>
  <si>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</si>
  <si>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</si>
  <si>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</si>
  <si>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</si>
  <si>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</si>
  <si>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</si>
  <si>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</si>
  <si>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</si>
  <si>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</si>
  <si>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</si>
  <si>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</si>
  <si>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</si>
  <si>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</si>
  <si>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</si>
  <si>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</si>
  <si>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</si>
  <si>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</si>
  <si>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Material laying at Site: :Bricks, Cement &amp; Steel etc.</t>
  </si>
  <si>
    <t>Type of Work</t>
  </si>
  <si>
    <t>Plinth</t>
  </si>
  <si>
    <t>RCC</t>
  </si>
  <si>
    <t>Plaster</t>
  </si>
  <si>
    <t>Flooring</t>
  </si>
  <si>
    <t>Finishing</t>
  </si>
  <si>
    <t>Wheather the construction is as per approved Building plan : Under Construction</t>
  </si>
  <si>
    <t>Violations Observed if any : NA</t>
  </si>
  <si>
    <r>
      <t xml:space="preserve">Proposed Amenities :                                                                                                                                                                                                                      </t>
    </r>
    <r>
      <rPr>
        <sz val="11"/>
        <rFont val="Times New Roman"/>
        <family val="1"/>
      </rPr>
      <t xml:space="preserve">   </t>
    </r>
    <r>
      <rPr>
        <b/>
        <sz val="11"/>
        <rFont val="Times New Roman"/>
        <family val="1"/>
      </rPr>
      <t xml:space="preserve">                                               </t>
    </r>
  </si>
  <si>
    <t>Recommended Rates of the Property :</t>
  </si>
  <si>
    <t>Recommended rate of the Shop Per Sq. Ft. ( on Saleable area)</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</si>
  <si>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</si>
  <si>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</si>
  <si>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</si>
  <si>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</si>
  <si>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</si>
  <si>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</si>
  <si>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</si>
  <si>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</si>
  <si>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</si>
  <si>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</si>
  <si>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</si>
  <si>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</si>
  <si>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</si>
  <si>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</si>
  <si>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</si>
  <si>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</si>
  <si>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</si>
  <si>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</si>
  <si>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</si>
  <si>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</si>
  <si>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</si>
  <si>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</si>
  <si>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</si>
  <si>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</si>
  <si>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</si>
  <si>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</si>
  <si>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</si>
  <si>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</si>
  <si>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</si>
  <si>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</si>
  <si>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</si>
  <si>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</si>
  <si>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</si>
  <si>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</si>
  <si>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</si>
  <si>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</si>
  <si>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</si>
  <si>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</si>
  <si>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</si>
  <si>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</si>
  <si>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</si>
  <si>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</si>
  <si>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</si>
  <si>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</si>
  <si>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</si>
  <si>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</si>
  <si>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</si>
  <si>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</si>
  <si>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</si>
  <si>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</si>
  <si>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</si>
  <si>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</si>
  <si>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</si>
  <si>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</si>
  <si>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</si>
  <si>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</si>
  <si>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</si>
  <si>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</si>
  <si>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</si>
  <si>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</si>
  <si>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</si>
  <si>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</si>
  <si>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</si>
  <si>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</si>
  <si>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</si>
  <si>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</si>
  <si>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</si>
  <si>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</si>
  <si>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</si>
  <si>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Axis Sanpada</t>
  </si>
  <si>
    <t>Labdhi Gardens</t>
  </si>
  <si>
    <t>Sr no</t>
  </si>
  <si>
    <t>66/2</t>
  </si>
  <si>
    <t>Mr no</t>
  </si>
  <si>
    <t>7280/13</t>
  </si>
  <si>
    <t>Raigad</t>
  </si>
  <si>
    <t>Karjat</t>
  </si>
  <si>
    <t>Anandvan Krishi Phalodyan Society</t>
  </si>
  <si>
    <t>Varedi village</t>
  </si>
  <si>
    <t>Dahiwali</t>
  </si>
  <si>
    <t>Open space</t>
  </si>
  <si>
    <t>MS/LNA1(B)/PK-157/2018</t>
  </si>
  <si>
    <t>01/02/2019.</t>
  </si>
  <si>
    <t>Na order cum CC</t>
  </si>
  <si>
    <t>31/12/2025.</t>
  </si>
  <si>
    <t>Type - Camellia</t>
  </si>
  <si>
    <t>3 BHK</t>
  </si>
  <si>
    <t>2 BHK</t>
  </si>
  <si>
    <t>Ground floor</t>
  </si>
  <si>
    <t>Type - Zinnia</t>
  </si>
  <si>
    <t>1 BHK</t>
  </si>
  <si>
    <t>Type - Yarrow</t>
  </si>
  <si>
    <t>Type - Aaster</t>
  </si>
  <si>
    <t>Shop</t>
  </si>
  <si>
    <t xml:space="preserve">Type - Xyris </t>
  </si>
  <si>
    <t>1 RK</t>
  </si>
  <si>
    <t>Residential + Commercial</t>
  </si>
  <si>
    <t>About 3.6 Km from Neral Railway Station</t>
  </si>
  <si>
    <t xml:space="preserve">Zinnia </t>
  </si>
  <si>
    <t>Yarrow</t>
  </si>
  <si>
    <t>Aaster</t>
  </si>
  <si>
    <t>Dahila</t>
  </si>
  <si>
    <t>Xyris</t>
  </si>
  <si>
    <t>Wisteria</t>
  </si>
  <si>
    <t>Residential area details :</t>
  </si>
  <si>
    <t>Commercisl area details :</t>
  </si>
  <si>
    <t>200000/-</t>
  </si>
  <si>
    <t xml:space="preserve">Type - Dahlia </t>
  </si>
  <si>
    <t>Water &amp; Electricity Charges</t>
  </si>
  <si>
    <t>Club House Charges</t>
  </si>
  <si>
    <t>Development Charges</t>
  </si>
  <si>
    <t>100000/-</t>
  </si>
  <si>
    <t>50000/-</t>
  </si>
  <si>
    <t>Dahivali T. Varedi</t>
  </si>
  <si>
    <t>1st to 7th Floor</t>
  </si>
  <si>
    <t>Type - Wisteria</t>
  </si>
  <si>
    <t>8 Buildings</t>
  </si>
  <si>
    <t>Karjat-Murbad road</t>
  </si>
  <si>
    <t>Camellia</t>
  </si>
  <si>
    <t>Dahlia</t>
  </si>
  <si>
    <r>
      <t xml:space="preserve">Flat No.
</t>
    </r>
    <r>
      <rPr>
        <b/>
        <sz val="9"/>
        <color indexed="8"/>
        <rFont val="Times New Roman"/>
        <family val="1"/>
      </rPr>
      <t>(as per 
sale plan)</t>
    </r>
  </si>
  <si>
    <r>
      <t xml:space="preserve">Flat No.
</t>
    </r>
    <r>
      <rPr>
        <b/>
        <sz val="9"/>
        <color indexed="8"/>
        <rFont val="Times New Roman"/>
        <family val="1"/>
      </rPr>
      <t>(as per 
approved plan)</t>
    </r>
  </si>
  <si>
    <t>Ground Floor is for Parking &amp; Residential</t>
  </si>
  <si>
    <t>Ground Floor is for Parking</t>
  </si>
  <si>
    <t>1st to 6th Floor</t>
  </si>
  <si>
    <t>1st Floor</t>
  </si>
  <si>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</si>
  <si>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Total Flats</t>
  </si>
  <si>
    <t>Building (Camellia &amp; Balsam)
Building (Aaster)
Building (Zinnia &amp; Yarrow)
Building (Xyris)
Building (Dahlia)
Building (Wisteria)</t>
  </si>
  <si>
    <t>Phase 6 (Wisteria) - P52000019683
Phase 7 (Xyris) - P52000019815
Phase 8 (Zinnia &amp; Yarrow) - P52000019661
Phase 9 (Aaster) - P52000019710
Phase 10 (Camellia &amp; Balsam) - P52000019679
Phase 11 (Dahlia) - P52000019728</t>
  </si>
  <si>
    <t>Balsam</t>
  </si>
  <si>
    <t>Type - Balsam</t>
  </si>
  <si>
    <t>23/06/2020.</t>
  </si>
  <si>
    <t>Pratiksha</t>
  </si>
  <si>
    <t>We considered Flat rate as per builder cost sheet &amp; Shop'srate as per Market Inquire</t>
  </si>
  <si>
    <t>Matched cost Sheet (16/11/2019).</t>
  </si>
  <si>
    <t>Approved Layout, Approved Building Plan, NA order cum CC, Cost Sheet</t>
  </si>
  <si>
    <t>Market Research Data</t>
  </si>
  <si>
    <t>Source</t>
  </si>
  <si>
    <t>Distance from proposed property</t>
  </si>
  <si>
    <t>Net Carpet</t>
  </si>
  <si>
    <t>Saleable Area</t>
  </si>
  <si>
    <t>Rate on Saleable</t>
  </si>
  <si>
    <t>Market Value</t>
  </si>
  <si>
    <t>magicbricks</t>
  </si>
  <si>
    <t>5BHK</t>
  </si>
  <si>
    <t>99Acers</t>
  </si>
  <si>
    <t>Average</t>
  </si>
  <si>
    <t xml:space="preserve">Valuation Adopted </t>
  </si>
  <si>
    <t>1BHK</t>
  </si>
  <si>
    <t>2BHK</t>
  </si>
  <si>
    <t>02/10/2020.</t>
  </si>
  <si>
    <t>Dhanashree</t>
  </si>
  <si>
    <t>OLD APF</t>
  </si>
  <si>
    <t>rate has not Changed.</t>
  </si>
  <si>
    <t>Wisteria = G + 1st to 6th floor
Xyris, Zinnia, Yarrow, Aaster, Camellia &amp; Balsam = G + 1st to 7th floor
Dahlia = G + 1st floor</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</si>
  <si>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</si>
  <si>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</si>
  <si>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</si>
  <si>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</si>
  <si>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</si>
  <si>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</si>
  <si>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</si>
  <si>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</si>
  <si>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</si>
  <si>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</si>
  <si>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</si>
  <si>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</si>
  <si>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</si>
  <si>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</si>
  <si>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</si>
  <si>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</si>
  <si>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</si>
  <si>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</si>
  <si>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</si>
  <si>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</si>
  <si>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</si>
  <si>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</si>
  <si>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</si>
  <si>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</si>
  <si>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</si>
  <si>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</si>
  <si>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</si>
  <si>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</si>
  <si>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</si>
  <si>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</si>
  <si>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</si>
  <si>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</si>
  <si>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</si>
  <si>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Wisteria = G + 1st to 6th floor</t>
  </si>
  <si>
    <t>Balsam = G + 1st to 7th floor</t>
  </si>
  <si>
    <t>Camellia = G + 1st to 7th floor</t>
  </si>
  <si>
    <t>Aaster  = G + 1st to 7th floor</t>
  </si>
  <si>
    <t>Dahlia = G + 1st floor</t>
  </si>
  <si>
    <t xml:space="preserve">MS/LNA1(B)/PK-157/2018
</t>
  </si>
  <si>
    <t>2,50,000/-</t>
  </si>
  <si>
    <t>Flats = 495 Shops = 12</t>
  </si>
  <si>
    <t>Construction work was same as visit (25/05/2021).</t>
  </si>
  <si>
    <t xml:space="preserve">Xyris  = G + 1st to 7th floor
</t>
  </si>
  <si>
    <t>M/s. Labdhi Lifestyle Limited</t>
  </si>
  <si>
    <t>Valid Up to:  Wisteria = G + 1st to 6th floor
Xyris, Zinnia, Yarrow, Aaster, Camellia &amp; Balsam = G + 1st to 7th floor
Dahlia = G + 1st floor</t>
  </si>
  <si>
    <t xml:space="preserve">Yarrow = G + 1st to 7th floor
</t>
  </si>
  <si>
    <t>Recommended rate of the flat Per Sq. Ft. ( on Saleable area)
(for Building (Camellia, Balsam, Yarrow, Xyris, Dahlia, Wisteria)</t>
  </si>
  <si>
    <t>Recommended rate of the flat Per Sq. Ft. ( on Saleable area)
(for Aaster &amp; Zinnia Building)</t>
  </si>
  <si>
    <t>30/11/2022 BY AKASH</t>
  </si>
  <si>
    <t>Location Link</t>
  </si>
  <si>
    <t>https://goo.gl/maps/8BDMbQXXyZ6AkZG36</t>
  </si>
  <si>
    <t>Office No. 1031, Wing J, Akshar Business Park, Plot No. 03 Sector 25, Near APMC Market, 
Vashi, Navi Mumbai, Maharashtra 400703 TEL: 022-46090378/79/8
E mail : vsjcapf@gmail.com. Web site : www.vsjadon.com</t>
  </si>
  <si>
    <t>Contact Details ( Name &amp; Contect No.)</t>
  </si>
  <si>
    <t>Site Meet Person Contact Details ( Name &amp; Contect No.)</t>
  </si>
  <si>
    <t xml:space="preserve">30/12/2026
</t>
  </si>
  <si>
    <t>Zinnia, Yarrow &amp; Xyris = G + 1st to 7th floor</t>
  </si>
  <si>
    <t>All work Completed. Please provide OC.</t>
  </si>
  <si>
    <t>2. We considered Flat Saleable area as per Builder area sheet &amp; Shop's area as per our calculation
3. We considered Carpet area as per Approved Plan.
4. We have given rate verify by Market Inquire.
5. We have considered rate by verifying it from market inquire.
6. Car parking is subjected to authentic documentation.
7. Since the project has received first CC on 01/02/2019., But construction work of Cammellia &amp; Dahlia is under construction.
7. On site, we meet Mr.Sagar Kavale - 8208228480</t>
  </si>
  <si>
    <t>Finishing work is pending (Very Slow Speed).</t>
  </si>
  <si>
    <t>Miss. Pooja 8446002783</t>
  </si>
  <si>
    <t>Authorized Signatory
                                                                                                                                                                                Name &amp; Seal of the agency</t>
  </si>
  <si>
    <t>Construction work is same as last visit dtd. 07/04/2025.</t>
  </si>
  <si>
    <t>3. Zinnia, Xyris, Yarrow</t>
  </si>
  <si>
    <t>4. Dahlia</t>
  </si>
  <si>
    <t>1. Cammellia</t>
  </si>
  <si>
    <t xml:space="preserve">2. Aaster, Balsam &amp; Wisteria </t>
  </si>
  <si>
    <t>Construction work is in process at the time of Visit. (Slow Speed)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</si>
</sst>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0.0"/>
    <numFmt numFmtId="166" formatCode="_(* #,##0_);_(* \(#,##0\);_(* &quot;-&quot;??_);_(@_)"/>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color rgb="FFFF0000"/>
      <name val="Times New Roman"/>
      <family val="1"/>
    </font>
    <font>
      <sz val="11"/>
      <name val="Times New Roman"/>
      <family val="1"/>
    </font>
    <font>
      <b/>
      <sz val="11"/>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4"/>
      <color indexed="8"/>
      <name val="Times New Roman"/>
      <family val="1"/>
    </font>
    <font>
      <b/>
      <sz val="10"/>
      <color indexed="8"/>
      <name val="Times New Roman"/>
      <family val="1"/>
    </font>
    <font>
      <b/>
      <sz val="11"/>
      <color theme="1"/>
      <name val="Times New Roman"/>
      <family val="1"/>
    </font>
    <font>
      <sz val="11"/>
      <color rgb="FFFF0000"/>
      <name val="Calibri"/>
      <family val="2"/>
      <scheme val="minor"/>
    </font>
    <font>
      <b/>
      <sz val="11"/>
      <color theme="1"/>
      <name val="Calibri"/>
      <family val="2"/>
      <scheme val="minor"/>
    </font>
    <font>
      <b/>
      <sz val="12"/>
      <name val="Times New Roman"/>
      <family val="1"/>
    </font>
    <font>
      <b/>
      <sz val="9"/>
      <color indexed="8"/>
      <name val="Times New Roman"/>
      <family val="1"/>
    </font>
    <font>
      <b/>
      <sz val="13"/>
      <color indexed="8"/>
      <name val="Times New Roman"/>
      <family val="1"/>
    </font>
    <font>
      <b/>
      <sz val="12"/>
      <color theme="1"/>
      <name val="Times New Roman"/>
      <family val="1"/>
    </font>
    <font>
      <u/>
      <sz val="11"/>
      <color theme="10"/>
      <name val="Calibri"/>
      <family val="2"/>
    </font>
    <font>
      <sz val="11"/>
      <name val="Calibri"/>
      <family val="2"/>
    </font>
    <font>
      <sz val="11"/>
      <color rgb="FFFF0000"/>
      <name val="Calibri"/>
      <family val="2"/>
    </font>
    <font>
      <sz val="10"/>
      <color indexed="8"/>
      <name val="Times New Roman"/>
      <family val="1"/>
    </font>
    <font>
      <sz val="12"/>
      <name val="Times New Roman"/>
      <family val="1"/>
    </font>
    <font>
      <sz val="11"/>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3" fillId="0" borderId="0"/>
    <xf numFmtId="0" fontId="10" fillId="0" borderId="0"/>
    <xf numFmtId="0" fontId="2" fillId="0" borderId="0"/>
    <xf numFmtId="0" fontId="10" fillId="0" borderId="0"/>
    <xf numFmtId="0" fontId="1" fillId="0" borderId="0"/>
    <xf numFmtId="0" fontId="23" fillId="0" borderId="0" applyNumberFormat="0" applyFill="0" applyBorder="0" applyAlignment="0" applyProtection="0"/>
    <xf numFmtId="164" fontId="10" fillId="0" borderId="0" applyFont="0" applyFill="0" applyBorder="0" applyAlignment="0" applyProtection="0"/>
  </cellStyleXfs>
  <cellXfs count="287">
    <xf numFmtId="0" fontId="0" fillId="0" borderId="0" xfId="0"/>
    <xf numFmtId="0" fontId="5" fillId="0" borderId="0" xfId="1" applyFont="1"/>
    <xf numFmtId="0" fontId="6" fillId="0" borderId="3" xfId="1" applyFont="1" applyBorder="1" applyAlignment="1">
      <alignment horizontal="left" vertical="top"/>
    </xf>
    <xf numFmtId="0" fontId="6" fillId="0" borderId="4" xfId="1" applyFont="1" applyFill="1" applyBorder="1" applyAlignment="1">
      <alignment vertical="top" wrapText="1"/>
    </xf>
    <xf numFmtId="0" fontId="6" fillId="0" borderId="4" xfId="1" applyFont="1" applyFill="1" applyBorder="1" applyAlignment="1">
      <alignment horizontal="left" vertical="top" wrapText="1"/>
    </xf>
    <xf numFmtId="0" fontId="6" fillId="0" borderId="1" xfId="1" applyFont="1" applyFill="1" applyBorder="1" applyAlignment="1">
      <alignment vertical="top"/>
    </xf>
    <xf numFmtId="0" fontId="6" fillId="0" borderId="4" xfId="1" applyFont="1" applyFill="1" applyBorder="1" applyAlignment="1">
      <alignment vertical="top"/>
    </xf>
    <xf numFmtId="0" fontId="7" fillId="0" borderId="3" xfId="1" applyFont="1" applyFill="1" applyBorder="1" applyAlignment="1">
      <alignment vertical="top" wrapText="1"/>
    </xf>
    <xf numFmtId="0" fontId="6" fillId="2" borderId="4" xfId="1" applyFont="1" applyFill="1" applyBorder="1" applyAlignment="1">
      <alignment horizontal="left" vertical="top"/>
    </xf>
    <xf numFmtId="0" fontId="6" fillId="2" borderId="4" xfId="1" applyFont="1" applyFill="1" applyBorder="1" applyAlignment="1">
      <alignment vertical="top"/>
    </xf>
    <xf numFmtId="0" fontId="6" fillId="0" borderId="0" xfId="2" applyFont="1"/>
    <xf numFmtId="0" fontId="12" fillId="0" borderId="0" xfId="0" applyFont="1" applyAlignment="1">
      <alignment horizontal="center" vertical="center"/>
    </xf>
    <xf numFmtId="1" fontId="13" fillId="0" borderId="4" xfId="1" applyNumberFormat="1" applyFont="1" applyFill="1" applyBorder="1" applyAlignment="1">
      <alignment horizontal="center" vertical="top" wrapText="1"/>
    </xf>
    <xf numFmtId="1" fontId="15" fillId="0" borderId="4" xfId="1" applyNumberFormat="1" applyFont="1" applyFill="1" applyBorder="1" applyAlignment="1">
      <alignment horizontal="center" vertical="top" wrapText="1"/>
    </xf>
    <xf numFmtId="0" fontId="12" fillId="0" borderId="0" xfId="1" applyFont="1" applyAlignment="1">
      <alignment horizontal="center" vertical="center"/>
    </xf>
    <xf numFmtId="1" fontId="11" fillId="0" borderId="4" xfId="1" applyNumberFormat="1" applyFont="1" applyFill="1" applyBorder="1" applyAlignment="1">
      <alignment horizontal="center" vertical="center" wrapText="1"/>
    </xf>
    <xf numFmtId="0" fontId="15" fillId="0" borderId="0" xfId="1" applyFont="1" applyBorder="1" applyAlignment="1">
      <alignment vertical="top"/>
    </xf>
    <xf numFmtId="0" fontId="4" fillId="0" borderId="0" xfId="1" applyFont="1" applyBorder="1" applyAlignment="1">
      <alignment vertical="top" wrapText="1"/>
    </xf>
    <xf numFmtId="0" fontId="4" fillId="0" borderId="0" xfId="1" applyFont="1" applyBorder="1" applyAlignment="1">
      <alignment vertical="top"/>
    </xf>
    <xf numFmtId="0" fontId="16" fillId="0" borderId="0" xfId="1" applyFont="1"/>
    <xf numFmtId="0" fontId="5" fillId="0" borderId="0" xfId="0" applyFont="1"/>
    <xf numFmtId="0" fontId="2" fillId="0" borderId="0" xfId="3"/>
    <xf numFmtId="0" fontId="18" fillId="3" borderId="4" xfId="3" applyFont="1" applyFill="1" applyBorder="1"/>
    <xf numFmtId="0" fontId="2" fillId="0" borderId="4" xfId="3" applyBorder="1"/>
    <xf numFmtId="0" fontId="2" fillId="0" borderId="0" xfId="3" applyBorder="1"/>
    <xf numFmtId="0" fontId="2" fillId="0" borderId="13" xfId="3" applyBorder="1"/>
    <xf numFmtId="0" fontId="2" fillId="0" borderId="0" xfId="3" applyAlignment="1">
      <alignment wrapText="1"/>
    </xf>
    <xf numFmtId="0" fontId="2" fillId="0" borderId="4" xfId="3" applyBorder="1" applyAlignment="1">
      <alignment wrapText="1"/>
    </xf>
    <xf numFmtId="0" fontId="17" fillId="0" borderId="0" xfId="3" applyFont="1"/>
    <xf numFmtId="0" fontId="0" fillId="3" borderId="4" xfId="0" applyFill="1" applyBorder="1"/>
    <xf numFmtId="0" fontId="0" fillId="0" borderId="9" xfId="0" applyBorder="1" applyAlignment="1"/>
    <xf numFmtId="0" fontId="18" fillId="0" borderId="4" xfId="0" applyFont="1" applyBorder="1"/>
    <xf numFmtId="0" fontId="18" fillId="0" borderId="4" xfId="0" applyFont="1" applyBorder="1" applyAlignment="1">
      <alignment horizontal="center"/>
    </xf>
    <xf numFmtId="0" fontId="0" fillId="0" borderId="4" xfId="0" applyBorder="1"/>
    <xf numFmtId="0" fontId="12" fillId="0" borderId="4" xfId="0" applyFont="1" applyBorder="1" applyAlignment="1">
      <alignment horizontal="center" vertical="center"/>
    </xf>
    <xf numFmtId="0" fontId="22" fillId="0" borderId="4" xfId="0" applyFont="1" applyBorder="1" applyAlignment="1">
      <alignment horizontal="center" vertical="center"/>
    </xf>
    <xf numFmtId="0" fontId="10" fillId="0" borderId="0" xfId="4" applyFont="1"/>
    <xf numFmtId="0" fontId="10" fillId="0" borderId="0" xfId="4"/>
    <xf numFmtId="0" fontId="1" fillId="0" borderId="0" xfId="5"/>
    <xf numFmtId="0" fontId="18" fillId="0" borderId="4" xfId="5" applyFont="1" applyBorder="1" applyAlignment="1">
      <alignment horizontal="center" vertical="top" wrapText="1"/>
    </xf>
    <xf numFmtId="0" fontId="24" fillId="0" borderId="4" xfId="6" applyFont="1" applyBorder="1" applyAlignment="1">
      <alignment horizontal="center" vertical="top" wrapText="1"/>
    </xf>
    <xf numFmtId="0" fontId="1" fillId="0" borderId="4" xfId="5" applyFont="1" applyBorder="1" applyAlignment="1">
      <alignment horizontal="left" vertical="center"/>
    </xf>
    <xf numFmtId="0" fontId="1" fillId="0" borderId="4" xfId="5" applyFont="1" applyBorder="1" applyAlignment="1">
      <alignment horizontal="center" vertical="center"/>
    </xf>
    <xf numFmtId="1" fontId="1" fillId="0" borderId="4" xfId="5" applyNumberFormat="1" applyFont="1" applyBorder="1" applyAlignment="1">
      <alignment horizontal="center" vertical="center"/>
    </xf>
    <xf numFmtId="1" fontId="1" fillId="0" borderId="4" xfId="5" applyNumberFormat="1" applyBorder="1" applyAlignment="1">
      <alignment horizontal="center" vertical="center"/>
    </xf>
    <xf numFmtId="166" fontId="1" fillId="0" borderId="4" xfId="7" applyNumberFormat="1" applyFont="1" applyBorder="1" applyAlignment="1">
      <alignment horizontal="right" vertical="center"/>
    </xf>
    <xf numFmtId="43" fontId="10" fillId="0" borderId="0" xfId="4" applyNumberFormat="1"/>
    <xf numFmtId="0" fontId="18" fillId="0" borderId="4" xfId="5" applyFont="1" applyBorder="1" applyAlignment="1">
      <alignment horizontal="center" vertical="center"/>
    </xf>
    <xf numFmtId="0" fontId="1" fillId="0" borderId="4" xfId="5" applyBorder="1" applyAlignment="1">
      <alignment horizontal="center" vertical="center"/>
    </xf>
    <xf numFmtId="1" fontId="17" fillId="0" borderId="4" xfId="5" applyNumberFormat="1" applyFont="1" applyBorder="1" applyAlignment="1">
      <alignment horizontal="center" vertical="center"/>
    </xf>
    <xf numFmtId="0" fontId="10" fillId="0" borderId="4" xfId="4" applyFont="1" applyBorder="1" applyAlignment="1">
      <alignment horizontal="center" vertical="center"/>
    </xf>
    <xf numFmtId="0" fontId="25" fillId="0" borderId="0" xfId="4" applyFont="1"/>
    <xf numFmtId="1" fontId="10" fillId="0" borderId="0" xfId="4" applyNumberFormat="1"/>
    <xf numFmtId="0" fontId="10" fillId="0" borderId="0" xfId="4" applyAlignment="1">
      <alignment wrapText="1"/>
    </xf>
    <xf numFmtId="0" fontId="12" fillId="0" borderId="14" xfId="1" applyFont="1" applyFill="1" applyBorder="1" applyProtection="1">
      <protection hidden="1"/>
    </xf>
    <xf numFmtId="0" fontId="12" fillId="0" borderId="15" xfId="1" applyFont="1" applyBorder="1" applyProtection="1">
      <protection hidden="1"/>
    </xf>
    <xf numFmtId="0" fontId="12" fillId="0" borderId="0" xfId="1" applyFont="1" applyFill="1" applyBorder="1" applyProtection="1">
      <protection hidden="1"/>
    </xf>
    <xf numFmtId="0" fontId="12" fillId="0" borderId="16" xfId="1" applyFont="1" applyBorder="1" applyProtection="1">
      <protection hidden="1"/>
    </xf>
    <xf numFmtId="0" fontId="28" fillId="0" borderId="0" xfId="0" applyFont="1" applyFill="1" applyBorder="1" applyProtection="1">
      <protection hidden="1"/>
    </xf>
    <xf numFmtId="0" fontId="12" fillId="0" borderId="16" xfId="1" applyFont="1" applyBorder="1"/>
    <xf numFmtId="0" fontId="28" fillId="0" borderId="16" xfId="0" applyNumberFormat="1" applyFont="1" applyBorder="1" applyProtection="1">
      <protection hidden="1"/>
    </xf>
    <xf numFmtId="1" fontId="0" fillId="0" borderId="16" xfId="0" applyNumberFormat="1" applyBorder="1"/>
    <xf numFmtId="1" fontId="0" fillId="0" borderId="16" xfId="0" applyNumberFormat="1" applyBorder="1" applyAlignment="1">
      <alignment horizontal="right"/>
    </xf>
    <xf numFmtId="0" fontId="28" fillId="0" borderId="17" xfId="0" applyFont="1" applyFill="1" applyBorder="1" applyProtection="1">
      <protection hidden="1"/>
    </xf>
    <xf numFmtId="1" fontId="0" fillId="0" borderId="18" xfId="0" applyNumberFormat="1" applyBorder="1"/>
    <xf numFmtId="0" fontId="27" fillId="0" borderId="4" xfId="1" applyFont="1" applyBorder="1" applyAlignment="1" applyProtection="1">
      <alignment horizontal="center" wrapText="1"/>
      <protection locked="0"/>
    </xf>
    <xf numFmtId="1" fontId="27" fillId="0" borderId="4" xfId="1" applyNumberFormat="1" applyFont="1" applyBorder="1" applyAlignment="1" applyProtection="1">
      <alignment horizontal="center" wrapText="1"/>
      <protection locked="0"/>
    </xf>
    <xf numFmtId="0" fontId="27" fillId="0" borderId="4" xfId="1" applyFont="1" applyFill="1" applyBorder="1" applyAlignment="1" applyProtection="1">
      <alignment horizontal="center" vertical="top"/>
      <protection locked="0"/>
    </xf>
    <xf numFmtId="0" fontId="27" fillId="0" borderId="4" xfId="1" applyFont="1" applyBorder="1" applyAlignment="1" applyProtection="1">
      <alignment horizontal="center" vertical="top" wrapText="1"/>
      <protection locked="0"/>
    </xf>
    <xf numFmtId="0" fontId="27" fillId="0" borderId="22" xfId="1" applyFont="1" applyFill="1" applyBorder="1" applyAlignment="1" applyProtection="1">
      <alignment horizontal="center" vertical="top"/>
      <protection locked="0"/>
    </xf>
    <xf numFmtId="0" fontId="27" fillId="0" borderId="25" xfId="1" applyFont="1" applyBorder="1" applyAlignment="1" applyProtection="1">
      <alignment horizontal="center" wrapText="1"/>
      <protection locked="0"/>
    </xf>
    <xf numFmtId="0" fontId="27" fillId="0" borderId="22" xfId="1" applyFont="1" applyFill="1" applyBorder="1" applyAlignment="1" applyProtection="1">
      <alignment horizontal="center" vertical="top"/>
      <protection locked="0"/>
    </xf>
    <xf numFmtId="0" fontId="27" fillId="0" borderId="4" xfId="1" applyFont="1" applyFill="1" applyBorder="1" applyAlignment="1" applyProtection="1">
      <alignment horizontal="center" vertical="top"/>
      <protection locked="0"/>
    </xf>
    <xf numFmtId="0" fontId="27" fillId="0" borderId="4" xfId="1" applyFont="1" applyBorder="1" applyAlignment="1" applyProtection="1">
      <alignment horizontal="center" vertical="top" wrapText="1"/>
      <protection locked="0"/>
    </xf>
    <xf numFmtId="0" fontId="27" fillId="0" borderId="22" xfId="1" applyFont="1" applyFill="1" applyBorder="1" applyAlignment="1" applyProtection="1">
      <alignment horizontal="center" vertical="top"/>
      <protection locked="0"/>
    </xf>
    <xf numFmtId="0" fontId="27" fillId="0" borderId="4" xfId="1" applyFont="1" applyFill="1" applyBorder="1" applyAlignment="1" applyProtection="1">
      <alignment horizontal="center" vertical="top"/>
      <protection locked="0"/>
    </xf>
    <xf numFmtId="0" fontId="27" fillId="0" borderId="4" xfId="1" applyFont="1" applyBorder="1" applyAlignment="1" applyProtection="1">
      <alignment horizontal="center" vertical="top" wrapText="1"/>
      <protection locked="0"/>
    </xf>
    <xf numFmtId="0" fontId="27" fillId="0" borderId="4" xfId="1" applyFont="1" applyFill="1" applyBorder="1" applyAlignment="1" applyProtection="1">
      <alignment horizontal="center" vertical="top"/>
      <protection locked="0"/>
    </xf>
    <xf numFmtId="0" fontId="27" fillId="0" borderId="4" xfId="1" applyFont="1" applyBorder="1" applyAlignment="1" applyProtection="1">
      <alignment horizontal="center" vertical="top" wrapText="1"/>
      <protection locked="0"/>
    </xf>
    <xf numFmtId="0" fontId="27" fillId="0" borderId="22" xfId="1" applyFont="1" applyFill="1" applyBorder="1" applyAlignment="1" applyProtection="1">
      <alignment horizontal="center" vertical="top"/>
      <protection locked="0"/>
    </xf>
    <xf numFmtId="0" fontId="5" fillId="0" borderId="0" xfId="1" applyFont="1" applyAlignment="1">
      <alignment wrapText="1"/>
    </xf>
    <xf numFmtId="0" fontId="8" fillId="0" borderId="6" xfId="1" applyFont="1" applyBorder="1" applyAlignment="1">
      <alignment horizontal="center" vertical="top" wrapText="1"/>
    </xf>
    <xf numFmtId="0" fontId="8" fillId="0" borderId="0" xfId="1" applyFont="1" applyBorder="1" applyAlignment="1">
      <alignment horizontal="center" vertical="top"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1" xfId="1" applyFont="1" applyFill="1" applyBorder="1" applyAlignment="1">
      <alignment horizontal="left" vertical="top" wrapText="1"/>
    </xf>
    <xf numFmtId="0" fontId="6" fillId="0" borderId="2" xfId="1" applyFont="1" applyFill="1" applyBorder="1" applyAlignment="1">
      <alignment horizontal="left" vertical="top"/>
    </xf>
    <xf numFmtId="0" fontId="6" fillId="0" borderId="3" xfId="1" applyFont="1" applyFill="1" applyBorder="1" applyAlignment="1">
      <alignment horizontal="left" vertical="top"/>
    </xf>
    <xf numFmtId="0" fontId="4" fillId="2" borderId="1" xfId="1" applyFont="1" applyFill="1" applyBorder="1" applyAlignment="1">
      <alignment horizontal="left" vertical="top"/>
    </xf>
    <xf numFmtId="0" fontId="4" fillId="2" borderId="2" xfId="1" applyFont="1" applyFill="1" applyBorder="1" applyAlignment="1">
      <alignment horizontal="left" vertical="top"/>
    </xf>
    <xf numFmtId="0" fontId="4" fillId="2" borderId="3" xfId="1" applyFont="1" applyFill="1" applyBorder="1" applyAlignment="1">
      <alignment horizontal="left" vertical="top"/>
    </xf>
    <xf numFmtId="0" fontId="27" fillId="0" borderId="22" xfId="1" applyFont="1" applyFill="1" applyBorder="1" applyAlignment="1" applyProtection="1">
      <alignment horizontal="center" vertical="top" wrapText="1"/>
      <protection locked="0"/>
    </xf>
    <xf numFmtId="0" fontId="27" fillId="0" borderId="4" xfId="1" applyFont="1" applyFill="1" applyBorder="1" applyAlignment="1" applyProtection="1">
      <alignment horizontal="center" vertical="top" wrapText="1"/>
      <protection locked="0"/>
    </xf>
    <xf numFmtId="9" fontId="27" fillId="2" borderId="4" xfId="1" applyNumberFormat="1" applyFont="1" applyFill="1" applyBorder="1" applyAlignment="1" applyProtection="1">
      <alignment horizontal="center" vertical="center" wrapText="1"/>
      <protection hidden="1"/>
    </xf>
    <xf numFmtId="0" fontId="27" fillId="0" borderId="24" xfId="1" applyFont="1" applyFill="1" applyBorder="1" applyAlignment="1" applyProtection="1">
      <alignment horizontal="center" vertical="top" wrapText="1"/>
      <protection locked="0"/>
    </xf>
    <xf numFmtId="0" fontId="27" fillId="0" borderId="25" xfId="1" applyFont="1" applyFill="1" applyBorder="1" applyAlignment="1" applyProtection="1">
      <alignment horizontal="center" vertical="top" wrapText="1"/>
      <protection locked="0"/>
    </xf>
    <xf numFmtId="9" fontId="27" fillId="2" borderId="25" xfId="1" applyNumberFormat="1" applyFont="1" applyFill="1" applyBorder="1" applyAlignment="1" applyProtection="1">
      <alignment horizontal="center" vertical="center" wrapText="1"/>
      <protection hidden="1"/>
    </xf>
    <xf numFmtId="9" fontId="27" fillId="2" borderId="23" xfId="1" applyNumberFormat="1" applyFont="1" applyFill="1" applyBorder="1" applyAlignment="1" applyProtection="1">
      <alignment horizontal="center" vertical="center" wrapText="1"/>
      <protection hidden="1"/>
    </xf>
    <xf numFmtId="9" fontId="27" fillId="2" borderId="26" xfId="1" applyNumberFormat="1" applyFont="1" applyFill="1" applyBorder="1" applyAlignment="1" applyProtection="1">
      <alignment horizontal="center" vertical="center" wrapText="1"/>
      <protection hidden="1"/>
    </xf>
    <xf numFmtId="0" fontId="27" fillId="0" borderId="22" xfId="1" applyFont="1" applyFill="1" applyBorder="1" applyAlignment="1" applyProtection="1">
      <alignment horizontal="center" vertical="top"/>
      <protection locked="0"/>
    </xf>
    <xf numFmtId="0" fontId="27" fillId="0" borderId="4" xfId="1" applyFont="1" applyFill="1" applyBorder="1" applyAlignment="1" applyProtection="1">
      <alignment horizontal="center" vertical="top"/>
      <protection locked="0"/>
    </xf>
    <xf numFmtId="0" fontId="19" fillId="0" borderId="19" xfId="1" applyFont="1" applyFill="1" applyBorder="1" applyAlignment="1" applyProtection="1">
      <alignment horizontal="center" vertical="top" wrapText="1"/>
      <protection locked="0"/>
    </xf>
    <xf numFmtId="0" fontId="19" fillId="0" borderId="20" xfId="1" applyFont="1" applyFill="1" applyBorder="1" applyAlignment="1" applyProtection="1">
      <alignment horizontal="center" vertical="top" wrapText="1"/>
      <protection locked="0"/>
    </xf>
    <xf numFmtId="0" fontId="19" fillId="0" borderId="20" xfId="1" applyFont="1" applyFill="1" applyBorder="1" applyAlignment="1" applyProtection="1">
      <alignment horizontal="left" vertical="top" wrapText="1"/>
      <protection locked="0"/>
    </xf>
    <xf numFmtId="0" fontId="19" fillId="0" borderId="21" xfId="1" applyFont="1" applyFill="1" applyBorder="1" applyAlignment="1" applyProtection="1">
      <alignment horizontal="left" vertical="top" wrapText="1"/>
      <protection locked="0"/>
    </xf>
    <xf numFmtId="0" fontId="27" fillId="0" borderId="23" xfId="1" applyFont="1" applyFill="1" applyBorder="1" applyAlignment="1" applyProtection="1">
      <alignment horizontal="center" vertical="top"/>
      <protection locked="0"/>
    </xf>
    <xf numFmtId="0" fontId="19" fillId="0" borderId="22" xfId="1" applyFont="1" applyBorder="1" applyAlignment="1" applyProtection="1">
      <alignment horizontal="left" vertical="top"/>
      <protection locked="0"/>
    </xf>
    <xf numFmtId="0" fontId="19" fillId="0" borderId="4" xfId="1" applyFont="1" applyBorder="1" applyAlignment="1" applyProtection="1">
      <alignment horizontal="left" vertical="top"/>
      <protection locked="0"/>
    </xf>
    <xf numFmtId="0" fontId="19" fillId="0" borderId="4" xfId="1" applyFont="1" applyFill="1" applyBorder="1" applyAlignment="1" applyProtection="1">
      <alignment horizontal="left" vertical="top" wrapText="1"/>
      <protection locked="0"/>
    </xf>
    <xf numFmtId="0" fontId="19" fillId="0" borderId="23" xfId="1" applyFont="1" applyFill="1" applyBorder="1" applyAlignment="1" applyProtection="1">
      <alignment horizontal="left" vertical="top" wrapText="1"/>
      <protection locked="0"/>
    </xf>
    <xf numFmtId="0" fontId="27" fillId="0" borderId="22" xfId="1" applyFont="1" applyBorder="1" applyAlignment="1" applyProtection="1">
      <alignment horizontal="center" vertical="top" wrapText="1"/>
      <protection locked="0"/>
    </xf>
    <xf numFmtId="0" fontId="27" fillId="0" borderId="4" xfId="1" applyFont="1" applyBorder="1" applyAlignment="1" applyProtection="1">
      <alignment horizontal="center" vertical="top" wrapText="1"/>
      <protection locked="0"/>
    </xf>
    <xf numFmtId="0" fontId="27" fillId="0" borderId="23" xfId="1" applyFont="1" applyBorder="1" applyAlignment="1" applyProtection="1">
      <alignment horizontal="center" vertical="top" wrapText="1"/>
      <protection locked="0"/>
    </xf>
    <xf numFmtId="1" fontId="11" fillId="0" borderId="4" xfId="1" applyNumberFormat="1" applyFont="1" applyFill="1" applyBorder="1" applyAlignment="1">
      <alignment horizontal="center" vertical="center" wrapText="1"/>
    </xf>
    <xf numFmtId="1" fontId="11" fillId="0" borderId="1" xfId="1" applyNumberFormat="1" applyFont="1" applyFill="1" applyBorder="1" applyAlignment="1">
      <alignment horizontal="center" vertical="center" wrapText="1"/>
    </xf>
    <xf numFmtId="1" fontId="11" fillId="0" borderId="3" xfId="1" applyNumberFormat="1" applyFont="1" applyFill="1" applyBorder="1" applyAlignment="1">
      <alignment horizontal="center" vertical="center" wrapText="1"/>
    </xf>
    <xf numFmtId="1" fontId="11" fillId="0" borderId="5" xfId="1" applyNumberFormat="1" applyFont="1" applyFill="1" applyBorder="1" applyAlignment="1">
      <alignment horizontal="center" vertical="center" wrapText="1"/>
    </xf>
    <xf numFmtId="1" fontId="11" fillId="0" borderId="7" xfId="1" applyNumberFormat="1" applyFont="1" applyFill="1" applyBorder="1" applyAlignment="1">
      <alignment horizontal="center" vertical="center" wrapText="1"/>
    </xf>
    <xf numFmtId="1" fontId="11" fillId="0" borderId="11" xfId="1" applyNumberFormat="1" applyFont="1" applyFill="1" applyBorder="1" applyAlignment="1">
      <alignment horizontal="center" vertical="center" wrapText="1"/>
    </xf>
    <xf numFmtId="1" fontId="11" fillId="0" borderId="12" xfId="1" applyNumberFormat="1" applyFont="1" applyFill="1" applyBorder="1" applyAlignment="1">
      <alignment horizontal="center" vertical="center" wrapText="1"/>
    </xf>
    <xf numFmtId="1" fontId="11" fillId="0" borderId="8" xfId="1" applyNumberFormat="1" applyFont="1" applyFill="1" applyBorder="1" applyAlignment="1">
      <alignment horizontal="center" vertical="center" wrapText="1"/>
    </xf>
    <xf numFmtId="1" fontId="11" fillId="0" borderId="10" xfId="1" applyNumberFormat="1" applyFont="1" applyFill="1" applyBorder="1" applyAlignment="1">
      <alignment horizontal="center" vertical="center" wrapText="1"/>
    </xf>
    <xf numFmtId="1" fontId="21" fillId="0" borderId="1" xfId="1" applyNumberFormat="1" applyFont="1" applyFill="1" applyBorder="1" applyAlignment="1">
      <alignment horizontal="center" vertical="center" wrapText="1"/>
    </xf>
    <xf numFmtId="1" fontId="21" fillId="0" borderId="2" xfId="1" applyNumberFormat="1" applyFont="1" applyFill="1" applyBorder="1" applyAlignment="1">
      <alignment horizontal="center" vertical="center" wrapText="1"/>
    </xf>
    <xf numFmtId="1" fontId="21" fillId="0" borderId="3" xfId="1" applyNumberFormat="1" applyFont="1" applyFill="1" applyBorder="1" applyAlignment="1">
      <alignment horizontal="center" vertical="center" wrapText="1"/>
    </xf>
    <xf numFmtId="1" fontId="13" fillId="0" borderId="1" xfId="1" applyNumberFormat="1" applyFont="1" applyFill="1" applyBorder="1" applyAlignment="1">
      <alignment horizontal="center" vertical="center" wrapText="1"/>
    </xf>
    <xf numFmtId="1" fontId="13" fillId="0" borderId="2" xfId="1" applyNumberFormat="1" applyFont="1" applyFill="1" applyBorder="1" applyAlignment="1">
      <alignment horizontal="center" vertical="center" wrapText="1"/>
    </xf>
    <xf numFmtId="1" fontId="13" fillId="0" borderId="3" xfId="1" applyNumberFormat="1" applyFont="1" applyFill="1" applyBorder="1" applyAlignment="1">
      <alignment horizontal="center" vertical="center" wrapText="1"/>
    </xf>
    <xf numFmtId="0" fontId="4" fillId="0" borderId="5" xfId="1" applyFont="1" applyBorder="1" applyAlignment="1">
      <alignment horizontal="center" vertical="top" wrapText="1"/>
    </xf>
    <xf numFmtId="0" fontId="4" fillId="0" borderId="6" xfId="1" applyFont="1" applyBorder="1" applyAlignment="1">
      <alignment horizontal="center" vertical="top" wrapText="1"/>
    </xf>
    <xf numFmtId="0" fontId="4" fillId="0" borderId="7" xfId="1" applyFont="1" applyBorder="1" applyAlignment="1">
      <alignment horizontal="center" vertical="top" wrapText="1"/>
    </xf>
    <xf numFmtId="0" fontId="4" fillId="0" borderId="11" xfId="1" applyFont="1" applyBorder="1" applyAlignment="1">
      <alignment horizontal="center" vertical="top" wrapText="1"/>
    </xf>
    <xf numFmtId="0" fontId="4" fillId="0" borderId="0" xfId="1" applyFont="1" applyBorder="1" applyAlignment="1">
      <alignment horizontal="center" vertical="top" wrapText="1"/>
    </xf>
    <xf numFmtId="0" fontId="4" fillId="0" borderId="12" xfId="1" applyFont="1" applyBorder="1" applyAlignment="1">
      <alignment horizontal="center" vertical="top" wrapText="1"/>
    </xf>
    <xf numFmtId="0" fontId="4" fillId="0" borderId="8" xfId="1" applyFont="1" applyBorder="1" applyAlignment="1">
      <alignment horizontal="center" vertical="top" wrapText="1"/>
    </xf>
    <xf numFmtId="0" fontId="4" fillId="0" borderId="9" xfId="1" applyFont="1" applyBorder="1" applyAlignment="1">
      <alignment horizontal="center" vertical="top" wrapText="1"/>
    </xf>
    <xf numFmtId="0" fontId="4" fillId="0" borderId="10" xfId="1" applyFont="1" applyBorder="1" applyAlignment="1">
      <alignment horizontal="center" vertical="top" wrapText="1"/>
    </xf>
    <xf numFmtId="1" fontId="13" fillId="0" borderId="4" xfId="0" applyNumberFormat="1" applyFont="1" applyFill="1" applyBorder="1" applyAlignment="1">
      <alignment horizontal="left" vertical="top" wrapText="1"/>
    </xf>
    <xf numFmtId="0" fontId="9" fillId="0" borderId="4" xfId="2" applyFont="1" applyBorder="1" applyAlignment="1">
      <alignment horizontal="left"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8" fillId="0" borderId="1" xfId="1" applyFont="1" applyFill="1" applyBorder="1" applyAlignment="1">
      <alignment horizontal="left" vertical="top"/>
    </xf>
    <xf numFmtId="0" fontId="8" fillId="0" borderId="2" xfId="1" applyFont="1" applyFill="1" applyBorder="1" applyAlignment="1">
      <alignment horizontal="left" vertical="top"/>
    </xf>
    <xf numFmtId="0" fontId="8" fillId="0" borderId="3" xfId="1" applyFont="1" applyFill="1" applyBorder="1" applyAlignment="1">
      <alignment horizontal="left" vertical="top"/>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1" fontId="13" fillId="0" borderId="4" xfId="1" applyNumberFormat="1" applyFont="1" applyFill="1" applyBorder="1" applyAlignment="1">
      <alignment horizontal="center" vertical="center" wrapText="1"/>
    </xf>
    <xf numFmtId="1" fontId="21" fillId="0" borderId="4"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top" wrapText="1"/>
    </xf>
    <xf numFmtId="1" fontId="4" fillId="0" borderId="3" xfId="1" applyNumberFormat="1" applyFont="1" applyFill="1" applyBorder="1" applyAlignment="1">
      <alignment horizontal="center" vertical="top" wrapText="1"/>
    </xf>
    <xf numFmtId="1" fontId="13" fillId="0" borderId="1" xfId="1" applyNumberFormat="1" applyFont="1" applyFill="1" applyBorder="1" applyAlignment="1">
      <alignment horizontal="center" vertical="top" wrapText="1"/>
    </xf>
    <xf numFmtId="1" fontId="13" fillId="0" borderId="3" xfId="1" applyNumberFormat="1" applyFont="1" applyFill="1" applyBorder="1" applyAlignment="1">
      <alignment horizontal="center" vertical="top" wrapText="1"/>
    </xf>
    <xf numFmtId="1" fontId="4" fillId="0" borderId="4" xfId="0" applyNumberFormat="1" applyFont="1" applyFill="1" applyBorder="1" applyAlignment="1">
      <alignment horizontal="center" vertical="top" wrapText="1"/>
    </xf>
    <xf numFmtId="1" fontId="6" fillId="0" borderId="4" xfId="0" applyNumberFormat="1" applyFont="1" applyFill="1" applyBorder="1" applyAlignment="1">
      <alignment horizontal="center" vertical="center" wrapText="1"/>
    </xf>
    <xf numFmtId="1" fontId="6" fillId="0" borderId="4" xfId="0" applyNumberFormat="1" applyFont="1" applyFill="1" applyBorder="1" applyAlignment="1">
      <alignment horizontal="center" vertical="top" wrapText="1"/>
    </xf>
    <xf numFmtId="1" fontId="4"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1" fontId="4" fillId="0" borderId="3" xfId="0" applyNumberFormat="1" applyFont="1" applyFill="1" applyBorder="1" applyAlignment="1">
      <alignment horizontal="center" vertical="top" wrapText="1"/>
    </xf>
    <xf numFmtId="1" fontId="6" fillId="0" borderId="1"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top" wrapText="1"/>
    </xf>
    <xf numFmtId="1" fontId="6" fillId="0" borderId="2" xfId="0" applyNumberFormat="1" applyFont="1" applyFill="1" applyBorder="1" applyAlignment="1">
      <alignment horizontal="center" vertical="top" wrapText="1"/>
    </xf>
    <xf numFmtId="1" fontId="6" fillId="0" borderId="3" xfId="0" applyNumberFormat="1" applyFont="1" applyFill="1" applyBorder="1" applyAlignment="1">
      <alignment horizontal="center" vertical="top" wrapText="1"/>
    </xf>
    <xf numFmtId="0" fontId="6" fillId="0" borderId="1" xfId="1" applyFont="1" applyFill="1" applyBorder="1" applyAlignment="1">
      <alignment horizontal="left" vertical="top"/>
    </xf>
    <xf numFmtId="0" fontId="6" fillId="0" borderId="2"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13" xfId="1" applyFont="1" applyFill="1" applyBorder="1" applyAlignment="1">
      <alignment horizontal="left" vertical="top"/>
    </xf>
    <xf numFmtId="0" fontId="6" fillId="0" borderId="4" xfId="1" applyFont="1" applyFill="1" applyBorder="1" applyAlignment="1">
      <alignment horizontal="left" vertical="top"/>
    </xf>
    <xf numFmtId="0" fontId="6" fillId="0" borderId="4" xfId="1" applyFont="1" applyFill="1" applyBorder="1" applyAlignment="1">
      <alignment horizontal="center" vertical="top"/>
    </xf>
    <xf numFmtId="0" fontId="5" fillId="0" borderId="3" xfId="1" applyFont="1" applyBorder="1" applyAlignment="1">
      <alignment horizontal="left"/>
    </xf>
    <xf numFmtId="0" fontId="4" fillId="0" borderId="1" xfId="1" applyFont="1" applyFill="1" applyBorder="1" applyAlignment="1">
      <alignment vertical="top"/>
    </xf>
    <xf numFmtId="0" fontId="4" fillId="0" borderId="2" xfId="1" applyFont="1" applyFill="1" applyBorder="1" applyAlignment="1">
      <alignment vertical="top"/>
    </xf>
    <xf numFmtId="0" fontId="4" fillId="0" borderId="3" xfId="1" applyFont="1" applyFill="1" applyBorder="1" applyAlignment="1">
      <alignment vertical="top"/>
    </xf>
    <xf numFmtId="0" fontId="6" fillId="0" borderId="1" xfId="1" applyFont="1" applyFill="1" applyBorder="1" applyAlignment="1">
      <alignment horizontal="center" vertical="top"/>
    </xf>
    <xf numFmtId="0" fontId="6" fillId="0" borderId="3" xfId="1" applyFont="1" applyFill="1" applyBorder="1" applyAlignment="1">
      <alignment horizontal="center" vertical="top"/>
    </xf>
    <xf numFmtId="0" fontId="8" fillId="0" borderId="1"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9" fillId="0" borderId="1" xfId="1" applyFont="1" applyFill="1" applyBorder="1" applyAlignment="1">
      <alignment horizontal="left" vertical="top"/>
    </xf>
    <xf numFmtId="0" fontId="9" fillId="0" borderId="2" xfId="1" applyFont="1" applyFill="1" applyBorder="1" applyAlignment="1">
      <alignment horizontal="left" vertical="top"/>
    </xf>
    <xf numFmtId="0" fontId="9" fillId="0" borderId="3" xfId="1" applyFont="1" applyFill="1" applyBorder="1" applyAlignment="1">
      <alignment horizontal="left" vertical="top"/>
    </xf>
    <xf numFmtId="0" fontId="6" fillId="0" borderId="5"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10"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2" borderId="3" xfId="1" applyFont="1" applyFill="1" applyBorder="1" applyAlignment="1">
      <alignment horizontal="left" vertical="top" wrapText="1"/>
    </xf>
    <xf numFmtId="2" fontId="6" fillId="0" borderId="1" xfId="1" applyNumberFormat="1" applyFont="1" applyFill="1" applyBorder="1" applyAlignment="1">
      <alignment horizontal="left" vertical="top"/>
    </xf>
    <xf numFmtId="2" fontId="6" fillId="0" borderId="2" xfId="1" applyNumberFormat="1" applyFont="1" applyFill="1" applyBorder="1" applyAlignment="1">
      <alignment horizontal="left" vertical="top"/>
    </xf>
    <xf numFmtId="2" fontId="6" fillId="0" borderId="3" xfId="1" applyNumberFormat="1" applyFont="1" applyFill="1" applyBorder="1" applyAlignment="1">
      <alignment horizontal="left" vertical="top"/>
    </xf>
    <xf numFmtId="165" fontId="6" fillId="0" borderId="1" xfId="1" applyNumberFormat="1" applyFont="1" applyFill="1" applyBorder="1" applyAlignment="1">
      <alignment horizontal="left" vertical="top"/>
    </xf>
    <xf numFmtId="165" fontId="6" fillId="0" borderId="2" xfId="1" applyNumberFormat="1" applyFont="1" applyFill="1" applyBorder="1" applyAlignment="1">
      <alignment horizontal="left" vertical="top"/>
    </xf>
    <xf numFmtId="165" fontId="6" fillId="0" borderId="3" xfId="1" applyNumberFormat="1" applyFont="1" applyFill="1" applyBorder="1" applyAlignment="1">
      <alignment horizontal="left" vertical="top"/>
    </xf>
    <xf numFmtId="165" fontId="6" fillId="0" borderId="1" xfId="1" applyNumberFormat="1" applyFont="1" applyFill="1" applyBorder="1" applyAlignment="1">
      <alignment horizontal="left" vertical="top" wrapText="1"/>
    </xf>
    <xf numFmtId="165" fontId="6" fillId="0" borderId="2" xfId="1" applyNumberFormat="1" applyFont="1" applyFill="1" applyBorder="1" applyAlignment="1">
      <alignment horizontal="left" vertical="top" wrapText="1"/>
    </xf>
    <xf numFmtId="165" fontId="6" fillId="0" borderId="3" xfId="1" applyNumberFormat="1" applyFont="1" applyFill="1" applyBorder="1" applyAlignment="1">
      <alignment horizontal="left" vertical="top" wrapText="1"/>
    </xf>
    <xf numFmtId="0" fontId="4" fillId="0" borderId="4" xfId="1" applyFont="1" applyFill="1" applyBorder="1" applyAlignment="1">
      <alignment horizontal="left" vertical="top"/>
    </xf>
    <xf numFmtId="0" fontId="6" fillId="0" borderId="4" xfId="1" applyFont="1" applyFill="1" applyBorder="1" applyAlignment="1">
      <alignment horizontal="left" vertical="top" wrapText="1"/>
    </xf>
    <xf numFmtId="0" fontId="8" fillId="0" borderId="4" xfId="1" applyFont="1" applyFill="1" applyBorder="1" applyAlignment="1" applyProtection="1">
      <alignment horizontal="left" vertical="center" wrapText="1"/>
      <protection locked="0"/>
    </xf>
    <xf numFmtId="0" fontId="23" fillId="0" borderId="4" xfId="6" applyFill="1" applyBorder="1" applyAlignment="1">
      <alignment horizontal="left" vertical="top"/>
    </xf>
    <xf numFmtId="0" fontId="5" fillId="0" borderId="1" xfId="1" applyFont="1" applyFill="1" applyBorder="1" applyAlignment="1" applyProtection="1">
      <alignment horizontal="left" vertical="center" wrapText="1"/>
      <protection locked="0"/>
    </xf>
    <xf numFmtId="0" fontId="5" fillId="0" borderId="2" xfId="1" applyFont="1" applyFill="1" applyBorder="1" applyAlignment="1" applyProtection="1">
      <alignment horizontal="left" vertical="center" wrapText="1"/>
      <protection locked="0"/>
    </xf>
    <xf numFmtId="0" fontId="6" fillId="0" borderId="1" xfId="1" applyFont="1" applyFill="1" applyBorder="1" applyAlignment="1">
      <alignment vertical="top"/>
    </xf>
    <xf numFmtId="0" fontId="6" fillId="0" borderId="2" xfId="1" applyFont="1" applyFill="1" applyBorder="1" applyAlignment="1">
      <alignment vertical="top"/>
    </xf>
    <xf numFmtId="0" fontId="6" fillId="0" borderId="3" xfId="1" applyFont="1" applyFill="1" applyBorder="1" applyAlignment="1">
      <alignment vertical="top"/>
    </xf>
    <xf numFmtId="0" fontId="5" fillId="0" borderId="1" xfId="1" applyFont="1" applyFill="1" applyBorder="1" applyAlignment="1">
      <alignment horizontal="center" vertical="top"/>
    </xf>
    <xf numFmtId="0" fontId="5" fillId="0" borderId="3" xfId="1" applyFont="1" applyFill="1" applyBorder="1" applyAlignment="1">
      <alignment horizontal="center" vertical="top"/>
    </xf>
    <xf numFmtId="0" fontId="26" fillId="0" borderId="5"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2" borderId="4"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5" xfId="1" applyFont="1" applyFill="1" applyBorder="1" applyAlignment="1">
      <alignment horizontal="left" vertical="top"/>
    </xf>
    <xf numFmtId="0" fontId="6" fillId="0" borderId="6" xfId="1" applyFont="1" applyFill="1" applyBorder="1" applyAlignment="1">
      <alignment horizontal="left" vertical="top"/>
    </xf>
    <xf numFmtId="0" fontId="6" fillId="0" borderId="7" xfId="1" applyFont="1" applyFill="1" applyBorder="1" applyAlignment="1">
      <alignment horizontal="left" vertical="top"/>
    </xf>
    <xf numFmtId="0" fontId="6" fillId="0" borderId="8" xfId="1" applyFont="1" applyFill="1" applyBorder="1" applyAlignment="1">
      <alignment horizontal="left" vertical="top"/>
    </xf>
    <xf numFmtId="0" fontId="6" fillId="0" borderId="9" xfId="1" applyFont="1" applyFill="1" applyBorder="1" applyAlignment="1">
      <alignment horizontal="left" vertical="top"/>
    </xf>
    <xf numFmtId="0" fontId="6" fillId="0" borderId="10" xfId="1" applyFont="1" applyFill="1" applyBorder="1" applyAlignment="1">
      <alignment horizontal="left" vertical="top"/>
    </xf>
    <xf numFmtId="0" fontId="6" fillId="0" borderId="1" xfId="1" applyFont="1" applyFill="1" applyBorder="1" applyAlignment="1">
      <alignment horizontal="center" vertical="top" wrapText="1"/>
    </xf>
    <xf numFmtId="0" fontId="6" fillId="0" borderId="3" xfId="1" applyFont="1" applyFill="1" applyBorder="1" applyAlignment="1">
      <alignment horizontal="center" vertical="top" wrapText="1"/>
    </xf>
    <xf numFmtId="0" fontId="8" fillId="0" borderId="1"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6" fillId="0" borderId="4" xfId="1" applyFont="1" applyBorder="1" applyAlignment="1">
      <alignment horizontal="left" vertical="top"/>
    </xf>
    <xf numFmtId="0" fontId="9" fillId="0" borderId="1"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3" xfId="1" applyFont="1" applyFill="1" applyBorder="1" applyAlignment="1">
      <alignment horizontal="left" vertical="top" wrapText="1"/>
    </xf>
    <xf numFmtId="0" fontId="4" fillId="0" borderId="1" xfId="1" applyFont="1" applyFill="1" applyBorder="1" applyAlignment="1">
      <alignment horizontal="left" vertical="top"/>
    </xf>
    <xf numFmtId="0" fontId="4" fillId="0" borderId="2" xfId="1" applyFont="1" applyFill="1" applyBorder="1" applyAlignment="1">
      <alignment horizontal="left" vertical="top"/>
    </xf>
    <xf numFmtId="0" fontId="4" fillId="0" borderId="3" xfId="1" applyFont="1" applyFill="1" applyBorder="1" applyAlignment="1">
      <alignment horizontal="left" vertical="top"/>
    </xf>
    <xf numFmtId="0" fontId="4" fillId="0" borderId="1" xfId="1" applyFont="1" applyBorder="1" applyAlignment="1">
      <alignment horizontal="center" vertical="top" wrapText="1"/>
    </xf>
    <xf numFmtId="0" fontId="4" fillId="0" borderId="2" xfId="1" applyFont="1" applyBorder="1" applyAlignment="1">
      <alignment horizontal="center" vertical="top" wrapText="1"/>
    </xf>
    <xf numFmtId="0" fontId="4" fillId="0" borderId="3" xfId="1" applyFont="1" applyBorder="1" applyAlignment="1">
      <alignment horizontal="center" vertical="top" wrapText="1"/>
    </xf>
    <xf numFmtId="0" fontId="4" fillId="0" borderId="1" xfId="1" applyFont="1" applyBorder="1" applyAlignment="1">
      <alignment horizontal="center" vertical="top"/>
    </xf>
    <xf numFmtId="0" fontId="4" fillId="0" borderId="2" xfId="1" applyFont="1" applyBorder="1" applyAlignment="1">
      <alignment horizontal="center" vertical="top"/>
    </xf>
    <xf numFmtId="0" fontId="4" fillId="0" borderId="3" xfId="1" applyFont="1" applyBorder="1" applyAlignment="1">
      <alignment horizontal="center"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3" xfId="1" applyFont="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8" fillId="2" borderId="1" xfId="1" applyFont="1" applyFill="1" applyBorder="1" applyAlignment="1">
      <alignment horizontal="left" vertical="top"/>
    </xf>
    <xf numFmtId="0" fontId="6" fillId="2" borderId="4" xfId="1" applyFont="1" applyFill="1" applyBorder="1" applyAlignment="1">
      <alignment horizontal="left" vertical="top"/>
    </xf>
    <xf numFmtId="1" fontId="4" fillId="0" borderId="4" xfId="0" applyNumberFormat="1" applyFont="1" applyFill="1" applyBorder="1" applyAlignment="1">
      <alignment horizontal="left" vertical="top" wrapText="1"/>
    </xf>
    <xf numFmtId="1" fontId="6" fillId="0" borderId="3" xfId="0" applyNumberFormat="1" applyFont="1" applyFill="1" applyBorder="1" applyAlignment="1">
      <alignment horizontal="center" vertical="center" wrapText="1"/>
    </xf>
    <xf numFmtId="1" fontId="5" fillId="0" borderId="1" xfId="0" applyNumberFormat="1"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1" fontId="5" fillId="0" borderId="4" xfId="0" applyNumberFormat="1" applyFont="1" applyBorder="1" applyAlignment="1">
      <alignment horizontal="center" vertical="top" wrapText="1"/>
    </xf>
    <xf numFmtId="1" fontId="5" fillId="0" borderId="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16" fillId="0" borderId="1" xfId="0" applyNumberFormat="1" applyFont="1" applyBorder="1" applyAlignment="1">
      <alignment horizontal="center" vertical="top" wrapText="1"/>
    </xf>
    <xf numFmtId="1" fontId="16" fillId="0" borderId="2" xfId="0" applyNumberFormat="1" applyFont="1" applyBorder="1" applyAlignment="1">
      <alignment horizontal="center" vertical="top" wrapText="1"/>
    </xf>
    <xf numFmtId="1" fontId="16" fillId="0" borderId="3" xfId="0" applyNumberFormat="1" applyFont="1" applyBorder="1" applyAlignment="1">
      <alignment horizontal="center" vertical="top" wrapText="1"/>
    </xf>
    <xf numFmtId="1" fontId="4" fillId="0" borderId="1" xfId="0" applyNumberFormat="1" applyFont="1" applyFill="1" applyBorder="1" applyAlignment="1">
      <alignment horizontal="left" vertical="top" wrapText="1"/>
    </xf>
    <xf numFmtId="1" fontId="4" fillId="0" borderId="2" xfId="0" applyNumberFormat="1" applyFont="1" applyFill="1" applyBorder="1" applyAlignment="1">
      <alignment horizontal="left" vertical="top" wrapText="1"/>
    </xf>
    <xf numFmtId="1" fontId="4" fillId="0" borderId="3" xfId="0" applyNumberFormat="1" applyFont="1" applyFill="1" applyBorder="1" applyAlignment="1">
      <alignment horizontal="left" vertical="top" wrapText="1"/>
    </xf>
    <xf numFmtId="0" fontId="14" fillId="0" borderId="1" xfId="1" applyFont="1" applyFill="1" applyBorder="1" applyAlignment="1">
      <alignment horizontal="center" vertical="top"/>
    </xf>
    <xf numFmtId="0" fontId="14" fillId="0" borderId="2" xfId="1" applyFont="1" applyFill="1" applyBorder="1" applyAlignment="1">
      <alignment horizontal="center" vertical="top"/>
    </xf>
    <xf numFmtId="0" fontId="14" fillId="0" borderId="3" xfId="1" applyFont="1" applyFill="1" applyBorder="1" applyAlignment="1">
      <alignment horizontal="center" vertical="top"/>
    </xf>
    <xf numFmtId="0" fontId="13" fillId="0" borderId="1"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8" fillId="0" borderId="4" xfId="5" applyFont="1" applyBorder="1" applyAlignment="1">
      <alignment horizontal="left"/>
    </xf>
    <xf numFmtId="0" fontId="0" fillId="3" borderId="4" xfId="0" applyFill="1" applyBorder="1" applyAlignment="1">
      <alignment horizontal="center" wrapText="1"/>
    </xf>
    <xf numFmtId="0" fontId="18" fillId="0" borderId="4" xfId="0" applyFont="1" applyBorder="1" applyAlignment="1">
      <alignment horizontal="center"/>
    </xf>
  </cellXfs>
  <cellStyles count="8">
    <cellStyle name="Comma 2" xfId="7"/>
    <cellStyle name="Excel Built-in Normal" xfId="2"/>
    <cellStyle name="Excel Built-in Normal 2" xfId="4"/>
    <cellStyle name="Hyperlink" xfId="6"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image" Target="../media/image27.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396129</xdr:colOff>
      <xdr:row>415</xdr:row>
      <xdr:rowOff>4482</xdr:rowOff>
    </xdr:from>
    <xdr:to>
      <xdr:col>8</xdr:col>
      <xdr:colOff>193434</xdr:colOff>
      <xdr:row>429</xdr:row>
      <xdr:rowOff>37482</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53354" y="89215632"/>
          <a:ext cx="4359780" cy="2700000"/>
        </a:xfrm>
        <a:prstGeom prst="rect">
          <a:avLst/>
        </a:prstGeom>
        <a:ln>
          <a:solidFill>
            <a:schemeClr val="tx1"/>
          </a:solidFill>
        </a:ln>
      </xdr:spPr>
    </xdr:pic>
    <xdr:clientData/>
  </xdr:twoCellAnchor>
  <xdr:twoCellAnchor editAs="oneCell">
    <xdr:from>
      <xdr:col>1</xdr:col>
      <xdr:colOff>406781</xdr:colOff>
      <xdr:row>430</xdr:row>
      <xdr:rowOff>105992</xdr:rowOff>
    </xdr:from>
    <xdr:to>
      <xdr:col>8</xdr:col>
      <xdr:colOff>204087</xdr:colOff>
      <xdr:row>444</xdr:row>
      <xdr:rowOff>138992</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064006" y="92174642"/>
          <a:ext cx="4359781" cy="2700000"/>
        </a:xfrm>
        <a:prstGeom prst="rect">
          <a:avLst/>
        </a:prstGeom>
        <a:ln>
          <a:solidFill>
            <a:schemeClr val="tx1"/>
          </a:solidFill>
        </a:ln>
      </xdr:spPr>
    </xdr:pic>
    <xdr:clientData/>
  </xdr:twoCellAnchor>
  <xdr:oneCellAnchor>
    <xdr:from>
      <xdr:col>12</xdr:col>
      <xdr:colOff>322395</xdr:colOff>
      <xdr:row>366</xdr:row>
      <xdr:rowOff>0</xdr:rowOff>
    </xdr:from>
    <xdr:ext cx="496546" cy="264560"/>
    <xdr:sp macro="" textlink="">
      <xdr:nvSpPr>
        <xdr:cNvPr id="21" name="TextBox 20"/>
        <xdr:cNvSpPr txBox="1"/>
      </xdr:nvSpPr>
      <xdr:spPr>
        <a:xfrm>
          <a:off x="9352095" y="72028050"/>
          <a:ext cx="496546" cy="264560"/>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Aster</a:t>
          </a:r>
        </a:p>
      </xdr:txBody>
    </xdr:sp>
    <xdr:clientData/>
  </xdr:oneCellAnchor>
  <xdr:oneCellAnchor>
    <xdr:from>
      <xdr:col>17</xdr:col>
      <xdr:colOff>606690</xdr:colOff>
      <xdr:row>366</xdr:row>
      <xdr:rowOff>0</xdr:rowOff>
    </xdr:from>
    <xdr:ext cx="688265" cy="264560"/>
    <xdr:sp macro="" textlink="">
      <xdr:nvSpPr>
        <xdr:cNvPr id="23" name="TextBox 22"/>
        <xdr:cNvSpPr txBox="1"/>
      </xdr:nvSpPr>
      <xdr:spPr>
        <a:xfrm>
          <a:off x="12843140" y="72028050"/>
          <a:ext cx="688265" cy="264560"/>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Camellia</a:t>
          </a:r>
        </a:p>
      </xdr:txBody>
    </xdr:sp>
    <xdr:clientData/>
  </xdr:oneCellAnchor>
  <xdr:oneCellAnchor>
    <xdr:from>
      <xdr:col>12</xdr:col>
      <xdr:colOff>151075</xdr:colOff>
      <xdr:row>406</xdr:row>
      <xdr:rowOff>29163</xdr:rowOff>
    </xdr:from>
    <xdr:ext cx="545534" cy="264560"/>
    <xdr:sp macro="" textlink="">
      <xdr:nvSpPr>
        <xdr:cNvPr id="60" name="TextBox 59"/>
        <xdr:cNvSpPr txBox="1"/>
      </xdr:nvSpPr>
      <xdr:spPr>
        <a:xfrm>
          <a:off x="8780725" y="81067863"/>
          <a:ext cx="5455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a:t>Dahlia</a:t>
          </a:r>
          <a:endParaRPr lang="en-IN" sz="1100" b="1"/>
        </a:p>
      </xdr:txBody>
    </xdr:sp>
    <xdr:clientData/>
  </xdr:oneCellAnchor>
  <xdr:twoCellAnchor>
    <xdr:from>
      <xdr:col>0</xdr:col>
      <xdr:colOff>114300</xdr:colOff>
      <xdr:row>367</xdr:row>
      <xdr:rowOff>123825</xdr:rowOff>
    </xdr:from>
    <xdr:to>
      <xdr:col>9</xdr:col>
      <xdr:colOff>951563</xdr:colOff>
      <xdr:row>411</xdr:row>
      <xdr:rowOff>93074</xdr:rowOff>
    </xdr:to>
    <xdr:grpSp>
      <xdr:nvGrpSpPr>
        <xdr:cNvPr id="5" name="Group 4"/>
        <xdr:cNvGrpSpPr/>
      </xdr:nvGrpSpPr>
      <xdr:grpSpPr>
        <a:xfrm>
          <a:off x="114300" y="74323575"/>
          <a:ext cx="6695138" cy="8351249"/>
          <a:chOff x="133350" y="74047350"/>
          <a:chExt cx="6695138" cy="8351249"/>
        </a:xfrm>
      </xdr:grpSpPr>
      <xdr:grpSp>
        <xdr:nvGrpSpPr>
          <xdr:cNvPr id="4" name="Group 3"/>
          <xdr:cNvGrpSpPr/>
        </xdr:nvGrpSpPr>
        <xdr:grpSpPr>
          <a:xfrm>
            <a:off x="133350" y="74047350"/>
            <a:ext cx="6695138" cy="8351249"/>
            <a:chOff x="133350" y="74047350"/>
            <a:chExt cx="6695138" cy="8351249"/>
          </a:xfrm>
        </xdr:grpSpPr>
        <xdr:pic>
          <xdr:nvPicPr>
            <xdr:cNvPr id="47" name="Picture 46" descr="https://vsjcllp.vsjadon.com/upload/insp-239861-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991101" y="80591024"/>
              <a:ext cx="1354270" cy="1807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39861-844.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5210175" y="762952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39861-861.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5191125" y="740473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39861-862.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124076" y="80591024"/>
              <a:ext cx="1354270" cy="1807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39861-860.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524250" y="762952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39861-87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33350" y="762857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39861-87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828800" y="740473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39861-877.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909791" y="78533625"/>
              <a:ext cx="1480785" cy="19764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39861-940.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686500" y="80591025"/>
              <a:ext cx="1341626" cy="1790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39861-880.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33350" y="740473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39861-883.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619550" y="78538387"/>
              <a:ext cx="2632810" cy="19764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39861-93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828800" y="762857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39861-916.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3505200" y="740473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39861-92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3338166" y="78533625"/>
              <a:ext cx="1480785" cy="19764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39861-1512.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3552826" y="80591024"/>
              <a:ext cx="1354270" cy="1807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70" name="TextBox 69"/>
          <xdr:cNvSpPr txBox="1"/>
        </xdr:nvSpPr>
        <xdr:spPr>
          <a:xfrm>
            <a:off x="847725" y="74056875"/>
            <a:ext cx="647812" cy="283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a:t>Camellia</a:t>
            </a:r>
            <a:endParaRPr lang="en-IN" sz="1100" b="1"/>
          </a:p>
        </xdr:txBody>
      </xdr:sp>
      <xdr:sp macro="" textlink="">
        <xdr:nvSpPr>
          <xdr:cNvPr id="71" name="TextBox 70"/>
          <xdr:cNvSpPr txBox="1"/>
        </xdr:nvSpPr>
        <xdr:spPr>
          <a:xfrm>
            <a:off x="3571875" y="74056875"/>
            <a:ext cx="572681" cy="283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a:t>Balsam</a:t>
            </a:r>
            <a:endParaRPr lang="en-IN" sz="1100" b="1"/>
          </a:p>
        </xdr:txBody>
      </xdr:sp>
      <xdr:sp macro="" textlink="">
        <xdr:nvSpPr>
          <xdr:cNvPr id="72" name="TextBox 71"/>
          <xdr:cNvSpPr txBox="1"/>
        </xdr:nvSpPr>
        <xdr:spPr>
          <a:xfrm>
            <a:off x="1895475" y="74066400"/>
            <a:ext cx="533239" cy="283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a:t>Aaster</a:t>
            </a:r>
            <a:endParaRPr lang="en-IN" sz="1100" b="1"/>
          </a:p>
        </xdr:txBody>
      </xdr:sp>
      <xdr:sp macro="" textlink="">
        <xdr:nvSpPr>
          <xdr:cNvPr id="73" name="TextBox 72"/>
          <xdr:cNvSpPr txBox="1"/>
        </xdr:nvSpPr>
        <xdr:spPr>
          <a:xfrm>
            <a:off x="5295900" y="74085450"/>
            <a:ext cx="637474" cy="283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a:t>Wisteria</a:t>
            </a:r>
            <a:endParaRPr lang="en-IN" sz="1100" b="1"/>
          </a:p>
        </xdr:txBody>
      </xdr:sp>
      <xdr:sp macro="" textlink="">
        <xdr:nvSpPr>
          <xdr:cNvPr id="74" name="TextBox 73"/>
          <xdr:cNvSpPr txBox="1"/>
        </xdr:nvSpPr>
        <xdr:spPr>
          <a:xfrm>
            <a:off x="914400" y="76304775"/>
            <a:ext cx="581502" cy="283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N"/>
              <a:t>Zinnia</a:t>
            </a:r>
            <a:endParaRPr lang="en-IN" sz="1100" b="1"/>
          </a:p>
        </xdr:txBody>
      </xdr:sp>
      <xdr:sp macro="" textlink="">
        <xdr:nvSpPr>
          <xdr:cNvPr id="75" name="TextBox 74"/>
          <xdr:cNvSpPr txBox="1"/>
        </xdr:nvSpPr>
        <xdr:spPr>
          <a:xfrm>
            <a:off x="1943100" y="76295250"/>
            <a:ext cx="475301" cy="283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N"/>
              <a:t>Xyris</a:t>
            </a:r>
            <a:endParaRPr lang="en-IN" sz="1100" b="1"/>
          </a:p>
        </xdr:txBody>
      </xdr:sp>
      <xdr:sp macro="" textlink="">
        <xdr:nvSpPr>
          <xdr:cNvPr id="76" name="TextBox 75"/>
          <xdr:cNvSpPr txBox="1"/>
        </xdr:nvSpPr>
        <xdr:spPr>
          <a:xfrm>
            <a:off x="4381500" y="76323825"/>
            <a:ext cx="570589" cy="283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a:t>Yarrow</a:t>
            </a:r>
            <a:endParaRPr lang="en-IN" sz="1100" b="1"/>
          </a:p>
        </xdr:txBody>
      </xdr:sp>
      <xdr:sp macro="" textlink="">
        <xdr:nvSpPr>
          <xdr:cNvPr id="77" name="TextBox 76"/>
          <xdr:cNvSpPr txBox="1"/>
        </xdr:nvSpPr>
        <xdr:spPr>
          <a:xfrm>
            <a:off x="1619250" y="78552675"/>
            <a:ext cx="523517" cy="283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a:t>Dahlia</a:t>
            </a:r>
            <a:endParaRPr lang="en-IN" sz="11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38101</xdr:colOff>
      <xdr:row>14</xdr:row>
      <xdr:rowOff>23912</xdr:rowOff>
    </xdr:from>
    <xdr:to>
      <xdr:col>6</xdr:col>
      <xdr:colOff>392246</xdr:colOff>
      <xdr:row>33</xdr:row>
      <xdr:rowOff>4412</xdr:rowOff>
    </xdr:to>
    <xdr:pic>
      <xdr:nvPicPr>
        <xdr:cNvPr id="2" name="Picture 1"/>
        <xdr:cNvPicPr>
          <a:picLocks noChangeAspect="1"/>
        </xdr:cNvPicPr>
      </xdr:nvPicPr>
      <xdr:blipFill>
        <a:blip xmlns:r="http://schemas.openxmlformats.org/officeDocument/2006/relationships" r:embed="rId1"/>
        <a:stretch>
          <a:fillRect/>
        </a:stretch>
      </xdr:blipFill>
      <xdr:spPr>
        <a:xfrm>
          <a:off x="619126" y="2690912"/>
          <a:ext cx="6754945" cy="3600000"/>
        </a:xfrm>
        <a:prstGeom prst="rect">
          <a:avLst/>
        </a:prstGeom>
        <a:ln>
          <a:solidFill>
            <a:schemeClr val="tx1"/>
          </a:solidFill>
        </a:ln>
      </xdr:spPr>
    </xdr:pic>
    <xdr:clientData/>
  </xdr:twoCellAnchor>
  <xdr:twoCellAnchor editAs="oneCell">
    <xdr:from>
      <xdr:col>1</xdr:col>
      <xdr:colOff>38101</xdr:colOff>
      <xdr:row>33</xdr:row>
      <xdr:rowOff>29812</xdr:rowOff>
    </xdr:from>
    <xdr:to>
      <xdr:col>6</xdr:col>
      <xdr:colOff>392246</xdr:colOff>
      <xdr:row>52</xdr:row>
      <xdr:rowOff>10312</xdr:rowOff>
    </xdr:to>
    <xdr:pic>
      <xdr:nvPicPr>
        <xdr:cNvPr id="3" name="Picture 2"/>
        <xdr:cNvPicPr>
          <a:picLocks noChangeAspect="1"/>
        </xdr:cNvPicPr>
      </xdr:nvPicPr>
      <xdr:blipFill>
        <a:blip xmlns:r="http://schemas.openxmlformats.org/officeDocument/2006/relationships" r:embed="rId2"/>
        <a:stretch>
          <a:fillRect/>
        </a:stretch>
      </xdr:blipFill>
      <xdr:spPr>
        <a:xfrm>
          <a:off x="619126" y="6316312"/>
          <a:ext cx="6754945" cy="3600000"/>
        </a:xfrm>
        <a:prstGeom prst="rect">
          <a:avLst/>
        </a:prstGeom>
        <a:ln>
          <a:solidFill>
            <a:schemeClr val="tx1"/>
          </a:solidFill>
        </a:ln>
      </xdr:spPr>
    </xdr:pic>
    <xdr:clientData/>
  </xdr:twoCellAnchor>
  <xdr:twoCellAnchor editAs="oneCell">
    <xdr:from>
      <xdr:col>1</xdr:col>
      <xdr:colOff>38100</xdr:colOff>
      <xdr:row>52</xdr:row>
      <xdr:rowOff>128912</xdr:rowOff>
    </xdr:from>
    <xdr:to>
      <xdr:col>6</xdr:col>
      <xdr:colOff>392245</xdr:colOff>
      <xdr:row>71</xdr:row>
      <xdr:rowOff>109412</xdr:rowOff>
    </xdr:to>
    <xdr:pic>
      <xdr:nvPicPr>
        <xdr:cNvPr id="4" name="Picture 3"/>
        <xdr:cNvPicPr>
          <a:picLocks noChangeAspect="1"/>
        </xdr:cNvPicPr>
      </xdr:nvPicPr>
      <xdr:blipFill>
        <a:blip xmlns:r="http://schemas.openxmlformats.org/officeDocument/2006/relationships" r:embed="rId3"/>
        <a:stretch>
          <a:fillRect/>
        </a:stretch>
      </xdr:blipFill>
      <xdr:spPr>
        <a:xfrm>
          <a:off x="619125" y="10034912"/>
          <a:ext cx="6754945" cy="3600000"/>
        </a:xfrm>
        <a:prstGeom prst="rect">
          <a:avLst/>
        </a:prstGeom>
        <a:ln>
          <a:solidFill>
            <a:schemeClr val="tx1"/>
          </a:solidFill>
        </a:ln>
      </xdr:spPr>
    </xdr:pic>
    <xdr:clientData/>
  </xdr:twoCellAnchor>
  <xdr:twoCellAnchor editAs="oneCell">
    <xdr:from>
      <xdr:col>6</xdr:col>
      <xdr:colOff>473525</xdr:colOff>
      <xdr:row>14</xdr:row>
      <xdr:rowOff>4392</xdr:rowOff>
    </xdr:from>
    <xdr:to>
      <xdr:col>16</xdr:col>
      <xdr:colOff>75195</xdr:colOff>
      <xdr:row>32</xdr:row>
      <xdr:rowOff>175392</xdr:rowOff>
    </xdr:to>
    <xdr:pic>
      <xdr:nvPicPr>
        <xdr:cNvPr id="5" name="Picture 4"/>
        <xdr:cNvPicPr>
          <a:picLocks noChangeAspect="1"/>
        </xdr:cNvPicPr>
      </xdr:nvPicPr>
      <xdr:blipFill>
        <a:blip xmlns:r="http://schemas.openxmlformats.org/officeDocument/2006/relationships" r:embed="rId4"/>
        <a:stretch>
          <a:fillRect/>
        </a:stretch>
      </xdr:blipFill>
      <xdr:spPr>
        <a:xfrm>
          <a:off x="7455350" y="2671392"/>
          <a:ext cx="6754945" cy="3600000"/>
        </a:xfrm>
        <a:prstGeom prst="rect">
          <a:avLst/>
        </a:prstGeom>
        <a:ln>
          <a:solidFill>
            <a:schemeClr val="tx1"/>
          </a:solidFill>
        </a:ln>
      </xdr:spPr>
    </xdr:pic>
    <xdr:clientData/>
  </xdr:twoCellAnchor>
  <xdr:twoCellAnchor editAs="oneCell">
    <xdr:from>
      <xdr:col>6</xdr:col>
      <xdr:colOff>453205</xdr:colOff>
      <xdr:row>33</xdr:row>
      <xdr:rowOff>40806</xdr:rowOff>
    </xdr:from>
    <xdr:to>
      <xdr:col>16</xdr:col>
      <xdr:colOff>54875</xdr:colOff>
      <xdr:row>52</xdr:row>
      <xdr:rowOff>21306</xdr:rowOff>
    </xdr:to>
    <xdr:pic>
      <xdr:nvPicPr>
        <xdr:cNvPr id="6" name="Picture 5"/>
        <xdr:cNvPicPr>
          <a:picLocks noChangeAspect="1"/>
        </xdr:cNvPicPr>
      </xdr:nvPicPr>
      <xdr:blipFill>
        <a:blip xmlns:r="http://schemas.openxmlformats.org/officeDocument/2006/relationships" r:embed="rId5"/>
        <a:stretch>
          <a:fillRect/>
        </a:stretch>
      </xdr:blipFill>
      <xdr:spPr>
        <a:xfrm>
          <a:off x="7435030" y="6327306"/>
          <a:ext cx="6754945" cy="3600000"/>
        </a:xfrm>
        <a:prstGeom prst="rect">
          <a:avLst/>
        </a:prstGeom>
        <a:ln>
          <a:solidFill>
            <a:schemeClr val="tx1"/>
          </a:solidFill>
        </a:ln>
      </xdr:spPr>
    </xdr:pic>
    <xdr:clientData/>
  </xdr:twoCellAnchor>
  <xdr:twoCellAnchor editAs="oneCell">
    <xdr:from>
      <xdr:col>6</xdr:col>
      <xdr:colOff>392245</xdr:colOff>
      <xdr:row>52</xdr:row>
      <xdr:rowOff>128912</xdr:rowOff>
    </xdr:from>
    <xdr:to>
      <xdr:col>15</xdr:col>
      <xdr:colOff>574940</xdr:colOff>
      <xdr:row>71</xdr:row>
      <xdr:rowOff>109412</xdr:rowOff>
    </xdr:to>
    <xdr:pic>
      <xdr:nvPicPr>
        <xdr:cNvPr id="7" name="Picture 6"/>
        <xdr:cNvPicPr>
          <a:picLocks noChangeAspect="1"/>
        </xdr:cNvPicPr>
      </xdr:nvPicPr>
      <xdr:blipFill>
        <a:blip xmlns:r="http://schemas.openxmlformats.org/officeDocument/2006/relationships" r:embed="rId6"/>
        <a:stretch>
          <a:fillRect/>
        </a:stretch>
      </xdr:blipFill>
      <xdr:spPr>
        <a:xfrm>
          <a:off x="7374070" y="10034912"/>
          <a:ext cx="6754945" cy="3600000"/>
        </a:xfrm>
        <a:prstGeom prst="rect">
          <a:avLst/>
        </a:prstGeom>
        <a:ln>
          <a:solidFill>
            <a:schemeClr val="tx1"/>
          </a:solidFill>
        </a:ln>
      </xdr:spPr>
    </xdr:pic>
    <xdr:clientData/>
  </xdr:twoCellAnchor>
  <xdr:twoCellAnchor editAs="oneCell">
    <xdr:from>
      <xdr:col>16</xdr:col>
      <xdr:colOff>118374</xdr:colOff>
      <xdr:row>14</xdr:row>
      <xdr:rowOff>0</xdr:rowOff>
    </xdr:from>
    <xdr:to>
      <xdr:col>27</xdr:col>
      <xdr:colOff>482044</xdr:colOff>
      <xdr:row>32</xdr:row>
      <xdr:rowOff>171000</xdr:rowOff>
    </xdr:to>
    <xdr:pic>
      <xdr:nvPicPr>
        <xdr:cNvPr id="8" name="Picture 7"/>
        <xdr:cNvPicPr>
          <a:picLocks noChangeAspect="1"/>
        </xdr:cNvPicPr>
      </xdr:nvPicPr>
      <xdr:blipFill>
        <a:blip xmlns:r="http://schemas.openxmlformats.org/officeDocument/2006/relationships" r:embed="rId7"/>
        <a:stretch>
          <a:fillRect/>
        </a:stretch>
      </xdr:blipFill>
      <xdr:spPr>
        <a:xfrm>
          <a:off x="14253474" y="2667000"/>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12</xdr:row>
      <xdr:rowOff>11397</xdr:rowOff>
    </xdr:from>
    <xdr:to>
      <xdr:col>13</xdr:col>
      <xdr:colOff>437600</xdr:colOff>
      <xdr:row>21</xdr:row>
      <xdr:rowOff>75897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7850" y="2297397"/>
          <a:ext cx="2876000" cy="2160000"/>
        </a:xfrm>
        <a:prstGeom prst="rect">
          <a:avLst/>
        </a:prstGeom>
        <a:ln>
          <a:solidFill>
            <a:schemeClr val="tx1"/>
          </a:solidFill>
        </a:ln>
      </xdr:spPr>
    </xdr:pic>
    <xdr:clientData/>
  </xdr:twoCellAnchor>
  <xdr:twoCellAnchor editAs="oneCell">
    <xdr:from>
      <xdr:col>13</xdr:col>
      <xdr:colOff>567694</xdr:colOff>
      <xdr:row>12</xdr:row>
      <xdr:rowOff>0</xdr:rowOff>
    </xdr:from>
    <xdr:to>
      <xdr:col>16</xdr:col>
      <xdr:colOff>356644</xdr:colOff>
      <xdr:row>21</xdr:row>
      <xdr:rowOff>64500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63944" y="2286000"/>
          <a:ext cx="1617750"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8BDMbQXXyZ6AkZG3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5"/>
  <sheetViews>
    <sheetView tabSelected="1" view="pageBreakPreview" zoomScaleNormal="100" zoomScaleSheetLayoutView="100" zoomScalePageLayoutView="85" workbookViewId="0">
      <selection activeCell="K14" sqref="K14"/>
    </sheetView>
  </sheetViews>
  <sheetFormatPr defaultRowHeight="15" x14ac:dyDescent="0.25"/>
  <cols>
    <col min="1" max="1" width="9.85546875" style="1" customWidth="1"/>
    <col min="2" max="2" width="14" style="1" customWidth="1"/>
    <col min="3" max="3" width="12.5703125" style="1" customWidth="1"/>
    <col min="4" max="4" width="7.28515625" style="1" customWidth="1"/>
    <col min="5" max="5" width="5.5703125" style="1" customWidth="1"/>
    <col min="6" max="6" width="9" style="1" customWidth="1"/>
    <col min="7" max="7" width="9.85546875" style="1" customWidth="1"/>
    <col min="8" max="8" width="10.140625" style="1" customWidth="1"/>
    <col min="9" max="9" width="9.5703125" style="1" customWidth="1"/>
    <col min="10" max="10" width="15.5703125" style="1" customWidth="1"/>
    <col min="11" max="11" width="16.85546875" style="1" customWidth="1"/>
    <col min="12" max="252" width="9.140625" style="1"/>
    <col min="253" max="253" width="8.7109375" style="1" customWidth="1"/>
    <col min="254" max="254" width="9.85546875" style="1" customWidth="1"/>
    <col min="255" max="255" width="14.42578125" style="1" customWidth="1"/>
    <col min="256" max="256" width="7.28515625" style="1" customWidth="1"/>
    <col min="257" max="257" width="5.5703125" style="1" customWidth="1"/>
    <col min="258" max="258" width="9" style="1" customWidth="1"/>
    <col min="259" max="260" width="9.85546875" style="1" customWidth="1"/>
    <col min="261" max="261" width="11.140625" style="1" customWidth="1"/>
    <col min="262" max="262" width="2.85546875" style="1" customWidth="1"/>
    <col min="263" max="263" width="3.5703125" style="1" customWidth="1"/>
    <col min="264" max="508" width="9.140625" style="1"/>
    <col min="509" max="509" width="8.7109375" style="1" customWidth="1"/>
    <col min="510" max="510" width="9.85546875" style="1" customWidth="1"/>
    <col min="511" max="511" width="14.42578125" style="1" customWidth="1"/>
    <col min="512" max="512" width="7.28515625" style="1" customWidth="1"/>
    <col min="513" max="513" width="5.5703125" style="1" customWidth="1"/>
    <col min="514" max="514" width="9" style="1" customWidth="1"/>
    <col min="515" max="516" width="9.85546875" style="1" customWidth="1"/>
    <col min="517" max="517" width="11.140625" style="1" customWidth="1"/>
    <col min="518" max="518" width="2.85546875" style="1" customWidth="1"/>
    <col min="519" max="519" width="3.5703125" style="1" customWidth="1"/>
    <col min="520" max="764" width="9.140625" style="1"/>
    <col min="765" max="765" width="8.7109375" style="1" customWidth="1"/>
    <col min="766" max="766" width="9.85546875" style="1" customWidth="1"/>
    <col min="767" max="767" width="14.42578125" style="1" customWidth="1"/>
    <col min="768" max="768" width="7.28515625" style="1" customWidth="1"/>
    <col min="769" max="769" width="5.5703125" style="1" customWidth="1"/>
    <col min="770" max="770" width="9" style="1" customWidth="1"/>
    <col min="771" max="772" width="9.85546875" style="1" customWidth="1"/>
    <col min="773" max="773" width="11.140625" style="1" customWidth="1"/>
    <col min="774" max="774" width="2.85546875" style="1" customWidth="1"/>
    <col min="775" max="775" width="3.5703125" style="1" customWidth="1"/>
    <col min="776" max="1020" width="9.140625" style="1"/>
    <col min="1021" max="1021" width="8.7109375" style="1" customWidth="1"/>
    <col min="1022" max="1022" width="9.85546875" style="1" customWidth="1"/>
    <col min="1023" max="1023" width="14.42578125" style="1" customWidth="1"/>
    <col min="1024" max="1024" width="7.28515625" style="1" customWidth="1"/>
    <col min="1025" max="1025" width="5.5703125" style="1" customWidth="1"/>
    <col min="1026" max="1026" width="9" style="1" customWidth="1"/>
    <col min="1027" max="1028" width="9.85546875" style="1" customWidth="1"/>
    <col min="1029" max="1029" width="11.140625" style="1" customWidth="1"/>
    <col min="1030" max="1030" width="2.85546875" style="1" customWidth="1"/>
    <col min="1031" max="1031" width="3.5703125" style="1" customWidth="1"/>
    <col min="1032" max="1276" width="9.140625" style="1"/>
    <col min="1277" max="1277" width="8.7109375" style="1" customWidth="1"/>
    <col min="1278" max="1278" width="9.85546875" style="1" customWidth="1"/>
    <col min="1279" max="1279" width="14.42578125" style="1" customWidth="1"/>
    <col min="1280" max="1280" width="7.28515625" style="1" customWidth="1"/>
    <col min="1281" max="1281" width="5.5703125" style="1" customWidth="1"/>
    <col min="1282" max="1282" width="9" style="1" customWidth="1"/>
    <col min="1283" max="1284" width="9.85546875" style="1" customWidth="1"/>
    <col min="1285" max="1285" width="11.140625" style="1" customWidth="1"/>
    <col min="1286" max="1286" width="2.85546875" style="1" customWidth="1"/>
    <col min="1287" max="1287" width="3.5703125" style="1" customWidth="1"/>
    <col min="1288" max="1532" width="9.140625" style="1"/>
    <col min="1533" max="1533" width="8.7109375" style="1" customWidth="1"/>
    <col min="1534" max="1534" width="9.85546875" style="1" customWidth="1"/>
    <col min="1535" max="1535" width="14.42578125" style="1" customWidth="1"/>
    <col min="1536" max="1536" width="7.28515625" style="1" customWidth="1"/>
    <col min="1537" max="1537" width="5.5703125" style="1" customWidth="1"/>
    <col min="1538" max="1538" width="9" style="1" customWidth="1"/>
    <col min="1539" max="1540" width="9.85546875" style="1" customWidth="1"/>
    <col min="1541" max="1541" width="11.140625" style="1" customWidth="1"/>
    <col min="1542" max="1542" width="2.85546875" style="1" customWidth="1"/>
    <col min="1543" max="1543" width="3.5703125" style="1" customWidth="1"/>
    <col min="1544" max="1788" width="9.140625" style="1"/>
    <col min="1789" max="1789" width="8.7109375" style="1" customWidth="1"/>
    <col min="1790" max="1790" width="9.85546875" style="1" customWidth="1"/>
    <col min="1791" max="1791" width="14.42578125" style="1" customWidth="1"/>
    <col min="1792" max="1792" width="7.28515625" style="1" customWidth="1"/>
    <col min="1793" max="1793" width="5.5703125" style="1" customWidth="1"/>
    <col min="1794" max="1794" width="9" style="1" customWidth="1"/>
    <col min="1795" max="1796" width="9.85546875" style="1" customWidth="1"/>
    <col min="1797" max="1797" width="11.140625" style="1" customWidth="1"/>
    <col min="1798" max="1798" width="2.85546875" style="1" customWidth="1"/>
    <col min="1799" max="1799" width="3.5703125" style="1" customWidth="1"/>
    <col min="1800" max="2044" width="9.140625" style="1"/>
    <col min="2045" max="2045" width="8.7109375" style="1" customWidth="1"/>
    <col min="2046" max="2046" width="9.85546875" style="1" customWidth="1"/>
    <col min="2047" max="2047" width="14.42578125" style="1" customWidth="1"/>
    <col min="2048" max="2048" width="7.28515625" style="1" customWidth="1"/>
    <col min="2049" max="2049" width="5.5703125" style="1" customWidth="1"/>
    <col min="2050" max="2050" width="9" style="1" customWidth="1"/>
    <col min="2051" max="2052" width="9.85546875" style="1" customWidth="1"/>
    <col min="2053" max="2053" width="11.140625" style="1" customWidth="1"/>
    <col min="2054" max="2054" width="2.85546875" style="1" customWidth="1"/>
    <col min="2055" max="2055" width="3.5703125" style="1" customWidth="1"/>
    <col min="2056" max="2300" width="9.140625" style="1"/>
    <col min="2301" max="2301" width="8.7109375" style="1" customWidth="1"/>
    <col min="2302" max="2302" width="9.85546875" style="1" customWidth="1"/>
    <col min="2303" max="2303" width="14.42578125" style="1" customWidth="1"/>
    <col min="2304" max="2304" width="7.28515625" style="1" customWidth="1"/>
    <col min="2305" max="2305" width="5.5703125" style="1" customWidth="1"/>
    <col min="2306" max="2306" width="9" style="1" customWidth="1"/>
    <col min="2307" max="2308" width="9.85546875" style="1" customWidth="1"/>
    <col min="2309" max="2309" width="11.140625" style="1" customWidth="1"/>
    <col min="2310" max="2310" width="2.85546875" style="1" customWidth="1"/>
    <col min="2311" max="2311" width="3.5703125" style="1" customWidth="1"/>
    <col min="2312" max="2556" width="9.140625" style="1"/>
    <col min="2557" max="2557" width="8.7109375" style="1" customWidth="1"/>
    <col min="2558" max="2558" width="9.85546875" style="1" customWidth="1"/>
    <col min="2559" max="2559" width="14.42578125" style="1" customWidth="1"/>
    <col min="2560" max="2560" width="7.28515625" style="1" customWidth="1"/>
    <col min="2561" max="2561" width="5.5703125" style="1" customWidth="1"/>
    <col min="2562" max="2562" width="9" style="1" customWidth="1"/>
    <col min="2563" max="2564" width="9.85546875" style="1" customWidth="1"/>
    <col min="2565" max="2565" width="11.140625" style="1" customWidth="1"/>
    <col min="2566" max="2566" width="2.85546875" style="1" customWidth="1"/>
    <col min="2567" max="2567" width="3.5703125" style="1" customWidth="1"/>
    <col min="2568" max="2812" width="9.140625" style="1"/>
    <col min="2813" max="2813" width="8.7109375" style="1" customWidth="1"/>
    <col min="2814" max="2814" width="9.85546875" style="1" customWidth="1"/>
    <col min="2815" max="2815" width="14.42578125" style="1" customWidth="1"/>
    <col min="2816" max="2816" width="7.28515625" style="1" customWidth="1"/>
    <col min="2817" max="2817" width="5.5703125" style="1" customWidth="1"/>
    <col min="2818" max="2818" width="9" style="1" customWidth="1"/>
    <col min="2819" max="2820" width="9.85546875" style="1" customWidth="1"/>
    <col min="2821" max="2821" width="11.140625" style="1" customWidth="1"/>
    <col min="2822" max="2822" width="2.85546875" style="1" customWidth="1"/>
    <col min="2823" max="2823" width="3.5703125" style="1" customWidth="1"/>
    <col min="2824" max="3068" width="9.140625" style="1"/>
    <col min="3069" max="3069" width="8.7109375" style="1" customWidth="1"/>
    <col min="3070" max="3070" width="9.85546875" style="1" customWidth="1"/>
    <col min="3071" max="3071" width="14.42578125" style="1" customWidth="1"/>
    <col min="3072" max="3072" width="7.28515625" style="1" customWidth="1"/>
    <col min="3073" max="3073" width="5.5703125" style="1" customWidth="1"/>
    <col min="3074" max="3074" width="9" style="1" customWidth="1"/>
    <col min="3075" max="3076" width="9.85546875" style="1" customWidth="1"/>
    <col min="3077" max="3077" width="11.140625" style="1" customWidth="1"/>
    <col min="3078" max="3078" width="2.85546875" style="1" customWidth="1"/>
    <col min="3079" max="3079" width="3.5703125" style="1" customWidth="1"/>
    <col min="3080" max="3324" width="9.140625" style="1"/>
    <col min="3325" max="3325" width="8.7109375" style="1" customWidth="1"/>
    <col min="3326" max="3326" width="9.85546875" style="1" customWidth="1"/>
    <col min="3327" max="3327" width="14.42578125" style="1" customWidth="1"/>
    <col min="3328" max="3328" width="7.28515625" style="1" customWidth="1"/>
    <col min="3329" max="3329" width="5.5703125" style="1" customWidth="1"/>
    <col min="3330" max="3330" width="9" style="1" customWidth="1"/>
    <col min="3331" max="3332" width="9.85546875" style="1" customWidth="1"/>
    <col min="3333" max="3333" width="11.140625" style="1" customWidth="1"/>
    <col min="3334" max="3334" width="2.85546875" style="1" customWidth="1"/>
    <col min="3335" max="3335" width="3.5703125" style="1" customWidth="1"/>
    <col min="3336" max="3580" width="9.140625" style="1"/>
    <col min="3581" max="3581" width="8.7109375" style="1" customWidth="1"/>
    <col min="3582" max="3582" width="9.85546875" style="1" customWidth="1"/>
    <col min="3583" max="3583" width="14.42578125" style="1" customWidth="1"/>
    <col min="3584" max="3584" width="7.28515625" style="1" customWidth="1"/>
    <col min="3585" max="3585" width="5.5703125" style="1" customWidth="1"/>
    <col min="3586" max="3586" width="9" style="1" customWidth="1"/>
    <col min="3587" max="3588" width="9.85546875" style="1" customWidth="1"/>
    <col min="3589" max="3589" width="11.140625" style="1" customWidth="1"/>
    <col min="3590" max="3590" width="2.85546875" style="1" customWidth="1"/>
    <col min="3591" max="3591" width="3.5703125" style="1" customWidth="1"/>
    <col min="3592" max="3836" width="9.140625" style="1"/>
    <col min="3837" max="3837" width="8.7109375" style="1" customWidth="1"/>
    <col min="3838" max="3838" width="9.85546875" style="1" customWidth="1"/>
    <col min="3839" max="3839" width="14.42578125" style="1" customWidth="1"/>
    <col min="3840" max="3840" width="7.28515625" style="1" customWidth="1"/>
    <col min="3841" max="3841" width="5.5703125" style="1" customWidth="1"/>
    <col min="3842" max="3842" width="9" style="1" customWidth="1"/>
    <col min="3843" max="3844" width="9.85546875" style="1" customWidth="1"/>
    <col min="3845" max="3845" width="11.140625" style="1" customWidth="1"/>
    <col min="3846" max="3846" width="2.85546875" style="1" customWidth="1"/>
    <col min="3847" max="3847" width="3.5703125" style="1" customWidth="1"/>
    <col min="3848" max="4092" width="9.140625" style="1"/>
    <col min="4093" max="4093" width="8.7109375" style="1" customWidth="1"/>
    <col min="4094" max="4094" width="9.85546875" style="1" customWidth="1"/>
    <col min="4095" max="4095" width="14.42578125" style="1" customWidth="1"/>
    <col min="4096" max="4096" width="7.28515625" style="1" customWidth="1"/>
    <col min="4097" max="4097" width="5.5703125" style="1" customWidth="1"/>
    <col min="4098" max="4098" width="9" style="1" customWidth="1"/>
    <col min="4099" max="4100" width="9.85546875" style="1" customWidth="1"/>
    <col min="4101" max="4101" width="11.140625" style="1" customWidth="1"/>
    <col min="4102" max="4102" width="2.85546875" style="1" customWidth="1"/>
    <col min="4103" max="4103" width="3.5703125" style="1" customWidth="1"/>
    <col min="4104" max="4348" width="9.140625" style="1"/>
    <col min="4349" max="4349" width="8.7109375" style="1" customWidth="1"/>
    <col min="4350" max="4350" width="9.85546875" style="1" customWidth="1"/>
    <col min="4351" max="4351" width="14.42578125" style="1" customWidth="1"/>
    <col min="4352" max="4352" width="7.28515625" style="1" customWidth="1"/>
    <col min="4353" max="4353" width="5.5703125" style="1" customWidth="1"/>
    <col min="4354" max="4354" width="9" style="1" customWidth="1"/>
    <col min="4355" max="4356" width="9.85546875" style="1" customWidth="1"/>
    <col min="4357" max="4357" width="11.140625" style="1" customWidth="1"/>
    <col min="4358" max="4358" width="2.85546875" style="1" customWidth="1"/>
    <col min="4359" max="4359" width="3.5703125" style="1" customWidth="1"/>
    <col min="4360" max="4604" width="9.140625" style="1"/>
    <col min="4605" max="4605" width="8.7109375" style="1" customWidth="1"/>
    <col min="4606" max="4606" width="9.85546875" style="1" customWidth="1"/>
    <col min="4607" max="4607" width="14.42578125" style="1" customWidth="1"/>
    <col min="4608" max="4608" width="7.28515625" style="1" customWidth="1"/>
    <col min="4609" max="4609" width="5.5703125" style="1" customWidth="1"/>
    <col min="4610" max="4610" width="9" style="1" customWidth="1"/>
    <col min="4611" max="4612" width="9.85546875" style="1" customWidth="1"/>
    <col min="4613" max="4613" width="11.140625" style="1" customWidth="1"/>
    <col min="4614" max="4614" width="2.85546875" style="1" customWidth="1"/>
    <col min="4615" max="4615" width="3.5703125" style="1" customWidth="1"/>
    <col min="4616" max="4860" width="9.140625" style="1"/>
    <col min="4861" max="4861" width="8.7109375" style="1" customWidth="1"/>
    <col min="4862" max="4862" width="9.85546875" style="1" customWidth="1"/>
    <col min="4863" max="4863" width="14.42578125" style="1" customWidth="1"/>
    <col min="4864" max="4864" width="7.28515625" style="1" customWidth="1"/>
    <col min="4865" max="4865" width="5.5703125" style="1" customWidth="1"/>
    <col min="4866" max="4866" width="9" style="1" customWidth="1"/>
    <col min="4867" max="4868" width="9.85546875" style="1" customWidth="1"/>
    <col min="4869" max="4869" width="11.140625" style="1" customWidth="1"/>
    <col min="4870" max="4870" width="2.85546875" style="1" customWidth="1"/>
    <col min="4871" max="4871" width="3.5703125" style="1" customWidth="1"/>
    <col min="4872" max="5116" width="9.140625" style="1"/>
    <col min="5117" max="5117" width="8.7109375" style="1" customWidth="1"/>
    <col min="5118" max="5118" width="9.85546875" style="1" customWidth="1"/>
    <col min="5119" max="5119" width="14.42578125" style="1" customWidth="1"/>
    <col min="5120" max="5120" width="7.28515625" style="1" customWidth="1"/>
    <col min="5121" max="5121" width="5.5703125" style="1" customWidth="1"/>
    <col min="5122" max="5122" width="9" style="1" customWidth="1"/>
    <col min="5123" max="5124" width="9.85546875" style="1" customWidth="1"/>
    <col min="5125" max="5125" width="11.140625" style="1" customWidth="1"/>
    <col min="5126" max="5126" width="2.85546875" style="1" customWidth="1"/>
    <col min="5127" max="5127" width="3.5703125" style="1" customWidth="1"/>
    <col min="5128" max="5372" width="9.140625" style="1"/>
    <col min="5373" max="5373" width="8.7109375" style="1" customWidth="1"/>
    <col min="5374" max="5374" width="9.85546875" style="1" customWidth="1"/>
    <col min="5375" max="5375" width="14.42578125" style="1" customWidth="1"/>
    <col min="5376" max="5376" width="7.28515625" style="1" customWidth="1"/>
    <col min="5377" max="5377" width="5.5703125" style="1" customWidth="1"/>
    <col min="5378" max="5378" width="9" style="1" customWidth="1"/>
    <col min="5379" max="5380" width="9.85546875" style="1" customWidth="1"/>
    <col min="5381" max="5381" width="11.140625" style="1" customWidth="1"/>
    <col min="5382" max="5382" width="2.85546875" style="1" customWidth="1"/>
    <col min="5383" max="5383" width="3.5703125" style="1" customWidth="1"/>
    <col min="5384" max="5628" width="9.140625" style="1"/>
    <col min="5629" max="5629" width="8.7109375" style="1" customWidth="1"/>
    <col min="5630" max="5630" width="9.85546875" style="1" customWidth="1"/>
    <col min="5631" max="5631" width="14.42578125" style="1" customWidth="1"/>
    <col min="5632" max="5632" width="7.28515625" style="1" customWidth="1"/>
    <col min="5633" max="5633" width="5.5703125" style="1" customWidth="1"/>
    <col min="5634" max="5634" width="9" style="1" customWidth="1"/>
    <col min="5635" max="5636" width="9.85546875" style="1" customWidth="1"/>
    <col min="5637" max="5637" width="11.140625" style="1" customWidth="1"/>
    <col min="5638" max="5638" width="2.85546875" style="1" customWidth="1"/>
    <col min="5639" max="5639" width="3.5703125" style="1" customWidth="1"/>
    <col min="5640" max="5884" width="9.140625" style="1"/>
    <col min="5885" max="5885" width="8.7109375" style="1" customWidth="1"/>
    <col min="5886" max="5886" width="9.85546875" style="1" customWidth="1"/>
    <col min="5887" max="5887" width="14.42578125" style="1" customWidth="1"/>
    <col min="5888" max="5888" width="7.28515625" style="1" customWidth="1"/>
    <col min="5889" max="5889" width="5.5703125" style="1" customWidth="1"/>
    <col min="5890" max="5890" width="9" style="1" customWidth="1"/>
    <col min="5891" max="5892" width="9.85546875" style="1" customWidth="1"/>
    <col min="5893" max="5893" width="11.140625" style="1" customWidth="1"/>
    <col min="5894" max="5894" width="2.85546875" style="1" customWidth="1"/>
    <col min="5895" max="5895" width="3.5703125" style="1" customWidth="1"/>
    <col min="5896" max="6140" width="9.140625" style="1"/>
    <col min="6141" max="6141" width="8.7109375" style="1" customWidth="1"/>
    <col min="6142" max="6142" width="9.85546875" style="1" customWidth="1"/>
    <col min="6143" max="6143" width="14.42578125" style="1" customWidth="1"/>
    <col min="6144" max="6144" width="7.28515625" style="1" customWidth="1"/>
    <col min="6145" max="6145" width="5.5703125" style="1" customWidth="1"/>
    <col min="6146" max="6146" width="9" style="1" customWidth="1"/>
    <col min="6147" max="6148" width="9.85546875" style="1" customWidth="1"/>
    <col min="6149" max="6149" width="11.140625" style="1" customWidth="1"/>
    <col min="6150" max="6150" width="2.85546875" style="1" customWidth="1"/>
    <col min="6151" max="6151" width="3.5703125" style="1" customWidth="1"/>
    <col min="6152" max="6396" width="9.140625" style="1"/>
    <col min="6397" max="6397" width="8.7109375" style="1" customWidth="1"/>
    <col min="6398" max="6398" width="9.85546875" style="1" customWidth="1"/>
    <col min="6399" max="6399" width="14.42578125" style="1" customWidth="1"/>
    <col min="6400" max="6400" width="7.28515625" style="1" customWidth="1"/>
    <col min="6401" max="6401" width="5.5703125" style="1" customWidth="1"/>
    <col min="6402" max="6402" width="9" style="1" customWidth="1"/>
    <col min="6403" max="6404" width="9.85546875" style="1" customWidth="1"/>
    <col min="6405" max="6405" width="11.140625" style="1" customWidth="1"/>
    <col min="6406" max="6406" width="2.85546875" style="1" customWidth="1"/>
    <col min="6407" max="6407" width="3.5703125" style="1" customWidth="1"/>
    <col min="6408" max="6652" width="9.140625" style="1"/>
    <col min="6653" max="6653" width="8.7109375" style="1" customWidth="1"/>
    <col min="6654" max="6654" width="9.85546875" style="1" customWidth="1"/>
    <col min="6655" max="6655" width="14.42578125" style="1" customWidth="1"/>
    <col min="6656" max="6656" width="7.28515625" style="1" customWidth="1"/>
    <col min="6657" max="6657" width="5.5703125" style="1" customWidth="1"/>
    <col min="6658" max="6658" width="9" style="1" customWidth="1"/>
    <col min="6659" max="6660" width="9.85546875" style="1" customWidth="1"/>
    <col min="6661" max="6661" width="11.140625" style="1" customWidth="1"/>
    <col min="6662" max="6662" width="2.85546875" style="1" customWidth="1"/>
    <col min="6663" max="6663" width="3.5703125" style="1" customWidth="1"/>
    <col min="6664" max="6908" width="9.140625" style="1"/>
    <col min="6909" max="6909" width="8.7109375" style="1" customWidth="1"/>
    <col min="6910" max="6910" width="9.85546875" style="1" customWidth="1"/>
    <col min="6911" max="6911" width="14.42578125" style="1" customWidth="1"/>
    <col min="6912" max="6912" width="7.28515625" style="1" customWidth="1"/>
    <col min="6913" max="6913" width="5.5703125" style="1" customWidth="1"/>
    <col min="6914" max="6914" width="9" style="1" customWidth="1"/>
    <col min="6915" max="6916" width="9.85546875" style="1" customWidth="1"/>
    <col min="6917" max="6917" width="11.140625" style="1" customWidth="1"/>
    <col min="6918" max="6918" width="2.85546875" style="1" customWidth="1"/>
    <col min="6919" max="6919" width="3.5703125" style="1" customWidth="1"/>
    <col min="6920" max="7164" width="9.140625" style="1"/>
    <col min="7165" max="7165" width="8.7109375" style="1" customWidth="1"/>
    <col min="7166" max="7166" width="9.85546875" style="1" customWidth="1"/>
    <col min="7167" max="7167" width="14.42578125" style="1" customWidth="1"/>
    <col min="7168" max="7168" width="7.28515625" style="1" customWidth="1"/>
    <col min="7169" max="7169" width="5.5703125" style="1" customWidth="1"/>
    <col min="7170" max="7170" width="9" style="1" customWidth="1"/>
    <col min="7171" max="7172" width="9.85546875" style="1" customWidth="1"/>
    <col min="7173" max="7173" width="11.140625" style="1" customWidth="1"/>
    <col min="7174" max="7174" width="2.85546875" style="1" customWidth="1"/>
    <col min="7175" max="7175" width="3.5703125" style="1" customWidth="1"/>
    <col min="7176" max="7420" width="9.140625" style="1"/>
    <col min="7421" max="7421" width="8.7109375" style="1" customWidth="1"/>
    <col min="7422" max="7422" width="9.85546875" style="1" customWidth="1"/>
    <col min="7423" max="7423" width="14.42578125" style="1" customWidth="1"/>
    <col min="7424" max="7424" width="7.28515625" style="1" customWidth="1"/>
    <col min="7425" max="7425" width="5.5703125" style="1" customWidth="1"/>
    <col min="7426" max="7426" width="9" style="1" customWidth="1"/>
    <col min="7427" max="7428" width="9.85546875" style="1" customWidth="1"/>
    <col min="7429" max="7429" width="11.140625" style="1" customWidth="1"/>
    <col min="7430" max="7430" width="2.85546875" style="1" customWidth="1"/>
    <col min="7431" max="7431" width="3.5703125" style="1" customWidth="1"/>
    <col min="7432" max="7676" width="9.140625" style="1"/>
    <col min="7677" max="7677" width="8.7109375" style="1" customWidth="1"/>
    <col min="7678" max="7678" width="9.85546875" style="1" customWidth="1"/>
    <col min="7679" max="7679" width="14.42578125" style="1" customWidth="1"/>
    <col min="7680" max="7680" width="7.28515625" style="1" customWidth="1"/>
    <col min="7681" max="7681" width="5.5703125" style="1" customWidth="1"/>
    <col min="7682" max="7682" width="9" style="1" customWidth="1"/>
    <col min="7683" max="7684" width="9.85546875" style="1" customWidth="1"/>
    <col min="7685" max="7685" width="11.140625" style="1" customWidth="1"/>
    <col min="7686" max="7686" width="2.85546875" style="1" customWidth="1"/>
    <col min="7687" max="7687" width="3.5703125" style="1" customWidth="1"/>
    <col min="7688" max="7932" width="9.140625" style="1"/>
    <col min="7933" max="7933" width="8.7109375" style="1" customWidth="1"/>
    <col min="7934" max="7934" width="9.85546875" style="1" customWidth="1"/>
    <col min="7935" max="7935" width="14.42578125" style="1" customWidth="1"/>
    <col min="7936" max="7936" width="7.28515625" style="1" customWidth="1"/>
    <col min="7937" max="7937" width="5.5703125" style="1" customWidth="1"/>
    <col min="7938" max="7938" width="9" style="1" customWidth="1"/>
    <col min="7939" max="7940" width="9.85546875" style="1" customWidth="1"/>
    <col min="7941" max="7941" width="11.140625" style="1" customWidth="1"/>
    <col min="7942" max="7942" width="2.85546875" style="1" customWidth="1"/>
    <col min="7943" max="7943" width="3.5703125" style="1" customWidth="1"/>
    <col min="7944" max="8188" width="9.140625" style="1"/>
    <col min="8189" max="8189" width="8.7109375" style="1" customWidth="1"/>
    <col min="8190" max="8190" width="9.85546875" style="1" customWidth="1"/>
    <col min="8191" max="8191" width="14.42578125" style="1" customWidth="1"/>
    <col min="8192" max="8192" width="7.28515625" style="1" customWidth="1"/>
    <col min="8193" max="8193" width="5.5703125" style="1" customWidth="1"/>
    <col min="8194" max="8194" width="9" style="1" customWidth="1"/>
    <col min="8195" max="8196" width="9.85546875" style="1" customWidth="1"/>
    <col min="8197" max="8197" width="11.140625" style="1" customWidth="1"/>
    <col min="8198" max="8198" width="2.85546875" style="1" customWidth="1"/>
    <col min="8199" max="8199" width="3.5703125" style="1" customWidth="1"/>
    <col min="8200" max="8444" width="9.140625" style="1"/>
    <col min="8445" max="8445" width="8.7109375" style="1" customWidth="1"/>
    <col min="8446" max="8446" width="9.85546875" style="1" customWidth="1"/>
    <col min="8447" max="8447" width="14.42578125" style="1" customWidth="1"/>
    <col min="8448" max="8448" width="7.28515625" style="1" customWidth="1"/>
    <col min="8449" max="8449" width="5.5703125" style="1" customWidth="1"/>
    <col min="8450" max="8450" width="9" style="1" customWidth="1"/>
    <col min="8451" max="8452" width="9.85546875" style="1" customWidth="1"/>
    <col min="8453" max="8453" width="11.140625" style="1" customWidth="1"/>
    <col min="8454" max="8454" width="2.85546875" style="1" customWidth="1"/>
    <col min="8455" max="8455" width="3.5703125" style="1" customWidth="1"/>
    <col min="8456" max="8700" width="9.140625" style="1"/>
    <col min="8701" max="8701" width="8.7109375" style="1" customWidth="1"/>
    <col min="8702" max="8702" width="9.85546875" style="1" customWidth="1"/>
    <col min="8703" max="8703" width="14.42578125" style="1" customWidth="1"/>
    <col min="8704" max="8704" width="7.28515625" style="1" customWidth="1"/>
    <col min="8705" max="8705" width="5.5703125" style="1" customWidth="1"/>
    <col min="8706" max="8706" width="9" style="1" customWidth="1"/>
    <col min="8707" max="8708" width="9.85546875" style="1" customWidth="1"/>
    <col min="8709" max="8709" width="11.140625" style="1" customWidth="1"/>
    <col min="8710" max="8710" width="2.85546875" style="1" customWidth="1"/>
    <col min="8711" max="8711" width="3.5703125" style="1" customWidth="1"/>
    <col min="8712" max="8956" width="9.140625" style="1"/>
    <col min="8957" max="8957" width="8.7109375" style="1" customWidth="1"/>
    <col min="8958" max="8958" width="9.85546875" style="1" customWidth="1"/>
    <col min="8959" max="8959" width="14.42578125" style="1" customWidth="1"/>
    <col min="8960" max="8960" width="7.28515625" style="1" customWidth="1"/>
    <col min="8961" max="8961" width="5.5703125" style="1" customWidth="1"/>
    <col min="8962" max="8962" width="9" style="1" customWidth="1"/>
    <col min="8963" max="8964" width="9.85546875" style="1" customWidth="1"/>
    <col min="8965" max="8965" width="11.140625" style="1" customWidth="1"/>
    <col min="8966" max="8966" width="2.85546875" style="1" customWidth="1"/>
    <col min="8967" max="8967" width="3.5703125" style="1" customWidth="1"/>
    <col min="8968" max="9212" width="9.140625" style="1"/>
    <col min="9213" max="9213" width="8.7109375" style="1" customWidth="1"/>
    <col min="9214" max="9214" width="9.85546875" style="1" customWidth="1"/>
    <col min="9215" max="9215" width="14.42578125" style="1" customWidth="1"/>
    <col min="9216" max="9216" width="7.28515625" style="1" customWidth="1"/>
    <col min="9217" max="9217" width="5.5703125" style="1" customWidth="1"/>
    <col min="9218" max="9218" width="9" style="1" customWidth="1"/>
    <col min="9219" max="9220" width="9.85546875" style="1" customWidth="1"/>
    <col min="9221" max="9221" width="11.140625" style="1" customWidth="1"/>
    <col min="9222" max="9222" width="2.85546875" style="1" customWidth="1"/>
    <col min="9223" max="9223" width="3.5703125" style="1" customWidth="1"/>
    <col min="9224" max="9468" width="9.140625" style="1"/>
    <col min="9469" max="9469" width="8.7109375" style="1" customWidth="1"/>
    <col min="9470" max="9470" width="9.85546875" style="1" customWidth="1"/>
    <col min="9471" max="9471" width="14.42578125" style="1" customWidth="1"/>
    <col min="9472" max="9472" width="7.28515625" style="1" customWidth="1"/>
    <col min="9473" max="9473" width="5.5703125" style="1" customWidth="1"/>
    <col min="9474" max="9474" width="9" style="1" customWidth="1"/>
    <col min="9475" max="9476" width="9.85546875" style="1" customWidth="1"/>
    <col min="9477" max="9477" width="11.140625" style="1" customWidth="1"/>
    <col min="9478" max="9478" width="2.85546875" style="1" customWidth="1"/>
    <col min="9479" max="9479" width="3.5703125" style="1" customWidth="1"/>
    <col min="9480" max="9724" width="9.140625" style="1"/>
    <col min="9725" max="9725" width="8.7109375" style="1" customWidth="1"/>
    <col min="9726" max="9726" width="9.85546875" style="1" customWidth="1"/>
    <col min="9727" max="9727" width="14.42578125" style="1" customWidth="1"/>
    <col min="9728" max="9728" width="7.28515625" style="1" customWidth="1"/>
    <col min="9729" max="9729" width="5.5703125" style="1" customWidth="1"/>
    <col min="9730" max="9730" width="9" style="1" customWidth="1"/>
    <col min="9731" max="9732" width="9.85546875" style="1" customWidth="1"/>
    <col min="9733" max="9733" width="11.140625" style="1" customWidth="1"/>
    <col min="9734" max="9734" width="2.85546875" style="1" customWidth="1"/>
    <col min="9735" max="9735" width="3.5703125" style="1" customWidth="1"/>
    <col min="9736" max="9980" width="9.140625" style="1"/>
    <col min="9981" max="9981" width="8.7109375" style="1" customWidth="1"/>
    <col min="9982" max="9982" width="9.85546875" style="1" customWidth="1"/>
    <col min="9983" max="9983" width="14.42578125" style="1" customWidth="1"/>
    <col min="9984" max="9984" width="7.28515625" style="1" customWidth="1"/>
    <col min="9985" max="9985" width="5.5703125" style="1" customWidth="1"/>
    <col min="9986" max="9986" width="9" style="1" customWidth="1"/>
    <col min="9987" max="9988" width="9.85546875" style="1" customWidth="1"/>
    <col min="9989" max="9989" width="11.140625" style="1" customWidth="1"/>
    <col min="9990" max="9990" width="2.85546875" style="1" customWidth="1"/>
    <col min="9991" max="9991" width="3.5703125" style="1" customWidth="1"/>
    <col min="9992" max="10236" width="9.140625" style="1"/>
    <col min="10237" max="10237" width="8.7109375" style="1" customWidth="1"/>
    <col min="10238" max="10238" width="9.85546875" style="1" customWidth="1"/>
    <col min="10239" max="10239" width="14.42578125" style="1" customWidth="1"/>
    <col min="10240" max="10240" width="7.28515625" style="1" customWidth="1"/>
    <col min="10241" max="10241" width="5.5703125" style="1" customWidth="1"/>
    <col min="10242" max="10242" width="9" style="1" customWidth="1"/>
    <col min="10243" max="10244" width="9.85546875" style="1" customWidth="1"/>
    <col min="10245" max="10245" width="11.140625" style="1" customWidth="1"/>
    <col min="10246" max="10246" width="2.85546875" style="1" customWidth="1"/>
    <col min="10247" max="10247" width="3.5703125" style="1" customWidth="1"/>
    <col min="10248" max="10492" width="9.140625" style="1"/>
    <col min="10493" max="10493" width="8.7109375" style="1" customWidth="1"/>
    <col min="10494" max="10494" width="9.85546875" style="1" customWidth="1"/>
    <col min="10495" max="10495" width="14.42578125" style="1" customWidth="1"/>
    <col min="10496" max="10496" width="7.28515625" style="1" customWidth="1"/>
    <col min="10497" max="10497" width="5.5703125" style="1" customWidth="1"/>
    <col min="10498" max="10498" width="9" style="1" customWidth="1"/>
    <col min="10499" max="10500" width="9.85546875" style="1" customWidth="1"/>
    <col min="10501" max="10501" width="11.140625" style="1" customWidth="1"/>
    <col min="10502" max="10502" width="2.85546875" style="1" customWidth="1"/>
    <col min="10503" max="10503" width="3.5703125" style="1" customWidth="1"/>
    <col min="10504" max="10748" width="9.140625" style="1"/>
    <col min="10749" max="10749" width="8.7109375" style="1" customWidth="1"/>
    <col min="10750" max="10750" width="9.85546875" style="1" customWidth="1"/>
    <col min="10751" max="10751" width="14.42578125" style="1" customWidth="1"/>
    <col min="10752" max="10752" width="7.28515625" style="1" customWidth="1"/>
    <col min="10753" max="10753" width="5.5703125" style="1" customWidth="1"/>
    <col min="10754" max="10754" width="9" style="1" customWidth="1"/>
    <col min="10755" max="10756" width="9.85546875" style="1" customWidth="1"/>
    <col min="10757" max="10757" width="11.140625" style="1" customWidth="1"/>
    <col min="10758" max="10758" width="2.85546875" style="1" customWidth="1"/>
    <col min="10759" max="10759" width="3.5703125" style="1" customWidth="1"/>
    <col min="10760" max="11004" width="9.140625" style="1"/>
    <col min="11005" max="11005" width="8.7109375" style="1" customWidth="1"/>
    <col min="11006" max="11006" width="9.85546875" style="1" customWidth="1"/>
    <col min="11007" max="11007" width="14.42578125" style="1" customWidth="1"/>
    <col min="11008" max="11008" width="7.28515625" style="1" customWidth="1"/>
    <col min="11009" max="11009" width="5.5703125" style="1" customWidth="1"/>
    <col min="11010" max="11010" width="9" style="1" customWidth="1"/>
    <col min="11011" max="11012" width="9.85546875" style="1" customWidth="1"/>
    <col min="11013" max="11013" width="11.140625" style="1" customWidth="1"/>
    <col min="11014" max="11014" width="2.85546875" style="1" customWidth="1"/>
    <col min="11015" max="11015" width="3.5703125" style="1" customWidth="1"/>
    <col min="11016" max="11260" width="9.140625" style="1"/>
    <col min="11261" max="11261" width="8.7109375" style="1" customWidth="1"/>
    <col min="11262" max="11262" width="9.85546875" style="1" customWidth="1"/>
    <col min="11263" max="11263" width="14.42578125" style="1" customWidth="1"/>
    <col min="11264" max="11264" width="7.28515625" style="1" customWidth="1"/>
    <col min="11265" max="11265" width="5.5703125" style="1" customWidth="1"/>
    <col min="11266" max="11266" width="9" style="1" customWidth="1"/>
    <col min="11267" max="11268" width="9.85546875" style="1" customWidth="1"/>
    <col min="11269" max="11269" width="11.140625" style="1" customWidth="1"/>
    <col min="11270" max="11270" width="2.85546875" style="1" customWidth="1"/>
    <col min="11271" max="11271" width="3.5703125" style="1" customWidth="1"/>
    <col min="11272" max="11516" width="9.140625" style="1"/>
    <col min="11517" max="11517" width="8.7109375" style="1" customWidth="1"/>
    <col min="11518" max="11518" width="9.85546875" style="1" customWidth="1"/>
    <col min="11519" max="11519" width="14.42578125" style="1" customWidth="1"/>
    <col min="11520" max="11520" width="7.28515625" style="1" customWidth="1"/>
    <col min="11521" max="11521" width="5.5703125" style="1" customWidth="1"/>
    <col min="11522" max="11522" width="9" style="1" customWidth="1"/>
    <col min="11523" max="11524" width="9.85546875" style="1" customWidth="1"/>
    <col min="11525" max="11525" width="11.140625" style="1" customWidth="1"/>
    <col min="11526" max="11526" width="2.85546875" style="1" customWidth="1"/>
    <col min="11527" max="11527" width="3.5703125" style="1" customWidth="1"/>
    <col min="11528" max="11772" width="9.140625" style="1"/>
    <col min="11773" max="11773" width="8.7109375" style="1" customWidth="1"/>
    <col min="11774" max="11774" width="9.85546875" style="1" customWidth="1"/>
    <col min="11775" max="11775" width="14.42578125" style="1" customWidth="1"/>
    <col min="11776" max="11776" width="7.28515625" style="1" customWidth="1"/>
    <col min="11777" max="11777" width="5.5703125" style="1" customWidth="1"/>
    <col min="11778" max="11778" width="9" style="1" customWidth="1"/>
    <col min="11779" max="11780" width="9.85546875" style="1" customWidth="1"/>
    <col min="11781" max="11781" width="11.140625" style="1" customWidth="1"/>
    <col min="11782" max="11782" width="2.85546875" style="1" customWidth="1"/>
    <col min="11783" max="11783" width="3.5703125" style="1" customWidth="1"/>
    <col min="11784" max="12028" width="9.140625" style="1"/>
    <col min="12029" max="12029" width="8.7109375" style="1" customWidth="1"/>
    <col min="12030" max="12030" width="9.85546875" style="1" customWidth="1"/>
    <col min="12031" max="12031" width="14.42578125" style="1" customWidth="1"/>
    <col min="12032" max="12032" width="7.28515625" style="1" customWidth="1"/>
    <col min="12033" max="12033" width="5.5703125" style="1" customWidth="1"/>
    <col min="12034" max="12034" width="9" style="1" customWidth="1"/>
    <col min="12035" max="12036" width="9.85546875" style="1" customWidth="1"/>
    <col min="12037" max="12037" width="11.140625" style="1" customWidth="1"/>
    <col min="12038" max="12038" width="2.85546875" style="1" customWidth="1"/>
    <col min="12039" max="12039" width="3.5703125" style="1" customWidth="1"/>
    <col min="12040" max="12284" width="9.140625" style="1"/>
    <col min="12285" max="12285" width="8.7109375" style="1" customWidth="1"/>
    <col min="12286" max="12286" width="9.85546875" style="1" customWidth="1"/>
    <col min="12287" max="12287" width="14.42578125" style="1" customWidth="1"/>
    <col min="12288" max="12288" width="7.28515625" style="1" customWidth="1"/>
    <col min="12289" max="12289" width="5.5703125" style="1" customWidth="1"/>
    <col min="12290" max="12290" width="9" style="1" customWidth="1"/>
    <col min="12291" max="12292" width="9.85546875" style="1" customWidth="1"/>
    <col min="12293" max="12293" width="11.140625" style="1" customWidth="1"/>
    <col min="12294" max="12294" width="2.85546875" style="1" customWidth="1"/>
    <col min="12295" max="12295" width="3.5703125" style="1" customWidth="1"/>
    <col min="12296" max="12540" width="9.140625" style="1"/>
    <col min="12541" max="12541" width="8.7109375" style="1" customWidth="1"/>
    <col min="12542" max="12542" width="9.85546875" style="1" customWidth="1"/>
    <col min="12543" max="12543" width="14.42578125" style="1" customWidth="1"/>
    <col min="12544" max="12544" width="7.28515625" style="1" customWidth="1"/>
    <col min="12545" max="12545" width="5.5703125" style="1" customWidth="1"/>
    <col min="12546" max="12546" width="9" style="1" customWidth="1"/>
    <col min="12547" max="12548" width="9.85546875" style="1" customWidth="1"/>
    <col min="12549" max="12549" width="11.140625" style="1" customWidth="1"/>
    <col min="12550" max="12550" width="2.85546875" style="1" customWidth="1"/>
    <col min="12551" max="12551" width="3.5703125" style="1" customWidth="1"/>
    <col min="12552" max="12796" width="9.140625" style="1"/>
    <col min="12797" max="12797" width="8.7109375" style="1" customWidth="1"/>
    <col min="12798" max="12798" width="9.85546875" style="1" customWidth="1"/>
    <col min="12799" max="12799" width="14.42578125" style="1" customWidth="1"/>
    <col min="12800" max="12800" width="7.28515625" style="1" customWidth="1"/>
    <col min="12801" max="12801" width="5.5703125" style="1" customWidth="1"/>
    <col min="12802" max="12802" width="9" style="1" customWidth="1"/>
    <col min="12803" max="12804" width="9.85546875" style="1" customWidth="1"/>
    <col min="12805" max="12805" width="11.140625" style="1" customWidth="1"/>
    <col min="12806" max="12806" width="2.85546875" style="1" customWidth="1"/>
    <col min="12807" max="12807" width="3.5703125" style="1" customWidth="1"/>
    <col min="12808" max="13052" width="9.140625" style="1"/>
    <col min="13053" max="13053" width="8.7109375" style="1" customWidth="1"/>
    <col min="13054" max="13054" width="9.85546875" style="1" customWidth="1"/>
    <col min="13055" max="13055" width="14.42578125" style="1" customWidth="1"/>
    <col min="13056" max="13056" width="7.28515625" style="1" customWidth="1"/>
    <col min="13057" max="13057" width="5.5703125" style="1" customWidth="1"/>
    <col min="13058" max="13058" width="9" style="1" customWidth="1"/>
    <col min="13059" max="13060" width="9.85546875" style="1" customWidth="1"/>
    <col min="13061" max="13061" width="11.140625" style="1" customWidth="1"/>
    <col min="13062" max="13062" width="2.85546875" style="1" customWidth="1"/>
    <col min="13063" max="13063" width="3.5703125" style="1" customWidth="1"/>
    <col min="13064" max="13308" width="9.140625" style="1"/>
    <col min="13309" max="13309" width="8.7109375" style="1" customWidth="1"/>
    <col min="13310" max="13310" width="9.85546875" style="1" customWidth="1"/>
    <col min="13311" max="13311" width="14.42578125" style="1" customWidth="1"/>
    <col min="13312" max="13312" width="7.28515625" style="1" customWidth="1"/>
    <col min="13313" max="13313" width="5.5703125" style="1" customWidth="1"/>
    <col min="13314" max="13314" width="9" style="1" customWidth="1"/>
    <col min="13315" max="13316" width="9.85546875" style="1" customWidth="1"/>
    <col min="13317" max="13317" width="11.140625" style="1" customWidth="1"/>
    <col min="13318" max="13318" width="2.85546875" style="1" customWidth="1"/>
    <col min="13319" max="13319" width="3.5703125" style="1" customWidth="1"/>
    <col min="13320" max="13564" width="9.140625" style="1"/>
    <col min="13565" max="13565" width="8.7109375" style="1" customWidth="1"/>
    <col min="13566" max="13566" width="9.85546875" style="1" customWidth="1"/>
    <col min="13567" max="13567" width="14.42578125" style="1" customWidth="1"/>
    <col min="13568" max="13568" width="7.28515625" style="1" customWidth="1"/>
    <col min="13569" max="13569" width="5.5703125" style="1" customWidth="1"/>
    <col min="13570" max="13570" width="9" style="1" customWidth="1"/>
    <col min="13571" max="13572" width="9.85546875" style="1" customWidth="1"/>
    <col min="13573" max="13573" width="11.140625" style="1" customWidth="1"/>
    <col min="13574" max="13574" width="2.85546875" style="1" customWidth="1"/>
    <col min="13575" max="13575" width="3.5703125" style="1" customWidth="1"/>
    <col min="13576" max="13820" width="9.140625" style="1"/>
    <col min="13821" max="13821" width="8.7109375" style="1" customWidth="1"/>
    <col min="13822" max="13822" width="9.85546875" style="1" customWidth="1"/>
    <col min="13823" max="13823" width="14.42578125" style="1" customWidth="1"/>
    <col min="13824" max="13824" width="7.28515625" style="1" customWidth="1"/>
    <col min="13825" max="13825" width="5.5703125" style="1" customWidth="1"/>
    <col min="13826" max="13826" width="9" style="1" customWidth="1"/>
    <col min="13827" max="13828" width="9.85546875" style="1" customWidth="1"/>
    <col min="13829" max="13829" width="11.140625" style="1" customWidth="1"/>
    <col min="13830" max="13830" width="2.85546875" style="1" customWidth="1"/>
    <col min="13831" max="13831" width="3.5703125" style="1" customWidth="1"/>
    <col min="13832" max="14076" width="9.140625" style="1"/>
    <col min="14077" max="14077" width="8.7109375" style="1" customWidth="1"/>
    <col min="14078" max="14078" width="9.85546875" style="1" customWidth="1"/>
    <col min="14079" max="14079" width="14.42578125" style="1" customWidth="1"/>
    <col min="14080" max="14080" width="7.28515625" style="1" customWidth="1"/>
    <col min="14081" max="14081" width="5.5703125" style="1" customWidth="1"/>
    <col min="14082" max="14082" width="9" style="1" customWidth="1"/>
    <col min="14083" max="14084" width="9.85546875" style="1" customWidth="1"/>
    <col min="14085" max="14085" width="11.140625" style="1" customWidth="1"/>
    <col min="14086" max="14086" width="2.85546875" style="1" customWidth="1"/>
    <col min="14087" max="14087" width="3.5703125" style="1" customWidth="1"/>
    <col min="14088" max="14332" width="9.140625" style="1"/>
    <col min="14333" max="14333" width="8.7109375" style="1" customWidth="1"/>
    <col min="14334" max="14334" width="9.85546875" style="1" customWidth="1"/>
    <col min="14335" max="14335" width="14.42578125" style="1" customWidth="1"/>
    <col min="14336" max="14336" width="7.28515625" style="1" customWidth="1"/>
    <col min="14337" max="14337" width="5.5703125" style="1" customWidth="1"/>
    <col min="14338" max="14338" width="9" style="1" customWidth="1"/>
    <col min="14339" max="14340" width="9.85546875" style="1" customWidth="1"/>
    <col min="14341" max="14341" width="11.140625" style="1" customWidth="1"/>
    <col min="14342" max="14342" width="2.85546875" style="1" customWidth="1"/>
    <col min="14343" max="14343" width="3.5703125" style="1" customWidth="1"/>
    <col min="14344" max="14588" width="9.140625" style="1"/>
    <col min="14589" max="14589" width="8.7109375" style="1" customWidth="1"/>
    <col min="14590" max="14590" width="9.85546875" style="1" customWidth="1"/>
    <col min="14591" max="14591" width="14.42578125" style="1" customWidth="1"/>
    <col min="14592" max="14592" width="7.28515625" style="1" customWidth="1"/>
    <col min="14593" max="14593" width="5.5703125" style="1" customWidth="1"/>
    <col min="14594" max="14594" width="9" style="1" customWidth="1"/>
    <col min="14595" max="14596" width="9.85546875" style="1" customWidth="1"/>
    <col min="14597" max="14597" width="11.140625" style="1" customWidth="1"/>
    <col min="14598" max="14598" width="2.85546875" style="1" customWidth="1"/>
    <col min="14599" max="14599" width="3.5703125" style="1" customWidth="1"/>
    <col min="14600" max="14844" width="9.140625" style="1"/>
    <col min="14845" max="14845" width="8.7109375" style="1" customWidth="1"/>
    <col min="14846" max="14846" width="9.85546875" style="1" customWidth="1"/>
    <col min="14847" max="14847" width="14.42578125" style="1" customWidth="1"/>
    <col min="14848" max="14848" width="7.28515625" style="1" customWidth="1"/>
    <col min="14849" max="14849" width="5.5703125" style="1" customWidth="1"/>
    <col min="14850" max="14850" width="9" style="1" customWidth="1"/>
    <col min="14851" max="14852" width="9.85546875" style="1" customWidth="1"/>
    <col min="14853" max="14853" width="11.140625" style="1" customWidth="1"/>
    <col min="14854" max="14854" width="2.85546875" style="1" customWidth="1"/>
    <col min="14855" max="14855" width="3.5703125" style="1" customWidth="1"/>
    <col min="14856" max="15100" width="9.140625" style="1"/>
    <col min="15101" max="15101" width="8.7109375" style="1" customWidth="1"/>
    <col min="15102" max="15102" width="9.85546875" style="1" customWidth="1"/>
    <col min="15103" max="15103" width="14.42578125" style="1" customWidth="1"/>
    <col min="15104" max="15104" width="7.28515625" style="1" customWidth="1"/>
    <col min="15105" max="15105" width="5.5703125" style="1" customWidth="1"/>
    <col min="15106" max="15106" width="9" style="1" customWidth="1"/>
    <col min="15107" max="15108" width="9.85546875" style="1" customWidth="1"/>
    <col min="15109" max="15109" width="11.140625" style="1" customWidth="1"/>
    <col min="15110" max="15110" width="2.85546875" style="1" customWidth="1"/>
    <col min="15111" max="15111" width="3.5703125" style="1" customWidth="1"/>
    <col min="15112" max="15356" width="9.140625" style="1"/>
    <col min="15357" max="15357" width="8.7109375" style="1" customWidth="1"/>
    <col min="15358" max="15358" width="9.85546875" style="1" customWidth="1"/>
    <col min="15359" max="15359" width="14.42578125" style="1" customWidth="1"/>
    <col min="15360" max="15360" width="7.28515625" style="1" customWidth="1"/>
    <col min="15361" max="15361" width="5.5703125" style="1" customWidth="1"/>
    <col min="15362" max="15362" width="9" style="1" customWidth="1"/>
    <col min="15363" max="15364" width="9.85546875" style="1" customWidth="1"/>
    <col min="15365" max="15365" width="11.140625" style="1" customWidth="1"/>
    <col min="15366" max="15366" width="2.85546875" style="1" customWidth="1"/>
    <col min="15367" max="15367" width="3.5703125" style="1" customWidth="1"/>
    <col min="15368" max="15612" width="9.140625" style="1"/>
    <col min="15613" max="15613" width="8.7109375" style="1" customWidth="1"/>
    <col min="15614" max="15614" width="9.85546875" style="1" customWidth="1"/>
    <col min="15615" max="15615" width="14.42578125" style="1" customWidth="1"/>
    <col min="15616" max="15616" width="7.28515625" style="1" customWidth="1"/>
    <col min="15617" max="15617" width="5.5703125" style="1" customWidth="1"/>
    <col min="15618" max="15618" width="9" style="1" customWidth="1"/>
    <col min="15619" max="15620" width="9.85546875" style="1" customWidth="1"/>
    <col min="15621" max="15621" width="11.140625" style="1" customWidth="1"/>
    <col min="15622" max="15622" width="2.85546875" style="1" customWidth="1"/>
    <col min="15623" max="15623" width="3.5703125" style="1" customWidth="1"/>
    <col min="15624" max="15868" width="9.140625" style="1"/>
    <col min="15869" max="15869" width="8.7109375" style="1" customWidth="1"/>
    <col min="15870" max="15870" width="9.85546875" style="1" customWidth="1"/>
    <col min="15871" max="15871" width="14.42578125" style="1" customWidth="1"/>
    <col min="15872" max="15872" width="7.28515625" style="1" customWidth="1"/>
    <col min="15873" max="15873" width="5.5703125" style="1" customWidth="1"/>
    <col min="15874" max="15874" width="9" style="1" customWidth="1"/>
    <col min="15875" max="15876" width="9.85546875" style="1" customWidth="1"/>
    <col min="15877" max="15877" width="11.140625" style="1" customWidth="1"/>
    <col min="15878" max="15878" width="2.85546875" style="1" customWidth="1"/>
    <col min="15879" max="15879" width="3.5703125" style="1" customWidth="1"/>
    <col min="15880" max="16124" width="9.140625" style="1"/>
    <col min="16125" max="16125" width="8.7109375" style="1" customWidth="1"/>
    <col min="16126" max="16126" width="9.85546875" style="1" customWidth="1"/>
    <col min="16127" max="16127" width="14.42578125" style="1" customWidth="1"/>
    <col min="16128" max="16128" width="7.28515625" style="1" customWidth="1"/>
    <col min="16129" max="16129" width="5.5703125" style="1" customWidth="1"/>
    <col min="16130" max="16130" width="9" style="1" customWidth="1"/>
    <col min="16131" max="16132" width="9.85546875" style="1" customWidth="1"/>
    <col min="16133" max="16133" width="11.140625" style="1" customWidth="1"/>
    <col min="16134" max="16134" width="2.85546875" style="1" customWidth="1"/>
    <col min="16135" max="16135" width="3.5703125" style="1" customWidth="1"/>
    <col min="16136" max="16384" width="9.140625" style="1"/>
  </cols>
  <sheetData>
    <row r="1" spans="1:10" ht="43.9" customHeight="1" x14ac:dyDescent="0.25">
      <c r="A1" s="243" t="s">
        <v>287</v>
      </c>
      <c r="B1" s="244"/>
      <c r="C1" s="244"/>
      <c r="D1" s="244"/>
      <c r="E1" s="244"/>
      <c r="F1" s="244"/>
      <c r="G1" s="244"/>
      <c r="H1" s="244"/>
      <c r="I1" s="244"/>
      <c r="J1" s="245"/>
    </row>
    <row r="2" spans="1:10" x14ac:dyDescent="0.25">
      <c r="A2" s="246" t="s">
        <v>0</v>
      </c>
      <c r="B2" s="247"/>
      <c r="C2" s="247"/>
      <c r="D2" s="247"/>
      <c r="E2" s="247"/>
      <c r="F2" s="247"/>
      <c r="G2" s="247"/>
      <c r="H2" s="247"/>
      <c r="I2" s="247"/>
      <c r="J2" s="248"/>
    </row>
    <row r="3" spans="1:10" x14ac:dyDescent="0.25">
      <c r="A3" s="83" t="s">
        <v>1</v>
      </c>
      <c r="B3" s="84"/>
      <c r="C3" s="84"/>
      <c r="D3" s="84"/>
      <c r="E3" s="85"/>
      <c r="F3" s="249" t="str">
        <f ca="1">TEXT(TODAY(),"DD/MM/YYYY")</f>
        <v>14/07/2025</v>
      </c>
      <c r="G3" s="250"/>
      <c r="H3" s="250"/>
      <c r="I3" s="250"/>
      <c r="J3" s="251"/>
    </row>
    <row r="4" spans="1:10" ht="15" customHeight="1" x14ac:dyDescent="0.25">
      <c r="A4" s="83" t="s">
        <v>2</v>
      </c>
      <c r="B4" s="84"/>
      <c r="C4" s="84"/>
      <c r="D4" s="84"/>
      <c r="E4" s="85"/>
      <c r="F4" s="214" t="s">
        <v>149</v>
      </c>
      <c r="G4" s="215"/>
      <c r="H4" s="215"/>
      <c r="I4" s="215"/>
      <c r="J4" s="2"/>
    </row>
    <row r="5" spans="1:10" x14ac:dyDescent="0.25">
      <c r="A5" s="83" t="s">
        <v>3</v>
      </c>
      <c r="B5" s="84"/>
      <c r="C5" s="84"/>
      <c r="D5" s="84"/>
      <c r="E5" s="85"/>
      <c r="F5" s="249">
        <v>45849</v>
      </c>
      <c r="G5" s="250"/>
      <c r="H5" s="250"/>
      <c r="I5" s="250"/>
      <c r="J5" s="251"/>
    </row>
    <row r="6" spans="1:10" ht="16.5" customHeight="1" x14ac:dyDescent="0.25">
      <c r="A6" s="83" t="s">
        <v>4</v>
      </c>
      <c r="B6" s="84"/>
      <c r="C6" s="84"/>
      <c r="D6" s="84"/>
      <c r="E6" s="85"/>
      <c r="F6" s="149" t="s">
        <v>279</v>
      </c>
      <c r="G6" s="150"/>
      <c r="H6" s="150"/>
      <c r="I6" s="150"/>
      <c r="J6" s="151"/>
    </row>
    <row r="7" spans="1:10" ht="15" customHeight="1" x14ac:dyDescent="0.25">
      <c r="A7" s="83" t="s">
        <v>5</v>
      </c>
      <c r="B7" s="84"/>
      <c r="C7" s="84"/>
      <c r="D7" s="84"/>
      <c r="E7" s="85"/>
      <c r="F7" s="149" t="str">
        <f>F6</f>
        <v>M/s. Labdhi Lifestyle Limited</v>
      </c>
      <c r="G7" s="150"/>
      <c r="H7" s="150"/>
      <c r="I7" s="150"/>
      <c r="J7" s="151"/>
    </row>
    <row r="8" spans="1:10" x14ac:dyDescent="0.25">
      <c r="A8" s="83" t="s">
        <v>6</v>
      </c>
      <c r="B8" s="84"/>
      <c r="C8" s="84"/>
      <c r="D8" s="84"/>
      <c r="E8" s="85"/>
      <c r="F8" s="252" t="s">
        <v>150</v>
      </c>
      <c r="G8" s="253"/>
      <c r="H8" s="253"/>
      <c r="I8" s="253"/>
      <c r="J8" s="254"/>
    </row>
    <row r="9" spans="1:10" x14ac:dyDescent="0.25">
      <c r="A9" s="83" t="s">
        <v>288</v>
      </c>
      <c r="B9" s="84"/>
      <c r="C9" s="84"/>
      <c r="D9" s="84"/>
      <c r="E9" s="85"/>
      <c r="F9" s="83">
        <v>7666818181</v>
      </c>
      <c r="G9" s="84"/>
      <c r="H9" s="84"/>
      <c r="I9" s="84"/>
      <c r="J9" s="85"/>
    </row>
    <row r="10" spans="1:10" x14ac:dyDescent="0.25">
      <c r="A10" s="83" t="s">
        <v>289</v>
      </c>
      <c r="B10" s="84"/>
      <c r="C10" s="84"/>
      <c r="D10" s="84"/>
      <c r="E10" s="85"/>
      <c r="F10" s="83" t="s">
        <v>295</v>
      </c>
      <c r="G10" s="84"/>
      <c r="H10" s="84"/>
      <c r="I10" s="84"/>
      <c r="J10" s="85"/>
    </row>
    <row r="11" spans="1:10" ht="92.25" customHeight="1" x14ac:dyDescent="0.25">
      <c r="A11" s="255" t="s">
        <v>7</v>
      </c>
      <c r="B11" s="256"/>
      <c r="C11" s="256"/>
      <c r="D11" s="256"/>
      <c r="E11" s="257"/>
      <c r="F11" s="233" t="s">
        <v>208</v>
      </c>
      <c r="G11" s="256"/>
      <c r="H11" s="256"/>
      <c r="I11" s="256"/>
      <c r="J11" s="257"/>
    </row>
    <row r="12" spans="1:10" ht="33.75" customHeight="1" x14ac:dyDescent="0.25">
      <c r="A12" s="83" t="s">
        <v>8</v>
      </c>
      <c r="B12" s="84"/>
      <c r="C12" s="84"/>
      <c r="D12" s="84"/>
      <c r="E12" s="85"/>
      <c r="F12" s="233" t="s">
        <v>216</v>
      </c>
      <c r="G12" s="234"/>
      <c r="H12" s="234"/>
      <c r="I12" s="234"/>
      <c r="J12" s="235"/>
    </row>
    <row r="13" spans="1:10" ht="93" customHeight="1" x14ac:dyDescent="0.25">
      <c r="A13" s="83" t="s">
        <v>9</v>
      </c>
      <c r="B13" s="84"/>
      <c r="C13" s="84"/>
      <c r="D13" s="84"/>
      <c r="E13" s="85"/>
      <c r="F13" s="149" t="s">
        <v>209</v>
      </c>
      <c r="G13" s="84"/>
      <c r="H13" s="84"/>
      <c r="I13" s="84"/>
      <c r="J13" s="85"/>
    </row>
    <row r="14" spans="1:10" ht="31.5" customHeight="1" x14ac:dyDescent="0.25">
      <c r="A14" s="236" t="s">
        <v>10</v>
      </c>
      <c r="B14" s="236"/>
      <c r="C14" s="149" t="str">
        <f>CONCATENATE((IF(OR(F8="",F8="NA"),"",F8)),", ",(IF(OR(A15="",A15="NA"),"",A15)),".",(IF(OR(C15="",C15="NA"),"",C15)),", ",(IF(OR(F15="",F15="NA"),"",F15)),".",(IF(OR(G15="",G15="NA"),"",G15)),", ",(IF(OR(B16="",B16="NA"),"",B16)),", ",(IF(OR(I15="",I15="NA"),"",I15)),", ",(IF(OR(B17="",B17="NA"),"",B17)),", ",(IF(OR(G16="",G16="NA"),"",G16)),".")</f>
        <v>Labdhi Gardens, Sr no.66/2, Mr no.7280/13, Karjat-Murbad road, Dahivali T. Varedi, Karjat, Raigad.</v>
      </c>
      <c r="D14" s="150"/>
      <c r="E14" s="150"/>
      <c r="F14" s="150"/>
      <c r="G14" s="150"/>
      <c r="H14" s="150"/>
      <c r="I14" s="150"/>
      <c r="J14" s="151"/>
    </row>
    <row r="15" spans="1:10" ht="30" customHeight="1" x14ac:dyDescent="0.25">
      <c r="A15" s="86" t="s">
        <v>151</v>
      </c>
      <c r="B15" s="173"/>
      <c r="C15" s="86" t="s">
        <v>152</v>
      </c>
      <c r="D15" s="172"/>
      <c r="E15" s="172"/>
      <c r="F15" s="3" t="s">
        <v>153</v>
      </c>
      <c r="G15" s="4" t="s">
        <v>154</v>
      </c>
      <c r="H15" s="3" t="s">
        <v>11</v>
      </c>
      <c r="I15" s="231" t="s">
        <v>193</v>
      </c>
      <c r="J15" s="232"/>
    </row>
    <row r="16" spans="1:10" x14ac:dyDescent="0.25">
      <c r="A16" s="5" t="s">
        <v>12</v>
      </c>
      <c r="B16" s="171" t="s">
        <v>197</v>
      </c>
      <c r="C16" s="87"/>
      <c r="D16" s="87"/>
      <c r="E16" s="88"/>
      <c r="F16" s="6" t="s">
        <v>13</v>
      </c>
      <c r="G16" s="171" t="s">
        <v>155</v>
      </c>
      <c r="H16" s="87"/>
      <c r="I16" s="87"/>
      <c r="J16" s="88"/>
    </row>
    <row r="17" spans="1:10" x14ac:dyDescent="0.25">
      <c r="A17" s="5" t="s">
        <v>14</v>
      </c>
      <c r="B17" s="171" t="s">
        <v>156</v>
      </c>
      <c r="C17" s="87"/>
      <c r="D17" s="87"/>
      <c r="E17" s="88"/>
      <c r="F17" s="6" t="s">
        <v>15</v>
      </c>
      <c r="G17" s="171">
        <v>410101</v>
      </c>
      <c r="H17" s="87"/>
      <c r="I17" s="87"/>
      <c r="J17" s="88"/>
    </row>
    <row r="18" spans="1:10" ht="32.25" customHeight="1" x14ac:dyDescent="0.25">
      <c r="A18" s="175" t="s">
        <v>16</v>
      </c>
      <c r="B18" s="175"/>
      <c r="C18" s="223" t="s">
        <v>157</v>
      </c>
      <c r="D18" s="223"/>
      <c r="E18" s="223"/>
      <c r="F18" s="211" t="s">
        <v>17</v>
      </c>
      <c r="G18" s="211"/>
      <c r="H18" s="184" t="s">
        <v>177</v>
      </c>
      <c r="I18" s="184"/>
      <c r="J18" s="185"/>
    </row>
    <row r="19" spans="1:10" ht="15" customHeight="1" x14ac:dyDescent="0.25">
      <c r="A19" s="195" t="s">
        <v>18</v>
      </c>
      <c r="B19" s="222"/>
      <c r="C19" s="222"/>
      <c r="D19" s="222"/>
      <c r="E19" s="196"/>
      <c r="F19" s="225" t="s">
        <v>19</v>
      </c>
      <c r="G19" s="226"/>
      <c r="H19" s="226"/>
      <c r="I19" s="226"/>
      <c r="J19" s="227"/>
    </row>
    <row r="20" spans="1:10" x14ac:dyDescent="0.25">
      <c r="A20" s="197"/>
      <c r="B20" s="224"/>
      <c r="C20" s="224"/>
      <c r="D20" s="224"/>
      <c r="E20" s="198"/>
      <c r="F20" s="228"/>
      <c r="G20" s="229"/>
      <c r="H20" s="229"/>
      <c r="I20" s="229"/>
      <c r="J20" s="230"/>
    </row>
    <row r="21" spans="1:10" x14ac:dyDescent="0.25">
      <c r="A21" s="221" t="s">
        <v>20</v>
      </c>
      <c r="B21" s="222"/>
      <c r="C21" s="222"/>
      <c r="D21" s="222"/>
      <c r="E21" s="196"/>
      <c r="F21" s="195" t="s">
        <v>21</v>
      </c>
      <c r="G21" s="222"/>
      <c r="H21" s="222"/>
      <c r="I21" s="222"/>
      <c r="J21" s="196"/>
    </row>
    <row r="22" spans="1:10" ht="15" customHeight="1" x14ac:dyDescent="0.25">
      <c r="A22" s="171" t="s">
        <v>22</v>
      </c>
      <c r="B22" s="87"/>
      <c r="C22" s="87"/>
      <c r="D22" s="87"/>
      <c r="E22" s="88"/>
      <c r="F22" s="214" t="s">
        <v>23</v>
      </c>
      <c r="G22" s="215"/>
      <c r="H22" s="215"/>
      <c r="I22" s="215"/>
      <c r="J22" s="7"/>
    </row>
    <row r="23" spans="1:10" x14ac:dyDescent="0.25">
      <c r="A23" s="171" t="s">
        <v>24</v>
      </c>
      <c r="B23" s="87"/>
      <c r="C23" s="87"/>
      <c r="D23" s="87"/>
      <c r="E23" s="88"/>
      <c r="F23" s="216" t="s">
        <v>25</v>
      </c>
      <c r="G23" s="217"/>
      <c r="H23" s="217"/>
      <c r="I23" s="217"/>
      <c r="J23" s="218"/>
    </row>
    <row r="24" spans="1:10" ht="15" customHeight="1" x14ac:dyDescent="0.25">
      <c r="A24" s="171" t="s">
        <v>26</v>
      </c>
      <c r="B24" s="87"/>
      <c r="C24" s="87"/>
      <c r="D24" s="87"/>
      <c r="E24" s="88"/>
      <c r="F24" s="214" t="s">
        <v>27</v>
      </c>
      <c r="G24" s="215"/>
      <c r="H24" s="215"/>
      <c r="I24" s="215"/>
      <c r="J24" s="7"/>
    </row>
    <row r="25" spans="1:10" x14ac:dyDescent="0.25">
      <c r="A25" s="171" t="s">
        <v>28</v>
      </c>
      <c r="B25" s="87"/>
      <c r="C25" s="87"/>
      <c r="D25" s="87"/>
      <c r="E25" s="88"/>
      <c r="F25" s="216" t="s">
        <v>29</v>
      </c>
      <c r="G25" s="217"/>
      <c r="H25" s="217"/>
      <c r="I25" s="217"/>
      <c r="J25" s="218"/>
    </row>
    <row r="26" spans="1:10" x14ac:dyDescent="0.25">
      <c r="A26" s="219" t="s">
        <v>30</v>
      </c>
      <c r="B26" s="220"/>
      <c r="C26" s="219" t="s">
        <v>31</v>
      </c>
      <c r="D26" s="220"/>
      <c r="E26" s="219" t="s">
        <v>32</v>
      </c>
      <c r="F26" s="220"/>
      <c r="G26" s="219" t="s">
        <v>33</v>
      </c>
      <c r="H26" s="220"/>
      <c r="I26" s="219" t="s">
        <v>34</v>
      </c>
      <c r="J26" s="220"/>
    </row>
    <row r="27" spans="1:10" x14ac:dyDescent="0.25">
      <c r="A27" s="181" t="s">
        <v>35</v>
      </c>
      <c r="B27" s="182"/>
      <c r="C27" s="181" t="s">
        <v>36</v>
      </c>
      <c r="D27" s="182"/>
      <c r="E27" s="181" t="s">
        <v>36</v>
      </c>
      <c r="F27" s="182"/>
      <c r="G27" s="181" t="s">
        <v>36</v>
      </c>
      <c r="H27" s="182"/>
      <c r="I27" s="181" t="s">
        <v>36</v>
      </c>
      <c r="J27" s="182"/>
    </row>
    <row r="28" spans="1:10" x14ac:dyDescent="0.25">
      <c r="A28" s="181" t="s">
        <v>37</v>
      </c>
      <c r="B28" s="182"/>
      <c r="C28" s="181" t="s">
        <v>158</v>
      </c>
      <c r="D28" s="182"/>
      <c r="E28" s="181" t="s">
        <v>159</v>
      </c>
      <c r="F28" s="182"/>
      <c r="G28" s="181" t="s">
        <v>160</v>
      </c>
      <c r="H28" s="182"/>
      <c r="I28" s="181" t="s">
        <v>12</v>
      </c>
      <c r="J28" s="182"/>
    </row>
    <row r="29" spans="1:10" x14ac:dyDescent="0.25">
      <c r="A29" s="175" t="s">
        <v>38</v>
      </c>
      <c r="B29" s="175"/>
      <c r="C29" s="175"/>
      <c r="D29" s="175"/>
      <c r="E29" s="175"/>
      <c r="F29" s="175"/>
      <c r="G29" s="175"/>
      <c r="H29" s="175"/>
      <c r="I29" s="175"/>
      <c r="J29" s="175"/>
    </row>
    <row r="30" spans="1:10" x14ac:dyDescent="0.25">
      <c r="A30" s="175" t="s">
        <v>39</v>
      </c>
      <c r="B30" s="175"/>
      <c r="C30" s="175"/>
      <c r="D30" s="175"/>
      <c r="E30" s="175"/>
      <c r="F30" s="175"/>
      <c r="G30" s="175"/>
      <c r="H30" s="175"/>
      <c r="I30" s="175"/>
      <c r="J30" s="175"/>
    </row>
    <row r="31" spans="1:10" x14ac:dyDescent="0.25">
      <c r="A31" s="210" t="s">
        <v>40</v>
      </c>
      <c r="B31" s="210"/>
      <c r="C31" s="176" t="s">
        <v>41</v>
      </c>
      <c r="D31" s="176"/>
      <c r="E31" s="176">
        <v>19.047639</v>
      </c>
      <c r="F31" s="176"/>
      <c r="G31" s="176" t="s">
        <v>42</v>
      </c>
      <c r="H31" s="176"/>
      <c r="I31" s="176">
        <v>73.334158900000006</v>
      </c>
      <c r="J31" s="176"/>
    </row>
    <row r="32" spans="1:10" x14ac:dyDescent="0.25">
      <c r="A32" s="210" t="s">
        <v>285</v>
      </c>
      <c r="B32" s="210"/>
      <c r="C32" s="213" t="s">
        <v>286</v>
      </c>
      <c r="D32" s="175"/>
      <c r="E32" s="175"/>
      <c r="F32" s="175"/>
      <c r="G32" s="175"/>
      <c r="H32" s="175"/>
      <c r="I32" s="175"/>
      <c r="J32" s="175"/>
    </row>
    <row r="33" spans="1:10" x14ac:dyDescent="0.25">
      <c r="A33" s="210" t="s">
        <v>43</v>
      </c>
      <c r="B33" s="210"/>
      <c r="C33" s="210"/>
      <c r="D33" s="210"/>
      <c r="E33" s="210"/>
      <c r="F33" s="210"/>
      <c r="G33" s="210"/>
      <c r="H33" s="210"/>
      <c r="I33" s="210"/>
      <c r="J33" s="210"/>
    </row>
    <row r="34" spans="1:10" ht="15" customHeight="1" x14ac:dyDescent="0.25">
      <c r="A34" s="211" t="s">
        <v>44</v>
      </c>
      <c r="B34" s="211"/>
      <c r="C34" s="211"/>
      <c r="D34" s="211"/>
      <c r="E34" s="211"/>
      <c r="F34" s="212" t="s">
        <v>176</v>
      </c>
      <c r="G34" s="212"/>
      <c r="H34" s="212"/>
      <c r="I34" s="212"/>
      <c r="J34" s="3"/>
    </row>
    <row r="35" spans="1:10" ht="15" customHeight="1" x14ac:dyDescent="0.25">
      <c r="A35" s="211" t="s">
        <v>45</v>
      </c>
      <c r="B35" s="211"/>
      <c r="C35" s="211"/>
      <c r="D35" s="211"/>
      <c r="E35" s="211"/>
      <c r="F35" s="211" t="s">
        <v>46</v>
      </c>
      <c r="G35" s="211"/>
      <c r="H35" s="211"/>
      <c r="I35" s="211"/>
      <c r="J35" s="211"/>
    </row>
    <row r="36" spans="1:10" x14ac:dyDescent="0.25">
      <c r="A36" s="210" t="s">
        <v>47</v>
      </c>
      <c r="B36" s="210"/>
      <c r="C36" s="210"/>
      <c r="D36" s="210"/>
      <c r="E36" s="210"/>
      <c r="F36" s="210"/>
      <c r="G36" s="210"/>
      <c r="H36" s="210"/>
      <c r="I36" s="210"/>
      <c r="J36" s="210"/>
    </row>
    <row r="37" spans="1:10" x14ac:dyDescent="0.25">
      <c r="A37" s="171" t="s">
        <v>48</v>
      </c>
      <c r="B37" s="87"/>
      <c r="C37" s="87"/>
      <c r="D37" s="87"/>
      <c r="E37" s="88"/>
      <c r="F37" s="207">
        <v>14337</v>
      </c>
      <c r="G37" s="208"/>
      <c r="H37" s="208"/>
      <c r="I37" s="208"/>
      <c r="J37" s="209"/>
    </row>
    <row r="38" spans="1:10" x14ac:dyDescent="0.25">
      <c r="A38" s="171" t="s">
        <v>49</v>
      </c>
      <c r="B38" s="87"/>
      <c r="C38" s="87"/>
      <c r="D38" s="87"/>
      <c r="E38" s="88"/>
      <c r="F38" s="201">
        <v>1.1000000000000001</v>
      </c>
      <c r="G38" s="202"/>
      <c r="H38" s="202"/>
      <c r="I38" s="202"/>
      <c r="J38" s="203"/>
    </row>
    <row r="39" spans="1:10" x14ac:dyDescent="0.25">
      <c r="A39" s="171" t="s">
        <v>50</v>
      </c>
      <c r="B39" s="87"/>
      <c r="C39" s="87"/>
      <c r="D39" s="87"/>
      <c r="E39" s="88"/>
      <c r="F39" s="201">
        <f>F41/F37-F38</f>
        <v>0.21360117179326199</v>
      </c>
      <c r="G39" s="202"/>
      <c r="H39" s="202"/>
      <c r="I39" s="202"/>
      <c r="J39" s="203"/>
    </row>
    <row r="40" spans="1:10" x14ac:dyDescent="0.25">
      <c r="A40" s="171" t="s">
        <v>51</v>
      </c>
      <c r="B40" s="87"/>
      <c r="C40" s="87"/>
      <c r="D40" s="87"/>
      <c r="E40" s="88"/>
      <c r="F40" s="201">
        <f>F38+F39</f>
        <v>1.3136011717932621</v>
      </c>
      <c r="G40" s="202"/>
      <c r="H40" s="202"/>
      <c r="I40" s="202"/>
      <c r="J40" s="203"/>
    </row>
    <row r="41" spans="1:10" x14ac:dyDescent="0.25">
      <c r="A41" s="171" t="s">
        <v>52</v>
      </c>
      <c r="B41" s="87"/>
      <c r="C41" s="87"/>
      <c r="D41" s="87"/>
      <c r="E41" s="88"/>
      <c r="F41" s="204">
        <v>18833.099999999999</v>
      </c>
      <c r="G41" s="205"/>
      <c r="H41" s="205"/>
      <c r="I41" s="205"/>
      <c r="J41" s="206"/>
    </row>
    <row r="42" spans="1:10" x14ac:dyDescent="0.25">
      <c r="A42" s="143" t="s">
        <v>53</v>
      </c>
      <c r="B42" s="144"/>
      <c r="C42" s="144"/>
      <c r="D42" s="144"/>
      <c r="E42" s="145"/>
      <c r="F42" s="143" t="s">
        <v>196</v>
      </c>
      <c r="G42" s="144"/>
      <c r="H42" s="144"/>
      <c r="I42" s="144"/>
      <c r="J42" s="145"/>
    </row>
    <row r="43" spans="1:10" x14ac:dyDescent="0.25">
      <c r="A43" s="192" t="s">
        <v>54</v>
      </c>
      <c r="B43" s="193"/>
      <c r="C43" s="193"/>
      <c r="D43" s="193"/>
      <c r="E43" s="193"/>
      <c r="F43" s="193"/>
      <c r="G43" s="193"/>
      <c r="H43" s="193"/>
      <c r="I43" s="193"/>
      <c r="J43" s="194"/>
    </row>
    <row r="44" spans="1:10" x14ac:dyDescent="0.25">
      <c r="A44" s="86" t="s">
        <v>55</v>
      </c>
      <c r="B44" s="173"/>
      <c r="C44" s="146" t="s">
        <v>161</v>
      </c>
      <c r="D44" s="147"/>
      <c r="E44" s="147"/>
      <c r="F44" s="148"/>
      <c r="G44" s="8" t="s">
        <v>56</v>
      </c>
      <c r="H44" s="86" t="s">
        <v>162</v>
      </c>
      <c r="I44" s="172"/>
      <c r="J44" s="173"/>
    </row>
    <row r="45" spans="1:10" x14ac:dyDescent="0.25">
      <c r="A45" s="86" t="s">
        <v>57</v>
      </c>
      <c r="B45" s="173"/>
      <c r="C45" s="146" t="str">
        <f>C44</f>
        <v>MS/LNA1(B)/PK-157/2018</v>
      </c>
      <c r="D45" s="147"/>
      <c r="E45" s="147"/>
      <c r="F45" s="148"/>
      <c r="G45" s="8" t="s">
        <v>56</v>
      </c>
      <c r="H45" s="86" t="str">
        <f>H44</f>
        <v>01/02/2019.</v>
      </c>
      <c r="I45" s="172"/>
      <c r="J45" s="173"/>
    </row>
    <row r="46" spans="1:10" x14ac:dyDescent="0.25">
      <c r="A46" s="195" t="s">
        <v>163</v>
      </c>
      <c r="B46" s="196"/>
      <c r="C46" s="186" t="s">
        <v>274</v>
      </c>
      <c r="D46" s="187"/>
      <c r="E46" s="187"/>
      <c r="F46" s="188"/>
      <c r="G46" s="9" t="s">
        <v>56</v>
      </c>
      <c r="H46" s="189" t="str">
        <f>H44</f>
        <v>01/02/2019.</v>
      </c>
      <c r="I46" s="190"/>
      <c r="J46" s="191"/>
    </row>
    <row r="47" spans="1:10" ht="47.25" customHeight="1" x14ac:dyDescent="0.25">
      <c r="A47" s="197"/>
      <c r="B47" s="198"/>
      <c r="C47" s="186" t="s">
        <v>280</v>
      </c>
      <c r="D47" s="199"/>
      <c r="E47" s="199"/>
      <c r="F47" s="199"/>
      <c r="G47" s="199"/>
      <c r="H47" s="199"/>
      <c r="I47" s="199"/>
      <c r="J47" s="200"/>
    </row>
    <row r="48" spans="1:10" ht="15" customHeight="1" x14ac:dyDescent="0.25">
      <c r="A48" s="86" t="s">
        <v>58</v>
      </c>
      <c r="B48" s="173"/>
      <c r="C48" s="189" t="s">
        <v>36</v>
      </c>
      <c r="D48" s="190"/>
      <c r="E48" s="190"/>
      <c r="F48" s="191" t="s">
        <v>59</v>
      </c>
      <c r="G48" s="8" t="s">
        <v>56</v>
      </c>
      <c r="H48" s="86" t="s">
        <v>36</v>
      </c>
      <c r="I48" s="172" t="s">
        <v>36</v>
      </c>
      <c r="J48" s="173"/>
    </row>
    <row r="49" spans="1:12" ht="30" x14ac:dyDescent="0.25">
      <c r="A49" s="175" t="s">
        <v>60</v>
      </c>
      <c r="B49" s="175"/>
      <c r="C49" s="175"/>
      <c r="D49" s="176" t="str">
        <f>H46</f>
        <v>01/02/2019.</v>
      </c>
      <c r="E49" s="176"/>
      <c r="F49" s="171" t="s">
        <v>61</v>
      </c>
      <c r="G49" s="177"/>
      <c r="H49" s="171" t="s">
        <v>164</v>
      </c>
      <c r="I49" s="87"/>
      <c r="J49" s="88"/>
      <c r="K49" s="80" t="s">
        <v>290</v>
      </c>
    </row>
    <row r="50" spans="1:12" x14ac:dyDescent="0.25">
      <c r="A50" s="178" t="s">
        <v>62</v>
      </c>
      <c r="B50" s="179"/>
      <c r="C50" s="179"/>
      <c r="D50" s="179"/>
      <c r="E50" s="179"/>
      <c r="F50" s="179"/>
      <c r="G50" s="179"/>
      <c r="H50" s="179"/>
      <c r="I50" s="179"/>
      <c r="J50" s="180"/>
    </row>
    <row r="51" spans="1:12" x14ac:dyDescent="0.25">
      <c r="A51" s="171" t="s">
        <v>63</v>
      </c>
      <c r="B51" s="87"/>
      <c r="C51" s="88"/>
      <c r="D51" s="181">
        <f>F41</f>
        <v>18833.099999999999</v>
      </c>
      <c r="E51" s="182"/>
      <c r="F51" s="183" t="s">
        <v>64</v>
      </c>
      <c r="G51" s="185"/>
      <c r="H51" s="183" t="s">
        <v>276</v>
      </c>
      <c r="I51" s="184"/>
      <c r="J51" s="185"/>
    </row>
    <row r="52" spans="1:12" ht="47.25" customHeight="1" x14ac:dyDescent="0.25">
      <c r="A52" s="143" t="s">
        <v>65</v>
      </c>
      <c r="B52" s="144"/>
      <c r="C52" s="183" t="s">
        <v>235</v>
      </c>
      <c r="D52" s="184"/>
      <c r="E52" s="184"/>
      <c r="F52" s="184"/>
      <c r="G52" s="184"/>
      <c r="H52" s="184"/>
      <c r="I52" s="184"/>
      <c r="J52" s="185"/>
    </row>
    <row r="53" spans="1:12" x14ac:dyDescent="0.25">
      <c r="A53" s="171" t="s">
        <v>66</v>
      </c>
      <c r="B53" s="87"/>
      <c r="C53" s="87"/>
      <c r="D53" s="86" t="s">
        <v>67</v>
      </c>
      <c r="E53" s="172"/>
      <c r="F53" s="172"/>
      <c r="G53" s="172"/>
      <c r="H53" s="172"/>
      <c r="I53" s="172"/>
      <c r="J53" s="173"/>
    </row>
    <row r="54" spans="1:12" ht="15.75" thickBot="1" x14ac:dyDescent="0.3">
      <c r="A54" s="174" t="s">
        <v>68</v>
      </c>
      <c r="B54" s="174"/>
      <c r="C54" s="174"/>
      <c r="D54" s="174"/>
      <c r="E54" s="174"/>
      <c r="F54" s="174"/>
      <c r="G54" s="174"/>
      <c r="H54" s="174"/>
      <c r="I54" s="174"/>
      <c r="J54" s="174"/>
    </row>
    <row r="55" spans="1:12" ht="15" customHeight="1" x14ac:dyDescent="0.25">
      <c r="A55" s="102" t="s">
        <v>236</v>
      </c>
      <c r="B55" s="103"/>
      <c r="C55" s="104" t="s">
        <v>271</v>
      </c>
      <c r="D55" s="104"/>
      <c r="E55" s="104"/>
      <c r="F55" s="104"/>
      <c r="G55" s="104"/>
      <c r="H55" s="104"/>
      <c r="I55" s="104"/>
      <c r="J55" s="105"/>
      <c r="K55" s="54"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Plinth work completed, RCC Slab, Brickwork, External Plaster upto 3 Floor Completed</v>
      </c>
      <c r="L55" s="55"/>
    </row>
    <row r="56" spans="1:12" ht="15" customHeight="1" x14ac:dyDescent="0.25">
      <c r="A56" s="69" t="s">
        <v>237</v>
      </c>
      <c r="B56" s="67">
        <v>0</v>
      </c>
      <c r="C56" s="67" t="s">
        <v>238</v>
      </c>
      <c r="D56" s="67">
        <v>1</v>
      </c>
      <c r="E56" s="101" t="s">
        <v>239</v>
      </c>
      <c r="F56" s="101"/>
      <c r="G56" s="67">
        <v>0</v>
      </c>
      <c r="H56" s="67" t="s">
        <v>240</v>
      </c>
      <c r="I56" s="101">
        <f ca="1">--TRIM(RIGHT(SUBSTITUTE(LEFT(C55,_xlfn.AGGREGATE(16,6,FIND({0,1,2,3,4,5,6,7,8,9},C55,ROW(INDIRECT("1:"&amp;LEN(C55)))),1))," ",REPT(" ",LEN(C55))),LEN(C55)))</f>
        <v>7</v>
      </c>
      <c r="J56" s="106"/>
      <c r="K56" s="56"/>
      <c r="L56" s="57"/>
    </row>
    <row r="57" spans="1:12" ht="30.75" customHeight="1" x14ac:dyDescent="0.25">
      <c r="A57" s="107" t="s">
        <v>241</v>
      </c>
      <c r="B57" s="108"/>
      <c r="C57" s="109" t="str">
        <f ca="1">K55</f>
        <v>Excavation work Completed. Plinth work completed, RCC Slab, Brickwork, External Plaster upto 3 Floor Completed</v>
      </c>
      <c r="D57" s="109"/>
      <c r="E57" s="109"/>
      <c r="F57" s="109"/>
      <c r="G57" s="109"/>
      <c r="H57" s="109"/>
      <c r="I57" s="109"/>
      <c r="J57" s="110"/>
      <c r="K57" s="56" t="s">
        <v>242</v>
      </c>
      <c r="L57" s="57"/>
    </row>
    <row r="58" spans="1:12" ht="15.75" x14ac:dyDescent="0.25">
      <c r="A58" s="111" t="s">
        <v>69</v>
      </c>
      <c r="B58" s="112"/>
      <c r="C58" s="68" t="s">
        <v>243</v>
      </c>
      <c r="D58" s="112" t="s">
        <v>244</v>
      </c>
      <c r="E58" s="112"/>
      <c r="F58" s="112" t="s">
        <v>245</v>
      </c>
      <c r="G58" s="112"/>
      <c r="H58" s="112" t="s">
        <v>246</v>
      </c>
      <c r="I58" s="112"/>
      <c r="J58" s="113"/>
      <c r="K58" s="58" t="s">
        <v>247</v>
      </c>
      <c r="L58" s="59">
        <f ca="1">I56*25%</f>
        <v>1.75</v>
      </c>
    </row>
    <row r="59" spans="1:12" ht="15.75" x14ac:dyDescent="0.25">
      <c r="A59" s="92" t="s">
        <v>248</v>
      </c>
      <c r="B59" s="93"/>
      <c r="C59" s="65">
        <f ca="1">L60</f>
        <v>7</v>
      </c>
      <c r="D59" s="94">
        <f ca="1">((100/I56)*C59)/100</f>
        <v>1</v>
      </c>
      <c r="E59" s="94"/>
      <c r="F59" s="94">
        <f ca="1">(((C60/I56*10)+(40/(D56+G56+I56)*C61)+(7.5/(I56)*C62)+(7.5/(I56)*C63)+(10/I56*C64)+(10/I56*C65)+(5/I56*C66)+(5/I56*C67)+(5/I56*C68))/100)</f>
        <v>0.61785714285714288</v>
      </c>
      <c r="G59" s="94"/>
      <c r="H59" s="94">
        <f ca="1">((((C59/I56)*20)+((C60/I56)*25)+(30/(I56+G56+D56)*C61)+(5/I56*C62)+(5/I56*C63)+(5/I56*C64)+(5/I56*C65)+(0/I56*C66)+(0/I56*C67)+(5/I56*C68))/100)</f>
        <v>0.8214285714285714</v>
      </c>
      <c r="I59" s="94"/>
      <c r="J59" s="98"/>
      <c r="K59" s="58" t="s">
        <v>249</v>
      </c>
      <c r="L59" s="60">
        <f ca="1">I56*50%</f>
        <v>3.5</v>
      </c>
    </row>
    <row r="60" spans="1:12" ht="15.75" x14ac:dyDescent="0.25">
      <c r="A60" s="92" t="s">
        <v>70</v>
      </c>
      <c r="B60" s="93"/>
      <c r="C60" s="66">
        <v>7</v>
      </c>
      <c r="D60" s="94">
        <f ca="1">((100/I56)*C60)/100</f>
        <v>1</v>
      </c>
      <c r="E60" s="94"/>
      <c r="F60" s="94"/>
      <c r="G60" s="94"/>
      <c r="H60" s="94"/>
      <c r="I60" s="94"/>
      <c r="J60" s="98"/>
      <c r="K60" s="58" t="s">
        <v>250</v>
      </c>
      <c r="L60" s="60">
        <f ca="1">I56</f>
        <v>7</v>
      </c>
    </row>
    <row r="61" spans="1:12" ht="15.75" x14ac:dyDescent="0.25">
      <c r="A61" s="100" t="s">
        <v>251</v>
      </c>
      <c r="B61" s="101"/>
      <c r="C61" s="66">
        <v>8</v>
      </c>
      <c r="D61" s="94">
        <f ca="1">((100/(D56+G56+I56))*C61)/100</f>
        <v>1</v>
      </c>
      <c r="E61" s="94"/>
      <c r="F61" s="94"/>
      <c r="G61" s="94"/>
      <c r="H61" s="94"/>
      <c r="I61" s="94"/>
      <c r="J61" s="98"/>
      <c r="K61" s="58" t="s">
        <v>252</v>
      </c>
      <c r="L61" s="61">
        <f ca="1">(IF(B56&gt;1,(I56/(B56+2)),I56/4))</f>
        <v>1.75</v>
      </c>
    </row>
    <row r="62" spans="1:12" ht="15.75" x14ac:dyDescent="0.25">
      <c r="A62" s="92" t="s">
        <v>253</v>
      </c>
      <c r="B62" s="93" t="s">
        <v>254</v>
      </c>
      <c r="C62" s="65">
        <v>7</v>
      </c>
      <c r="D62" s="94">
        <f ca="1">((100/I56)*C62)/100</f>
        <v>1</v>
      </c>
      <c r="E62" s="94"/>
      <c r="F62" s="94"/>
      <c r="G62" s="94"/>
      <c r="H62" s="94"/>
      <c r="I62" s="94"/>
      <c r="J62" s="98"/>
      <c r="K62" s="58" t="s">
        <v>255</v>
      </c>
      <c r="L62" s="61">
        <f ca="1">(IF(B56&gt;1,(I56/(B56+2)+L61),I56/4+L61))</f>
        <v>3.5</v>
      </c>
    </row>
    <row r="63" spans="1:12" ht="15.75" x14ac:dyDescent="0.25">
      <c r="A63" s="92" t="s">
        <v>256</v>
      </c>
      <c r="B63" s="93" t="s">
        <v>254</v>
      </c>
      <c r="C63" s="65">
        <v>0</v>
      </c>
      <c r="D63" s="94">
        <f ca="1">((100/I56)*C63)/100</f>
        <v>0</v>
      </c>
      <c r="E63" s="94"/>
      <c r="F63" s="94"/>
      <c r="G63" s="94"/>
      <c r="H63" s="94"/>
      <c r="I63" s="94"/>
      <c r="J63" s="98"/>
      <c r="K63" s="58" t="s">
        <v>257</v>
      </c>
      <c r="L63" s="61">
        <f>(IF(B56&gt;1,(I56/(B56+2)+L62),0))</f>
        <v>0</v>
      </c>
    </row>
    <row r="64" spans="1:12" ht="15.75" x14ac:dyDescent="0.25">
      <c r="A64" s="92" t="s">
        <v>258</v>
      </c>
      <c r="B64" s="93" t="s">
        <v>259</v>
      </c>
      <c r="C64" s="65">
        <v>3</v>
      </c>
      <c r="D64" s="94">
        <f ca="1">((100/(I56))*C64)/100</f>
        <v>0.4285714285714286</v>
      </c>
      <c r="E64" s="94"/>
      <c r="F64" s="94"/>
      <c r="G64" s="94"/>
      <c r="H64" s="94"/>
      <c r="I64" s="94"/>
      <c r="J64" s="98"/>
      <c r="K64" s="58" t="s">
        <v>260</v>
      </c>
      <c r="L64" s="61">
        <f>(IF(B56&gt;2,(I56/(B56+2)+L63),0))</f>
        <v>0</v>
      </c>
    </row>
    <row r="65" spans="1:12" ht="15.75" x14ac:dyDescent="0.25">
      <c r="A65" s="92" t="s">
        <v>261</v>
      </c>
      <c r="B65" s="93" t="s">
        <v>261</v>
      </c>
      <c r="C65" s="65">
        <v>0</v>
      </c>
      <c r="D65" s="94">
        <f ca="1">((100/I56)*C65)/100</f>
        <v>0</v>
      </c>
      <c r="E65" s="94"/>
      <c r="F65" s="94"/>
      <c r="G65" s="94"/>
      <c r="H65" s="94"/>
      <c r="I65" s="94"/>
      <c r="J65" s="98"/>
      <c r="K65" s="58" t="s">
        <v>262</v>
      </c>
      <c r="L65" s="62">
        <f>(IF(B56&gt;3,(I56/(B56+2)+L64),0))</f>
        <v>0</v>
      </c>
    </row>
    <row r="66" spans="1:12" ht="15" customHeight="1" x14ac:dyDescent="0.25">
      <c r="A66" s="92" t="s">
        <v>263</v>
      </c>
      <c r="B66" s="93"/>
      <c r="C66" s="65">
        <v>0</v>
      </c>
      <c r="D66" s="94">
        <f ca="1">((100/I56)*C66)/100</f>
        <v>0</v>
      </c>
      <c r="E66" s="94"/>
      <c r="F66" s="94"/>
      <c r="G66" s="94"/>
      <c r="H66" s="94"/>
      <c r="I66" s="94"/>
      <c r="J66" s="98"/>
      <c r="K66" s="58" t="s">
        <v>264</v>
      </c>
      <c r="L66" s="61">
        <f>(IF(B56&gt;4,(I56/(B56+2)+L65),0))</f>
        <v>0</v>
      </c>
    </row>
    <row r="67" spans="1:12" ht="15.75" x14ac:dyDescent="0.25">
      <c r="A67" s="92" t="s">
        <v>265</v>
      </c>
      <c r="B67" s="93" t="s">
        <v>265</v>
      </c>
      <c r="C67" s="65">
        <v>0</v>
      </c>
      <c r="D67" s="94">
        <f ca="1">((100/(I56))*C67)/100</f>
        <v>0</v>
      </c>
      <c r="E67" s="94"/>
      <c r="F67" s="94"/>
      <c r="G67" s="94"/>
      <c r="H67" s="94"/>
      <c r="I67" s="94"/>
      <c r="J67" s="98"/>
      <c r="K67" s="58" t="s">
        <v>266</v>
      </c>
      <c r="L67" s="61">
        <f ca="1">(IF(B56=1,(I56/(B56+3)+L62),IF(B56=0,(I56/4+L62),IF(B56&gt;1,0))))</f>
        <v>5.25</v>
      </c>
    </row>
    <row r="68" spans="1:12" ht="16.5" thickBot="1" x14ac:dyDescent="0.3">
      <c r="A68" s="95" t="s">
        <v>267</v>
      </c>
      <c r="B68" s="96"/>
      <c r="C68" s="70">
        <v>0</v>
      </c>
      <c r="D68" s="97">
        <f ca="1">((100/(I56))*C68)/100</f>
        <v>0</v>
      </c>
      <c r="E68" s="97"/>
      <c r="F68" s="97"/>
      <c r="G68" s="97"/>
      <c r="H68" s="97"/>
      <c r="I68" s="97"/>
      <c r="J68" s="99"/>
      <c r="K68" s="63" t="s">
        <v>268</v>
      </c>
      <c r="L68" s="64">
        <f ca="1">(IF(B56&gt;1.5,(I56/(B56+2)+L62+MAX(0,L63-L62)+MAX(0,L64-L63)+MAX(0,L65-L64)+MAX(0,L66-L65)+MAX(0,L67-L66)),IF(B56=1,(I56/(B56+3)+L67),IF(B56=0,I56/4+L67))))</f>
        <v>7</v>
      </c>
    </row>
    <row r="69" spans="1:12" ht="15" customHeight="1" x14ac:dyDescent="0.25">
      <c r="A69" s="102" t="s">
        <v>236</v>
      </c>
      <c r="B69" s="103"/>
      <c r="C69" s="104" t="s">
        <v>270</v>
      </c>
      <c r="D69" s="104"/>
      <c r="E69" s="104"/>
      <c r="F69" s="104"/>
      <c r="G69" s="104"/>
      <c r="H69" s="104"/>
      <c r="I69" s="104"/>
      <c r="J69" s="105"/>
      <c r="K69" s="54" t="str">
        <f ca="1">(IF(F73&gt;99%,"All work completed. Please provide OC.",IF(F73&gt;89.8%,"Plinth, RCC, Brick, Plaster, Flooring, Painting work Completed. Finishing work is in process.",IF(F73&lt;94%,(IF(C73=0,"Work not yet Started.",IF(D73=25%,"Piling work in process",IF(D73=50%,"Excavation work in process",IF(D73=100%,"Excavation work Completed. ","0")))&amp;(IF(C74=0%,"",IF(C74=L75,"Footing work is process",IF(C74=L76,"Footing work Completed",IF(C74=L77,"1st Basement Completed",IF(C74=L78,"1st &amp; 2nd Basement Completed",IF(C74=L79,"1st to 3rd Basement Completed",IF(C74=L80,"1st to 4th Basement Completed",IF(C74=L81,"Plinth work is process",IF(C74=L82,"Plinth work completed","0")))))))))))&amp;(IF(C75=(D70+G70+I70),", RCC Slab",IF(C75&gt;0,", RCC upto "&amp;C75&amp;" Slab",""))&amp;(IF(C76=I70,", Brickwork",IF(C76&gt;0,", Brickwork upto "&amp;C76&amp;" Floor",""))&amp;(IF(C77=I70,", Internal Plaster",IF(C77&gt;0,", Internal Plaster upto "&amp;C77&amp;" Floor",""))&amp;(IF(C78=I70,", External Plaster",IF(C78&gt;0,", External Plaster upto "&amp;C78&amp;" Floor",""))&amp;(IF(C79=I70,", Flooring",IF(C79&gt;0,", Flooring upto "&amp;C79&amp;" Floor",""))&amp;(IF(C80=I70,", Painting",IF(C80&gt;0,", Painting upto "&amp;C80&amp;" Floor",""))&amp;(IF(C81&gt;0,", Finishing upto "&amp;C81&amp;" Floor","")&amp;(IF(C75&gt;0.5," Completed",""))))))))))))))</f>
        <v>Plinth, RCC, Brick, Plaster, Flooring, Painting work Completed. Finishing work is in process.</v>
      </c>
      <c r="L69" s="55"/>
    </row>
    <row r="70" spans="1:12" ht="15" customHeight="1" x14ac:dyDescent="0.25">
      <c r="A70" s="71" t="s">
        <v>237</v>
      </c>
      <c r="B70" s="72">
        <v>0</v>
      </c>
      <c r="C70" s="72" t="s">
        <v>238</v>
      </c>
      <c r="D70" s="72">
        <v>1</v>
      </c>
      <c r="E70" s="101" t="s">
        <v>239</v>
      </c>
      <c r="F70" s="101"/>
      <c r="G70" s="72">
        <v>0</v>
      </c>
      <c r="H70" s="72" t="s">
        <v>240</v>
      </c>
      <c r="I70" s="101">
        <f ca="1">--TRIM(RIGHT(SUBSTITUTE(LEFT(C69,_xlfn.AGGREGATE(16,6,FIND({0,1,2,3,4,5,6,7,8,9},C69,ROW(INDIRECT("1:"&amp;LEN(C69)))),1))," ",REPT(" ",LEN(C69))),LEN(C69)))</f>
        <v>7</v>
      </c>
      <c r="J70" s="106"/>
      <c r="K70" s="56"/>
      <c r="L70" s="57"/>
    </row>
    <row r="71" spans="1:12" ht="34.5" customHeight="1" x14ac:dyDescent="0.25">
      <c r="A71" s="107" t="s">
        <v>241</v>
      </c>
      <c r="B71" s="108"/>
      <c r="C71" s="109" t="str">
        <f ca="1">K69</f>
        <v>Plinth, RCC, Brick, Plaster, Flooring, Painting work Completed. Finishing work is in process.</v>
      </c>
      <c r="D71" s="109"/>
      <c r="E71" s="109"/>
      <c r="F71" s="109"/>
      <c r="G71" s="109"/>
      <c r="H71" s="109"/>
      <c r="I71" s="109"/>
      <c r="J71" s="110"/>
      <c r="K71" s="56" t="s">
        <v>242</v>
      </c>
      <c r="L71" s="57"/>
    </row>
    <row r="72" spans="1:12" ht="15.75" x14ac:dyDescent="0.25">
      <c r="A72" s="111" t="s">
        <v>69</v>
      </c>
      <c r="B72" s="112"/>
      <c r="C72" s="73" t="s">
        <v>243</v>
      </c>
      <c r="D72" s="112" t="s">
        <v>244</v>
      </c>
      <c r="E72" s="112"/>
      <c r="F72" s="112" t="s">
        <v>245</v>
      </c>
      <c r="G72" s="112"/>
      <c r="H72" s="112" t="s">
        <v>246</v>
      </c>
      <c r="I72" s="112"/>
      <c r="J72" s="113"/>
      <c r="K72" s="58" t="s">
        <v>247</v>
      </c>
      <c r="L72" s="59">
        <f ca="1">I70*25%</f>
        <v>1.75</v>
      </c>
    </row>
    <row r="73" spans="1:12" ht="15.75" x14ac:dyDescent="0.25">
      <c r="A73" s="92" t="s">
        <v>248</v>
      </c>
      <c r="B73" s="93"/>
      <c r="C73" s="65">
        <f ca="1">L74</f>
        <v>7</v>
      </c>
      <c r="D73" s="94">
        <f ca="1">((100/I70)*C73)/100</f>
        <v>1</v>
      </c>
      <c r="E73" s="94"/>
      <c r="F73" s="94">
        <f ca="1">(((C74/I70*10)+(40/(D70+G70+I70)*C75)+(7.5/(I70)*C76)+(7.5/(I70)*C77)+(10/I70*C78)+(10/I70*C79)+(5/I70*C80)+(5/I70*C81)+(5/I70*C82))/100)</f>
        <v>0.9285714285714286</v>
      </c>
      <c r="G73" s="94"/>
      <c r="H73" s="94">
        <f ca="1">((((C73/I70)*20)+((C74/I70)*25)+(30/(I70+G70+D70)*C75)+(5/I70*C76)+(5/I70*C77)+(5/I70*C78)+(5/I70*C79)+(0/I70*C80)+(0/I70*C81)+(5/I70*C82))/100)</f>
        <v>0.95</v>
      </c>
      <c r="I73" s="94"/>
      <c r="J73" s="98"/>
      <c r="K73" s="58" t="s">
        <v>249</v>
      </c>
      <c r="L73" s="60">
        <f ca="1">I70*50%</f>
        <v>3.5</v>
      </c>
    </row>
    <row r="74" spans="1:12" ht="15.75" x14ac:dyDescent="0.25">
      <c r="A74" s="92" t="s">
        <v>70</v>
      </c>
      <c r="B74" s="93"/>
      <c r="C74" s="66">
        <f ca="1">L82</f>
        <v>7</v>
      </c>
      <c r="D74" s="94">
        <f ca="1">((100/I70)*C74)/100</f>
        <v>1</v>
      </c>
      <c r="E74" s="94"/>
      <c r="F74" s="94"/>
      <c r="G74" s="94"/>
      <c r="H74" s="94"/>
      <c r="I74" s="94"/>
      <c r="J74" s="98"/>
      <c r="K74" s="58" t="s">
        <v>250</v>
      </c>
      <c r="L74" s="60">
        <f ca="1">I70</f>
        <v>7</v>
      </c>
    </row>
    <row r="75" spans="1:12" ht="15.75" x14ac:dyDescent="0.25">
      <c r="A75" s="100" t="s">
        <v>251</v>
      </c>
      <c r="B75" s="101"/>
      <c r="C75" s="66">
        <v>8</v>
      </c>
      <c r="D75" s="94">
        <f ca="1">((100/(D70+G70+I70))*C75)/100</f>
        <v>1</v>
      </c>
      <c r="E75" s="94"/>
      <c r="F75" s="94"/>
      <c r="G75" s="94"/>
      <c r="H75" s="94"/>
      <c r="I75" s="94"/>
      <c r="J75" s="98"/>
      <c r="K75" s="58" t="s">
        <v>252</v>
      </c>
      <c r="L75" s="61">
        <f ca="1">(IF(B70&gt;1,(I70/(B70+2)),I70/4))</f>
        <v>1.75</v>
      </c>
    </row>
    <row r="76" spans="1:12" ht="15.75" x14ac:dyDescent="0.25">
      <c r="A76" s="92" t="s">
        <v>253</v>
      </c>
      <c r="B76" s="93" t="s">
        <v>254</v>
      </c>
      <c r="C76" s="65">
        <v>7</v>
      </c>
      <c r="D76" s="94">
        <f ca="1">((100/I70)*C76)/100</f>
        <v>1</v>
      </c>
      <c r="E76" s="94"/>
      <c r="F76" s="94"/>
      <c r="G76" s="94"/>
      <c r="H76" s="94"/>
      <c r="I76" s="94"/>
      <c r="J76" s="98"/>
      <c r="K76" s="58" t="s">
        <v>255</v>
      </c>
      <c r="L76" s="61">
        <f ca="1">(IF(B70&gt;1,(I70/(B70+2)+L75),I70/4+L75))</f>
        <v>3.5</v>
      </c>
    </row>
    <row r="77" spans="1:12" ht="15.75" x14ac:dyDescent="0.25">
      <c r="A77" s="92" t="s">
        <v>256</v>
      </c>
      <c r="B77" s="93" t="s">
        <v>254</v>
      </c>
      <c r="C77" s="65">
        <v>7</v>
      </c>
      <c r="D77" s="94">
        <f ca="1">((100/I70)*C77)/100</f>
        <v>1</v>
      </c>
      <c r="E77" s="94"/>
      <c r="F77" s="94"/>
      <c r="G77" s="94"/>
      <c r="H77" s="94"/>
      <c r="I77" s="94"/>
      <c r="J77" s="98"/>
      <c r="K77" s="58" t="s">
        <v>257</v>
      </c>
      <c r="L77" s="61">
        <f>(IF(B70&gt;1,(I70/(B70+2)+L76),0))</f>
        <v>0</v>
      </c>
    </row>
    <row r="78" spans="1:12" ht="15.75" x14ac:dyDescent="0.25">
      <c r="A78" s="92" t="s">
        <v>258</v>
      </c>
      <c r="B78" s="93" t="s">
        <v>259</v>
      </c>
      <c r="C78" s="65">
        <v>7</v>
      </c>
      <c r="D78" s="94">
        <f ca="1">((100/(I70))*C78)/100</f>
        <v>1</v>
      </c>
      <c r="E78" s="94"/>
      <c r="F78" s="94"/>
      <c r="G78" s="94"/>
      <c r="H78" s="94"/>
      <c r="I78" s="94"/>
      <c r="J78" s="98"/>
      <c r="K78" s="58" t="s">
        <v>260</v>
      </c>
      <c r="L78" s="61">
        <f>(IF(B70&gt;2,(I70/(B70+2)+L77),0))</f>
        <v>0</v>
      </c>
    </row>
    <row r="79" spans="1:12" ht="15.75" x14ac:dyDescent="0.25">
      <c r="A79" s="92" t="s">
        <v>261</v>
      </c>
      <c r="B79" s="93" t="s">
        <v>261</v>
      </c>
      <c r="C79" s="65">
        <v>7</v>
      </c>
      <c r="D79" s="94">
        <f ca="1">((100/I70)*C79)/100</f>
        <v>1</v>
      </c>
      <c r="E79" s="94"/>
      <c r="F79" s="94"/>
      <c r="G79" s="94"/>
      <c r="H79" s="94"/>
      <c r="I79" s="94"/>
      <c r="J79" s="98"/>
      <c r="K79" s="58" t="s">
        <v>262</v>
      </c>
      <c r="L79" s="62">
        <f>(IF(B70&gt;3,(I70/(B70+2)+L78),0))</f>
        <v>0</v>
      </c>
    </row>
    <row r="80" spans="1:12" ht="15" customHeight="1" x14ac:dyDescent="0.25">
      <c r="A80" s="92" t="s">
        <v>263</v>
      </c>
      <c r="B80" s="93"/>
      <c r="C80" s="65">
        <v>6</v>
      </c>
      <c r="D80" s="94">
        <f ca="1">((100/I70)*C80)/100</f>
        <v>0.85714285714285721</v>
      </c>
      <c r="E80" s="94"/>
      <c r="F80" s="94"/>
      <c r="G80" s="94"/>
      <c r="H80" s="94"/>
      <c r="I80" s="94"/>
      <c r="J80" s="98"/>
      <c r="K80" s="58" t="s">
        <v>264</v>
      </c>
      <c r="L80" s="61">
        <f>(IF(B70&gt;4,(I70/(B70+2)+L79),0))</f>
        <v>0</v>
      </c>
    </row>
    <row r="81" spans="1:12" ht="15.75" x14ac:dyDescent="0.25">
      <c r="A81" s="92" t="s">
        <v>265</v>
      </c>
      <c r="B81" s="93" t="s">
        <v>265</v>
      </c>
      <c r="C81" s="65">
        <v>5</v>
      </c>
      <c r="D81" s="94">
        <f ca="1">((100/(I70))*C81)/100</f>
        <v>0.7142857142857143</v>
      </c>
      <c r="E81" s="94"/>
      <c r="F81" s="94"/>
      <c r="G81" s="94"/>
      <c r="H81" s="94"/>
      <c r="I81" s="94"/>
      <c r="J81" s="98"/>
      <c r="K81" s="58" t="s">
        <v>266</v>
      </c>
      <c r="L81" s="61">
        <f ca="1">(IF(B70=1,(I70/(B70+3)+L76),IF(B70=0,(I70/4+L76),IF(B70&gt;1,0))))</f>
        <v>5.25</v>
      </c>
    </row>
    <row r="82" spans="1:12" ht="16.5" thickBot="1" x14ac:dyDescent="0.3">
      <c r="A82" s="95" t="s">
        <v>267</v>
      </c>
      <c r="B82" s="96"/>
      <c r="C82" s="70">
        <v>0</v>
      </c>
      <c r="D82" s="97">
        <f ca="1">((100/(I70))*C82)/100</f>
        <v>0</v>
      </c>
      <c r="E82" s="97"/>
      <c r="F82" s="97"/>
      <c r="G82" s="97"/>
      <c r="H82" s="97"/>
      <c r="I82" s="97"/>
      <c r="J82" s="99"/>
      <c r="K82" s="63" t="s">
        <v>268</v>
      </c>
      <c r="L82" s="64">
        <f ca="1">(IF(B70&gt;1.5,(I70/(B70+2)+L76+MAX(0,L77-L76)+MAX(0,L78-L77)+MAX(0,L79-L78)+MAX(0,L80-L79)+MAX(0,L81-L80)),IF(B70=1,(I70/(B70+3)+L81),IF(B70=0,I70/4+L81))))</f>
        <v>7</v>
      </c>
    </row>
    <row r="83" spans="1:12" ht="15" customHeight="1" x14ac:dyDescent="0.25">
      <c r="A83" s="102" t="s">
        <v>236</v>
      </c>
      <c r="B83" s="103"/>
      <c r="C83" s="104" t="s">
        <v>272</v>
      </c>
      <c r="D83" s="104"/>
      <c r="E83" s="104"/>
      <c r="F83" s="104"/>
      <c r="G83" s="104"/>
      <c r="H83" s="104"/>
      <c r="I83" s="104"/>
      <c r="J83" s="105"/>
      <c r="K83" s="54" t="str">
        <f ca="1">(IF(F87&gt;99%,"All work completed. Please provide OC.",IF(F87&gt;89.8%,"Plinth, RCC, Brick, Plaster, Flooring, Painting work Completed. Finishing work is in process.",IF(F87&lt;94%,(IF(C87=0,"Work not yet Started.",IF(D87=25%,"Piling work in process",IF(D87=50%,"Excavation work in process",IF(D87=100%,"Excavation work Completed. ","0")))&amp;(IF(C88=0%,"",IF(C88=L89,"Footing work is process",IF(C88=L90,"Footing work Completed",IF(C88=L91,"1st Basement Completed",IF(C88=L92,"1st &amp; 2nd Basement Completed",IF(C88=L93,"1st to 3rd Basement Completed",IF(C88=L94,"1st to 4th Basement Completed",IF(C88=L95,"Plinth work is process",IF(C88=L96,"Plinth work completed","0")))))))))))&amp;(IF(C89=(D84+G84+I84),", RCC Slab",IF(C89&gt;0,", RCC upto "&amp;C89&amp;" Slab",""))&amp;(IF(C90=I84,", Brickwork",IF(C90&gt;0,", Brickwork upto "&amp;C90&amp;" Floor",""))&amp;(IF(C91=I84,", Internal Plaster",IF(C91&gt;0,", Internal Plaster upto "&amp;C91&amp;" Floor",""))&amp;(IF(C92=I84,", External Plaster",IF(C92&gt;0,", External Plaster upto "&amp;C92&amp;" Floor",""))&amp;(IF(C93=I84,", Flooring",IF(C93&gt;0,", Flooring upto "&amp;C93&amp;" Floor",""))&amp;(IF(C94=I84,", Painting",IF(C94&gt;0,", Painting upto "&amp;C94&amp;" Floor",""))&amp;(IF(C95&gt;0,", Finishing upto "&amp;C95&amp;" Floor","")&amp;(IF(C89&gt;0.5," Completed",""))))))))))))))</f>
        <v>Plinth, RCC, Brick, Plaster, Flooring, Painting work Completed. Finishing work is in process.</v>
      </c>
      <c r="L83" s="55"/>
    </row>
    <row r="84" spans="1:12" ht="15" customHeight="1" x14ac:dyDescent="0.25">
      <c r="A84" s="69" t="s">
        <v>237</v>
      </c>
      <c r="B84" s="67">
        <v>0</v>
      </c>
      <c r="C84" s="67" t="s">
        <v>238</v>
      </c>
      <c r="D84" s="67">
        <v>1</v>
      </c>
      <c r="E84" s="101" t="s">
        <v>239</v>
      </c>
      <c r="F84" s="101"/>
      <c r="G84" s="67">
        <v>0</v>
      </c>
      <c r="H84" s="67" t="s">
        <v>240</v>
      </c>
      <c r="I84" s="101">
        <f ca="1">--TRIM(RIGHT(SUBSTITUTE(LEFT(C83,_xlfn.AGGREGATE(16,6,FIND({0,1,2,3,4,5,6,7,8,9},C83,ROW(INDIRECT("1:"&amp;LEN(C83)))),1))," ",REPT(" ",LEN(C83))),LEN(C83)))</f>
        <v>7</v>
      </c>
      <c r="J84" s="106"/>
      <c r="K84" s="56"/>
      <c r="L84" s="57"/>
    </row>
    <row r="85" spans="1:12" ht="33.6" customHeight="1" x14ac:dyDescent="0.25">
      <c r="A85" s="107" t="s">
        <v>241</v>
      </c>
      <c r="B85" s="108"/>
      <c r="C85" s="109" t="str">
        <f ca="1">K83</f>
        <v>Plinth, RCC, Brick, Plaster, Flooring, Painting work Completed. Finishing work is in process.</v>
      </c>
      <c r="D85" s="109"/>
      <c r="E85" s="109"/>
      <c r="F85" s="109"/>
      <c r="G85" s="109"/>
      <c r="H85" s="109"/>
      <c r="I85" s="109"/>
      <c r="J85" s="110"/>
      <c r="K85" s="56" t="s">
        <v>242</v>
      </c>
      <c r="L85" s="57"/>
    </row>
    <row r="86" spans="1:12" ht="15.75" customHeight="1" x14ac:dyDescent="0.25">
      <c r="A86" s="111" t="s">
        <v>69</v>
      </c>
      <c r="B86" s="112"/>
      <c r="C86" s="68" t="s">
        <v>243</v>
      </c>
      <c r="D86" s="112" t="s">
        <v>244</v>
      </c>
      <c r="E86" s="112"/>
      <c r="F86" s="112" t="s">
        <v>245</v>
      </c>
      <c r="G86" s="112"/>
      <c r="H86" s="112" t="s">
        <v>246</v>
      </c>
      <c r="I86" s="112"/>
      <c r="J86" s="113"/>
      <c r="K86" s="58" t="s">
        <v>247</v>
      </c>
      <c r="L86" s="59">
        <f ca="1">I84*25%</f>
        <v>1.75</v>
      </c>
    </row>
    <row r="87" spans="1:12" ht="15.75" customHeight="1" x14ac:dyDescent="0.25">
      <c r="A87" s="92" t="s">
        <v>248</v>
      </c>
      <c r="B87" s="93"/>
      <c r="C87" s="65">
        <f ca="1">L88</f>
        <v>7</v>
      </c>
      <c r="D87" s="94">
        <f ca="1">((100/I84)*C87)/100</f>
        <v>1</v>
      </c>
      <c r="E87" s="94"/>
      <c r="F87" s="94">
        <f ca="1">(((C88/I84*10)+(40/(D84+G84+I84)*C89)+(7.5/(I84)*C90)+(7.5/(I84)*C91)+(10/I84*C92)+(10/I84*C93)+(5/I84*C94)+(5/I84*C95)+(5/I84*C96))/100)</f>
        <v>0.9285714285714286</v>
      </c>
      <c r="G87" s="94"/>
      <c r="H87" s="94">
        <f ca="1">((((C87/I84)*20)+((C88/I84)*25)+(30/(I84+G84+D84)*C89)+(5/I84*C90)+(5/I84*C91)+(5/I84*C92)+(5/I84*C93)+(0/I84*C94)+(0/I84*C95)+(5/I84*C96))/100)</f>
        <v>0.95</v>
      </c>
      <c r="I87" s="94"/>
      <c r="J87" s="98"/>
      <c r="K87" s="58" t="s">
        <v>249</v>
      </c>
      <c r="L87" s="60">
        <f ca="1">I84*50%</f>
        <v>3.5</v>
      </c>
    </row>
    <row r="88" spans="1:12" ht="15.75" x14ac:dyDescent="0.25">
      <c r="A88" s="92" t="s">
        <v>70</v>
      </c>
      <c r="B88" s="93"/>
      <c r="C88" s="66">
        <v>7</v>
      </c>
      <c r="D88" s="94">
        <f ca="1">((100/I84)*C88)/100</f>
        <v>1</v>
      </c>
      <c r="E88" s="94"/>
      <c r="F88" s="94"/>
      <c r="G88" s="94"/>
      <c r="H88" s="94"/>
      <c r="I88" s="94"/>
      <c r="J88" s="98"/>
      <c r="K88" s="58" t="s">
        <v>250</v>
      </c>
      <c r="L88" s="60">
        <f ca="1">I84</f>
        <v>7</v>
      </c>
    </row>
    <row r="89" spans="1:12" ht="15.75" x14ac:dyDescent="0.25">
      <c r="A89" s="100" t="s">
        <v>251</v>
      </c>
      <c r="B89" s="101"/>
      <c r="C89" s="66">
        <v>8</v>
      </c>
      <c r="D89" s="94">
        <f ca="1">((100/(D84+G84+I84))*C89)/100</f>
        <v>1</v>
      </c>
      <c r="E89" s="94"/>
      <c r="F89" s="94"/>
      <c r="G89" s="94"/>
      <c r="H89" s="94"/>
      <c r="I89" s="94"/>
      <c r="J89" s="98"/>
      <c r="K89" s="58" t="s">
        <v>252</v>
      </c>
      <c r="L89" s="61">
        <f ca="1">(IF(B84&gt;1,(I84/(B84+2)),I84/4))</f>
        <v>1.75</v>
      </c>
    </row>
    <row r="90" spans="1:12" ht="15.75" customHeight="1" x14ac:dyDescent="0.25">
      <c r="A90" s="92" t="s">
        <v>253</v>
      </c>
      <c r="B90" s="93" t="s">
        <v>254</v>
      </c>
      <c r="C90" s="65">
        <v>7</v>
      </c>
      <c r="D90" s="94">
        <f ca="1">((100/I84)*C90)/100</f>
        <v>1</v>
      </c>
      <c r="E90" s="94"/>
      <c r="F90" s="94"/>
      <c r="G90" s="94"/>
      <c r="H90" s="94"/>
      <c r="I90" s="94"/>
      <c r="J90" s="98"/>
      <c r="K90" s="58" t="s">
        <v>255</v>
      </c>
      <c r="L90" s="61">
        <f ca="1">(IF(B84&gt;1,(I84/(B84+2)+L89),I84/4+L89))</f>
        <v>3.5</v>
      </c>
    </row>
    <row r="91" spans="1:12" ht="15.75" customHeight="1" x14ac:dyDescent="0.25">
      <c r="A91" s="92" t="s">
        <v>256</v>
      </c>
      <c r="B91" s="93" t="s">
        <v>254</v>
      </c>
      <c r="C91" s="65">
        <v>7</v>
      </c>
      <c r="D91" s="94">
        <f ca="1">((100/I84)*C91)/100</f>
        <v>1</v>
      </c>
      <c r="E91" s="94"/>
      <c r="F91" s="94"/>
      <c r="G91" s="94"/>
      <c r="H91" s="94"/>
      <c r="I91" s="94"/>
      <c r="J91" s="98"/>
      <c r="K91" s="58" t="s">
        <v>257</v>
      </c>
      <c r="L91" s="61">
        <f>(IF(B84&gt;1,(I84/(B84+2)+L90),0))</f>
        <v>0</v>
      </c>
    </row>
    <row r="92" spans="1:12" ht="15.75" customHeight="1" x14ac:dyDescent="0.25">
      <c r="A92" s="92" t="s">
        <v>258</v>
      </c>
      <c r="B92" s="93" t="s">
        <v>259</v>
      </c>
      <c r="C92" s="65">
        <v>7</v>
      </c>
      <c r="D92" s="94">
        <f ca="1">((100/(I84))*C92)/100</f>
        <v>1</v>
      </c>
      <c r="E92" s="94"/>
      <c r="F92" s="94"/>
      <c r="G92" s="94"/>
      <c r="H92" s="94"/>
      <c r="I92" s="94"/>
      <c r="J92" s="98"/>
      <c r="K92" s="58" t="s">
        <v>260</v>
      </c>
      <c r="L92" s="61">
        <f>(IF(B84&gt;2,(I84/(B84+2)+L91),0))</f>
        <v>0</v>
      </c>
    </row>
    <row r="93" spans="1:12" ht="15.75" customHeight="1" x14ac:dyDescent="0.25">
      <c r="A93" s="92" t="s">
        <v>261</v>
      </c>
      <c r="B93" s="93" t="s">
        <v>261</v>
      </c>
      <c r="C93" s="65">
        <v>7</v>
      </c>
      <c r="D93" s="94">
        <f ca="1">((100/I84)*C93)/100</f>
        <v>1</v>
      </c>
      <c r="E93" s="94"/>
      <c r="F93" s="94"/>
      <c r="G93" s="94"/>
      <c r="H93" s="94"/>
      <c r="I93" s="94"/>
      <c r="J93" s="98"/>
      <c r="K93" s="58" t="s">
        <v>262</v>
      </c>
      <c r="L93" s="62">
        <f>(IF(B84&gt;3,(I84/(B84+2)+L92),0))</f>
        <v>0</v>
      </c>
    </row>
    <row r="94" spans="1:12" ht="15" customHeight="1" x14ac:dyDescent="0.25">
      <c r="A94" s="92" t="s">
        <v>263</v>
      </c>
      <c r="B94" s="93"/>
      <c r="C94" s="65">
        <v>6</v>
      </c>
      <c r="D94" s="94">
        <f ca="1">((100/I84)*C94)/100</f>
        <v>0.85714285714285721</v>
      </c>
      <c r="E94" s="94"/>
      <c r="F94" s="94"/>
      <c r="G94" s="94"/>
      <c r="H94" s="94"/>
      <c r="I94" s="94"/>
      <c r="J94" s="98"/>
      <c r="K94" s="58" t="s">
        <v>264</v>
      </c>
      <c r="L94" s="61">
        <f>(IF(B84&gt;4,(I84/(B84+2)+L93),0))</f>
        <v>0</v>
      </c>
    </row>
    <row r="95" spans="1:12" ht="15.75" customHeight="1" x14ac:dyDescent="0.25">
      <c r="A95" s="92" t="s">
        <v>265</v>
      </c>
      <c r="B95" s="93" t="s">
        <v>265</v>
      </c>
      <c r="C95" s="65">
        <v>5</v>
      </c>
      <c r="D95" s="94">
        <f ca="1">((100/(I84))*C95)/100</f>
        <v>0.7142857142857143</v>
      </c>
      <c r="E95" s="94"/>
      <c r="F95" s="94"/>
      <c r="G95" s="94"/>
      <c r="H95" s="94"/>
      <c r="I95" s="94"/>
      <c r="J95" s="98"/>
      <c r="K95" s="58" t="s">
        <v>266</v>
      </c>
      <c r="L95" s="61">
        <f ca="1">(IF(B84=1,(I84/(B84+3)+L90),IF(B84=0,(I84/4+L90),IF(B84&gt;1,0))))</f>
        <v>5.25</v>
      </c>
    </row>
    <row r="96" spans="1:12" ht="16.5" customHeight="1" thickBot="1" x14ac:dyDescent="0.3">
      <c r="A96" s="95" t="s">
        <v>267</v>
      </c>
      <c r="B96" s="96"/>
      <c r="C96" s="70">
        <v>0</v>
      </c>
      <c r="D96" s="97">
        <f ca="1">((100/(I84))*C96)/100</f>
        <v>0</v>
      </c>
      <c r="E96" s="97"/>
      <c r="F96" s="97"/>
      <c r="G96" s="97"/>
      <c r="H96" s="97"/>
      <c r="I96" s="97"/>
      <c r="J96" s="99"/>
      <c r="K96" s="63" t="s">
        <v>268</v>
      </c>
      <c r="L96" s="64">
        <f ca="1">(IF(B84&gt;1.5,(I84/(B84+2)+L90+MAX(0,L91-L90)+MAX(0,L92-L91)+MAX(0,L93-L92)+MAX(0,L94-L93)+MAX(0,L95-L94)),IF(B84=1,(I84/(B84+3)+L95),IF(B84=0,I84/4+L95))))</f>
        <v>7</v>
      </c>
    </row>
    <row r="97" spans="1:12" ht="15.75" x14ac:dyDescent="0.25">
      <c r="A97" s="102" t="s">
        <v>236</v>
      </c>
      <c r="B97" s="103"/>
      <c r="C97" s="104" t="s">
        <v>291</v>
      </c>
      <c r="D97" s="104"/>
      <c r="E97" s="104"/>
      <c r="F97" s="104"/>
      <c r="G97" s="104"/>
      <c r="H97" s="104"/>
      <c r="I97" s="104"/>
      <c r="J97" s="105"/>
      <c r="K97" s="54" t="str">
        <f ca="1">(IF(F101&gt;99%,"All work completed. Please provide OC.",IF(F101&gt;89.8%,"Plinth, RCC, Brick, Plaster, Flooring, Painting work Completed. Finishing work is in process.",IF(F101&lt;94%,(IF(C101=0,"Work not yet Started.",IF(D101=25%,"Piling work in process",IF(D101=50%,"Excavation work in process",IF(D101=100%,"Excavation work Completed. ","0")))&amp;(IF(C102=0%,"",IF(C102=L103,"Footing work is process",IF(C102=L104,"Footing work Completed",IF(C102=L105,"1st Basement Completed",IF(C102=L106,"1st &amp; 2nd Basement Completed",IF(C102=L107,"1st to 3rd Basement Completed",IF(C102=L108,"1st to 4th Basement Completed",IF(C102=L109,"Plinth work is process",IF(C102=L110,"Plinth work completed","0")))))))))))&amp;(IF(C103=(D98+G98+I98),", RCC Slab",IF(C103&gt;0,", RCC upto "&amp;C103&amp;" Slab",""))&amp;(IF(C104=I98,", Brickwork",IF(C104&gt;0,", Brickwork upto "&amp;C104&amp;" Floor",""))&amp;(IF(C105=I98,", Internal Plaster",IF(C105&gt;0,", Internal Plaster upto "&amp;C105&amp;" Floor",""))&amp;(IF(C106=I98,", External Plaster",IF(C106&gt;0,", External Plaster upto "&amp;C106&amp;" Floor",""))&amp;(IF(C107=I98,", Flooring",IF(C107&gt;0,", Flooring upto "&amp;C107&amp;" Floor",""))&amp;(IF(C108=I98,", Painting",IF(C108&gt;0,", Painting upto "&amp;C108&amp;" Floor",""))&amp;(IF(C109&gt;0,", Finishing upto "&amp;C109&amp;" Floor","")&amp;(IF(C103&gt;0.5," Completed",""))))))))))))))</f>
        <v>All work completed. Please provide OC.</v>
      </c>
      <c r="L97" s="55"/>
    </row>
    <row r="98" spans="1:12" ht="15" customHeight="1" x14ac:dyDescent="0.25">
      <c r="A98" s="69" t="s">
        <v>237</v>
      </c>
      <c r="B98" s="67">
        <v>0</v>
      </c>
      <c r="C98" s="67" t="s">
        <v>238</v>
      </c>
      <c r="D98" s="67">
        <v>1</v>
      </c>
      <c r="E98" s="101" t="s">
        <v>239</v>
      </c>
      <c r="F98" s="101"/>
      <c r="G98" s="67">
        <v>0</v>
      </c>
      <c r="H98" s="67" t="s">
        <v>240</v>
      </c>
      <c r="I98" s="101">
        <f ca="1">--TRIM(RIGHT(SUBSTITUTE(LEFT(C97,_xlfn.AGGREGATE(16,6,FIND({0,1,2,3,4,5,6,7,8,9},C97,ROW(INDIRECT("1:"&amp;LEN(C97)))),1))," ",REPT(" ",LEN(C97))),LEN(C97)))</f>
        <v>7</v>
      </c>
      <c r="J98" s="106"/>
      <c r="K98" s="56"/>
      <c r="L98" s="57"/>
    </row>
    <row r="99" spans="1:12" ht="15.75" x14ac:dyDescent="0.25">
      <c r="A99" s="107" t="s">
        <v>241</v>
      </c>
      <c r="B99" s="108"/>
      <c r="C99" s="109" t="str">
        <f ca="1">K97</f>
        <v>All work completed. Please provide OC.</v>
      </c>
      <c r="D99" s="109"/>
      <c r="E99" s="109"/>
      <c r="F99" s="109"/>
      <c r="G99" s="109"/>
      <c r="H99" s="109"/>
      <c r="I99" s="109"/>
      <c r="J99" s="110"/>
      <c r="K99" s="56" t="s">
        <v>242</v>
      </c>
      <c r="L99" s="57"/>
    </row>
    <row r="100" spans="1:12" ht="15.75" customHeight="1" x14ac:dyDescent="0.25">
      <c r="A100" s="111" t="s">
        <v>69</v>
      </c>
      <c r="B100" s="112"/>
      <c r="C100" s="68" t="s">
        <v>243</v>
      </c>
      <c r="D100" s="112" t="s">
        <v>244</v>
      </c>
      <c r="E100" s="112"/>
      <c r="F100" s="112" t="s">
        <v>245</v>
      </c>
      <c r="G100" s="112"/>
      <c r="H100" s="112" t="s">
        <v>246</v>
      </c>
      <c r="I100" s="112"/>
      <c r="J100" s="113"/>
      <c r="K100" s="58" t="s">
        <v>247</v>
      </c>
      <c r="L100" s="59">
        <f ca="1">I98*25%</f>
        <v>1.75</v>
      </c>
    </row>
    <row r="101" spans="1:12" ht="15.75" customHeight="1" x14ac:dyDescent="0.25">
      <c r="A101" s="92" t="s">
        <v>248</v>
      </c>
      <c r="B101" s="93"/>
      <c r="C101" s="65">
        <f ca="1">L102</f>
        <v>7</v>
      </c>
      <c r="D101" s="94">
        <f ca="1">((100/I98)*C101)/100</f>
        <v>1</v>
      </c>
      <c r="E101" s="94"/>
      <c r="F101" s="94">
        <f ca="1">(((C102/I98*10)+(40/(D98+G98+I98)*C103)+(7.5/(I98)*C104)+(7.5/(I98)*C105)+(10/I98*C106)+(10/I98*C107)+(5/I98*C108)+(5/I98*C109)+(5/I98*C110))/100)</f>
        <v>1</v>
      </c>
      <c r="G101" s="94"/>
      <c r="H101" s="94">
        <f ca="1">((((C101/I98)*20)+((C102/I98)*25)+(30/(I98+G98+D98)*C103)+(5/I98*C104)+(5/I98*C105)+(5/I98*C106)+(5/I98*C107)+(0/I98*C108)+(0/I98*C109)+(5/I98*C110))/100)</f>
        <v>1</v>
      </c>
      <c r="I101" s="94"/>
      <c r="J101" s="98"/>
      <c r="K101" s="58" t="s">
        <v>249</v>
      </c>
      <c r="L101" s="60">
        <f ca="1">I98*50%</f>
        <v>3.5</v>
      </c>
    </row>
    <row r="102" spans="1:12" ht="15.75" x14ac:dyDescent="0.25">
      <c r="A102" s="92" t="s">
        <v>70</v>
      </c>
      <c r="B102" s="93"/>
      <c r="C102" s="66">
        <v>7</v>
      </c>
      <c r="D102" s="94">
        <f ca="1">((100/I98)*C102)/100</f>
        <v>1</v>
      </c>
      <c r="E102" s="94"/>
      <c r="F102" s="94"/>
      <c r="G102" s="94"/>
      <c r="H102" s="94"/>
      <c r="I102" s="94"/>
      <c r="J102" s="98"/>
      <c r="K102" s="58" t="s">
        <v>250</v>
      </c>
      <c r="L102" s="60">
        <f ca="1">I98</f>
        <v>7</v>
      </c>
    </row>
    <row r="103" spans="1:12" ht="15.75" x14ac:dyDescent="0.25">
      <c r="A103" s="100" t="s">
        <v>251</v>
      </c>
      <c r="B103" s="101"/>
      <c r="C103" s="66">
        <v>8</v>
      </c>
      <c r="D103" s="94">
        <f ca="1">((100/(D98+G98+I98))*C103)/100</f>
        <v>1</v>
      </c>
      <c r="E103" s="94"/>
      <c r="F103" s="94"/>
      <c r="G103" s="94"/>
      <c r="H103" s="94"/>
      <c r="I103" s="94"/>
      <c r="J103" s="98"/>
      <c r="K103" s="58" t="s">
        <v>252</v>
      </c>
      <c r="L103" s="61">
        <f ca="1">(IF(B98&gt;1,(I98/(B98+2)),I98/4))</f>
        <v>1.75</v>
      </c>
    </row>
    <row r="104" spans="1:12" ht="15.75" customHeight="1" x14ac:dyDescent="0.25">
      <c r="A104" s="92" t="s">
        <v>253</v>
      </c>
      <c r="B104" s="93" t="s">
        <v>254</v>
      </c>
      <c r="C104" s="65">
        <v>7</v>
      </c>
      <c r="D104" s="94">
        <f ca="1">((100/I98)*C104)/100</f>
        <v>1</v>
      </c>
      <c r="E104" s="94"/>
      <c r="F104" s="94"/>
      <c r="G104" s="94"/>
      <c r="H104" s="94"/>
      <c r="I104" s="94"/>
      <c r="J104" s="98"/>
      <c r="K104" s="58" t="s">
        <v>255</v>
      </c>
      <c r="L104" s="61">
        <f ca="1">(IF(B98&gt;1,(I98/(B98+2)+L103),I98/4+L103))</f>
        <v>3.5</v>
      </c>
    </row>
    <row r="105" spans="1:12" ht="15.75" customHeight="1" x14ac:dyDescent="0.25">
      <c r="A105" s="92" t="s">
        <v>256</v>
      </c>
      <c r="B105" s="93" t="s">
        <v>254</v>
      </c>
      <c r="C105" s="65">
        <v>7</v>
      </c>
      <c r="D105" s="94">
        <f ca="1">((100/I98)*C105)/100</f>
        <v>1</v>
      </c>
      <c r="E105" s="94"/>
      <c r="F105" s="94"/>
      <c r="G105" s="94"/>
      <c r="H105" s="94"/>
      <c r="I105" s="94"/>
      <c r="J105" s="98"/>
      <c r="K105" s="58" t="s">
        <v>257</v>
      </c>
      <c r="L105" s="61">
        <f>(IF(B98&gt;1,(I98/(B98+2)+L104),0))</f>
        <v>0</v>
      </c>
    </row>
    <row r="106" spans="1:12" ht="15.75" customHeight="1" x14ac:dyDescent="0.25">
      <c r="A106" s="92" t="s">
        <v>258</v>
      </c>
      <c r="B106" s="93" t="s">
        <v>259</v>
      </c>
      <c r="C106" s="65">
        <v>7</v>
      </c>
      <c r="D106" s="94">
        <f ca="1">((100/(I98))*C106)/100</f>
        <v>1</v>
      </c>
      <c r="E106" s="94"/>
      <c r="F106" s="94"/>
      <c r="G106" s="94"/>
      <c r="H106" s="94"/>
      <c r="I106" s="94"/>
      <c r="J106" s="98"/>
      <c r="K106" s="58" t="s">
        <v>260</v>
      </c>
      <c r="L106" s="61">
        <f>(IF(B98&gt;2,(I98/(B98+2)+L105),0))</f>
        <v>0</v>
      </c>
    </row>
    <row r="107" spans="1:12" ht="15.75" customHeight="1" x14ac:dyDescent="0.25">
      <c r="A107" s="92" t="s">
        <v>261</v>
      </c>
      <c r="B107" s="93" t="s">
        <v>261</v>
      </c>
      <c r="C107" s="65">
        <v>7</v>
      </c>
      <c r="D107" s="94">
        <f ca="1">((100/I98)*C107)/100</f>
        <v>1</v>
      </c>
      <c r="E107" s="94"/>
      <c r="F107" s="94"/>
      <c r="G107" s="94"/>
      <c r="H107" s="94"/>
      <c r="I107" s="94"/>
      <c r="J107" s="98"/>
      <c r="K107" s="58" t="s">
        <v>262</v>
      </c>
      <c r="L107" s="62">
        <f>(IF(B98&gt;3,(I98/(B98+2)+L106),0))</f>
        <v>0</v>
      </c>
    </row>
    <row r="108" spans="1:12" ht="15" customHeight="1" x14ac:dyDescent="0.25">
      <c r="A108" s="92" t="s">
        <v>263</v>
      </c>
      <c r="B108" s="93"/>
      <c r="C108" s="65">
        <v>7</v>
      </c>
      <c r="D108" s="94">
        <f ca="1">((100/I98)*C108)/100</f>
        <v>1</v>
      </c>
      <c r="E108" s="94"/>
      <c r="F108" s="94"/>
      <c r="G108" s="94"/>
      <c r="H108" s="94"/>
      <c r="I108" s="94"/>
      <c r="J108" s="98"/>
      <c r="K108" s="58" t="s">
        <v>264</v>
      </c>
      <c r="L108" s="61">
        <f>(IF(B98&gt;4,(I98/(B98+2)+L107),0))</f>
        <v>0</v>
      </c>
    </row>
    <row r="109" spans="1:12" ht="15.75" customHeight="1" x14ac:dyDescent="0.25">
      <c r="A109" s="92" t="s">
        <v>265</v>
      </c>
      <c r="B109" s="93" t="s">
        <v>265</v>
      </c>
      <c r="C109" s="65">
        <v>7</v>
      </c>
      <c r="D109" s="94">
        <f ca="1">((100/(I98))*C109)/100</f>
        <v>1</v>
      </c>
      <c r="E109" s="94"/>
      <c r="F109" s="94"/>
      <c r="G109" s="94"/>
      <c r="H109" s="94"/>
      <c r="I109" s="94"/>
      <c r="J109" s="98"/>
      <c r="K109" s="58" t="s">
        <v>266</v>
      </c>
      <c r="L109" s="61">
        <f ca="1">(IF(B98=1,(I98/(B98+3)+L104),IF(B98=0,(I98/4+L104),IF(B98&gt;1,0))))</f>
        <v>5.25</v>
      </c>
    </row>
    <row r="110" spans="1:12" ht="16.5" customHeight="1" thickBot="1" x14ac:dyDescent="0.3">
      <c r="A110" s="95" t="s">
        <v>267</v>
      </c>
      <c r="B110" s="96"/>
      <c r="C110" s="70">
        <v>7</v>
      </c>
      <c r="D110" s="97">
        <f ca="1">((100/(I98))*C110)/100</f>
        <v>1</v>
      </c>
      <c r="E110" s="97"/>
      <c r="F110" s="97"/>
      <c r="G110" s="97"/>
      <c r="H110" s="97"/>
      <c r="I110" s="97"/>
      <c r="J110" s="99"/>
      <c r="K110" s="63" t="s">
        <v>268</v>
      </c>
      <c r="L110" s="64">
        <f ca="1">(IF(B98&gt;1.5,(I98/(B98+2)+L104+MAX(0,L105-L104)+MAX(0,L106-L105)+MAX(0,L107-L106)+MAX(0,L108-L107)+MAX(0,L109-L108)),IF(B98=1,(I98/(B98+3)+L109),IF(B98=0,I98/4+L109))))</f>
        <v>7</v>
      </c>
    </row>
    <row r="111" spans="1:12" ht="15.75" hidden="1" x14ac:dyDescent="0.25">
      <c r="A111" s="102" t="s">
        <v>236</v>
      </c>
      <c r="B111" s="103"/>
      <c r="C111" s="104" t="s">
        <v>281</v>
      </c>
      <c r="D111" s="104"/>
      <c r="E111" s="104"/>
      <c r="F111" s="104"/>
      <c r="G111" s="104"/>
      <c r="H111" s="104"/>
      <c r="I111" s="104"/>
      <c r="J111" s="105"/>
      <c r="K111" s="54" t="str">
        <f ca="1">(IF(F115&gt;99%,"All work completed. Please provide OC.",IF(F115&gt;89.8%,"Plinth, RCC, Brick, Plaster, Flooring, Painting work Completed. Finishing work is in process.",IF(F115&lt;94%,(IF(C115=0,"Work not yet Started.",IF(D115=25%,"Piling work in process",IF(D115=50%,"Excavation work in process",IF(D115=100%,"Excavation work Completed. ","0")))&amp;(IF(C116=0%,"",IF(C116=L117,"Footing work is process",IF(C116=L118,"Footing work Completed",IF(C116=L119,"1st Basement Completed",IF(C116=L120,"1st &amp; 2nd Basement Completed",IF(C116=L121,"1st to 3rd Basement Completed",IF(C116=L122,"1st to 4th Basement Completed",IF(C116=L123,"Plinth work is process",IF(C116=L124,"Plinth work completed","0")))))))))))&amp;(IF(C117=(D112+G112+I112),", RCC Slab",IF(C117&gt;0,", RCC upto "&amp;C117&amp;" Slab",""))&amp;(IF(C118=I112,", Brickwork",IF(C118&gt;0,", Brickwork upto "&amp;C118&amp;" Floor",""))&amp;(IF(C119=I112,", Internal Plaster",IF(C119&gt;0,", Internal Plaster upto "&amp;C119&amp;" Floor",""))&amp;(IF(C120=I112,", External Plaster",IF(C120&gt;0,", External Plaster upto "&amp;C120&amp;" Floor",""))&amp;(IF(C121=I112,", Flooring",IF(C121&gt;0,", Flooring upto "&amp;C121&amp;" Floor",""))&amp;(IF(C122=I112,", Painting",IF(C122&gt;0,", Painting upto "&amp;C122&amp;" Floor",""))&amp;(IF(C123&gt;0,", Finishing upto "&amp;C123&amp;" Floor","")&amp;(IF(C117&gt;0.5," Completed",""))))))))))))))</f>
        <v>Plinth, RCC, Brick, Plaster, Flooring, Painting work Completed. Finishing work is in process.</v>
      </c>
      <c r="L111" s="55"/>
    </row>
    <row r="112" spans="1:12" ht="15" hidden="1" customHeight="1" x14ac:dyDescent="0.25">
      <c r="A112" s="79" t="s">
        <v>237</v>
      </c>
      <c r="B112" s="77">
        <v>0</v>
      </c>
      <c r="C112" s="77" t="s">
        <v>238</v>
      </c>
      <c r="D112" s="77">
        <v>1</v>
      </c>
      <c r="E112" s="101" t="s">
        <v>239</v>
      </c>
      <c r="F112" s="101"/>
      <c r="G112" s="77">
        <v>0</v>
      </c>
      <c r="H112" s="77" t="s">
        <v>240</v>
      </c>
      <c r="I112" s="101">
        <f ca="1">--TRIM(RIGHT(SUBSTITUTE(LEFT(C111,_xlfn.AGGREGATE(16,6,FIND({0,1,2,3,4,5,6,7,8,9},C111,ROW(INDIRECT("1:"&amp;LEN(C111)))),1))," ",REPT(" ",LEN(C111))),LEN(C111)))</f>
        <v>7</v>
      </c>
      <c r="J112" s="106"/>
      <c r="K112" s="56"/>
      <c r="L112" s="57"/>
    </row>
    <row r="113" spans="1:12" ht="34.5" hidden="1" customHeight="1" x14ac:dyDescent="0.25">
      <c r="A113" s="107" t="s">
        <v>241</v>
      </c>
      <c r="B113" s="108"/>
      <c r="C113" s="109" t="str">
        <f ca="1">K111</f>
        <v>Plinth, RCC, Brick, Plaster, Flooring, Painting work Completed. Finishing work is in process.</v>
      </c>
      <c r="D113" s="109"/>
      <c r="E113" s="109"/>
      <c r="F113" s="109"/>
      <c r="G113" s="109"/>
      <c r="H113" s="109"/>
      <c r="I113" s="109"/>
      <c r="J113" s="110"/>
      <c r="K113" s="56" t="s">
        <v>242</v>
      </c>
      <c r="L113" s="57"/>
    </row>
    <row r="114" spans="1:12" ht="15.75" hidden="1" customHeight="1" x14ac:dyDescent="0.25">
      <c r="A114" s="111" t="s">
        <v>69</v>
      </c>
      <c r="B114" s="112"/>
      <c r="C114" s="78" t="s">
        <v>243</v>
      </c>
      <c r="D114" s="112" t="s">
        <v>244</v>
      </c>
      <c r="E114" s="112"/>
      <c r="F114" s="112" t="s">
        <v>245</v>
      </c>
      <c r="G114" s="112"/>
      <c r="H114" s="112" t="s">
        <v>246</v>
      </c>
      <c r="I114" s="112"/>
      <c r="J114" s="113"/>
      <c r="K114" s="58" t="s">
        <v>247</v>
      </c>
      <c r="L114" s="59">
        <f ca="1">I112*25%</f>
        <v>1.75</v>
      </c>
    </row>
    <row r="115" spans="1:12" ht="15.75" hidden="1" customHeight="1" x14ac:dyDescent="0.25">
      <c r="A115" s="92" t="s">
        <v>248</v>
      </c>
      <c r="B115" s="93"/>
      <c r="C115" s="65">
        <f ca="1">L116</f>
        <v>7</v>
      </c>
      <c r="D115" s="94">
        <f ca="1">((100/I112)*C115)/100</f>
        <v>1</v>
      </c>
      <c r="E115" s="94"/>
      <c r="F115" s="94">
        <f ca="1">(((C116/I112*10)+(40/(D112+G112+I112)*C117)+(7.5/(I112)*C118)+(7.5/(I112)*C119)+(10/I112*C120)+(10/I112*C121)+(5/I112*C122)+(5/I112*C123)+(5/I112*C124))/100)</f>
        <v>0.90714285714285725</v>
      </c>
      <c r="G115" s="94"/>
      <c r="H115" s="94">
        <f ca="1">((((C115/I112)*20)+((C116/I112)*25)+(30/(I112+G112+D112)*C117)+(5/I112*C118)+(5/I112*C119)+(5/I112*C120)+(5/I112*C121)+(0/I112*C122)+(0/I112*C123)+(5/I112*C124))/100)</f>
        <v>0.95</v>
      </c>
      <c r="I115" s="94"/>
      <c r="J115" s="98"/>
      <c r="K115" s="58" t="s">
        <v>249</v>
      </c>
      <c r="L115" s="60">
        <f ca="1">I112*50%</f>
        <v>3.5</v>
      </c>
    </row>
    <row r="116" spans="1:12" ht="15.75" hidden="1" x14ac:dyDescent="0.25">
      <c r="A116" s="92" t="s">
        <v>70</v>
      </c>
      <c r="B116" s="93"/>
      <c r="C116" s="66">
        <v>7</v>
      </c>
      <c r="D116" s="94">
        <f ca="1">((100/I112)*C116)/100</f>
        <v>1</v>
      </c>
      <c r="E116" s="94"/>
      <c r="F116" s="94"/>
      <c r="G116" s="94"/>
      <c r="H116" s="94"/>
      <c r="I116" s="94"/>
      <c r="J116" s="98"/>
      <c r="K116" s="58" t="s">
        <v>250</v>
      </c>
      <c r="L116" s="60">
        <f ca="1">I112</f>
        <v>7</v>
      </c>
    </row>
    <row r="117" spans="1:12" ht="15.75" hidden="1" x14ac:dyDescent="0.25">
      <c r="A117" s="100" t="s">
        <v>251</v>
      </c>
      <c r="B117" s="101"/>
      <c r="C117" s="66">
        <v>8</v>
      </c>
      <c r="D117" s="94">
        <f ca="1">((100/(D112+G112+I112))*C117)/100</f>
        <v>1</v>
      </c>
      <c r="E117" s="94"/>
      <c r="F117" s="94"/>
      <c r="G117" s="94"/>
      <c r="H117" s="94"/>
      <c r="I117" s="94"/>
      <c r="J117" s="98"/>
      <c r="K117" s="58" t="s">
        <v>252</v>
      </c>
      <c r="L117" s="61">
        <f ca="1">(IF(B112&gt;1,(I112/(B112+2)),I112/4))</f>
        <v>1.75</v>
      </c>
    </row>
    <row r="118" spans="1:12" ht="15.75" hidden="1" customHeight="1" x14ac:dyDescent="0.25">
      <c r="A118" s="92" t="s">
        <v>253</v>
      </c>
      <c r="B118" s="93" t="s">
        <v>254</v>
      </c>
      <c r="C118" s="65">
        <v>7</v>
      </c>
      <c r="D118" s="94">
        <f ca="1">((100/I112)*C118)/100</f>
        <v>1</v>
      </c>
      <c r="E118" s="94"/>
      <c r="F118" s="94"/>
      <c r="G118" s="94"/>
      <c r="H118" s="94"/>
      <c r="I118" s="94"/>
      <c r="J118" s="98"/>
      <c r="K118" s="58" t="s">
        <v>255</v>
      </c>
      <c r="L118" s="61">
        <f ca="1">(IF(B112&gt;1,(I112/(B112+2)+L117),I112/4+L117))</f>
        <v>3.5</v>
      </c>
    </row>
    <row r="119" spans="1:12" ht="15.75" hidden="1" customHeight="1" x14ac:dyDescent="0.25">
      <c r="A119" s="92" t="s">
        <v>256</v>
      </c>
      <c r="B119" s="93" t="s">
        <v>254</v>
      </c>
      <c r="C119" s="65">
        <v>7</v>
      </c>
      <c r="D119" s="94">
        <f ca="1">((100/I112)*C119)/100</f>
        <v>1</v>
      </c>
      <c r="E119" s="94"/>
      <c r="F119" s="94"/>
      <c r="G119" s="94"/>
      <c r="H119" s="94"/>
      <c r="I119" s="94"/>
      <c r="J119" s="98"/>
      <c r="K119" s="58" t="s">
        <v>257</v>
      </c>
      <c r="L119" s="61">
        <f>(IF(B112&gt;1,(I112/(B112+2)+L118),0))</f>
        <v>0</v>
      </c>
    </row>
    <row r="120" spans="1:12" ht="15.75" hidden="1" customHeight="1" x14ac:dyDescent="0.25">
      <c r="A120" s="92" t="s">
        <v>258</v>
      </c>
      <c r="B120" s="93" t="s">
        <v>259</v>
      </c>
      <c r="C120" s="65">
        <v>7</v>
      </c>
      <c r="D120" s="94">
        <f ca="1">((100/(I112))*C120)/100</f>
        <v>1</v>
      </c>
      <c r="E120" s="94"/>
      <c r="F120" s="94"/>
      <c r="G120" s="94"/>
      <c r="H120" s="94"/>
      <c r="I120" s="94"/>
      <c r="J120" s="98"/>
      <c r="K120" s="58" t="s">
        <v>260</v>
      </c>
      <c r="L120" s="61">
        <f>(IF(B112&gt;2,(I112/(B112+2)+L119),0))</f>
        <v>0</v>
      </c>
    </row>
    <row r="121" spans="1:12" ht="15.75" hidden="1" customHeight="1" x14ac:dyDescent="0.25">
      <c r="A121" s="92" t="s">
        <v>261</v>
      </c>
      <c r="B121" s="93" t="s">
        <v>261</v>
      </c>
      <c r="C121" s="65">
        <v>7</v>
      </c>
      <c r="D121" s="94">
        <f ca="1">((100/I112)*C121)/100</f>
        <v>1</v>
      </c>
      <c r="E121" s="94"/>
      <c r="F121" s="94"/>
      <c r="G121" s="94"/>
      <c r="H121" s="94"/>
      <c r="I121" s="94"/>
      <c r="J121" s="98"/>
      <c r="K121" s="58" t="s">
        <v>262</v>
      </c>
      <c r="L121" s="62">
        <f>(IF(B112&gt;3,(I112/(B112+2)+L120),0))</f>
        <v>0</v>
      </c>
    </row>
    <row r="122" spans="1:12" ht="15" hidden="1" customHeight="1" x14ac:dyDescent="0.25">
      <c r="A122" s="92" t="s">
        <v>263</v>
      </c>
      <c r="B122" s="93"/>
      <c r="C122" s="65">
        <v>6</v>
      </c>
      <c r="D122" s="94">
        <f ca="1">((100/I112)*C122)/100</f>
        <v>0.85714285714285721</v>
      </c>
      <c r="E122" s="94"/>
      <c r="F122" s="94"/>
      <c r="G122" s="94"/>
      <c r="H122" s="94"/>
      <c r="I122" s="94"/>
      <c r="J122" s="98"/>
      <c r="K122" s="58" t="s">
        <v>264</v>
      </c>
      <c r="L122" s="61">
        <f>(IF(B112&gt;4,(I112/(B112+2)+L121),0))</f>
        <v>0</v>
      </c>
    </row>
    <row r="123" spans="1:12" ht="15.75" hidden="1" customHeight="1" x14ac:dyDescent="0.25">
      <c r="A123" s="92" t="s">
        <v>265</v>
      </c>
      <c r="B123" s="93" t="s">
        <v>265</v>
      </c>
      <c r="C123" s="65">
        <v>2</v>
      </c>
      <c r="D123" s="94">
        <f ca="1">((100/(I112))*C123)/100</f>
        <v>0.28571428571428575</v>
      </c>
      <c r="E123" s="94"/>
      <c r="F123" s="94"/>
      <c r="G123" s="94"/>
      <c r="H123" s="94"/>
      <c r="I123" s="94"/>
      <c r="J123" s="98"/>
      <c r="K123" s="58" t="s">
        <v>266</v>
      </c>
      <c r="L123" s="61">
        <f ca="1">(IF(B112=1,(I112/(B112+3)+L118),IF(B112=0,(I112/4+L118),IF(B112&gt;1,0))))</f>
        <v>5.25</v>
      </c>
    </row>
    <row r="124" spans="1:12" ht="16.5" hidden="1" customHeight="1" thickBot="1" x14ac:dyDescent="0.3">
      <c r="A124" s="95" t="s">
        <v>267</v>
      </c>
      <c r="B124" s="96"/>
      <c r="C124" s="70">
        <v>0</v>
      </c>
      <c r="D124" s="97">
        <f ca="1">((100/(I112))*C124)/100</f>
        <v>0</v>
      </c>
      <c r="E124" s="97"/>
      <c r="F124" s="97"/>
      <c r="G124" s="97"/>
      <c r="H124" s="97"/>
      <c r="I124" s="97"/>
      <c r="J124" s="99"/>
      <c r="K124" s="63" t="s">
        <v>268</v>
      </c>
      <c r="L124" s="64">
        <f ca="1">(IF(B112&gt;1.5,(I112/(B112+2)+L118+MAX(0,L119-L118)+MAX(0,L120-L119)+MAX(0,L121-L120)+MAX(0,L122-L121)+MAX(0,L123-L122)),IF(B112=1,(I112/(B112+3)+L123),IF(B112=0,I112/4+L123))))</f>
        <v>7</v>
      </c>
    </row>
    <row r="125" spans="1:12" ht="15.75" hidden="1" x14ac:dyDescent="0.25">
      <c r="A125" s="102" t="s">
        <v>236</v>
      </c>
      <c r="B125" s="103"/>
      <c r="C125" s="104" t="s">
        <v>278</v>
      </c>
      <c r="D125" s="104"/>
      <c r="E125" s="104"/>
      <c r="F125" s="104"/>
      <c r="G125" s="104"/>
      <c r="H125" s="104"/>
      <c r="I125" s="104"/>
      <c r="J125" s="105"/>
      <c r="K125" s="54" t="str">
        <f ca="1">(IF(F129&gt;99%,"All work completed. Please provide OC.",IF(F129&gt;89.8%,"Plinth, RCC, Brick, Plaster, Flooring, Painting work Completed. Finishing work is in process.",IF(F129&lt;94%,(IF(C129=0,"Work not yet Started.",IF(D129=25%,"Piling work in process",IF(D129=50%,"Excavation work in process",IF(D129=100%,"Excavation work Completed. ","0")))&amp;(IF(C130=0%,"",IF(C130=L131,"Footing work is process",IF(C130=L132,"Footing work Completed",IF(C130=L133,"1st Basement Completed",IF(C130=L134,"1st &amp; 2nd Basement Completed",IF(C130=L135,"1st to 3rd Basement Completed",IF(C130=L136,"1st to 4th Basement Completed",IF(C130=L137,"Plinth work is process",IF(C130=L138,"Plinth work completed","0")))))))))))&amp;(IF(C131=(D126+G126+I126),", RCC Slab",IF(C131&gt;0,", RCC upto "&amp;C131&amp;" Slab",""))&amp;(IF(C132=I126,", Brickwork",IF(C132&gt;0,", Brickwork upto "&amp;C132&amp;" Floor",""))&amp;(IF(C133=I126,", Internal Plaster",IF(C133&gt;0,", Internal Plaster upto "&amp;C133&amp;" Floor",""))&amp;(IF(C134=I126,", External Plaster",IF(C134&gt;0,", External Plaster upto "&amp;C134&amp;" Floor",""))&amp;(IF(C135=I126,", Flooring",IF(C135&gt;0,", Flooring upto "&amp;C135&amp;" Floor",""))&amp;(IF(C136=I126,", Painting",IF(C136&gt;0,", Painting upto "&amp;C136&amp;" Floor",""))&amp;(IF(C137&gt;0,", Finishing upto "&amp;C137&amp;" Floor","")&amp;(IF(C131&gt;0.5," Completed",""))))))))))))))</f>
        <v>Plinth, RCC, Brick, Plaster, Flooring, Painting work Completed. Finishing work is in process.</v>
      </c>
      <c r="L125" s="55"/>
    </row>
    <row r="126" spans="1:12" ht="15" hidden="1" customHeight="1" x14ac:dyDescent="0.25">
      <c r="A126" s="74" t="s">
        <v>237</v>
      </c>
      <c r="B126" s="75">
        <v>0</v>
      </c>
      <c r="C126" s="75" t="s">
        <v>238</v>
      </c>
      <c r="D126" s="75">
        <v>1</v>
      </c>
      <c r="E126" s="101" t="s">
        <v>239</v>
      </c>
      <c r="F126" s="101"/>
      <c r="G126" s="75">
        <v>0</v>
      </c>
      <c r="H126" s="75" t="s">
        <v>240</v>
      </c>
      <c r="I126" s="101">
        <f ca="1">--TRIM(RIGHT(SUBSTITUTE(LEFT(C125,_xlfn.AGGREGATE(16,6,FIND({0,1,2,3,4,5,6,7,8,9},C125,ROW(INDIRECT("1:"&amp;LEN(C125)))),1))," ",REPT(" ",LEN(C125))),LEN(C125)))</f>
        <v>7</v>
      </c>
      <c r="J126" s="106"/>
      <c r="K126" s="56"/>
      <c r="L126" s="57"/>
    </row>
    <row r="127" spans="1:12" ht="33" hidden="1" customHeight="1" x14ac:dyDescent="0.25">
      <c r="A127" s="107" t="s">
        <v>241</v>
      </c>
      <c r="B127" s="108"/>
      <c r="C127" s="109" t="str">
        <f ca="1">K125</f>
        <v>Plinth, RCC, Brick, Plaster, Flooring, Painting work Completed. Finishing work is in process.</v>
      </c>
      <c r="D127" s="109"/>
      <c r="E127" s="109"/>
      <c r="F127" s="109"/>
      <c r="G127" s="109"/>
      <c r="H127" s="109"/>
      <c r="I127" s="109"/>
      <c r="J127" s="110"/>
      <c r="K127" s="56" t="s">
        <v>242</v>
      </c>
      <c r="L127" s="57"/>
    </row>
    <row r="128" spans="1:12" ht="15.75" hidden="1" customHeight="1" x14ac:dyDescent="0.25">
      <c r="A128" s="111" t="s">
        <v>69</v>
      </c>
      <c r="B128" s="112"/>
      <c r="C128" s="76" t="s">
        <v>243</v>
      </c>
      <c r="D128" s="112" t="s">
        <v>244</v>
      </c>
      <c r="E128" s="112"/>
      <c r="F128" s="112" t="s">
        <v>245</v>
      </c>
      <c r="G128" s="112"/>
      <c r="H128" s="112" t="s">
        <v>246</v>
      </c>
      <c r="I128" s="112"/>
      <c r="J128" s="113"/>
      <c r="K128" s="58" t="s">
        <v>247</v>
      </c>
      <c r="L128" s="59">
        <f ca="1">I126*25%</f>
        <v>1.75</v>
      </c>
    </row>
    <row r="129" spans="1:12" ht="15.75" hidden="1" customHeight="1" x14ac:dyDescent="0.25">
      <c r="A129" s="92" t="s">
        <v>248</v>
      </c>
      <c r="B129" s="93"/>
      <c r="C129" s="65">
        <f ca="1">L130</f>
        <v>7</v>
      </c>
      <c r="D129" s="94">
        <f ca="1">((100/I126)*C129)/100</f>
        <v>1</v>
      </c>
      <c r="E129" s="94"/>
      <c r="F129" s="94">
        <f ca="1">(((C130/I126*10)+(40/(D126+G126+I126)*C131)+(7.5/(I126)*C132)+(7.5/(I126)*C133)+(10/I126*C134)+(10/I126*C135)+(5/I126*C136)+(5/I126*C137)+(5/I126*C138))/100)</f>
        <v>0.9</v>
      </c>
      <c r="G129" s="94"/>
      <c r="H129" s="94">
        <f ca="1">((((C129/I126)*20)+((C130/I126)*25)+(30/(I126+G126+D126)*C131)+(5/I126*C132)+(5/I126*C133)+(5/I126*C134)+(5/I126*C135)+(0/I126*C136)+(0/I126*C137)+(5/I126*C138))/100)</f>
        <v>0.95</v>
      </c>
      <c r="I129" s="94"/>
      <c r="J129" s="98"/>
      <c r="K129" s="58" t="s">
        <v>249</v>
      </c>
      <c r="L129" s="60">
        <f ca="1">I126*50%</f>
        <v>3.5</v>
      </c>
    </row>
    <row r="130" spans="1:12" ht="15.75" hidden="1" x14ac:dyDescent="0.25">
      <c r="A130" s="92" t="s">
        <v>70</v>
      </c>
      <c r="B130" s="93"/>
      <c r="C130" s="66">
        <v>7</v>
      </c>
      <c r="D130" s="94">
        <f ca="1">((100/I126)*C130)/100</f>
        <v>1</v>
      </c>
      <c r="E130" s="94"/>
      <c r="F130" s="94"/>
      <c r="G130" s="94"/>
      <c r="H130" s="94"/>
      <c r="I130" s="94"/>
      <c r="J130" s="98"/>
      <c r="K130" s="58" t="s">
        <v>250</v>
      </c>
      <c r="L130" s="60">
        <f ca="1">I126</f>
        <v>7</v>
      </c>
    </row>
    <row r="131" spans="1:12" ht="15.75" hidden="1" x14ac:dyDescent="0.25">
      <c r="A131" s="100" t="s">
        <v>251</v>
      </c>
      <c r="B131" s="101"/>
      <c r="C131" s="66">
        <v>8</v>
      </c>
      <c r="D131" s="94">
        <f ca="1">((100/(D126+G126+I126))*C131)/100</f>
        <v>1</v>
      </c>
      <c r="E131" s="94"/>
      <c r="F131" s="94"/>
      <c r="G131" s="94"/>
      <c r="H131" s="94"/>
      <c r="I131" s="94"/>
      <c r="J131" s="98"/>
      <c r="K131" s="58" t="s">
        <v>252</v>
      </c>
      <c r="L131" s="61">
        <f ca="1">(IF(B126&gt;1,(I126/(B126+2)),I126/4))</f>
        <v>1.75</v>
      </c>
    </row>
    <row r="132" spans="1:12" ht="15.75" hidden="1" customHeight="1" x14ac:dyDescent="0.25">
      <c r="A132" s="92" t="s">
        <v>253</v>
      </c>
      <c r="B132" s="93" t="s">
        <v>254</v>
      </c>
      <c r="C132" s="65">
        <v>7</v>
      </c>
      <c r="D132" s="94">
        <f ca="1">((100/I126)*C132)/100</f>
        <v>1</v>
      </c>
      <c r="E132" s="94"/>
      <c r="F132" s="94"/>
      <c r="G132" s="94"/>
      <c r="H132" s="94"/>
      <c r="I132" s="94"/>
      <c r="J132" s="98"/>
      <c r="K132" s="58" t="s">
        <v>255</v>
      </c>
      <c r="L132" s="61">
        <f ca="1">(IF(B126&gt;1,(I126/(B126+2)+L131),I126/4+L131))</f>
        <v>3.5</v>
      </c>
    </row>
    <row r="133" spans="1:12" ht="15.75" hidden="1" customHeight="1" x14ac:dyDescent="0.25">
      <c r="A133" s="92" t="s">
        <v>256</v>
      </c>
      <c r="B133" s="93" t="s">
        <v>254</v>
      </c>
      <c r="C133" s="65">
        <v>7</v>
      </c>
      <c r="D133" s="94">
        <f ca="1">((100/I126)*C133)/100</f>
        <v>1</v>
      </c>
      <c r="E133" s="94"/>
      <c r="F133" s="94"/>
      <c r="G133" s="94"/>
      <c r="H133" s="94"/>
      <c r="I133" s="94"/>
      <c r="J133" s="98"/>
      <c r="K133" s="58" t="s">
        <v>257</v>
      </c>
      <c r="L133" s="61">
        <f>(IF(B126&gt;1,(I126/(B126+2)+L132),0))</f>
        <v>0</v>
      </c>
    </row>
    <row r="134" spans="1:12" ht="15.75" hidden="1" customHeight="1" x14ac:dyDescent="0.25">
      <c r="A134" s="92" t="s">
        <v>258</v>
      </c>
      <c r="B134" s="93" t="s">
        <v>259</v>
      </c>
      <c r="C134" s="65">
        <v>7</v>
      </c>
      <c r="D134" s="94">
        <f ca="1">((100/(I126))*C134)/100</f>
        <v>1</v>
      </c>
      <c r="E134" s="94"/>
      <c r="F134" s="94"/>
      <c r="G134" s="94"/>
      <c r="H134" s="94"/>
      <c r="I134" s="94"/>
      <c r="J134" s="98"/>
      <c r="K134" s="58" t="s">
        <v>260</v>
      </c>
      <c r="L134" s="61">
        <f>(IF(B126&gt;2,(I126/(B126+2)+L133),0))</f>
        <v>0</v>
      </c>
    </row>
    <row r="135" spans="1:12" ht="15.75" hidden="1" customHeight="1" x14ac:dyDescent="0.25">
      <c r="A135" s="92" t="s">
        <v>261</v>
      </c>
      <c r="B135" s="93" t="s">
        <v>261</v>
      </c>
      <c r="C135" s="65">
        <v>7</v>
      </c>
      <c r="D135" s="94">
        <f ca="1">((100/I126)*C135)/100</f>
        <v>1</v>
      </c>
      <c r="E135" s="94"/>
      <c r="F135" s="94"/>
      <c r="G135" s="94"/>
      <c r="H135" s="94"/>
      <c r="I135" s="94"/>
      <c r="J135" s="98"/>
      <c r="K135" s="58" t="s">
        <v>262</v>
      </c>
      <c r="L135" s="62">
        <f>(IF(B126&gt;3,(I126/(B126+2)+L134),0))</f>
        <v>0</v>
      </c>
    </row>
    <row r="136" spans="1:12" ht="15" hidden="1" customHeight="1" x14ac:dyDescent="0.25">
      <c r="A136" s="92" t="s">
        <v>263</v>
      </c>
      <c r="B136" s="93"/>
      <c r="C136" s="65">
        <v>6</v>
      </c>
      <c r="D136" s="94">
        <f ca="1">((100/I126)*C136)/100</f>
        <v>0.85714285714285721</v>
      </c>
      <c r="E136" s="94"/>
      <c r="F136" s="94"/>
      <c r="G136" s="94"/>
      <c r="H136" s="94"/>
      <c r="I136" s="94"/>
      <c r="J136" s="98"/>
      <c r="K136" s="58" t="s">
        <v>264</v>
      </c>
      <c r="L136" s="61">
        <f>(IF(B126&gt;4,(I126/(B126+2)+L135),0))</f>
        <v>0</v>
      </c>
    </row>
    <row r="137" spans="1:12" ht="15.75" hidden="1" customHeight="1" x14ac:dyDescent="0.25">
      <c r="A137" s="92" t="s">
        <v>265</v>
      </c>
      <c r="B137" s="93" t="s">
        <v>265</v>
      </c>
      <c r="C137" s="65">
        <v>1</v>
      </c>
      <c r="D137" s="94">
        <f ca="1">((100/(I126))*C137)/100</f>
        <v>0.14285714285714288</v>
      </c>
      <c r="E137" s="94"/>
      <c r="F137" s="94"/>
      <c r="G137" s="94"/>
      <c r="H137" s="94"/>
      <c r="I137" s="94"/>
      <c r="J137" s="98"/>
      <c r="K137" s="58" t="s">
        <v>266</v>
      </c>
      <c r="L137" s="61">
        <f ca="1">(IF(B126=1,(I126/(B126+3)+L132),IF(B126=0,(I126/4+L132),IF(B126&gt;1,0))))</f>
        <v>5.25</v>
      </c>
    </row>
    <row r="138" spans="1:12" ht="16.5" hidden="1" customHeight="1" thickBot="1" x14ac:dyDescent="0.3">
      <c r="A138" s="95" t="s">
        <v>267</v>
      </c>
      <c r="B138" s="96"/>
      <c r="C138" s="70">
        <v>0</v>
      </c>
      <c r="D138" s="97">
        <f ca="1">((100/(I126))*C138)/100</f>
        <v>0</v>
      </c>
      <c r="E138" s="97"/>
      <c r="F138" s="97"/>
      <c r="G138" s="97"/>
      <c r="H138" s="97"/>
      <c r="I138" s="97"/>
      <c r="J138" s="99"/>
      <c r="K138" s="63" t="s">
        <v>268</v>
      </c>
      <c r="L138" s="64">
        <f ca="1">(IF(B126&gt;1.5,(I126/(B126+2)+L132+MAX(0,L133-L132)+MAX(0,L134-L133)+MAX(0,L135-L134)+MAX(0,L136-L135)+MAX(0,L137-L136)),IF(B126=1,(I126/(B126+3)+L137),IF(B126=0,I126/4+L137))))</f>
        <v>7</v>
      </c>
    </row>
    <row r="139" spans="1:12" ht="15" customHeight="1" x14ac:dyDescent="0.25">
      <c r="A139" s="102" t="s">
        <v>236</v>
      </c>
      <c r="B139" s="103"/>
      <c r="C139" s="104" t="s">
        <v>273</v>
      </c>
      <c r="D139" s="104"/>
      <c r="E139" s="104"/>
      <c r="F139" s="104"/>
      <c r="G139" s="104"/>
      <c r="H139" s="104"/>
      <c r="I139" s="104"/>
      <c r="J139" s="105"/>
      <c r="K139" s="54" t="str">
        <f ca="1">(IF(F143&gt;99%,"All work completed. Please provide OC.",IF(F143&gt;89.8%,"Plinth, RCC, Brick, Plaster, Flooring, Painting work Completed. Finishing work is in process.",IF(F143&lt;94%,(IF(C143=0,"Work not yet Started.",IF(D143=25%,"Piling work in process",IF(D143=50%,"Excavation work in process",IF(D143=100%,"Excavation work Completed. ","0")))&amp;(IF(C144=0%,"",IF(C144=L145,"Footing work is process",IF(C144=L146,"Footing work Completed",IF(C144=L147,"1st Basement Completed",IF(C144=L148,"1st &amp; 2nd Basement Completed",IF(C144=L149,"1st to 3rd Basement Completed",IF(C144=L150,"1st to 4th Basement Completed",IF(C144=L151,"Plinth work is process",IF(C144=L152,"Plinth work completed","0")))))))))))&amp;(IF(C145=(D140+G140+I140),", RCC Slab",IF(C145&gt;0,", RCC upto "&amp;C145&amp;" Slab",""))&amp;(IF(C146=I140,", Brickwork",IF(C146&gt;0,", Brickwork upto "&amp;C146&amp;" Floor",""))&amp;(IF(C147=I140,", Internal Plaster",IF(C147&gt;0,", Internal Plaster upto "&amp;C147&amp;" Floor",""))&amp;(IF(C148=I140,", External Plaster",IF(C148&gt;0,", External Plaster upto "&amp;C148&amp;" Floor",""))&amp;(IF(C149=I140,", Flooring",IF(C149&gt;0,", Flooring upto "&amp;C149&amp;" Floor",""))&amp;(IF(C150=I140,", Painting",IF(C150&gt;0,", Painting upto "&amp;C150&amp;" Floor",""))&amp;(IF(C151&gt;0,", Finishing upto "&amp;C151&amp;" Floor","")&amp;(IF(C145&gt;0.5," Completed",""))))))))))))))</f>
        <v>Excavation work Completed. Plinth work completed, RCC upto 1 Slab Completed</v>
      </c>
      <c r="L139" s="55"/>
    </row>
    <row r="140" spans="1:12" ht="15" customHeight="1" x14ac:dyDescent="0.25">
      <c r="A140" s="69" t="s">
        <v>237</v>
      </c>
      <c r="B140" s="67">
        <v>0</v>
      </c>
      <c r="C140" s="67" t="s">
        <v>238</v>
      </c>
      <c r="D140" s="67">
        <v>1</v>
      </c>
      <c r="E140" s="101" t="s">
        <v>239</v>
      </c>
      <c r="F140" s="101"/>
      <c r="G140" s="67">
        <v>0</v>
      </c>
      <c r="H140" s="67" t="s">
        <v>240</v>
      </c>
      <c r="I140" s="101">
        <f ca="1">--TRIM(RIGHT(SUBSTITUTE(LEFT(C139,_xlfn.AGGREGATE(16,6,FIND({0,1,2,3,4,5,6,7,8,9},C139,ROW(INDIRECT("1:"&amp;LEN(C139)))),1))," ",REPT(" ",LEN(C139))),LEN(C139)))</f>
        <v>1</v>
      </c>
      <c r="J140" s="106"/>
      <c r="K140" s="56"/>
      <c r="L140" s="57"/>
    </row>
    <row r="141" spans="1:12" ht="15.75" x14ac:dyDescent="0.25">
      <c r="A141" s="107" t="s">
        <v>241</v>
      </c>
      <c r="B141" s="108"/>
      <c r="C141" s="109" t="str">
        <f ca="1">K139</f>
        <v>Excavation work Completed. Plinth work completed, RCC upto 1 Slab Completed</v>
      </c>
      <c r="D141" s="109"/>
      <c r="E141" s="109"/>
      <c r="F141" s="109"/>
      <c r="G141" s="109"/>
      <c r="H141" s="109"/>
      <c r="I141" s="109"/>
      <c r="J141" s="110"/>
      <c r="K141" s="56" t="s">
        <v>242</v>
      </c>
      <c r="L141" s="57"/>
    </row>
    <row r="142" spans="1:12" ht="15.75" customHeight="1" x14ac:dyDescent="0.25">
      <c r="A142" s="111" t="s">
        <v>69</v>
      </c>
      <c r="B142" s="112"/>
      <c r="C142" s="68" t="s">
        <v>243</v>
      </c>
      <c r="D142" s="112" t="s">
        <v>244</v>
      </c>
      <c r="E142" s="112"/>
      <c r="F142" s="112" t="s">
        <v>245</v>
      </c>
      <c r="G142" s="112"/>
      <c r="H142" s="112" t="s">
        <v>246</v>
      </c>
      <c r="I142" s="112"/>
      <c r="J142" s="113"/>
      <c r="K142" s="58" t="s">
        <v>247</v>
      </c>
      <c r="L142" s="59">
        <f ca="1">I140*25%</f>
        <v>0.25</v>
      </c>
    </row>
    <row r="143" spans="1:12" ht="15.75" customHeight="1" x14ac:dyDescent="0.25">
      <c r="A143" s="92" t="s">
        <v>248</v>
      </c>
      <c r="B143" s="93"/>
      <c r="C143" s="65">
        <f ca="1">L144</f>
        <v>1</v>
      </c>
      <c r="D143" s="94">
        <f ca="1">((100/I140)*C143)/100</f>
        <v>1</v>
      </c>
      <c r="E143" s="94"/>
      <c r="F143" s="94">
        <f ca="1">(((C144/I140*10)+(40/(D140+G140+I140)*C145)+(7.5/(I140)*C146)+(7.5/(I140)*C147)+(10/I140*C148)+(10/I140*C149)+(5/I140*C150)+(5/I140*C151)+(5/I140*C152))/100)</f>
        <v>0.3</v>
      </c>
      <c r="G143" s="94"/>
      <c r="H143" s="94">
        <f ca="1">((((C143/I140)*20)+((C144/I140)*25)+(30/(I140+G140+D140)*C145)+(5/I140*C146)+(5/I140*C147)+(5/I140*C148)+(5/I140*C149)+(0/I140*C150)+(0/I140*C151)+(5/I140*C152))/100)</f>
        <v>0.6</v>
      </c>
      <c r="I143" s="94"/>
      <c r="J143" s="98"/>
      <c r="K143" s="58" t="s">
        <v>249</v>
      </c>
      <c r="L143" s="60">
        <f ca="1">I140*50%</f>
        <v>0.5</v>
      </c>
    </row>
    <row r="144" spans="1:12" ht="15.75" x14ac:dyDescent="0.25">
      <c r="A144" s="92" t="s">
        <v>70</v>
      </c>
      <c r="B144" s="93"/>
      <c r="C144" s="66">
        <f ca="1">L152</f>
        <v>1</v>
      </c>
      <c r="D144" s="94">
        <f ca="1">((100/I140)*C144)/100</f>
        <v>1</v>
      </c>
      <c r="E144" s="94"/>
      <c r="F144" s="94"/>
      <c r="G144" s="94"/>
      <c r="H144" s="94"/>
      <c r="I144" s="94"/>
      <c r="J144" s="98"/>
      <c r="K144" s="58" t="s">
        <v>250</v>
      </c>
      <c r="L144" s="60">
        <f ca="1">I140</f>
        <v>1</v>
      </c>
    </row>
    <row r="145" spans="1:12" ht="15.75" x14ac:dyDescent="0.25">
      <c r="A145" s="100" t="s">
        <v>251</v>
      </c>
      <c r="B145" s="101"/>
      <c r="C145" s="66">
        <v>1</v>
      </c>
      <c r="D145" s="94">
        <f ca="1">((100/(D140+G140+I140))*C145)/100</f>
        <v>0.5</v>
      </c>
      <c r="E145" s="94"/>
      <c r="F145" s="94"/>
      <c r="G145" s="94"/>
      <c r="H145" s="94"/>
      <c r="I145" s="94"/>
      <c r="J145" s="98"/>
      <c r="K145" s="58" t="s">
        <v>252</v>
      </c>
      <c r="L145" s="61">
        <f ca="1">(IF(B140&gt;1,(I140/(B140+2)),I140/4))</f>
        <v>0.25</v>
      </c>
    </row>
    <row r="146" spans="1:12" ht="15.75" customHeight="1" x14ac:dyDescent="0.25">
      <c r="A146" s="92" t="s">
        <v>253</v>
      </c>
      <c r="B146" s="93" t="s">
        <v>254</v>
      </c>
      <c r="C146" s="65">
        <v>0</v>
      </c>
      <c r="D146" s="94">
        <f ca="1">((100/I140)*C146)/100</f>
        <v>0</v>
      </c>
      <c r="E146" s="94"/>
      <c r="F146" s="94"/>
      <c r="G146" s="94"/>
      <c r="H146" s="94"/>
      <c r="I146" s="94"/>
      <c r="J146" s="98"/>
      <c r="K146" s="58" t="s">
        <v>255</v>
      </c>
      <c r="L146" s="61">
        <f ca="1">(IF(B140&gt;1,(I140/(B140+2)+L145),I140/4+L145))</f>
        <v>0.5</v>
      </c>
    </row>
    <row r="147" spans="1:12" ht="15.75" customHeight="1" x14ac:dyDescent="0.25">
      <c r="A147" s="92" t="s">
        <v>256</v>
      </c>
      <c r="B147" s="93" t="s">
        <v>254</v>
      </c>
      <c r="C147" s="65">
        <v>0</v>
      </c>
      <c r="D147" s="94">
        <f ca="1">((100/I140)*C147)/100</f>
        <v>0</v>
      </c>
      <c r="E147" s="94"/>
      <c r="F147" s="94"/>
      <c r="G147" s="94"/>
      <c r="H147" s="94"/>
      <c r="I147" s="94"/>
      <c r="J147" s="98"/>
      <c r="K147" s="58" t="s">
        <v>257</v>
      </c>
      <c r="L147" s="61">
        <f>(IF(B140&gt;1,(I140/(B140+2)+L146),0))</f>
        <v>0</v>
      </c>
    </row>
    <row r="148" spans="1:12" ht="15.75" customHeight="1" x14ac:dyDescent="0.25">
      <c r="A148" s="92" t="s">
        <v>258</v>
      </c>
      <c r="B148" s="93" t="s">
        <v>259</v>
      </c>
      <c r="C148" s="65">
        <v>0</v>
      </c>
      <c r="D148" s="94">
        <f ca="1">((100/(I140))*C148)/100</f>
        <v>0</v>
      </c>
      <c r="E148" s="94"/>
      <c r="F148" s="94"/>
      <c r="G148" s="94"/>
      <c r="H148" s="94"/>
      <c r="I148" s="94"/>
      <c r="J148" s="98"/>
      <c r="K148" s="58" t="s">
        <v>260</v>
      </c>
      <c r="L148" s="61">
        <f>(IF(B140&gt;2,(I140/(B140+2)+L147),0))</f>
        <v>0</v>
      </c>
    </row>
    <row r="149" spans="1:12" ht="15.75" customHeight="1" x14ac:dyDescent="0.25">
      <c r="A149" s="92" t="s">
        <v>261</v>
      </c>
      <c r="B149" s="93" t="s">
        <v>261</v>
      </c>
      <c r="C149" s="65">
        <v>0</v>
      </c>
      <c r="D149" s="94">
        <f ca="1">((100/I140)*C149)/100</f>
        <v>0</v>
      </c>
      <c r="E149" s="94"/>
      <c r="F149" s="94"/>
      <c r="G149" s="94"/>
      <c r="H149" s="94"/>
      <c r="I149" s="94"/>
      <c r="J149" s="98"/>
      <c r="K149" s="58" t="s">
        <v>262</v>
      </c>
      <c r="L149" s="62">
        <f>(IF(B140&gt;3,(I140/(B140+2)+L148),0))</f>
        <v>0</v>
      </c>
    </row>
    <row r="150" spans="1:12" ht="15" customHeight="1" x14ac:dyDescent="0.25">
      <c r="A150" s="92" t="s">
        <v>263</v>
      </c>
      <c r="B150" s="93"/>
      <c r="C150" s="65">
        <v>0</v>
      </c>
      <c r="D150" s="94">
        <f ca="1">((100/I140)*C150)/100</f>
        <v>0</v>
      </c>
      <c r="E150" s="94"/>
      <c r="F150" s="94"/>
      <c r="G150" s="94"/>
      <c r="H150" s="94"/>
      <c r="I150" s="94"/>
      <c r="J150" s="98"/>
      <c r="K150" s="58" t="s">
        <v>264</v>
      </c>
      <c r="L150" s="61">
        <f>(IF(B140&gt;4,(I140/(B140+2)+L149),0))</f>
        <v>0</v>
      </c>
    </row>
    <row r="151" spans="1:12" ht="15.75" customHeight="1" x14ac:dyDescent="0.25">
      <c r="A151" s="92" t="s">
        <v>265</v>
      </c>
      <c r="B151" s="93" t="s">
        <v>265</v>
      </c>
      <c r="C151" s="65">
        <v>0</v>
      </c>
      <c r="D151" s="94">
        <f ca="1">((100/(I140))*C151)/100</f>
        <v>0</v>
      </c>
      <c r="E151" s="94"/>
      <c r="F151" s="94"/>
      <c r="G151" s="94"/>
      <c r="H151" s="94"/>
      <c r="I151" s="94"/>
      <c r="J151" s="98"/>
      <c r="K151" s="58" t="s">
        <v>266</v>
      </c>
      <c r="L151" s="61">
        <f ca="1">(IF(B140=1,(I140/(B140+3)+L146),IF(B140=0,(I140/4+L146),IF(B140&gt;1,0))))</f>
        <v>0.75</v>
      </c>
    </row>
    <row r="152" spans="1:12" ht="16.5" customHeight="1" thickBot="1" x14ac:dyDescent="0.3">
      <c r="A152" s="95" t="s">
        <v>267</v>
      </c>
      <c r="B152" s="96"/>
      <c r="C152" s="70">
        <v>0</v>
      </c>
      <c r="D152" s="97">
        <f ca="1">((100/(I140))*C152)/100</f>
        <v>0</v>
      </c>
      <c r="E152" s="97"/>
      <c r="F152" s="97"/>
      <c r="G152" s="97"/>
      <c r="H152" s="97"/>
      <c r="I152" s="97"/>
      <c r="J152" s="99"/>
      <c r="K152" s="63" t="s">
        <v>268</v>
      </c>
      <c r="L152" s="64">
        <f ca="1">(IF(B140&gt;1.5,(I140/(B140+2)+L146+MAX(0,L147-L146)+MAX(0,L148-L147)+MAX(0,L149-L148)+MAX(0,L150-L149)+MAX(0,L151-L150)),IF(B140=1,(I140/(B140+3)+L151),IF(B140=0,I140/4+L151))))</f>
        <v>1</v>
      </c>
    </row>
    <row r="153" spans="1:12" ht="15" customHeight="1" x14ac:dyDescent="0.25">
      <c r="A153" s="102" t="s">
        <v>236</v>
      </c>
      <c r="B153" s="103"/>
      <c r="C153" s="104" t="s">
        <v>269</v>
      </c>
      <c r="D153" s="104"/>
      <c r="E153" s="104"/>
      <c r="F153" s="104"/>
      <c r="G153" s="104"/>
      <c r="H153" s="104"/>
      <c r="I153" s="104"/>
      <c r="J153" s="105"/>
      <c r="K153" s="54" t="str">
        <f ca="1">(IF(F157&gt;99%,"All work completed. Please provide OC.",IF(F157&gt;89.8%,"Plinth, RCC, Brick, Plaster, Flooring, Painting work Completed. Finishing work is in process.",IF(F157&lt;94%,(IF(C157=0,"Work not yet Started.",IF(D157=25%,"Piling work in process",IF(D157=50%,"Excavation work in process",IF(D157=100%,"Excavation work Completed. ","0")))&amp;(IF(C158=0%,"",IF(C158=L159,"Footing work is process",IF(C158=L160,"Footing work Completed",IF(C158=L161,"1st Basement Completed",IF(C158=L162,"1st &amp; 2nd Basement Completed",IF(C158=L163,"1st to 3rd Basement Completed",IF(C158=L164,"1st to 4th Basement Completed",IF(C158=L165,"Plinth work is process",IF(C158=L166,"Plinth work completed","0")))))))))))&amp;(IF(C159=(D154+G154+I154),", RCC Slab",IF(C159&gt;0,", RCC upto "&amp;C159&amp;" Slab",""))&amp;(IF(C160=I154,", Brickwork",IF(C160&gt;0,", Brickwork upto "&amp;C160&amp;" Floor",""))&amp;(IF(C161=I154,", Internal Plaster",IF(C161&gt;0,", Internal Plaster upto "&amp;C161&amp;" Floor",""))&amp;(IF(C162=I154,", External Plaster",IF(C162&gt;0,", External Plaster upto "&amp;C162&amp;" Floor",""))&amp;(IF(C163=I154,", Flooring",IF(C163&gt;0,", Flooring upto "&amp;C163&amp;" Floor",""))&amp;(IF(C164=I154,", Painting",IF(C164&gt;0,", Painting upto "&amp;C164&amp;" Floor",""))&amp;(IF(C165&gt;0,", Finishing upto "&amp;C165&amp;" Floor","")&amp;(IF(C159&gt;0.5," Completed",""))))))))))))))</f>
        <v>Plinth, RCC, Brick, Plaster, Flooring, Painting work Completed. Finishing work is in process.</v>
      </c>
      <c r="L153" s="55"/>
    </row>
    <row r="154" spans="1:12" ht="15" customHeight="1" x14ac:dyDescent="0.25">
      <c r="A154" s="69" t="s">
        <v>237</v>
      </c>
      <c r="B154" s="67">
        <v>0</v>
      </c>
      <c r="C154" s="67" t="s">
        <v>238</v>
      </c>
      <c r="D154" s="67">
        <v>1</v>
      </c>
      <c r="E154" s="101" t="s">
        <v>239</v>
      </c>
      <c r="F154" s="101"/>
      <c r="G154" s="67">
        <v>0</v>
      </c>
      <c r="H154" s="67" t="s">
        <v>240</v>
      </c>
      <c r="I154" s="101">
        <f ca="1">--TRIM(RIGHT(SUBSTITUTE(LEFT(C153,_xlfn.AGGREGATE(16,6,FIND({0,1,2,3,4,5,6,7,8,9},C153,ROW(INDIRECT("1:"&amp;LEN(C153)))),1))," ",REPT(" ",LEN(C153))),LEN(C153)))</f>
        <v>6</v>
      </c>
      <c r="J154" s="106"/>
      <c r="K154" s="56"/>
      <c r="L154" s="57"/>
    </row>
    <row r="155" spans="1:12" ht="33.75" customHeight="1" x14ac:dyDescent="0.25">
      <c r="A155" s="107" t="s">
        <v>241</v>
      </c>
      <c r="B155" s="108"/>
      <c r="C155" s="109" t="str">
        <f ca="1">K153</f>
        <v>Plinth, RCC, Brick, Plaster, Flooring, Painting work Completed. Finishing work is in process.</v>
      </c>
      <c r="D155" s="109"/>
      <c r="E155" s="109"/>
      <c r="F155" s="109"/>
      <c r="G155" s="109"/>
      <c r="H155" s="109"/>
      <c r="I155" s="109"/>
      <c r="J155" s="110"/>
      <c r="K155" s="56" t="s">
        <v>242</v>
      </c>
      <c r="L155" s="57"/>
    </row>
    <row r="156" spans="1:12" ht="15.75" customHeight="1" x14ac:dyDescent="0.25">
      <c r="A156" s="111" t="s">
        <v>69</v>
      </c>
      <c r="B156" s="112"/>
      <c r="C156" s="68" t="s">
        <v>243</v>
      </c>
      <c r="D156" s="112" t="s">
        <v>244</v>
      </c>
      <c r="E156" s="112"/>
      <c r="F156" s="112" t="s">
        <v>245</v>
      </c>
      <c r="G156" s="112"/>
      <c r="H156" s="112" t="s">
        <v>246</v>
      </c>
      <c r="I156" s="112"/>
      <c r="J156" s="113"/>
      <c r="K156" s="58" t="s">
        <v>247</v>
      </c>
      <c r="L156" s="59">
        <f ca="1">I154*25%</f>
        <v>1.5</v>
      </c>
    </row>
    <row r="157" spans="1:12" ht="15.75" customHeight="1" x14ac:dyDescent="0.25">
      <c r="A157" s="92" t="s">
        <v>248</v>
      </c>
      <c r="B157" s="93"/>
      <c r="C157" s="65">
        <v>6</v>
      </c>
      <c r="D157" s="94">
        <f ca="1">((100/I154)*C157)/100</f>
        <v>1</v>
      </c>
      <c r="E157" s="94"/>
      <c r="F157" s="94">
        <f ca="1">(((C158/I154*10)+(40/(D154+G154+I154)*C159)+(7.5/(I154)*C160)+(7.5/(I154)*C161)+(10/I154*C162)+(10/I154*C163)+(5/I154*C164)+(5/I154*C165)+(5/I154*C166))/100)</f>
        <v>0.90833333333333344</v>
      </c>
      <c r="G157" s="94"/>
      <c r="H157" s="94">
        <f ca="1">((((C157/I154)*20)+((C158/I154)*25)+(30/(I154+G154+D154)*C159)+(5/I154*C160)+(5/I154*C161)+(5/I154*C162)+(5/I154*C163)+(0/I154*C164)+(0/I154*C165)+(5/I154*C166))/100)</f>
        <v>0.95</v>
      </c>
      <c r="I157" s="94"/>
      <c r="J157" s="98"/>
      <c r="K157" s="58" t="s">
        <v>249</v>
      </c>
      <c r="L157" s="60">
        <f ca="1">I154*50%</f>
        <v>3</v>
      </c>
    </row>
    <row r="158" spans="1:12" ht="15.75" x14ac:dyDescent="0.25">
      <c r="A158" s="92" t="s">
        <v>70</v>
      </c>
      <c r="B158" s="93"/>
      <c r="C158" s="66">
        <v>6</v>
      </c>
      <c r="D158" s="94">
        <f ca="1">((100/I154)*C158)/100</f>
        <v>1</v>
      </c>
      <c r="E158" s="94"/>
      <c r="F158" s="94"/>
      <c r="G158" s="94"/>
      <c r="H158" s="94"/>
      <c r="I158" s="94"/>
      <c r="J158" s="98"/>
      <c r="K158" s="58" t="s">
        <v>250</v>
      </c>
      <c r="L158" s="60">
        <f ca="1">I154</f>
        <v>6</v>
      </c>
    </row>
    <row r="159" spans="1:12" ht="15.75" x14ac:dyDescent="0.25">
      <c r="A159" s="100" t="s">
        <v>251</v>
      </c>
      <c r="B159" s="101"/>
      <c r="C159" s="66">
        <v>7</v>
      </c>
      <c r="D159" s="94">
        <f ca="1">((100/(D154+G154+I154))*C159)/100</f>
        <v>1</v>
      </c>
      <c r="E159" s="94"/>
      <c r="F159" s="94"/>
      <c r="G159" s="94"/>
      <c r="H159" s="94"/>
      <c r="I159" s="94"/>
      <c r="J159" s="98"/>
      <c r="K159" s="58" t="s">
        <v>252</v>
      </c>
      <c r="L159" s="61">
        <f ca="1">(IF(B154&gt;1,(I154/(B154+2)),I154/4))</f>
        <v>1.5</v>
      </c>
    </row>
    <row r="160" spans="1:12" ht="15.75" customHeight="1" x14ac:dyDescent="0.25">
      <c r="A160" s="92" t="s">
        <v>253</v>
      </c>
      <c r="B160" s="93" t="s">
        <v>254</v>
      </c>
      <c r="C160" s="65">
        <v>6</v>
      </c>
      <c r="D160" s="94">
        <f ca="1">((100/I154)*C160)/100</f>
        <v>1</v>
      </c>
      <c r="E160" s="94"/>
      <c r="F160" s="94"/>
      <c r="G160" s="94"/>
      <c r="H160" s="94"/>
      <c r="I160" s="94"/>
      <c r="J160" s="98"/>
      <c r="K160" s="58" t="s">
        <v>255</v>
      </c>
      <c r="L160" s="61">
        <f ca="1">(IF(B154&gt;1,(I154/(B154+2)+L159),I154/4+L159))</f>
        <v>3</v>
      </c>
    </row>
    <row r="161" spans="1:13" ht="15.75" customHeight="1" x14ac:dyDescent="0.25">
      <c r="A161" s="92" t="s">
        <v>256</v>
      </c>
      <c r="B161" s="93" t="s">
        <v>254</v>
      </c>
      <c r="C161" s="65">
        <v>6</v>
      </c>
      <c r="D161" s="94">
        <f ca="1">((100/I154)*C161)/100</f>
        <v>1</v>
      </c>
      <c r="E161" s="94"/>
      <c r="F161" s="94"/>
      <c r="G161" s="94"/>
      <c r="H161" s="94"/>
      <c r="I161" s="94"/>
      <c r="J161" s="98"/>
      <c r="K161" s="58" t="s">
        <v>257</v>
      </c>
      <c r="L161" s="61">
        <f>(IF(B154&gt;1,(I154/(B154+2)+L160),0))</f>
        <v>0</v>
      </c>
    </row>
    <row r="162" spans="1:13" ht="15.75" customHeight="1" x14ac:dyDescent="0.25">
      <c r="A162" s="92" t="s">
        <v>258</v>
      </c>
      <c r="B162" s="93" t="s">
        <v>259</v>
      </c>
      <c r="C162" s="65">
        <v>6</v>
      </c>
      <c r="D162" s="94">
        <f ca="1">((100/(I154))*C162)/100</f>
        <v>1</v>
      </c>
      <c r="E162" s="94"/>
      <c r="F162" s="94"/>
      <c r="G162" s="94"/>
      <c r="H162" s="94"/>
      <c r="I162" s="94"/>
      <c r="J162" s="98"/>
      <c r="K162" s="58" t="s">
        <v>260</v>
      </c>
      <c r="L162" s="61">
        <f>(IF(B154&gt;2,(I154/(B154+2)+L161),0))</f>
        <v>0</v>
      </c>
    </row>
    <row r="163" spans="1:13" ht="15.75" customHeight="1" x14ac:dyDescent="0.25">
      <c r="A163" s="92" t="s">
        <v>261</v>
      </c>
      <c r="B163" s="93" t="s">
        <v>261</v>
      </c>
      <c r="C163" s="65">
        <v>6</v>
      </c>
      <c r="D163" s="94">
        <f ca="1">((100/I154)*C163)/100</f>
        <v>1</v>
      </c>
      <c r="E163" s="94"/>
      <c r="F163" s="94"/>
      <c r="G163" s="94"/>
      <c r="H163" s="94"/>
      <c r="I163" s="94"/>
      <c r="J163" s="98"/>
      <c r="K163" s="58" t="s">
        <v>262</v>
      </c>
      <c r="L163" s="62">
        <f>(IF(B154&gt;3,(I154/(B154+2)+L162),0))</f>
        <v>0</v>
      </c>
    </row>
    <row r="164" spans="1:13" ht="15" customHeight="1" x14ac:dyDescent="0.25">
      <c r="A164" s="92" t="s">
        <v>263</v>
      </c>
      <c r="B164" s="93"/>
      <c r="C164" s="65">
        <v>5</v>
      </c>
      <c r="D164" s="94">
        <f ca="1">((100/I154)*C164)/100</f>
        <v>0.83333333333333348</v>
      </c>
      <c r="E164" s="94"/>
      <c r="F164" s="94"/>
      <c r="G164" s="94"/>
      <c r="H164" s="94"/>
      <c r="I164" s="94"/>
      <c r="J164" s="98"/>
      <c r="K164" s="58" t="s">
        <v>264</v>
      </c>
      <c r="L164" s="61">
        <f>(IF(B154&gt;4,(I154/(B154+2)+L163),0))</f>
        <v>0</v>
      </c>
    </row>
    <row r="165" spans="1:13" ht="15.75" customHeight="1" x14ac:dyDescent="0.25">
      <c r="A165" s="92" t="s">
        <v>265</v>
      </c>
      <c r="B165" s="93" t="s">
        <v>265</v>
      </c>
      <c r="C165" s="65">
        <v>2</v>
      </c>
      <c r="D165" s="94">
        <f ca="1">((100/(I154))*C165)/100</f>
        <v>0.33333333333333337</v>
      </c>
      <c r="E165" s="94"/>
      <c r="F165" s="94"/>
      <c r="G165" s="94"/>
      <c r="H165" s="94"/>
      <c r="I165" s="94"/>
      <c r="J165" s="98"/>
      <c r="K165" s="58" t="s">
        <v>266</v>
      </c>
      <c r="L165" s="61">
        <f ca="1">(IF(B154=1,(I154/(B154+3)+L160),IF(B154=0,(I154/4+L160),IF(B154&gt;1,0))))</f>
        <v>4.5</v>
      </c>
    </row>
    <row r="166" spans="1:13" ht="16.5" customHeight="1" thickBot="1" x14ac:dyDescent="0.3">
      <c r="A166" s="95" t="s">
        <v>267</v>
      </c>
      <c r="B166" s="96"/>
      <c r="C166" s="70">
        <v>0</v>
      </c>
      <c r="D166" s="97">
        <f ca="1">((100/(I154))*C166)/100</f>
        <v>0</v>
      </c>
      <c r="E166" s="97"/>
      <c r="F166" s="97"/>
      <c r="G166" s="97"/>
      <c r="H166" s="97"/>
      <c r="I166" s="97"/>
      <c r="J166" s="99"/>
      <c r="K166" s="63" t="s">
        <v>268</v>
      </c>
      <c r="L166" s="64">
        <f ca="1">(IF(B154&gt;1.5,(I154/(B154+2)+L160+MAX(0,L161-L160)+MAX(0,L162-L161)+MAX(0,L163-L162)+MAX(0,L164-L163)+MAX(0,L165-L164)),IF(B154=1,(I154/(B154+3)+L165),IF(B154=0,I154/4+L165))))</f>
        <v>6</v>
      </c>
    </row>
    <row r="167" spans="1:13" x14ac:dyDescent="0.25">
      <c r="A167" s="228" t="s">
        <v>75</v>
      </c>
      <c r="B167" s="229"/>
      <c r="C167" s="229"/>
      <c r="D167" s="229"/>
      <c r="E167" s="229"/>
      <c r="F167" s="229"/>
      <c r="G167" s="229"/>
      <c r="H167" s="229"/>
      <c r="I167" s="229"/>
      <c r="J167" s="230"/>
    </row>
    <row r="168" spans="1:13" x14ac:dyDescent="0.25">
      <c r="A168" s="171" t="s">
        <v>76</v>
      </c>
      <c r="B168" s="87"/>
      <c r="C168" s="87"/>
      <c r="D168" s="87"/>
      <c r="E168" s="87"/>
      <c r="F168" s="87"/>
      <c r="G168" s="87"/>
      <c r="H168" s="87"/>
      <c r="I168" s="87"/>
      <c r="J168" s="88"/>
    </row>
    <row r="169" spans="1:13" ht="15" customHeight="1" x14ac:dyDescent="0.25">
      <c r="A169" s="192" t="s">
        <v>77</v>
      </c>
      <c r="B169" s="194"/>
      <c r="C169" s="237" t="s">
        <v>206</v>
      </c>
      <c r="D169" s="238"/>
      <c r="E169" s="238"/>
      <c r="F169" s="238"/>
      <c r="G169" s="238"/>
      <c r="H169" s="238"/>
      <c r="I169" s="238"/>
      <c r="J169" s="239"/>
    </row>
    <row r="170" spans="1:13" x14ac:dyDescent="0.25">
      <c r="A170" s="240" t="s">
        <v>78</v>
      </c>
      <c r="B170" s="241"/>
      <c r="C170" s="241"/>
      <c r="D170" s="241"/>
      <c r="E170" s="241"/>
      <c r="F170" s="241"/>
      <c r="G170" s="241"/>
      <c r="H170" s="241"/>
      <c r="I170" s="241"/>
      <c r="J170" s="242"/>
    </row>
    <row r="171" spans="1:13" ht="33" customHeight="1" x14ac:dyDescent="0.25">
      <c r="A171" s="86" t="s">
        <v>282</v>
      </c>
      <c r="B171" s="87"/>
      <c r="C171" s="87"/>
      <c r="D171" s="87"/>
      <c r="E171" s="87"/>
      <c r="F171" s="88"/>
      <c r="G171" s="89">
        <v>3300</v>
      </c>
      <c r="H171" s="90"/>
      <c r="I171" s="90"/>
      <c r="J171" s="91"/>
    </row>
    <row r="172" spans="1:13" ht="31.5" customHeight="1" x14ac:dyDescent="0.25">
      <c r="A172" s="86" t="s">
        <v>283</v>
      </c>
      <c r="B172" s="87"/>
      <c r="C172" s="87"/>
      <c r="D172" s="87"/>
      <c r="E172" s="87"/>
      <c r="F172" s="88"/>
      <c r="G172" s="189">
        <v>3800</v>
      </c>
      <c r="H172" s="190"/>
      <c r="I172" s="190"/>
      <c r="J172" s="191"/>
      <c r="K172" s="1" t="s">
        <v>284</v>
      </c>
    </row>
    <row r="173" spans="1:13" x14ac:dyDescent="0.25">
      <c r="A173" s="143" t="s">
        <v>79</v>
      </c>
      <c r="B173" s="144"/>
      <c r="C173" s="144"/>
      <c r="D173" s="144"/>
      <c r="E173" s="144"/>
      <c r="F173" s="145"/>
      <c r="G173" s="258">
        <v>6000</v>
      </c>
      <c r="H173" s="187"/>
      <c r="I173" s="187"/>
      <c r="J173" s="188"/>
    </row>
    <row r="174" spans="1:13" x14ac:dyDescent="0.25">
      <c r="A174" s="143" t="s">
        <v>188</v>
      </c>
      <c r="B174" s="144"/>
      <c r="C174" s="144"/>
      <c r="D174" s="144"/>
      <c r="E174" s="144"/>
      <c r="F174" s="145"/>
      <c r="G174" s="146" t="s">
        <v>191</v>
      </c>
      <c r="H174" s="147"/>
      <c r="I174" s="147"/>
      <c r="J174" s="148"/>
      <c r="L174" s="1">
        <f>100000/640</f>
        <v>156.25</v>
      </c>
      <c r="M174" s="1">
        <f>L174+L175+L176</f>
        <v>484.375</v>
      </c>
    </row>
    <row r="175" spans="1:13" x14ac:dyDescent="0.25">
      <c r="A175" s="143" t="s">
        <v>189</v>
      </c>
      <c r="B175" s="144"/>
      <c r="C175" s="144"/>
      <c r="D175" s="144"/>
      <c r="E175" s="144"/>
      <c r="F175" s="145"/>
      <c r="G175" s="146" t="s">
        <v>192</v>
      </c>
      <c r="H175" s="147"/>
      <c r="I175" s="147"/>
      <c r="J175" s="148"/>
      <c r="L175" s="1">
        <f>50000/640</f>
        <v>78.125</v>
      </c>
    </row>
    <row r="176" spans="1:13" x14ac:dyDescent="0.25">
      <c r="A176" s="143" t="s">
        <v>80</v>
      </c>
      <c r="B176" s="144"/>
      <c r="C176" s="144"/>
      <c r="D176" s="144"/>
      <c r="E176" s="144"/>
      <c r="F176" s="145"/>
      <c r="G176" s="146" t="s">
        <v>186</v>
      </c>
      <c r="H176" s="147"/>
      <c r="I176" s="147"/>
      <c r="J176" s="148"/>
      <c r="L176" s="1">
        <f>160000/640</f>
        <v>250</v>
      </c>
    </row>
    <row r="177" spans="1:10" x14ac:dyDescent="0.25">
      <c r="A177" s="143" t="s">
        <v>190</v>
      </c>
      <c r="B177" s="144"/>
      <c r="C177" s="144"/>
      <c r="D177" s="144"/>
      <c r="E177" s="144"/>
      <c r="F177" s="145"/>
      <c r="G177" s="146" t="s">
        <v>275</v>
      </c>
      <c r="H177" s="147"/>
      <c r="I177" s="147"/>
      <c r="J177" s="148"/>
    </row>
    <row r="178" spans="1:10" s="10" customFormat="1" ht="14.25" customHeight="1" x14ac:dyDescent="0.25">
      <c r="A178" s="210" t="s">
        <v>81</v>
      </c>
      <c r="B178" s="210"/>
      <c r="C178" s="210"/>
      <c r="D178" s="210"/>
      <c r="E178" s="210"/>
      <c r="F178" s="210"/>
      <c r="G178" s="259">
        <f>G172*0.8</f>
        <v>3040</v>
      </c>
      <c r="H178" s="259"/>
      <c r="I178" s="259"/>
      <c r="J178" s="259"/>
    </row>
    <row r="179" spans="1:10" s="11" customFormat="1" ht="15.75" customHeight="1" x14ac:dyDescent="0.25">
      <c r="A179" s="260" t="s">
        <v>184</v>
      </c>
      <c r="B179" s="260"/>
      <c r="C179" s="260"/>
      <c r="D179" s="260"/>
      <c r="E179" s="260"/>
      <c r="F179" s="260"/>
      <c r="G179" s="260"/>
      <c r="H179" s="260"/>
      <c r="I179" s="260"/>
      <c r="J179" s="260"/>
    </row>
    <row r="180" spans="1:10" s="11" customFormat="1" ht="15.75" customHeight="1" x14ac:dyDescent="0.25">
      <c r="A180" s="158" t="s">
        <v>82</v>
      </c>
      <c r="B180" s="158"/>
      <c r="C180" s="35" t="s">
        <v>207</v>
      </c>
      <c r="D180" s="268" t="s">
        <v>83</v>
      </c>
      <c r="E180" s="268"/>
      <c r="F180" s="268"/>
      <c r="G180" s="158" t="s">
        <v>84</v>
      </c>
      <c r="H180" s="158"/>
      <c r="I180" s="158"/>
      <c r="J180" s="158"/>
    </row>
    <row r="181" spans="1:10" s="11" customFormat="1" ht="15.75" x14ac:dyDescent="0.25">
      <c r="A181" s="159" t="s">
        <v>198</v>
      </c>
      <c r="B181" s="159"/>
      <c r="C181" s="34">
        <f>4*7</f>
        <v>28</v>
      </c>
      <c r="D181" s="269">
        <f>SUM(D199:E202)*7</f>
        <v>17116.616789999996</v>
      </c>
      <c r="E181" s="269"/>
      <c r="F181" s="269"/>
      <c r="G181" s="160">
        <f>SUM(G199:G202)*7</f>
        <v>32732</v>
      </c>
      <c r="H181" s="160"/>
      <c r="I181" s="160"/>
      <c r="J181" s="160"/>
    </row>
    <row r="182" spans="1:10" s="11" customFormat="1" ht="15.75" x14ac:dyDescent="0.25">
      <c r="A182" s="159" t="s">
        <v>210</v>
      </c>
      <c r="B182" s="159"/>
      <c r="C182" s="34">
        <f>4+8*7</f>
        <v>60</v>
      </c>
      <c r="D182" s="269">
        <f>SUM(D205:E208)+SUM(D211:E217)*7</f>
        <v>23328.741851999999</v>
      </c>
      <c r="E182" s="269"/>
      <c r="F182" s="269"/>
      <c r="G182" s="160">
        <v>38241.763326</v>
      </c>
      <c r="H182" s="160"/>
      <c r="I182" s="160"/>
      <c r="J182" s="160"/>
    </row>
    <row r="183" spans="1:10" s="11" customFormat="1" ht="15.75" x14ac:dyDescent="0.25">
      <c r="A183" s="159" t="s">
        <v>178</v>
      </c>
      <c r="B183" s="159"/>
      <c r="C183" s="34">
        <f>5+10*7</f>
        <v>75</v>
      </c>
      <c r="D183" s="269">
        <v>27045.050525999995</v>
      </c>
      <c r="E183" s="269"/>
      <c r="F183" s="269"/>
      <c r="G183" s="160">
        <v>39215.323262699996</v>
      </c>
      <c r="H183" s="160"/>
      <c r="I183" s="160"/>
      <c r="J183" s="160"/>
    </row>
    <row r="184" spans="1:10" s="11" customFormat="1" ht="15.75" x14ac:dyDescent="0.25">
      <c r="A184" s="159" t="s">
        <v>179</v>
      </c>
      <c r="B184" s="159"/>
      <c r="C184" s="34">
        <f>7+11*7</f>
        <v>84</v>
      </c>
      <c r="D184" s="269">
        <v>30743.636273999993</v>
      </c>
      <c r="E184" s="269"/>
      <c r="F184" s="269"/>
      <c r="G184" s="160">
        <v>44578.272597299991</v>
      </c>
      <c r="H184" s="160"/>
      <c r="I184" s="160"/>
      <c r="J184" s="160"/>
    </row>
    <row r="185" spans="1:10" s="11" customFormat="1" ht="15.75" x14ac:dyDescent="0.25">
      <c r="A185" s="166" t="s">
        <v>180</v>
      </c>
      <c r="B185" s="167"/>
      <c r="C185" s="34">
        <f>6+8*7</f>
        <v>62</v>
      </c>
      <c r="D185" s="262">
        <v>22294.795067999996</v>
      </c>
      <c r="E185" s="270"/>
      <c r="F185" s="271"/>
      <c r="G185" s="168">
        <v>32327.452848599998</v>
      </c>
      <c r="H185" s="169"/>
      <c r="I185" s="169"/>
      <c r="J185" s="170"/>
    </row>
    <row r="186" spans="1:10" s="11" customFormat="1" ht="15.75" x14ac:dyDescent="0.25">
      <c r="A186" s="166" t="s">
        <v>199</v>
      </c>
      <c r="B186" s="167"/>
      <c r="C186" s="34">
        <f>8</f>
        <v>8</v>
      </c>
      <c r="D186" s="262">
        <v>2741.418576</v>
      </c>
      <c r="E186" s="270"/>
      <c r="F186" s="271"/>
      <c r="G186" s="168">
        <v>4366.0592351999994</v>
      </c>
      <c r="H186" s="169"/>
      <c r="I186" s="169"/>
      <c r="J186" s="170"/>
    </row>
    <row r="187" spans="1:10" s="11" customFormat="1" ht="15.75" x14ac:dyDescent="0.25">
      <c r="A187" s="166" t="s">
        <v>182</v>
      </c>
      <c r="B187" s="167"/>
      <c r="C187" s="34">
        <f>11+12*7</f>
        <v>95</v>
      </c>
      <c r="D187" s="262">
        <v>27768.009203999994</v>
      </c>
      <c r="E187" s="270"/>
      <c r="F187" s="271"/>
      <c r="G187" s="168">
        <v>40263.613345799997</v>
      </c>
      <c r="H187" s="169"/>
      <c r="I187" s="169"/>
      <c r="J187" s="170"/>
    </row>
    <row r="188" spans="1:10" s="11" customFormat="1" ht="15.75" x14ac:dyDescent="0.25">
      <c r="A188" s="166" t="s">
        <v>183</v>
      </c>
      <c r="B188" s="167"/>
      <c r="C188" s="34">
        <f>11+12*6</f>
        <v>83</v>
      </c>
      <c r="D188" s="262">
        <v>24627.149351999993</v>
      </c>
      <c r="E188" s="270"/>
      <c r="F188" s="271"/>
      <c r="G188" s="168">
        <v>35709.366560399998</v>
      </c>
      <c r="H188" s="169"/>
      <c r="I188" s="169"/>
      <c r="J188" s="170"/>
    </row>
    <row r="189" spans="1:10" s="11" customFormat="1" ht="15.75" x14ac:dyDescent="0.25">
      <c r="A189" s="161" t="s">
        <v>86</v>
      </c>
      <c r="B189" s="162"/>
      <c r="C189" s="35">
        <f>SUM(C181:C188)</f>
        <v>495</v>
      </c>
      <c r="D189" s="272">
        <f>SUM(D181:F188)</f>
        <v>175665.41764199996</v>
      </c>
      <c r="E189" s="273"/>
      <c r="F189" s="274"/>
      <c r="G189" s="163">
        <f>SUM(G181:J188)</f>
        <v>267433.85117599997</v>
      </c>
      <c r="H189" s="164"/>
      <c r="I189" s="164"/>
      <c r="J189" s="165"/>
    </row>
    <row r="190" spans="1:10" s="11" customFormat="1" ht="15.75" customHeight="1" x14ac:dyDescent="0.25">
      <c r="A190" s="275" t="s">
        <v>185</v>
      </c>
      <c r="B190" s="276"/>
      <c r="C190" s="276"/>
      <c r="D190" s="276"/>
      <c r="E190" s="276"/>
      <c r="F190" s="276"/>
      <c r="G190" s="276"/>
      <c r="H190" s="276"/>
      <c r="I190" s="276"/>
      <c r="J190" s="277"/>
    </row>
    <row r="191" spans="1:10" s="11" customFormat="1" ht="15.75" x14ac:dyDescent="0.25">
      <c r="A191" s="163" t="s">
        <v>82</v>
      </c>
      <c r="B191" s="165"/>
      <c r="C191" s="265" t="s">
        <v>83</v>
      </c>
      <c r="D191" s="266"/>
      <c r="E191" s="266"/>
      <c r="F191" s="267"/>
      <c r="G191" s="163" t="s">
        <v>84</v>
      </c>
      <c r="H191" s="164"/>
      <c r="I191" s="164"/>
      <c r="J191" s="165"/>
    </row>
    <row r="192" spans="1:10" s="11" customFormat="1" ht="15.75" x14ac:dyDescent="0.25">
      <c r="A192" s="166" t="s">
        <v>181</v>
      </c>
      <c r="B192" s="261"/>
      <c r="C192" s="262">
        <v>3056.65308</v>
      </c>
      <c r="D192" s="263"/>
      <c r="E192" s="263"/>
      <c r="F192" s="264"/>
      <c r="G192" s="168">
        <v>4584.9796200000001</v>
      </c>
      <c r="H192" s="169"/>
      <c r="I192" s="169"/>
      <c r="J192" s="170"/>
    </row>
    <row r="193" spans="1:10" s="10" customFormat="1" ht="18.75" x14ac:dyDescent="0.25">
      <c r="A193" s="278" t="s">
        <v>87</v>
      </c>
      <c r="B193" s="279"/>
      <c r="C193" s="279"/>
      <c r="D193" s="279"/>
      <c r="E193" s="279"/>
      <c r="F193" s="279"/>
      <c r="G193" s="279"/>
      <c r="H193" s="279"/>
      <c r="I193" s="279"/>
      <c r="J193" s="280"/>
    </row>
    <row r="194" spans="1:10" ht="18.75" customHeight="1" x14ac:dyDescent="0.25">
      <c r="A194" s="281" t="s">
        <v>88</v>
      </c>
      <c r="B194" s="282"/>
      <c r="C194" s="282"/>
      <c r="D194" s="282"/>
      <c r="E194" s="282"/>
      <c r="F194" s="282"/>
      <c r="G194" s="282"/>
      <c r="H194" s="282"/>
      <c r="I194" s="282"/>
      <c r="J194" s="283"/>
    </row>
    <row r="195" spans="1:10" ht="54" customHeight="1" x14ac:dyDescent="0.25">
      <c r="A195" s="12" t="s">
        <v>200</v>
      </c>
      <c r="B195" s="12" t="s">
        <v>201</v>
      </c>
      <c r="C195" s="12" t="s">
        <v>89</v>
      </c>
      <c r="D195" s="154" t="s">
        <v>90</v>
      </c>
      <c r="E195" s="155"/>
      <c r="F195" s="13" t="s">
        <v>91</v>
      </c>
      <c r="G195" s="12" t="s">
        <v>92</v>
      </c>
      <c r="H195" s="12" t="s">
        <v>93</v>
      </c>
      <c r="I195" s="156" t="s">
        <v>94</v>
      </c>
      <c r="J195" s="157"/>
    </row>
    <row r="196" spans="1:10" s="14" customFormat="1" ht="16.5" x14ac:dyDescent="0.25">
      <c r="A196" s="123" t="s">
        <v>165</v>
      </c>
      <c r="B196" s="124"/>
      <c r="C196" s="124"/>
      <c r="D196" s="124"/>
      <c r="E196" s="124"/>
      <c r="F196" s="124"/>
      <c r="G196" s="124"/>
      <c r="H196" s="124"/>
      <c r="I196" s="124"/>
      <c r="J196" s="125"/>
    </row>
    <row r="197" spans="1:10" s="14" customFormat="1" ht="15.75" x14ac:dyDescent="0.25">
      <c r="A197" s="126" t="s">
        <v>203</v>
      </c>
      <c r="B197" s="127"/>
      <c r="C197" s="127"/>
      <c r="D197" s="127"/>
      <c r="E197" s="127"/>
      <c r="F197" s="127"/>
      <c r="G197" s="127"/>
      <c r="H197" s="127"/>
      <c r="I197" s="127"/>
      <c r="J197" s="128"/>
    </row>
    <row r="198" spans="1:10" s="14" customFormat="1" ht="15.75" x14ac:dyDescent="0.25">
      <c r="A198" s="126" t="s">
        <v>194</v>
      </c>
      <c r="B198" s="127"/>
      <c r="C198" s="127"/>
      <c r="D198" s="127"/>
      <c r="E198" s="127"/>
      <c r="F198" s="127"/>
      <c r="G198" s="127"/>
      <c r="H198" s="127"/>
      <c r="I198" s="127"/>
      <c r="J198" s="128"/>
    </row>
    <row r="199" spans="1:10" s="14" customFormat="1" ht="15.75" x14ac:dyDescent="0.25">
      <c r="A199" s="115">
        <v>1</v>
      </c>
      <c r="B199" s="116"/>
      <c r="C199" s="15" t="s">
        <v>166</v>
      </c>
      <c r="D199" s="115">
        <f>(46.59+1.2*3+0.75*2.4+0.3*2.45+0.3*1.8)*10.764</f>
        <v>573.34446000000003</v>
      </c>
      <c r="E199" s="116"/>
      <c r="F199" s="15">
        <v>0</v>
      </c>
      <c r="G199" s="15">
        <v>1169</v>
      </c>
      <c r="H199" s="15" t="s">
        <v>95</v>
      </c>
      <c r="I199" s="117" t="str">
        <f>A198</f>
        <v>1st to 7th Floor</v>
      </c>
      <c r="J199" s="118"/>
    </row>
    <row r="200" spans="1:10" s="14" customFormat="1" ht="15.75" x14ac:dyDescent="0.25">
      <c r="A200" s="115">
        <v>2</v>
      </c>
      <c r="B200" s="116"/>
      <c r="C200" s="15" t="s">
        <v>166</v>
      </c>
      <c r="D200" s="115">
        <f>(49.41+1.2*3+0.3*2.8+0.75*2.4+0.75*2.45+0.3*1.8)*10.764</f>
        <v>624.60800999999992</v>
      </c>
      <c r="E200" s="116"/>
      <c r="F200" s="15">
        <v>0</v>
      </c>
      <c r="G200" s="15">
        <v>1169</v>
      </c>
      <c r="H200" s="15" t="s">
        <v>95</v>
      </c>
      <c r="I200" s="119"/>
      <c r="J200" s="120"/>
    </row>
    <row r="201" spans="1:10" s="14" customFormat="1" ht="15.75" x14ac:dyDescent="0.25">
      <c r="A201" s="115">
        <v>3</v>
      </c>
      <c r="B201" s="116"/>
      <c r="C201" s="15" t="s">
        <v>166</v>
      </c>
      <c r="D201" s="115">
        <f>(49.32+1.2*3+2.8*0.3+0.75*2.4+0.75*2.45+0.3*1.8)*10.764</f>
        <v>623.63924999999995</v>
      </c>
      <c r="E201" s="116"/>
      <c r="F201" s="15">
        <v>0</v>
      </c>
      <c r="G201" s="15">
        <v>1169</v>
      </c>
      <c r="H201" s="15" t="s">
        <v>95</v>
      </c>
      <c r="I201" s="119"/>
      <c r="J201" s="120"/>
    </row>
    <row r="202" spans="1:10" s="14" customFormat="1" ht="15.75" x14ac:dyDescent="0.25">
      <c r="A202" s="115">
        <v>4</v>
      </c>
      <c r="B202" s="116"/>
      <c r="C202" s="15" t="s">
        <v>166</v>
      </c>
      <c r="D202" s="115">
        <f>(49.32+1.2*3+2.8*0.3+0.75*2.4+0.75*2.45+0.3*1.8)*10.764</f>
        <v>623.63924999999995</v>
      </c>
      <c r="E202" s="116"/>
      <c r="F202" s="15">
        <v>0</v>
      </c>
      <c r="G202" s="15">
        <v>1169</v>
      </c>
      <c r="H202" s="15" t="s">
        <v>95</v>
      </c>
      <c r="I202" s="121"/>
      <c r="J202" s="122"/>
    </row>
    <row r="203" spans="1:10" s="14" customFormat="1" ht="15.75" x14ac:dyDescent="0.25">
      <c r="A203" s="126" t="s">
        <v>211</v>
      </c>
      <c r="B203" s="127"/>
      <c r="C203" s="127"/>
      <c r="D203" s="127"/>
      <c r="E203" s="127"/>
      <c r="F203" s="127"/>
      <c r="G203" s="127"/>
      <c r="H203" s="127"/>
      <c r="I203" s="127"/>
      <c r="J203" s="128"/>
    </row>
    <row r="204" spans="1:10" s="14" customFormat="1" ht="15.75" x14ac:dyDescent="0.25">
      <c r="A204" s="126" t="s">
        <v>202</v>
      </c>
      <c r="B204" s="127"/>
      <c r="C204" s="127"/>
      <c r="D204" s="127"/>
      <c r="E204" s="127"/>
      <c r="F204" s="127"/>
      <c r="G204" s="127"/>
      <c r="H204" s="127"/>
      <c r="I204" s="127"/>
      <c r="J204" s="128"/>
    </row>
    <row r="205" spans="1:10" s="14" customFormat="1" ht="15.75" x14ac:dyDescent="0.25">
      <c r="A205" s="115">
        <v>2</v>
      </c>
      <c r="B205" s="116"/>
      <c r="C205" s="15" t="s">
        <v>167</v>
      </c>
      <c r="D205" s="115">
        <f>(34.32+1.2*2.75)*10.764</f>
        <v>404.94167999999996</v>
      </c>
      <c r="E205" s="116"/>
      <c r="F205" s="15">
        <v>0</v>
      </c>
      <c r="G205" s="15">
        <v>786</v>
      </c>
      <c r="H205" s="15" t="s">
        <v>95</v>
      </c>
      <c r="I205" s="117" t="s">
        <v>168</v>
      </c>
      <c r="J205" s="118"/>
    </row>
    <row r="206" spans="1:10" s="14" customFormat="1" ht="15.75" x14ac:dyDescent="0.25">
      <c r="A206" s="115">
        <v>4</v>
      </c>
      <c r="B206" s="116"/>
      <c r="C206" s="15" t="s">
        <v>167</v>
      </c>
      <c r="D206" s="115">
        <f>(33.96+1.2*2.75)*10.764</f>
        <v>401.06663999999995</v>
      </c>
      <c r="E206" s="116"/>
      <c r="F206" s="15">
        <v>0</v>
      </c>
      <c r="G206" s="15">
        <v>786</v>
      </c>
      <c r="H206" s="15" t="s">
        <v>95</v>
      </c>
      <c r="I206" s="119"/>
      <c r="J206" s="120"/>
    </row>
    <row r="207" spans="1:10" s="14" customFormat="1" ht="15.75" x14ac:dyDescent="0.25">
      <c r="A207" s="115">
        <v>6</v>
      </c>
      <c r="B207" s="116"/>
      <c r="C207" s="15" t="s">
        <v>167</v>
      </c>
      <c r="D207" s="115">
        <f>(33.96+1.2*2.75)*10.764</f>
        <v>401.06663999999995</v>
      </c>
      <c r="E207" s="116"/>
      <c r="F207" s="15">
        <v>0</v>
      </c>
      <c r="G207" s="15">
        <v>786</v>
      </c>
      <c r="H207" s="15" t="s">
        <v>95</v>
      </c>
      <c r="I207" s="119"/>
      <c r="J207" s="120"/>
    </row>
    <row r="208" spans="1:10" s="14" customFormat="1" ht="15.75" x14ac:dyDescent="0.25">
      <c r="A208" s="115">
        <v>8</v>
      </c>
      <c r="B208" s="116"/>
      <c r="C208" s="15" t="s">
        <v>167</v>
      </c>
      <c r="D208" s="115">
        <f>(34.11+1.2*2.75)*10.764</f>
        <v>402.68123999999995</v>
      </c>
      <c r="E208" s="116"/>
      <c r="F208" s="15">
        <v>0</v>
      </c>
      <c r="G208" s="15">
        <v>786</v>
      </c>
      <c r="H208" s="15" t="s">
        <v>95</v>
      </c>
      <c r="I208" s="121"/>
      <c r="J208" s="122"/>
    </row>
    <row r="209" spans="1:10" s="14" customFormat="1" ht="15.75" x14ac:dyDescent="0.25">
      <c r="A209" s="126" t="s">
        <v>194</v>
      </c>
      <c r="B209" s="127"/>
      <c r="C209" s="127"/>
      <c r="D209" s="127"/>
      <c r="E209" s="127"/>
      <c r="F209" s="127"/>
      <c r="G209" s="127"/>
      <c r="H209" s="127"/>
      <c r="I209" s="127"/>
      <c r="J209" s="128"/>
    </row>
    <row r="210" spans="1:10" s="14" customFormat="1" ht="15.75" customHeight="1" x14ac:dyDescent="0.25">
      <c r="A210" s="115">
        <v>1</v>
      </c>
      <c r="B210" s="116"/>
      <c r="C210" s="15" t="s">
        <v>167</v>
      </c>
      <c r="D210" s="115">
        <f>(33.61+1.2*2.75+0.3*2.75+0.75*1.8+0.25*2.1+0.3*2.67)*10.764</f>
        <v>434.98400399999997</v>
      </c>
      <c r="E210" s="116"/>
      <c r="F210" s="15">
        <v>0</v>
      </c>
      <c r="G210" s="15">
        <v>786</v>
      </c>
      <c r="H210" s="15" t="s">
        <v>95</v>
      </c>
      <c r="I210" s="117" t="str">
        <f>A209</f>
        <v>1st to 7th Floor</v>
      </c>
      <c r="J210" s="118"/>
    </row>
    <row r="211" spans="1:10" s="14" customFormat="1" ht="15.75" x14ac:dyDescent="0.25">
      <c r="A211" s="115">
        <v>2</v>
      </c>
      <c r="B211" s="116"/>
      <c r="C211" s="15" t="s">
        <v>167</v>
      </c>
      <c r="D211" s="115">
        <f>(32.07+1.2*2.75+0.3*2.75+0.3*1.8+0.3*2.1+0.75*2.67)*10.764</f>
        <v>423.75176999999996</v>
      </c>
      <c r="E211" s="116"/>
      <c r="F211" s="15">
        <v>0</v>
      </c>
      <c r="G211" s="15">
        <v>786</v>
      </c>
      <c r="H211" s="15" t="s">
        <v>95</v>
      </c>
      <c r="I211" s="119"/>
      <c r="J211" s="120"/>
    </row>
    <row r="212" spans="1:10" s="14" customFormat="1" ht="15.75" x14ac:dyDescent="0.25">
      <c r="A212" s="115">
        <v>3</v>
      </c>
      <c r="B212" s="116"/>
      <c r="C212" s="15" t="s">
        <v>167</v>
      </c>
      <c r="D212" s="115">
        <f>(34.33+1.2*2.75+0.3*2.75+0.3*1.8+0.3*2.1+0.75*2.67)*10.764</f>
        <v>448.07840999999996</v>
      </c>
      <c r="E212" s="116"/>
      <c r="F212" s="15">
        <v>0</v>
      </c>
      <c r="G212" s="15">
        <v>786</v>
      </c>
      <c r="H212" s="15" t="s">
        <v>95</v>
      </c>
      <c r="I212" s="119"/>
      <c r="J212" s="120"/>
    </row>
    <row r="213" spans="1:10" s="14" customFormat="1" ht="15.75" x14ac:dyDescent="0.25">
      <c r="A213" s="115">
        <v>4</v>
      </c>
      <c r="B213" s="116"/>
      <c r="C213" s="15" t="s">
        <v>167</v>
      </c>
      <c r="D213" s="115">
        <f>(34.33+1.2*2.75+0.3*2.75+0.3*1.8+0.3*2.1+0.75*2.67)*10.764</f>
        <v>448.07840999999996</v>
      </c>
      <c r="E213" s="116"/>
      <c r="F213" s="15">
        <v>0</v>
      </c>
      <c r="G213" s="15">
        <v>786</v>
      </c>
      <c r="H213" s="15" t="s">
        <v>95</v>
      </c>
      <c r="I213" s="121"/>
      <c r="J213" s="122"/>
    </row>
    <row r="214" spans="1:10" s="14" customFormat="1" ht="15.75" x14ac:dyDescent="0.25">
      <c r="A214" s="115">
        <v>5</v>
      </c>
      <c r="B214" s="116"/>
      <c r="C214" s="15" t="s">
        <v>167</v>
      </c>
      <c r="D214" s="115">
        <f>(34.33+1.2*2.75+0.3*2.75+0.3*1.8+0.3*2.1+0.75*2.67)*10.764</f>
        <v>448.07840999999996</v>
      </c>
      <c r="E214" s="116"/>
      <c r="F214" s="15">
        <v>0</v>
      </c>
      <c r="G214" s="15">
        <v>786</v>
      </c>
      <c r="H214" s="15" t="s">
        <v>95</v>
      </c>
      <c r="I214" s="117" t="str">
        <f>I210</f>
        <v>1st to 7th Floor</v>
      </c>
      <c r="J214" s="118"/>
    </row>
    <row r="215" spans="1:10" s="14" customFormat="1" ht="15.75" x14ac:dyDescent="0.25">
      <c r="A215" s="115">
        <v>6</v>
      </c>
      <c r="B215" s="116"/>
      <c r="C215" s="15" t="s">
        <v>167</v>
      </c>
      <c r="D215" s="115">
        <f>(34.33+1.2*2.75+0.3*2.75+0.3*1.8+0.3*2.1+0.75*2.67)*10.764</f>
        <v>448.07840999999996</v>
      </c>
      <c r="E215" s="116"/>
      <c r="F215" s="15">
        <v>0</v>
      </c>
      <c r="G215" s="15">
        <v>786</v>
      </c>
      <c r="H215" s="15" t="s">
        <v>95</v>
      </c>
      <c r="I215" s="119"/>
      <c r="J215" s="120"/>
    </row>
    <row r="216" spans="1:10" s="14" customFormat="1" ht="15.75" x14ac:dyDescent="0.25">
      <c r="A216" s="115">
        <v>7</v>
      </c>
      <c r="B216" s="116"/>
      <c r="C216" s="15" t="s">
        <v>167</v>
      </c>
      <c r="D216" s="115">
        <f>(34.52+1.2*2.75+0.3*2.75+0.3*1.8+0.3*2.1+0.75*2.23)*10.764</f>
        <v>446.57145000000003</v>
      </c>
      <c r="E216" s="116"/>
      <c r="F216" s="15">
        <v>0</v>
      </c>
      <c r="G216" s="15">
        <v>786</v>
      </c>
      <c r="H216" s="15" t="s">
        <v>95</v>
      </c>
      <c r="I216" s="119"/>
      <c r="J216" s="120"/>
    </row>
    <row r="217" spans="1:10" s="14" customFormat="1" ht="15.75" x14ac:dyDescent="0.25">
      <c r="A217" s="115">
        <v>8</v>
      </c>
      <c r="B217" s="116"/>
      <c r="C217" s="15" t="s">
        <v>167</v>
      </c>
      <c r="D217" s="115">
        <f>(34.11+0.3*2.75+1.2*2.75+0.75*1.8+0.3*2.1+0.3*2.23)*10.764</f>
        <v>440.07537599999995</v>
      </c>
      <c r="E217" s="116"/>
      <c r="F217" s="15">
        <v>0</v>
      </c>
      <c r="G217" s="15">
        <v>786</v>
      </c>
      <c r="H217" s="15" t="s">
        <v>95</v>
      </c>
      <c r="I217" s="121"/>
      <c r="J217" s="122"/>
    </row>
    <row r="218" spans="1:10" s="14" customFormat="1" ht="16.5" x14ac:dyDescent="0.25">
      <c r="A218" s="153" t="s">
        <v>169</v>
      </c>
      <c r="B218" s="153"/>
      <c r="C218" s="153"/>
      <c r="D218" s="153"/>
      <c r="E218" s="153"/>
      <c r="F218" s="153"/>
      <c r="G218" s="153"/>
      <c r="H218" s="153"/>
      <c r="I218" s="153"/>
      <c r="J218" s="153"/>
    </row>
    <row r="219" spans="1:10" s="14" customFormat="1" ht="15.75" x14ac:dyDescent="0.25">
      <c r="A219" s="152" t="s">
        <v>202</v>
      </c>
      <c r="B219" s="152"/>
      <c r="C219" s="152"/>
      <c r="D219" s="152"/>
      <c r="E219" s="152"/>
      <c r="F219" s="152"/>
      <c r="G219" s="152"/>
      <c r="H219" s="152"/>
      <c r="I219" s="152"/>
      <c r="J219" s="152"/>
    </row>
    <row r="220" spans="1:10" s="14" customFormat="1" ht="15.75" x14ac:dyDescent="0.25">
      <c r="A220" s="114">
        <v>2</v>
      </c>
      <c r="B220" s="114"/>
      <c r="C220" s="15" t="s">
        <v>170</v>
      </c>
      <c r="D220" s="114">
        <f>(26.21+1.1*2.45+2.67)*10.764</f>
        <v>339.87330000000003</v>
      </c>
      <c r="E220" s="114"/>
      <c r="F220" s="15">
        <v>0</v>
      </c>
      <c r="G220" s="15">
        <v>640</v>
      </c>
      <c r="H220" s="15" t="s">
        <v>95</v>
      </c>
      <c r="I220" s="114" t="s">
        <v>168</v>
      </c>
      <c r="J220" s="114"/>
    </row>
    <row r="221" spans="1:10" s="14" customFormat="1" ht="15.75" x14ac:dyDescent="0.25">
      <c r="A221" s="114">
        <v>4</v>
      </c>
      <c r="B221" s="114"/>
      <c r="C221" s="15" t="s">
        <v>170</v>
      </c>
      <c r="D221" s="114">
        <f>(26.21+2.67+1.1*2.45)*10.764</f>
        <v>339.87330000000003</v>
      </c>
      <c r="E221" s="114"/>
      <c r="F221" s="15">
        <v>0</v>
      </c>
      <c r="G221" s="15">
        <v>640</v>
      </c>
      <c r="H221" s="15" t="s">
        <v>95</v>
      </c>
      <c r="I221" s="114"/>
      <c r="J221" s="114"/>
    </row>
    <row r="222" spans="1:10" s="14" customFormat="1" ht="15.75" x14ac:dyDescent="0.25">
      <c r="A222" s="114">
        <v>6</v>
      </c>
      <c r="B222" s="114"/>
      <c r="C222" s="15" t="s">
        <v>170</v>
      </c>
      <c r="D222" s="114">
        <f>(26.21+2.67+1.1*2.45)*10.764</f>
        <v>339.87330000000003</v>
      </c>
      <c r="E222" s="114"/>
      <c r="F222" s="15">
        <v>0</v>
      </c>
      <c r="G222" s="15">
        <v>640</v>
      </c>
      <c r="H222" s="15" t="s">
        <v>95</v>
      </c>
      <c r="I222" s="114"/>
      <c r="J222" s="114"/>
    </row>
    <row r="223" spans="1:10" s="14" customFormat="1" ht="15.75" x14ac:dyDescent="0.25">
      <c r="A223" s="114">
        <v>7</v>
      </c>
      <c r="B223" s="114"/>
      <c r="C223" s="15" t="s">
        <v>170</v>
      </c>
      <c r="D223" s="114">
        <f>(28.51+1.1*2.45)*10.764</f>
        <v>335.89062000000001</v>
      </c>
      <c r="E223" s="114"/>
      <c r="F223" s="15">
        <v>0</v>
      </c>
      <c r="G223" s="15">
        <v>640</v>
      </c>
      <c r="H223" s="15" t="s">
        <v>95</v>
      </c>
      <c r="I223" s="114"/>
      <c r="J223" s="114"/>
    </row>
    <row r="224" spans="1:10" s="14" customFormat="1" ht="15.75" x14ac:dyDescent="0.25">
      <c r="A224" s="114">
        <v>8</v>
      </c>
      <c r="B224" s="114"/>
      <c r="C224" s="15" t="s">
        <v>170</v>
      </c>
      <c r="D224" s="114">
        <f>(26.21+1.1*2.45+2.67)*10.764</f>
        <v>339.87330000000003</v>
      </c>
      <c r="E224" s="114"/>
      <c r="F224" s="15">
        <v>0</v>
      </c>
      <c r="G224" s="15">
        <v>640</v>
      </c>
      <c r="H224" s="15" t="s">
        <v>95</v>
      </c>
      <c r="I224" s="114"/>
      <c r="J224" s="114"/>
    </row>
    <row r="225" spans="1:10" s="14" customFormat="1" ht="15.75" x14ac:dyDescent="0.25">
      <c r="A225" s="126" t="s">
        <v>194</v>
      </c>
      <c r="B225" s="127"/>
      <c r="C225" s="127"/>
      <c r="D225" s="127"/>
      <c r="E225" s="127"/>
      <c r="F225" s="127"/>
      <c r="G225" s="127"/>
      <c r="H225" s="127"/>
      <c r="I225" s="127"/>
      <c r="J225" s="128"/>
    </row>
    <row r="226" spans="1:10" s="14" customFormat="1" ht="15.75" x14ac:dyDescent="0.25">
      <c r="A226" s="115">
        <v>1</v>
      </c>
      <c r="B226" s="116"/>
      <c r="C226" s="15" t="s">
        <v>170</v>
      </c>
      <c r="D226" s="115">
        <f>(28.06+1.1*2.45+0.3*2.45+0.75*1.8+0.3*2.67)*10.764</f>
        <v>362.11172399999998</v>
      </c>
      <c r="E226" s="116"/>
      <c r="F226" s="15">
        <v>0</v>
      </c>
      <c r="G226" s="15">
        <v>640</v>
      </c>
      <c r="H226" s="15" t="s">
        <v>95</v>
      </c>
      <c r="I226" s="117" t="str">
        <f>A225</f>
        <v>1st to 7th Floor</v>
      </c>
      <c r="J226" s="118"/>
    </row>
    <row r="227" spans="1:10" s="14" customFormat="1" ht="15.75" x14ac:dyDescent="0.25">
      <c r="A227" s="115">
        <v>2</v>
      </c>
      <c r="B227" s="116"/>
      <c r="C227" s="15" t="s">
        <v>170</v>
      </c>
      <c r="D227" s="115">
        <f>(28.49+1.1*2.45+0.3*2.45+0.75*1.8+0.3*2.67)*10.764</f>
        <v>366.74024399999996</v>
      </c>
      <c r="E227" s="116"/>
      <c r="F227" s="15">
        <v>0</v>
      </c>
      <c r="G227" s="15">
        <v>640</v>
      </c>
      <c r="H227" s="15" t="s">
        <v>95</v>
      </c>
      <c r="I227" s="119"/>
      <c r="J227" s="120"/>
    </row>
    <row r="228" spans="1:10" s="14" customFormat="1" ht="15.75" x14ac:dyDescent="0.25">
      <c r="A228" s="115">
        <v>3</v>
      </c>
      <c r="B228" s="116"/>
      <c r="C228" s="15" t="s">
        <v>170</v>
      </c>
      <c r="D228" s="115">
        <f>(28.9+1.1*2.45+0.3*2.45+0.75*1.8+0.75*2.67)*10.764</f>
        <v>384.08642999999995</v>
      </c>
      <c r="E228" s="116"/>
      <c r="F228" s="15">
        <v>0</v>
      </c>
      <c r="G228" s="15">
        <v>640</v>
      </c>
      <c r="H228" s="15" t="s">
        <v>95</v>
      </c>
      <c r="I228" s="119"/>
      <c r="J228" s="120"/>
    </row>
    <row r="229" spans="1:10" s="14" customFormat="1" ht="15.75" x14ac:dyDescent="0.25">
      <c r="A229" s="115">
        <v>4</v>
      </c>
      <c r="B229" s="116"/>
      <c r="C229" s="15" t="s">
        <v>170</v>
      </c>
      <c r="D229" s="115">
        <f>(28.49+1.1*2.45+0.3*2.45+0.75*1.8+0.3*2.67)*10.764</f>
        <v>366.74024399999996</v>
      </c>
      <c r="E229" s="116"/>
      <c r="F229" s="15">
        <v>0</v>
      </c>
      <c r="G229" s="15">
        <v>640</v>
      </c>
      <c r="H229" s="15" t="s">
        <v>95</v>
      </c>
      <c r="I229" s="119"/>
      <c r="J229" s="120"/>
    </row>
    <row r="230" spans="1:10" s="14" customFormat="1" ht="15.75" x14ac:dyDescent="0.25">
      <c r="A230" s="115">
        <v>5</v>
      </c>
      <c r="B230" s="116"/>
      <c r="C230" s="15" t="s">
        <v>170</v>
      </c>
      <c r="D230" s="115">
        <f>(28.9+1.1*2.45+0.3*2.45+0.75*1.8+0.75*2.67)*10.764</f>
        <v>384.08642999999995</v>
      </c>
      <c r="E230" s="116"/>
      <c r="F230" s="15">
        <v>0</v>
      </c>
      <c r="G230" s="15">
        <v>640</v>
      </c>
      <c r="H230" s="15" t="s">
        <v>95</v>
      </c>
      <c r="I230" s="119"/>
      <c r="J230" s="120"/>
    </row>
    <row r="231" spans="1:10" s="14" customFormat="1" ht="15.75" x14ac:dyDescent="0.25">
      <c r="A231" s="115">
        <v>6</v>
      </c>
      <c r="B231" s="116"/>
      <c r="C231" s="15" t="s">
        <v>170</v>
      </c>
      <c r="D231" s="115">
        <f>(28.49+0.3*2.45+1.1*2.45+0.75*1.8+0.3*2.67)*10.764</f>
        <v>366.74024399999996</v>
      </c>
      <c r="E231" s="116"/>
      <c r="F231" s="15">
        <v>0</v>
      </c>
      <c r="G231" s="15">
        <v>640</v>
      </c>
      <c r="H231" s="15" t="s">
        <v>95</v>
      </c>
      <c r="I231" s="119"/>
      <c r="J231" s="120"/>
    </row>
    <row r="232" spans="1:10" s="14" customFormat="1" ht="15.75" x14ac:dyDescent="0.25">
      <c r="A232" s="15">
        <v>9</v>
      </c>
      <c r="B232" s="15">
        <v>7</v>
      </c>
      <c r="C232" s="15" t="s">
        <v>170</v>
      </c>
      <c r="D232" s="115">
        <f>(28.9+0.3*2.45+1.1*2.45+0.75*1.8+0.75*2.67)*10.764</f>
        <v>384.08642999999995</v>
      </c>
      <c r="E232" s="116"/>
      <c r="F232" s="15">
        <v>0</v>
      </c>
      <c r="G232" s="15">
        <v>640</v>
      </c>
      <c r="H232" s="15" t="s">
        <v>95</v>
      </c>
      <c r="I232" s="119"/>
      <c r="J232" s="120"/>
    </row>
    <row r="233" spans="1:10" s="14" customFormat="1" ht="15.75" x14ac:dyDescent="0.25">
      <c r="A233" s="15">
        <v>7</v>
      </c>
      <c r="B233" s="15">
        <v>8</v>
      </c>
      <c r="C233" s="15" t="s">
        <v>170</v>
      </c>
      <c r="D233" s="115">
        <f>(28.49+1.1*2.45+0.3*2.45+0.75*1.8+0.3*2.67)*10.764</f>
        <v>366.74024399999996</v>
      </c>
      <c r="E233" s="116"/>
      <c r="F233" s="15">
        <v>0</v>
      </c>
      <c r="G233" s="15">
        <v>640</v>
      </c>
      <c r="H233" s="15" t="s">
        <v>95</v>
      </c>
      <c r="I233" s="119"/>
      <c r="J233" s="120"/>
    </row>
    <row r="234" spans="1:10" s="14" customFormat="1" ht="15.75" x14ac:dyDescent="0.25">
      <c r="A234" s="15">
        <v>8</v>
      </c>
      <c r="B234" s="15">
        <v>9</v>
      </c>
      <c r="C234" s="15" t="s">
        <v>170</v>
      </c>
      <c r="D234" s="115">
        <f>(24.96+1.1*2.45+0.3*2.45+0.3*1.8+0.3*2.67)*10.764</f>
        <v>320.02448399999997</v>
      </c>
      <c r="E234" s="116"/>
      <c r="F234" s="15">
        <v>0</v>
      </c>
      <c r="G234" s="15">
        <v>640</v>
      </c>
      <c r="H234" s="15" t="s">
        <v>95</v>
      </c>
      <c r="I234" s="119"/>
      <c r="J234" s="120"/>
    </row>
    <row r="235" spans="1:10" s="14" customFormat="1" ht="15.75" x14ac:dyDescent="0.25">
      <c r="A235" s="15">
        <v>10</v>
      </c>
      <c r="B235" s="15">
        <v>10</v>
      </c>
      <c r="C235" s="15" t="s">
        <v>170</v>
      </c>
      <c r="D235" s="115">
        <f>(24.96+1.1*2.45+0.3*2.45+0.3*1.8+0.3*2.67)*10.764</f>
        <v>320.02448399999997</v>
      </c>
      <c r="E235" s="116"/>
      <c r="F235" s="15">
        <v>0</v>
      </c>
      <c r="G235" s="15">
        <v>640</v>
      </c>
      <c r="H235" s="15" t="s">
        <v>95</v>
      </c>
      <c r="I235" s="121"/>
      <c r="J235" s="122"/>
    </row>
    <row r="236" spans="1:10" s="14" customFormat="1" ht="16.5" x14ac:dyDescent="0.25">
      <c r="A236" s="123" t="s">
        <v>171</v>
      </c>
      <c r="B236" s="124"/>
      <c r="C236" s="124"/>
      <c r="D236" s="124"/>
      <c r="E236" s="124"/>
      <c r="F236" s="124"/>
      <c r="G236" s="124"/>
      <c r="H236" s="124"/>
      <c r="I236" s="124"/>
      <c r="J236" s="125"/>
    </row>
    <row r="237" spans="1:10" s="14" customFormat="1" ht="15.75" x14ac:dyDescent="0.25">
      <c r="A237" s="126" t="s">
        <v>202</v>
      </c>
      <c r="B237" s="127"/>
      <c r="C237" s="127"/>
      <c r="D237" s="127"/>
      <c r="E237" s="127"/>
      <c r="F237" s="127"/>
      <c r="G237" s="127"/>
      <c r="H237" s="127"/>
      <c r="I237" s="127"/>
      <c r="J237" s="128"/>
    </row>
    <row r="238" spans="1:10" s="14" customFormat="1" ht="15.75" x14ac:dyDescent="0.25">
      <c r="A238" s="115">
        <v>2</v>
      </c>
      <c r="B238" s="116"/>
      <c r="C238" s="15" t="s">
        <v>170</v>
      </c>
      <c r="D238" s="115">
        <f>(26.21+2.45+2.67)*10.764</f>
        <v>337.23611999999997</v>
      </c>
      <c r="E238" s="116"/>
      <c r="F238" s="15">
        <v>0</v>
      </c>
      <c r="G238" s="15">
        <v>640</v>
      </c>
      <c r="H238" s="15" t="s">
        <v>95</v>
      </c>
      <c r="I238" s="117" t="s">
        <v>168</v>
      </c>
      <c r="J238" s="118"/>
    </row>
    <row r="239" spans="1:10" s="14" customFormat="1" ht="15.75" x14ac:dyDescent="0.25">
      <c r="A239" s="115">
        <v>4</v>
      </c>
      <c r="B239" s="116"/>
      <c r="C239" s="15" t="s">
        <v>170</v>
      </c>
      <c r="D239" s="115">
        <f>(26.21+1.1*2.45+2.67)*10.764</f>
        <v>339.87330000000003</v>
      </c>
      <c r="E239" s="116"/>
      <c r="F239" s="15">
        <v>0</v>
      </c>
      <c r="G239" s="15">
        <v>640</v>
      </c>
      <c r="H239" s="15" t="s">
        <v>95</v>
      </c>
      <c r="I239" s="119"/>
      <c r="J239" s="120"/>
    </row>
    <row r="240" spans="1:10" s="14" customFormat="1" ht="15.75" x14ac:dyDescent="0.25">
      <c r="A240" s="115">
        <v>5</v>
      </c>
      <c r="B240" s="116"/>
      <c r="C240" s="15" t="s">
        <v>170</v>
      </c>
      <c r="D240" s="115">
        <f>(28.96+1.1*2.45)*10.764</f>
        <v>340.73442</v>
      </c>
      <c r="E240" s="116"/>
      <c r="F240" s="15">
        <v>0</v>
      </c>
      <c r="G240" s="15">
        <v>640</v>
      </c>
      <c r="H240" s="15" t="s">
        <v>95</v>
      </c>
      <c r="I240" s="119"/>
      <c r="J240" s="120"/>
    </row>
    <row r="241" spans="1:10" s="14" customFormat="1" ht="15.75" x14ac:dyDescent="0.25">
      <c r="A241" s="115">
        <v>6</v>
      </c>
      <c r="B241" s="116"/>
      <c r="C241" s="15" t="s">
        <v>170</v>
      </c>
      <c r="D241" s="115">
        <f>(26.21+2.67+1.1*2.45)*10.764</f>
        <v>339.87330000000003</v>
      </c>
      <c r="E241" s="116"/>
      <c r="F241" s="15">
        <v>0</v>
      </c>
      <c r="G241" s="15">
        <v>640</v>
      </c>
      <c r="H241" s="15" t="s">
        <v>95</v>
      </c>
      <c r="I241" s="119"/>
      <c r="J241" s="120"/>
    </row>
    <row r="242" spans="1:10" s="14" customFormat="1" ht="15.75" x14ac:dyDescent="0.25">
      <c r="A242" s="115">
        <v>7</v>
      </c>
      <c r="B242" s="116"/>
      <c r="C242" s="15" t="s">
        <v>170</v>
      </c>
      <c r="D242" s="115">
        <f>(26.21+2.45*1.1+2.67)*10.764</f>
        <v>339.87330000000003</v>
      </c>
      <c r="E242" s="116"/>
      <c r="F242" s="15">
        <v>0</v>
      </c>
      <c r="G242" s="15">
        <v>640</v>
      </c>
      <c r="H242" s="15" t="s">
        <v>95</v>
      </c>
      <c r="I242" s="119"/>
      <c r="J242" s="120"/>
    </row>
    <row r="243" spans="1:10" s="14" customFormat="1" ht="15.75" x14ac:dyDescent="0.25">
      <c r="A243" s="115">
        <v>8</v>
      </c>
      <c r="B243" s="116"/>
      <c r="C243" s="15" t="s">
        <v>170</v>
      </c>
      <c r="D243" s="115">
        <f>(24.59+1.1*2.45+1.8+2.67)*10.764</f>
        <v>341.81082000000004</v>
      </c>
      <c r="E243" s="116"/>
      <c r="F243" s="15">
        <v>0</v>
      </c>
      <c r="G243" s="15">
        <v>640</v>
      </c>
      <c r="H243" s="15" t="s">
        <v>95</v>
      </c>
      <c r="I243" s="119"/>
      <c r="J243" s="120"/>
    </row>
    <row r="244" spans="1:10" s="14" customFormat="1" ht="15.75" x14ac:dyDescent="0.25">
      <c r="A244" s="115">
        <v>9</v>
      </c>
      <c r="B244" s="116"/>
      <c r="C244" s="15" t="s">
        <v>167</v>
      </c>
      <c r="D244" s="115">
        <f>(39.89+1.1*3)*10.764</f>
        <v>464.89715999999993</v>
      </c>
      <c r="E244" s="116"/>
      <c r="F244" s="15">
        <v>0</v>
      </c>
      <c r="G244" s="15">
        <v>786</v>
      </c>
      <c r="H244" s="15" t="s">
        <v>95</v>
      </c>
      <c r="I244" s="121"/>
      <c r="J244" s="122"/>
    </row>
    <row r="245" spans="1:10" s="14" customFormat="1" ht="15.75" x14ac:dyDescent="0.25">
      <c r="A245" s="126" t="s">
        <v>194</v>
      </c>
      <c r="B245" s="127"/>
      <c r="C245" s="127"/>
      <c r="D245" s="127"/>
      <c r="E245" s="127"/>
      <c r="F245" s="127"/>
      <c r="G245" s="127"/>
      <c r="H245" s="127"/>
      <c r="I245" s="127"/>
      <c r="J245" s="128"/>
    </row>
    <row r="246" spans="1:10" s="14" customFormat="1" ht="15.75" customHeight="1" x14ac:dyDescent="0.25">
      <c r="A246" s="115">
        <v>1</v>
      </c>
      <c r="B246" s="116"/>
      <c r="C246" s="15" t="s">
        <v>170</v>
      </c>
      <c r="D246" s="115">
        <f>(28.06+1.1*2.45+0.3*2.45+1.8*0.75+2.67*0.3)*10.764</f>
        <v>362.11172399999998</v>
      </c>
      <c r="E246" s="116"/>
      <c r="F246" s="15">
        <v>0</v>
      </c>
      <c r="G246" s="15">
        <v>640</v>
      </c>
      <c r="H246" s="15" t="s">
        <v>95</v>
      </c>
      <c r="I246" s="117" t="str">
        <f>A245</f>
        <v>1st to 7th Floor</v>
      </c>
      <c r="J246" s="118"/>
    </row>
    <row r="247" spans="1:10" s="14" customFormat="1" ht="15.75" x14ac:dyDescent="0.25">
      <c r="A247" s="115">
        <v>2</v>
      </c>
      <c r="B247" s="116"/>
      <c r="C247" s="15" t="s">
        <v>170</v>
      </c>
      <c r="D247" s="115">
        <f>(28.49+1.1*2.45+0.3*2.45+0.75*1.8+0.3*2.67)*10.764</f>
        <v>366.74024399999996</v>
      </c>
      <c r="E247" s="116"/>
      <c r="F247" s="15">
        <v>0</v>
      </c>
      <c r="G247" s="15">
        <v>640</v>
      </c>
      <c r="H247" s="15" t="s">
        <v>95</v>
      </c>
      <c r="I247" s="119"/>
      <c r="J247" s="120"/>
    </row>
    <row r="248" spans="1:10" s="14" customFormat="1" ht="15.75" x14ac:dyDescent="0.25">
      <c r="A248" s="115">
        <v>3</v>
      </c>
      <c r="B248" s="116"/>
      <c r="C248" s="15" t="s">
        <v>170</v>
      </c>
      <c r="D248" s="115">
        <f>(28.9+1.1*2.45+0.3*2.45+1.8*0.3+2.67*0.75)*10.764</f>
        <v>375.36758999999995</v>
      </c>
      <c r="E248" s="116"/>
      <c r="F248" s="15">
        <v>0</v>
      </c>
      <c r="G248" s="15">
        <v>640</v>
      </c>
      <c r="H248" s="15" t="s">
        <v>95</v>
      </c>
      <c r="I248" s="119"/>
      <c r="J248" s="120"/>
    </row>
    <row r="249" spans="1:10" s="14" customFormat="1" ht="15.75" x14ac:dyDescent="0.25">
      <c r="A249" s="115">
        <v>4</v>
      </c>
      <c r="B249" s="116"/>
      <c r="C249" s="15" t="s">
        <v>170</v>
      </c>
      <c r="D249" s="115">
        <f>(28.49+1.1*2.45+0.3*2.45+0.75*1.8+0.3*2.67)*10.764</f>
        <v>366.74024399999996</v>
      </c>
      <c r="E249" s="116"/>
      <c r="F249" s="15">
        <v>0</v>
      </c>
      <c r="G249" s="15">
        <v>640</v>
      </c>
      <c r="H249" s="15" t="s">
        <v>95</v>
      </c>
      <c r="I249" s="119"/>
      <c r="J249" s="120"/>
    </row>
    <row r="250" spans="1:10" s="14" customFormat="1" ht="15.75" customHeight="1" x14ac:dyDescent="0.25">
      <c r="A250" s="115">
        <v>5</v>
      </c>
      <c r="B250" s="116"/>
      <c r="C250" s="15" t="s">
        <v>170</v>
      </c>
      <c r="D250" s="115">
        <f>(28.9+1.1*2.45+0.3*2.45+1.8*0.3+2.67*0.75)*10.764</f>
        <v>375.36758999999995</v>
      </c>
      <c r="E250" s="116"/>
      <c r="F250" s="15">
        <v>0</v>
      </c>
      <c r="G250" s="15">
        <v>640</v>
      </c>
      <c r="H250" s="15" t="s">
        <v>95</v>
      </c>
      <c r="I250" s="119"/>
      <c r="J250" s="120"/>
    </row>
    <row r="251" spans="1:10" s="14" customFormat="1" ht="15.6" customHeight="1" x14ac:dyDescent="0.25">
      <c r="A251" s="115">
        <v>6</v>
      </c>
      <c r="B251" s="116"/>
      <c r="C251" s="15" t="s">
        <v>170</v>
      </c>
      <c r="D251" s="115">
        <f>(28.49+1.1*2.45+0.3*2.45+0.75*1.8+0.3*2.67)*10.764</f>
        <v>366.74024399999996</v>
      </c>
      <c r="E251" s="116"/>
      <c r="F251" s="15">
        <v>0</v>
      </c>
      <c r="G251" s="15">
        <v>640</v>
      </c>
      <c r="H251" s="15" t="s">
        <v>95</v>
      </c>
      <c r="I251" s="119"/>
      <c r="J251" s="120"/>
    </row>
    <row r="252" spans="1:10" s="14" customFormat="1" ht="15.75" x14ac:dyDescent="0.25">
      <c r="A252" s="115">
        <v>7</v>
      </c>
      <c r="B252" s="116"/>
      <c r="C252" s="15" t="s">
        <v>170</v>
      </c>
      <c r="D252" s="115">
        <f>(28.49+1.1*2.45+0.3*2.45+0.3*1.8+0.3*2.67)*10.764</f>
        <v>358.02140400000002</v>
      </c>
      <c r="E252" s="116"/>
      <c r="F252" s="15">
        <v>0</v>
      </c>
      <c r="G252" s="15">
        <v>640</v>
      </c>
      <c r="H252" s="15" t="s">
        <v>95</v>
      </c>
      <c r="I252" s="119"/>
      <c r="J252" s="120"/>
    </row>
    <row r="253" spans="1:10" s="14" customFormat="1" ht="15.75" x14ac:dyDescent="0.25">
      <c r="A253" s="115">
        <v>8</v>
      </c>
      <c r="B253" s="116"/>
      <c r="C253" s="15" t="s">
        <v>170</v>
      </c>
      <c r="D253" s="115">
        <f>(24.5+1.1*2.45+0.3*2.45+0.3*4.47)*10.764</f>
        <v>315.07304399999998</v>
      </c>
      <c r="E253" s="116"/>
      <c r="F253" s="15">
        <v>0</v>
      </c>
      <c r="G253" s="15">
        <v>640</v>
      </c>
      <c r="H253" s="15" t="s">
        <v>95</v>
      </c>
      <c r="I253" s="119"/>
      <c r="J253" s="120"/>
    </row>
    <row r="254" spans="1:10" s="14" customFormat="1" ht="15.75" x14ac:dyDescent="0.25">
      <c r="A254" s="115">
        <v>9</v>
      </c>
      <c r="B254" s="116"/>
      <c r="C254" s="15" t="s">
        <v>167</v>
      </c>
      <c r="D254" s="115">
        <f>(40.56+1.1*3+0.3*3+0.75*4.47)*10.764</f>
        <v>517.88294999999994</v>
      </c>
      <c r="E254" s="116"/>
      <c r="F254" s="15">
        <v>0</v>
      </c>
      <c r="G254" s="15">
        <v>786</v>
      </c>
      <c r="H254" s="15" t="s">
        <v>95</v>
      </c>
      <c r="I254" s="119"/>
      <c r="J254" s="120"/>
    </row>
    <row r="255" spans="1:10" s="14" customFormat="1" ht="15.75" x14ac:dyDescent="0.25">
      <c r="A255" s="115">
        <v>10</v>
      </c>
      <c r="B255" s="116"/>
      <c r="C255" s="15" t="s">
        <v>170</v>
      </c>
      <c r="D255" s="115">
        <f>(24.5+1.1*2.45+0.3*2.45+1.8*0.3+2.67*0.3)*10.764</f>
        <v>315.07304399999992</v>
      </c>
      <c r="E255" s="116"/>
      <c r="F255" s="15">
        <v>0</v>
      </c>
      <c r="G255" s="15">
        <v>640</v>
      </c>
      <c r="H255" s="15" t="s">
        <v>95</v>
      </c>
      <c r="I255" s="119"/>
      <c r="J255" s="120"/>
    </row>
    <row r="256" spans="1:10" s="14" customFormat="1" ht="15.75" x14ac:dyDescent="0.25">
      <c r="A256" s="115">
        <v>11</v>
      </c>
      <c r="B256" s="116"/>
      <c r="C256" s="15" t="s">
        <v>170</v>
      </c>
      <c r="D256" s="115">
        <f>(24.5+1.1*2.45+0.3*2.45+1.8*0.3+2.67*0.3)*10.764</f>
        <v>315.07304399999992</v>
      </c>
      <c r="E256" s="116"/>
      <c r="F256" s="15">
        <v>0</v>
      </c>
      <c r="G256" s="15">
        <v>640</v>
      </c>
      <c r="H256" s="15" t="s">
        <v>95</v>
      </c>
      <c r="I256" s="121"/>
      <c r="J256" s="122"/>
    </row>
    <row r="257" spans="1:10" s="14" customFormat="1" ht="16.5" x14ac:dyDescent="0.25">
      <c r="A257" s="123" t="s">
        <v>172</v>
      </c>
      <c r="B257" s="124"/>
      <c r="C257" s="124"/>
      <c r="D257" s="124"/>
      <c r="E257" s="124"/>
      <c r="F257" s="124"/>
      <c r="G257" s="124"/>
      <c r="H257" s="124"/>
      <c r="I257" s="124"/>
      <c r="J257" s="125"/>
    </row>
    <row r="258" spans="1:10" s="14" customFormat="1" ht="15.75" x14ac:dyDescent="0.25">
      <c r="A258" s="126" t="s">
        <v>202</v>
      </c>
      <c r="B258" s="127"/>
      <c r="C258" s="127"/>
      <c r="D258" s="127"/>
      <c r="E258" s="127"/>
      <c r="F258" s="127"/>
      <c r="G258" s="127"/>
      <c r="H258" s="127"/>
      <c r="I258" s="127"/>
      <c r="J258" s="128"/>
    </row>
    <row r="259" spans="1:10" s="14" customFormat="1" ht="15.75" x14ac:dyDescent="0.25">
      <c r="A259" s="115">
        <v>1</v>
      </c>
      <c r="B259" s="116"/>
      <c r="C259" s="15" t="s">
        <v>170</v>
      </c>
      <c r="D259" s="115">
        <f>(30.17+1.2*2.45)*10.764</f>
        <v>356.39603999999997</v>
      </c>
      <c r="E259" s="116"/>
      <c r="F259" s="15">
        <v>0</v>
      </c>
      <c r="G259" s="15">
        <v>640</v>
      </c>
      <c r="H259" s="15" t="s">
        <v>95</v>
      </c>
      <c r="I259" s="117" t="s">
        <v>168</v>
      </c>
      <c r="J259" s="118"/>
    </row>
    <row r="260" spans="1:10" s="14" customFormat="1" ht="15.75" x14ac:dyDescent="0.25">
      <c r="A260" s="115">
        <v>2</v>
      </c>
      <c r="B260" s="116"/>
      <c r="C260" s="15" t="s">
        <v>170</v>
      </c>
      <c r="D260" s="115">
        <f>(28.21+1.2*2.45)*10.764</f>
        <v>335.29860000000002</v>
      </c>
      <c r="E260" s="116"/>
      <c r="F260" s="15">
        <v>0</v>
      </c>
      <c r="G260" s="15">
        <v>640</v>
      </c>
      <c r="H260" s="15" t="s">
        <v>95</v>
      </c>
      <c r="I260" s="119"/>
      <c r="J260" s="120"/>
    </row>
    <row r="261" spans="1:10" s="14" customFormat="1" ht="15.75" x14ac:dyDescent="0.25">
      <c r="A261" s="115">
        <v>4</v>
      </c>
      <c r="B261" s="116"/>
      <c r="C261" s="15" t="s">
        <v>170</v>
      </c>
      <c r="D261" s="115">
        <f t="shared" ref="D261:D263" si="0">(28.21+1.2*2.45)*10.764</f>
        <v>335.29860000000002</v>
      </c>
      <c r="E261" s="116"/>
      <c r="F261" s="15">
        <v>0</v>
      </c>
      <c r="G261" s="15">
        <v>640</v>
      </c>
      <c r="H261" s="15" t="s">
        <v>95</v>
      </c>
      <c r="I261" s="119"/>
      <c r="J261" s="120"/>
    </row>
    <row r="262" spans="1:10" s="14" customFormat="1" ht="15.75" x14ac:dyDescent="0.25">
      <c r="A262" s="115">
        <v>6</v>
      </c>
      <c r="B262" s="116"/>
      <c r="C262" s="15" t="s">
        <v>170</v>
      </c>
      <c r="D262" s="115">
        <f t="shared" si="0"/>
        <v>335.29860000000002</v>
      </c>
      <c r="E262" s="116"/>
      <c r="F262" s="15">
        <v>0</v>
      </c>
      <c r="G262" s="15">
        <v>640</v>
      </c>
      <c r="H262" s="15" t="s">
        <v>95</v>
      </c>
      <c r="I262" s="119"/>
      <c r="J262" s="120"/>
    </row>
    <row r="263" spans="1:10" s="14" customFormat="1" ht="15.75" x14ac:dyDescent="0.25">
      <c r="A263" s="115">
        <v>7</v>
      </c>
      <c r="B263" s="116"/>
      <c r="C263" s="15" t="s">
        <v>170</v>
      </c>
      <c r="D263" s="115">
        <f t="shared" si="0"/>
        <v>335.29860000000002</v>
      </c>
      <c r="E263" s="116"/>
      <c r="F263" s="15">
        <v>0</v>
      </c>
      <c r="G263" s="15">
        <v>640</v>
      </c>
      <c r="H263" s="15" t="s">
        <v>95</v>
      </c>
      <c r="I263" s="119"/>
      <c r="J263" s="120"/>
    </row>
    <row r="264" spans="1:10" s="14" customFormat="1" ht="15.75" x14ac:dyDescent="0.25">
      <c r="A264" s="115">
        <v>8</v>
      </c>
      <c r="B264" s="116"/>
      <c r="C264" s="15" t="s">
        <v>170</v>
      </c>
      <c r="D264" s="115">
        <f>(30.17+1.2*2.45)*10.764</f>
        <v>356.39603999999997</v>
      </c>
      <c r="E264" s="116"/>
      <c r="F264" s="15">
        <v>0</v>
      </c>
      <c r="G264" s="15">
        <v>640</v>
      </c>
      <c r="H264" s="15" t="s">
        <v>95</v>
      </c>
      <c r="I264" s="121"/>
      <c r="J264" s="122"/>
    </row>
    <row r="265" spans="1:10" s="14" customFormat="1" ht="15.75" x14ac:dyDescent="0.25">
      <c r="A265" s="152" t="s">
        <v>194</v>
      </c>
      <c r="B265" s="152"/>
      <c r="C265" s="152"/>
      <c r="D265" s="152"/>
      <c r="E265" s="152"/>
      <c r="F265" s="152"/>
      <c r="G265" s="152"/>
      <c r="H265" s="152"/>
      <c r="I265" s="152"/>
      <c r="J265" s="152"/>
    </row>
    <row r="266" spans="1:10" s="14" customFormat="1" ht="15.6" customHeight="1" x14ac:dyDescent="0.25">
      <c r="A266" s="114">
        <v>1</v>
      </c>
      <c r="B266" s="114"/>
      <c r="C266" s="15" t="s">
        <v>170</v>
      </c>
      <c r="D266" s="114">
        <f>(30.43+1.2*2.45+0.3*2.45+0.75*1.8+0.75*2.67)*10.764</f>
        <v>403.19252999999992</v>
      </c>
      <c r="E266" s="114"/>
      <c r="F266" s="15">
        <v>0</v>
      </c>
      <c r="G266" s="15">
        <v>640</v>
      </c>
      <c r="H266" s="15" t="s">
        <v>95</v>
      </c>
      <c r="I266" s="114" t="str">
        <f>A265</f>
        <v>1st to 7th Floor</v>
      </c>
      <c r="J266" s="114"/>
    </row>
    <row r="267" spans="1:10" s="14" customFormat="1" ht="15.75" customHeight="1" x14ac:dyDescent="0.25">
      <c r="A267" s="114">
        <v>2</v>
      </c>
      <c r="B267" s="114"/>
      <c r="C267" s="15" t="s">
        <v>170</v>
      </c>
      <c r="D267" s="114">
        <f>(26.46+1.2*2.45+0.3*2.45+0.75*1.8+0.3*2.67)*10.764</f>
        <v>347.52650399999999</v>
      </c>
      <c r="E267" s="114"/>
      <c r="F267" s="15">
        <v>0</v>
      </c>
      <c r="G267" s="15">
        <v>640</v>
      </c>
      <c r="H267" s="15" t="s">
        <v>95</v>
      </c>
      <c r="I267" s="114"/>
      <c r="J267" s="114"/>
    </row>
    <row r="268" spans="1:10" s="14" customFormat="1" ht="15.6" customHeight="1" x14ac:dyDescent="0.25">
      <c r="A268" s="114">
        <v>3</v>
      </c>
      <c r="B268" s="114"/>
      <c r="C268" s="15" t="s">
        <v>170</v>
      </c>
      <c r="D268" s="114">
        <f>(26.46+1.2*2.45+0.3*2.45+0.75*1.8+0.3*2.67)*10.764</f>
        <v>347.52650399999999</v>
      </c>
      <c r="E268" s="114"/>
      <c r="F268" s="15">
        <v>0</v>
      </c>
      <c r="G268" s="15">
        <v>640</v>
      </c>
      <c r="H268" s="15" t="s">
        <v>95</v>
      </c>
      <c r="I268" s="114"/>
      <c r="J268" s="114"/>
    </row>
    <row r="269" spans="1:10" s="14" customFormat="1" ht="15.75" x14ac:dyDescent="0.25">
      <c r="A269" s="114">
        <v>4</v>
      </c>
      <c r="B269" s="114"/>
      <c r="C269" s="15" t="s">
        <v>170</v>
      </c>
      <c r="D269" s="114">
        <f t="shared" ref="D269:D271" si="1">(26.46+1.2*2.45+0.3*2.45+0.75*1.8+0.3*2.67)*10.764</f>
        <v>347.52650399999999</v>
      </c>
      <c r="E269" s="114"/>
      <c r="F269" s="15">
        <v>0</v>
      </c>
      <c r="G269" s="15">
        <v>640</v>
      </c>
      <c r="H269" s="15" t="s">
        <v>95</v>
      </c>
      <c r="I269" s="114"/>
      <c r="J269" s="114"/>
    </row>
    <row r="270" spans="1:10" s="14" customFormat="1" ht="15.75" x14ac:dyDescent="0.25">
      <c r="A270" s="114">
        <v>5</v>
      </c>
      <c r="B270" s="114"/>
      <c r="C270" s="15" t="s">
        <v>170</v>
      </c>
      <c r="D270" s="114">
        <f t="shared" si="1"/>
        <v>347.52650399999999</v>
      </c>
      <c r="E270" s="114"/>
      <c r="F270" s="15">
        <v>0</v>
      </c>
      <c r="G270" s="15">
        <v>640</v>
      </c>
      <c r="H270" s="15" t="s">
        <v>95</v>
      </c>
      <c r="I270" s="114"/>
      <c r="J270" s="114"/>
    </row>
    <row r="271" spans="1:10" s="14" customFormat="1" ht="15.75" x14ac:dyDescent="0.25">
      <c r="A271" s="114">
        <v>6</v>
      </c>
      <c r="B271" s="114"/>
      <c r="C271" s="15" t="s">
        <v>170</v>
      </c>
      <c r="D271" s="114">
        <f t="shared" si="1"/>
        <v>347.52650399999999</v>
      </c>
      <c r="E271" s="114"/>
      <c r="F271" s="15">
        <v>0</v>
      </c>
      <c r="G271" s="15">
        <v>640</v>
      </c>
      <c r="H271" s="15" t="s">
        <v>95</v>
      </c>
      <c r="I271" s="114"/>
      <c r="J271" s="114"/>
    </row>
    <row r="272" spans="1:10" s="14" customFormat="1" ht="15.75" x14ac:dyDescent="0.25">
      <c r="A272" s="114">
        <v>7</v>
      </c>
      <c r="B272" s="114"/>
      <c r="C272" s="15" t="s">
        <v>170</v>
      </c>
      <c r="D272" s="114">
        <f>(30.43+1.2*2.45+0.3*2.45+0.75*1.8+0.75*2.67)*10.764</f>
        <v>403.19252999999992</v>
      </c>
      <c r="E272" s="114"/>
      <c r="F272" s="15">
        <v>0</v>
      </c>
      <c r="G272" s="15">
        <v>640</v>
      </c>
      <c r="H272" s="15" t="s">
        <v>95</v>
      </c>
      <c r="I272" s="114"/>
      <c r="J272" s="114"/>
    </row>
    <row r="273" spans="1:10" s="14" customFormat="1" ht="15.75" x14ac:dyDescent="0.25">
      <c r="A273" s="114">
        <v>8</v>
      </c>
      <c r="B273" s="114"/>
      <c r="C273" s="15" t="s">
        <v>170</v>
      </c>
      <c r="D273" s="114">
        <f>(26.46+1.2*2.45+0.3*2.45+0.75*1.8+0.3*2.67)*10.764</f>
        <v>347.52650399999999</v>
      </c>
      <c r="E273" s="114"/>
      <c r="F273" s="15">
        <v>0</v>
      </c>
      <c r="G273" s="15">
        <v>640</v>
      </c>
      <c r="H273" s="15" t="s">
        <v>95</v>
      </c>
      <c r="I273" s="114"/>
      <c r="J273" s="114"/>
    </row>
    <row r="274" spans="1:10" s="14" customFormat="1" ht="16.5" x14ac:dyDescent="0.25">
      <c r="A274" s="123" t="s">
        <v>187</v>
      </c>
      <c r="B274" s="124"/>
      <c r="C274" s="124"/>
      <c r="D274" s="124"/>
      <c r="E274" s="124"/>
      <c r="F274" s="124"/>
      <c r="G274" s="124"/>
      <c r="H274" s="124"/>
      <c r="I274" s="124"/>
      <c r="J274" s="125"/>
    </row>
    <row r="275" spans="1:10" s="14" customFormat="1" ht="15.75" x14ac:dyDescent="0.25">
      <c r="A275" s="126" t="s">
        <v>202</v>
      </c>
      <c r="B275" s="127"/>
      <c r="C275" s="127"/>
      <c r="D275" s="127"/>
      <c r="E275" s="127"/>
      <c r="F275" s="127"/>
      <c r="G275" s="127"/>
      <c r="H275" s="127"/>
      <c r="I275" s="127"/>
      <c r="J275" s="128"/>
    </row>
    <row r="276" spans="1:10" s="14" customFormat="1" ht="15.75" x14ac:dyDescent="0.25">
      <c r="A276" s="115">
        <v>1</v>
      </c>
      <c r="B276" s="116"/>
      <c r="C276" s="15" t="s">
        <v>173</v>
      </c>
      <c r="D276" s="115">
        <f>26.6*10.764</f>
        <v>286.32240000000002</v>
      </c>
      <c r="E276" s="116"/>
      <c r="F276" s="15">
        <v>0</v>
      </c>
      <c r="G276" s="15">
        <f>D276*1.5</f>
        <v>429.48360000000002</v>
      </c>
      <c r="H276" s="15" t="s">
        <v>95</v>
      </c>
      <c r="I276" s="117" t="s">
        <v>168</v>
      </c>
      <c r="J276" s="118"/>
    </row>
    <row r="277" spans="1:10" s="14" customFormat="1" ht="15.75" x14ac:dyDescent="0.25">
      <c r="A277" s="115">
        <v>2</v>
      </c>
      <c r="B277" s="116"/>
      <c r="C277" s="15" t="s">
        <v>173</v>
      </c>
      <c r="D277" s="115">
        <f>34.2*10.764</f>
        <v>368.12880000000001</v>
      </c>
      <c r="E277" s="116"/>
      <c r="F277" s="15">
        <v>0</v>
      </c>
      <c r="G277" s="15">
        <f t="shared" ref="G277:G287" si="2">D277*1.5</f>
        <v>552.19320000000005</v>
      </c>
      <c r="H277" s="15" t="s">
        <v>95</v>
      </c>
      <c r="I277" s="119"/>
      <c r="J277" s="120"/>
    </row>
    <row r="278" spans="1:10" s="14" customFormat="1" ht="15.75" x14ac:dyDescent="0.25">
      <c r="A278" s="115">
        <v>3</v>
      </c>
      <c r="B278" s="116"/>
      <c r="C278" s="15" t="s">
        <v>173</v>
      </c>
      <c r="D278" s="115">
        <f>34.2*10.764</f>
        <v>368.12880000000001</v>
      </c>
      <c r="E278" s="116"/>
      <c r="F278" s="15">
        <v>0</v>
      </c>
      <c r="G278" s="15">
        <f t="shared" si="2"/>
        <v>552.19320000000005</v>
      </c>
      <c r="H278" s="15" t="s">
        <v>95</v>
      </c>
      <c r="I278" s="119"/>
      <c r="J278" s="120"/>
    </row>
    <row r="279" spans="1:10" s="14" customFormat="1" ht="15.75" x14ac:dyDescent="0.25">
      <c r="A279" s="115">
        <v>4</v>
      </c>
      <c r="B279" s="116"/>
      <c r="C279" s="15" t="s">
        <v>173</v>
      </c>
      <c r="D279" s="115">
        <f>20.72*10.764</f>
        <v>223.03007999999997</v>
      </c>
      <c r="E279" s="116"/>
      <c r="F279" s="15">
        <v>0</v>
      </c>
      <c r="G279" s="15">
        <f t="shared" si="2"/>
        <v>334.54511999999994</v>
      </c>
      <c r="H279" s="15" t="s">
        <v>95</v>
      </c>
      <c r="I279" s="119"/>
      <c r="J279" s="120"/>
    </row>
    <row r="280" spans="1:10" s="14" customFormat="1" ht="15.75" x14ac:dyDescent="0.25">
      <c r="A280" s="115">
        <v>5</v>
      </c>
      <c r="B280" s="116"/>
      <c r="C280" s="15" t="s">
        <v>173</v>
      </c>
      <c r="D280" s="115">
        <f>12.35*10.764</f>
        <v>132.93539999999999</v>
      </c>
      <c r="E280" s="116"/>
      <c r="F280" s="15">
        <v>0</v>
      </c>
      <c r="G280" s="15">
        <f t="shared" si="2"/>
        <v>199.40309999999999</v>
      </c>
      <c r="H280" s="15" t="s">
        <v>95</v>
      </c>
      <c r="I280" s="119"/>
      <c r="J280" s="120"/>
    </row>
    <row r="281" spans="1:10" s="14" customFormat="1" ht="15.75" x14ac:dyDescent="0.25">
      <c r="A281" s="115">
        <v>6</v>
      </c>
      <c r="B281" s="116"/>
      <c r="C281" s="15" t="s">
        <v>173</v>
      </c>
      <c r="D281" s="115">
        <f>28.41*10.764</f>
        <v>305.80523999999997</v>
      </c>
      <c r="E281" s="116"/>
      <c r="F281" s="15">
        <v>0</v>
      </c>
      <c r="G281" s="15">
        <f t="shared" si="2"/>
        <v>458.70785999999998</v>
      </c>
      <c r="H281" s="15" t="s">
        <v>95</v>
      </c>
      <c r="I281" s="119"/>
      <c r="J281" s="120"/>
    </row>
    <row r="282" spans="1:10" s="14" customFormat="1" ht="15.75" x14ac:dyDescent="0.25">
      <c r="A282" s="115">
        <v>7</v>
      </c>
      <c r="B282" s="116"/>
      <c r="C282" s="15" t="s">
        <v>173</v>
      </c>
      <c r="D282" s="115">
        <f>28.41*10.764</f>
        <v>305.80523999999997</v>
      </c>
      <c r="E282" s="116"/>
      <c r="F282" s="15">
        <v>0</v>
      </c>
      <c r="G282" s="15">
        <f t="shared" si="2"/>
        <v>458.70785999999998</v>
      </c>
      <c r="H282" s="15" t="s">
        <v>95</v>
      </c>
      <c r="I282" s="119"/>
      <c r="J282" s="120"/>
    </row>
    <row r="283" spans="1:10" s="14" customFormat="1" ht="15.75" x14ac:dyDescent="0.25">
      <c r="A283" s="115">
        <v>8</v>
      </c>
      <c r="B283" s="116"/>
      <c r="C283" s="15" t="s">
        <v>173</v>
      </c>
      <c r="D283" s="115">
        <f>12.35*10.764</f>
        <v>132.93539999999999</v>
      </c>
      <c r="E283" s="116"/>
      <c r="F283" s="15">
        <v>0</v>
      </c>
      <c r="G283" s="15">
        <f t="shared" si="2"/>
        <v>199.40309999999999</v>
      </c>
      <c r="H283" s="15" t="s">
        <v>95</v>
      </c>
      <c r="I283" s="119"/>
      <c r="J283" s="120"/>
    </row>
    <row r="284" spans="1:10" s="14" customFormat="1" ht="15.75" x14ac:dyDescent="0.25">
      <c r="A284" s="115">
        <v>9</v>
      </c>
      <c r="B284" s="116"/>
      <c r="C284" s="15" t="s">
        <v>173</v>
      </c>
      <c r="D284" s="115">
        <f>12.35*10.764</f>
        <v>132.93539999999999</v>
      </c>
      <c r="E284" s="116"/>
      <c r="F284" s="15">
        <v>0</v>
      </c>
      <c r="G284" s="15">
        <f t="shared" si="2"/>
        <v>199.40309999999999</v>
      </c>
      <c r="H284" s="15" t="s">
        <v>95</v>
      </c>
      <c r="I284" s="119"/>
      <c r="J284" s="120"/>
    </row>
    <row r="285" spans="1:10" s="14" customFormat="1" ht="15.75" x14ac:dyDescent="0.25">
      <c r="A285" s="115">
        <v>10</v>
      </c>
      <c r="B285" s="116"/>
      <c r="C285" s="15" t="s">
        <v>173</v>
      </c>
      <c r="D285" s="115">
        <f>28.41*10.764</f>
        <v>305.80523999999997</v>
      </c>
      <c r="E285" s="116"/>
      <c r="F285" s="15">
        <v>0</v>
      </c>
      <c r="G285" s="15">
        <f t="shared" si="2"/>
        <v>458.70785999999998</v>
      </c>
      <c r="H285" s="15" t="s">
        <v>95</v>
      </c>
      <c r="I285" s="119"/>
      <c r="J285" s="120"/>
    </row>
    <row r="286" spans="1:10" s="14" customFormat="1" ht="15.75" x14ac:dyDescent="0.25">
      <c r="A286" s="115">
        <v>11</v>
      </c>
      <c r="B286" s="116"/>
      <c r="C286" s="15" t="s">
        <v>173</v>
      </c>
      <c r="D286" s="115">
        <f>16.07*10.764</f>
        <v>172.97747999999999</v>
      </c>
      <c r="E286" s="116"/>
      <c r="F286" s="15">
        <v>0</v>
      </c>
      <c r="G286" s="15">
        <f t="shared" si="2"/>
        <v>259.46621999999996</v>
      </c>
      <c r="H286" s="15" t="s">
        <v>95</v>
      </c>
      <c r="I286" s="119"/>
      <c r="J286" s="120"/>
    </row>
    <row r="287" spans="1:10" s="14" customFormat="1" ht="15.75" x14ac:dyDescent="0.25">
      <c r="A287" s="115">
        <v>12</v>
      </c>
      <c r="B287" s="116"/>
      <c r="C287" s="15" t="s">
        <v>173</v>
      </c>
      <c r="D287" s="115">
        <f>29.9*10.764</f>
        <v>321.84359999999998</v>
      </c>
      <c r="E287" s="116"/>
      <c r="F287" s="15">
        <v>0</v>
      </c>
      <c r="G287" s="15">
        <f t="shared" si="2"/>
        <v>482.7654</v>
      </c>
      <c r="H287" s="15" t="s">
        <v>95</v>
      </c>
      <c r="I287" s="121"/>
      <c r="J287" s="122"/>
    </row>
    <row r="288" spans="1:10" s="14" customFormat="1" ht="15.75" x14ac:dyDescent="0.25">
      <c r="A288" s="126" t="s">
        <v>205</v>
      </c>
      <c r="B288" s="127"/>
      <c r="C288" s="127"/>
      <c r="D288" s="127"/>
      <c r="E288" s="127"/>
      <c r="F288" s="127"/>
      <c r="G288" s="127"/>
      <c r="H288" s="127"/>
      <c r="I288" s="127"/>
      <c r="J288" s="128"/>
    </row>
    <row r="289" spans="1:10" s="14" customFormat="1" ht="15.75" x14ac:dyDescent="0.25">
      <c r="A289" s="115">
        <v>1</v>
      </c>
      <c r="B289" s="116"/>
      <c r="C289" s="15" t="s">
        <v>170</v>
      </c>
      <c r="D289" s="115">
        <f>(28.87+1.2*2.45)*10.764</f>
        <v>342.40284000000003</v>
      </c>
      <c r="E289" s="116"/>
      <c r="F289" s="15">
        <f>7.38*2.5*10.764</f>
        <v>198.59579999999997</v>
      </c>
      <c r="G289" s="15">
        <v>640</v>
      </c>
      <c r="H289" s="15" t="s">
        <v>95</v>
      </c>
      <c r="I289" s="117" t="str">
        <f>A288</f>
        <v>1st Floor</v>
      </c>
      <c r="J289" s="118"/>
    </row>
    <row r="290" spans="1:10" s="14" customFormat="1" ht="15.75" x14ac:dyDescent="0.25">
      <c r="A290" s="115">
        <v>2</v>
      </c>
      <c r="B290" s="116"/>
      <c r="C290" s="15" t="s">
        <v>170</v>
      </c>
      <c r="D290" s="115">
        <f>(28.02+1.2*2.45+0.3*2.45+0.75*1.8+2.67*0.3)*10.764</f>
        <v>364.31834400000002</v>
      </c>
      <c r="E290" s="116"/>
      <c r="F290" s="15">
        <v>0</v>
      </c>
      <c r="G290" s="15">
        <v>640</v>
      </c>
      <c r="H290" s="15" t="s">
        <v>95</v>
      </c>
      <c r="I290" s="119"/>
      <c r="J290" s="120"/>
    </row>
    <row r="291" spans="1:10" s="14" customFormat="1" ht="15.75" x14ac:dyDescent="0.25">
      <c r="A291" s="115">
        <v>3</v>
      </c>
      <c r="B291" s="116"/>
      <c r="C291" s="15" t="s">
        <v>170</v>
      </c>
      <c r="D291" s="115">
        <f>(26.46+1.2*2.45)*10.764</f>
        <v>316.46159999999998</v>
      </c>
      <c r="E291" s="116"/>
      <c r="F291" s="15">
        <f>2.5*(2.45+1.9+2.8)*10.764</f>
        <v>192.40649999999999</v>
      </c>
      <c r="G291" s="15">
        <v>640</v>
      </c>
      <c r="H291" s="15" t="s">
        <v>95</v>
      </c>
      <c r="I291" s="119"/>
      <c r="J291" s="120"/>
    </row>
    <row r="292" spans="1:10" s="14" customFormat="1" ht="15.75" x14ac:dyDescent="0.25">
      <c r="A292" s="115">
        <v>4</v>
      </c>
      <c r="B292" s="116"/>
      <c r="C292" s="15" t="s">
        <v>170</v>
      </c>
      <c r="D292" s="115">
        <f>(26.46+1.2*2.45+0.3*2.45+0.75*1.8+0.3*2.67)*10.764</f>
        <v>347.52650399999999</v>
      </c>
      <c r="E292" s="116"/>
      <c r="F292" s="15">
        <v>0</v>
      </c>
      <c r="G292" s="15">
        <v>640</v>
      </c>
      <c r="H292" s="15" t="s">
        <v>95</v>
      </c>
      <c r="I292" s="119"/>
      <c r="J292" s="120"/>
    </row>
    <row r="293" spans="1:10" s="14" customFormat="1" ht="15.75" x14ac:dyDescent="0.25">
      <c r="A293" s="115">
        <v>5</v>
      </c>
      <c r="B293" s="116"/>
      <c r="C293" s="15" t="s">
        <v>170</v>
      </c>
      <c r="D293" s="115">
        <f>(26.46+1.2*2.45)*10.764</f>
        <v>316.46159999999998</v>
      </c>
      <c r="E293" s="116"/>
      <c r="F293" s="15">
        <f>2.5*(2.45+1.9+2.8)*10.764</f>
        <v>192.40649999999999</v>
      </c>
      <c r="G293" s="15">
        <v>640</v>
      </c>
      <c r="H293" s="15" t="s">
        <v>95</v>
      </c>
      <c r="I293" s="119"/>
      <c r="J293" s="120"/>
    </row>
    <row r="294" spans="1:10" s="14" customFormat="1" ht="15.75" x14ac:dyDescent="0.25">
      <c r="A294" s="115">
        <v>6</v>
      </c>
      <c r="B294" s="116"/>
      <c r="C294" s="15" t="s">
        <v>170</v>
      </c>
      <c r="D294" s="115">
        <f>(26.46+1.2*2.45+0.3*2.45+0.75*1.8+0.3*2.67)*10.764</f>
        <v>347.52650399999999</v>
      </c>
      <c r="E294" s="116"/>
      <c r="F294" s="15">
        <v>0</v>
      </c>
      <c r="G294" s="15">
        <v>640</v>
      </c>
      <c r="H294" s="15" t="s">
        <v>95</v>
      </c>
      <c r="I294" s="119"/>
      <c r="J294" s="120"/>
    </row>
    <row r="295" spans="1:10" s="14" customFormat="1" ht="15.75" x14ac:dyDescent="0.25">
      <c r="A295" s="115">
        <v>7</v>
      </c>
      <c r="B295" s="116"/>
      <c r="C295" s="15" t="s">
        <v>170</v>
      </c>
      <c r="D295" s="115">
        <f>(28.87+1.2*2.45)*10.764</f>
        <v>342.40284000000003</v>
      </c>
      <c r="E295" s="116"/>
      <c r="F295" s="15">
        <f>7.38*2.5*10.764</f>
        <v>198.59579999999997</v>
      </c>
      <c r="G295" s="15">
        <v>640</v>
      </c>
      <c r="H295" s="15" t="s">
        <v>95</v>
      </c>
      <c r="I295" s="119"/>
      <c r="J295" s="120"/>
    </row>
    <row r="296" spans="1:10" s="14" customFormat="1" ht="15.75" x14ac:dyDescent="0.25">
      <c r="A296" s="115">
        <v>8</v>
      </c>
      <c r="B296" s="116"/>
      <c r="C296" s="15" t="s">
        <v>170</v>
      </c>
      <c r="D296" s="115">
        <f>(28.02+1.2*2.45+0.3*2.45+0.75*1.8+2.67*0.3)*10.764</f>
        <v>364.31834400000002</v>
      </c>
      <c r="E296" s="116"/>
      <c r="F296" s="15">
        <v>0</v>
      </c>
      <c r="G296" s="15">
        <v>640</v>
      </c>
      <c r="H296" s="15" t="s">
        <v>95</v>
      </c>
      <c r="I296" s="121"/>
      <c r="J296" s="122"/>
    </row>
    <row r="297" spans="1:10" s="14" customFormat="1" ht="16.5" x14ac:dyDescent="0.25">
      <c r="A297" s="123" t="s">
        <v>174</v>
      </c>
      <c r="B297" s="124"/>
      <c r="C297" s="124"/>
      <c r="D297" s="124"/>
      <c r="E297" s="124"/>
      <c r="F297" s="124"/>
      <c r="G297" s="124"/>
      <c r="H297" s="124"/>
      <c r="I297" s="124"/>
      <c r="J297" s="125"/>
    </row>
    <row r="298" spans="1:10" s="14" customFormat="1" ht="15.75" x14ac:dyDescent="0.25">
      <c r="A298" s="126" t="s">
        <v>202</v>
      </c>
      <c r="B298" s="127"/>
      <c r="C298" s="127"/>
      <c r="D298" s="127"/>
      <c r="E298" s="127"/>
      <c r="F298" s="127"/>
      <c r="G298" s="127"/>
      <c r="H298" s="127"/>
      <c r="I298" s="127"/>
      <c r="J298" s="128"/>
    </row>
    <row r="299" spans="1:10" s="14" customFormat="1" ht="15.6" customHeight="1" x14ac:dyDescent="0.25">
      <c r="A299" s="15">
        <v>4</v>
      </c>
      <c r="B299" s="15">
        <v>1</v>
      </c>
      <c r="C299" s="15" t="s">
        <v>175</v>
      </c>
      <c r="D299" s="115">
        <f>(24.12+2.45)*10.764</f>
        <v>285.99948000000001</v>
      </c>
      <c r="E299" s="116"/>
      <c r="F299" s="15">
        <v>0</v>
      </c>
      <c r="G299" s="15">
        <v>502</v>
      </c>
      <c r="H299" s="15" t="s">
        <v>95</v>
      </c>
      <c r="I299" s="117" t="s">
        <v>168</v>
      </c>
      <c r="J299" s="118"/>
    </row>
    <row r="300" spans="1:10" s="14" customFormat="1" ht="15.75" x14ac:dyDescent="0.25">
      <c r="A300" s="15">
        <v>6</v>
      </c>
      <c r="B300" s="15">
        <v>2</v>
      </c>
      <c r="C300" s="15" t="s">
        <v>175</v>
      </c>
      <c r="D300" s="115">
        <f>(24.12+2.45)*10.764</f>
        <v>285.99948000000001</v>
      </c>
      <c r="E300" s="116"/>
      <c r="F300" s="15">
        <v>0</v>
      </c>
      <c r="G300" s="15">
        <v>502</v>
      </c>
      <c r="H300" s="15" t="s">
        <v>95</v>
      </c>
      <c r="I300" s="119"/>
      <c r="J300" s="120"/>
    </row>
    <row r="301" spans="1:10" s="14" customFormat="1" ht="15.75" x14ac:dyDescent="0.25">
      <c r="A301" s="15">
        <v>8</v>
      </c>
      <c r="B301" s="15">
        <v>3</v>
      </c>
      <c r="C301" s="15" t="s">
        <v>175</v>
      </c>
      <c r="D301" s="115">
        <f>(21.94+2.45+2.42)*10.764</f>
        <v>288.58284000000003</v>
      </c>
      <c r="E301" s="116"/>
      <c r="F301" s="15">
        <v>0</v>
      </c>
      <c r="G301" s="15">
        <v>502</v>
      </c>
      <c r="H301" s="15" t="s">
        <v>95</v>
      </c>
      <c r="I301" s="119"/>
      <c r="J301" s="120"/>
    </row>
    <row r="302" spans="1:10" s="14" customFormat="1" ht="15.75" x14ac:dyDescent="0.25">
      <c r="A302" s="15">
        <v>10</v>
      </c>
      <c r="B302" s="15">
        <v>4</v>
      </c>
      <c r="C302" s="15" t="s">
        <v>175</v>
      </c>
      <c r="D302" s="115">
        <f>(21.94+2.45+2.42)*10.764</f>
        <v>288.58284000000003</v>
      </c>
      <c r="E302" s="116"/>
      <c r="F302" s="15">
        <v>0</v>
      </c>
      <c r="G302" s="15">
        <v>502</v>
      </c>
      <c r="H302" s="15" t="s">
        <v>95</v>
      </c>
      <c r="I302" s="119"/>
      <c r="J302" s="120"/>
    </row>
    <row r="303" spans="1:10" s="14" customFormat="1" ht="15.75" x14ac:dyDescent="0.25">
      <c r="A303" s="15">
        <v>12</v>
      </c>
      <c r="B303" s="15">
        <v>5</v>
      </c>
      <c r="C303" s="15" t="s">
        <v>175</v>
      </c>
      <c r="D303" s="115">
        <f>(21.31+2.45+2.42)*10.764</f>
        <v>281.80151999999998</v>
      </c>
      <c r="E303" s="116"/>
      <c r="F303" s="15">
        <v>0</v>
      </c>
      <c r="G303" s="15">
        <v>502</v>
      </c>
      <c r="H303" s="15" t="s">
        <v>95</v>
      </c>
      <c r="I303" s="119"/>
      <c r="J303" s="120"/>
    </row>
    <row r="304" spans="1:10" s="14" customFormat="1" ht="15.75" x14ac:dyDescent="0.25">
      <c r="A304" s="15">
        <v>11</v>
      </c>
      <c r="B304" s="15">
        <v>6</v>
      </c>
      <c r="C304" s="15" t="s">
        <v>175</v>
      </c>
      <c r="D304" s="115">
        <f>(21.31+2.45+0.3*2.45+2.42)*10.764</f>
        <v>289.71305999999998</v>
      </c>
      <c r="E304" s="116"/>
      <c r="F304" s="15">
        <v>0</v>
      </c>
      <c r="G304" s="15">
        <v>502</v>
      </c>
      <c r="H304" s="15" t="s">
        <v>95</v>
      </c>
      <c r="I304" s="119"/>
      <c r="J304" s="120"/>
    </row>
    <row r="305" spans="1:10" s="14" customFormat="1" ht="15.75" x14ac:dyDescent="0.25">
      <c r="A305" s="15">
        <v>9</v>
      </c>
      <c r="B305" s="15">
        <v>7</v>
      </c>
      <c r="C305" s="15" t="s">
        <v>175</v>
      </c>
      <c r="D305" s="115">
        <f>(21.94+2.45+0.3*2.45+2.42)*10.764</f>
        <v>296.49437999999998</v>
      </c>
      <c r="E305" s="116"/>
      <c r="F305" s="15">
        <v>0</v>
      </c>
      <c r="G305" s="15">
        <v>502</v>
      </c>
      <c r="H305" s="15" t="s">
        <v>95</v>
      </c>
      <c r="I305" s="119"/>
      <c r="J305" s="120"/>
    </row>
    <row r="306" spans="1:10" s="14" customFormat="1" ht="15.75" x14ac:dyDescent="0.25">
      <c r="A306" s="15">
        <v>7</v>
      </c>
      <c r="B306" s="15">
        <v>8</v>
      </c>
      <c r="C306" s="15" t="s">
        <v>175</v>
      </c>
      <c r="D306" s="115">
        <f>(21.94+2.45+0.3*2.45+2.42)*10.764</f>
        <v>296.49437999999998</v>
      </c>
      <c r="E306" s="116"/>
      <c r="F306" s="15">
        <v>0</v>
      </c>
      <c r="G306" s="15">
        <v>502</v>
      </c>
      <c r="H306" s="15" t="s">
        <v>95</v>
      </c>
      <c r="I306" s="119"/>
      <c r="J306" s="120"/>
    </row>
    <row r="307" spans="1:10" s="14" customFormat="1" ht="15.75" x14ac:dyDescent="0.25">
      <c r="A307" s="15">
        <v>5</v>
      </c>
      <c r="B307" s="15">
        <v>9</v>
      </c>
      <c r="C307" s="15" t="s">
        <v>175</v>
      </c>
      <c r="D307" s="115">
        <f>(21.94+2.45+0.3*2.45+2.42)*10.764</f>
        <v>296.49437999999998</v>
      </c>
      <c r="E307" s="116"/>
      <c r="F307" s="15">
        <v>0</v>
      </c>
      <c r="G307" s="15">
        <v>502</v>
      </c>
      <c r="H307" s="15" t="s">
        <v>95</v>
      </c>
      <c r="I307" s="119"/>
      <c r="J307" s="120"/>
    </row>
    <row r="308" spans="1:10" s="14" customFormat="1" ht="15.75" customHeight="1" x14ac:dyDescent="0.25">
      <c r="A308" s="15">
        <v>1</v>
      </c>
      <c r="B308" s="15">
        <v>11</v>
      </c>
      <c r="C308" s="15" t="s">
        <v>175</v>
      </c>
      <c r="D308" s="115">
        <f>(21.31+2.45+2.42)*10.764</f>
        <v>281.80151999999998</v>
      </c>
      <c r="E308" s="116"/>
      <c r="F308" s="15">
        <v>0</v>
      </c>
      <c r="G308" s="15">
        <v>502</v>
      </c>
      <c r="H308" s="15" t="s">
        <v>95</v>
      </c>
      <c r="I308" s="119"/>
      <c r="J308" s="120"/>
    </row>
    <row r="309" spans="1:10" s="14" customFormat="1" ht="15.6" customHeight="1" x14ac:dyDescent="0.25">
      <c r="A309" s="15">
        <v>2</v>
      </c>
      <c r="B309" s="15">
        <v>12</v>
      </c>
      <c r="C309" s="15" t="s">
        <v>175</v>
      </c>
      <c r="D309" s="115">
        <f>(23.49+2.45)*10.764</f>
        <v>279.21815999999995</v>
      </c>
      <c r="E309" s="116"/>
      <c r="F309" s="15">
        <v>0</v>
      </c>
      <c r="G309" s="15">
        <v>502</v>
      </c>
      <c r="H309" s="15" t="s">
        <v>95</v>
      </c>
      <c r="I309" s="121"/>
      <c r="J309" s="122"/>
    </row>
    <row r="310" spans="1:10" s="14" customFormat="1" ht="15.75" x14ac:dyDescent="0.25">
      <c r="A310" s="152" t="s">
        <v>194</v>
      </c>
      <c r="B310" s="152"/>
      <c r="C310" s="152"/>
      <c r="D310" s="152"/>
      <c r="E310" s="152"/>
      <c r="F310" s="152"/>
      <c r="G310" s="152"/>
      <c r="H310" s="152"/>
      <c r="I310" s="152"/>
      <c r="J310" s="152"/>
    </row>
    <row r="311" spans="1:10" s="14" customFormat="1" ht="15.75" x14ac:dyDescent="0.25">
      <c r="A311" s="15">
        <v>4</v>
      </c>
      <c r="B311" s="15">
        <v>1</v>
      </c>
      <c r="C311" s="15" t="s">
        <v>175</v>
      </c>
      <c r="D311" s="114">
        <f>(24.12+0.3*2.45+0.75*2.42)*10.764</f>
        <v>287.07587999999998</v>
      </c>
      <c r="E311" s="114"/>
      <c r="F311" s="15">
        <v>0</v>
      </c>
      <c r="G311" s="15">
        <v>502</v>
      </c>
      <c r="H311" s="15" t="s">
        <v>95</v>
      </c>
      <c r="I311" s="114" t="str">
        <f>A310</f>
        <v>1st to 7th Floor</v>
      </c>
      <c r="J311" s="114"/>
    </row>
    <row r="312" spans="1:10" s="14" customFormat="1" ht="15.75" x14ac:dyDescent="0.25">
      <c r="A312" s="15">
        <v>6</v>
      </c>
      <c r="B312" s="15">
        <v>2</v>
      </c>
      <c r="C312" s="15" t="s">
        <v>175</v>
      </c>
      <c r="D312" s="114">
        <f>(24.12+0.3*2.45+0.75*2.42)*10.764</f>
        <v>287.07587999999998</v>
      </c>
      <c r="E312" s="114"/>
      <c r="F312" s="15">
        <v>0</v>
      </c>
      <c r="G312" s="15">
        <v>502</v>
      </c>
      <c r="H312" s="15" t="s">
        <v>95</v>
      </c>
      <c r="I312" s="114"/>
      <c r="J312" s="114"/>
    </row>
    <row r="313" spans="1:10" s="14" customFormat="1" ht="15.75" x14ac:dyDescent="0.25">
      <c r="A313" s="15">
        <v>8</v>
      </c>
      <c r="B313" s="15">
        <v>3</v>
      </c>
      <c r="C313" s="15" t="s">
        <v>175</v>
      </c>
      <c r="D313" s="114">
        <f>(21.94+0.3*2.45+0.3*2.42)*10.764</f>
        <v>251.888364</v>
      </c>
      <c r="E313" s="114"/>
      <c r="F313" s="15">
        <v>0</v>
      </c>
      <c r="G313" s="15">
        <v>502</v>
      </c>
      <c r="H313" s="15" t="s">
        <v>95</v>
      </c>
      <c r="I313" s="114"/>
      <c r="J313" s="114"/>
    </row>
    <row r="314" spans="1:10" s="14" customFormat="1" ht="15.75" x14ac:dyDescent="0.25">
      <c r="A314" s="15">
        <v>10</v>
      </c>
      <c r="B314" s="15">
        <v>4</v>
      </c>
      <c r="C314" s="15" t="s">
        <v>175</v>
      </c>
      <c r="D314" s="114">
        <f>(21.94+0.3*2.45+0.3*2.42)*10.764</f>
        <v>251.888364</v>
      </c>
      <c r="E314" s="114"/>
      <c r="F314" s="15">
        <v>0</v>
      </c>
      <c r="G314" s="15">
        <v>502</v>
      </c>
      <c r="H314" s="15" t="s">
        <v>95</v>
      </c>
      <c r="I314" s="114"/>
      <c r="J314" s="114"/>
    </row>
    <row r="315" spans="1:10" s="14" customFormat="1" ht="15.75" x14ac:dyDescent="0.25">
      <c r="A315" s="15">
        <v>12</v>
      </c>
      <c r="B315" s="15">
        <v>5</v>
      </c>
      <c r="C315" s="15" t="s">
        <v>175</v>
      </c>
      <c r="D315" s="114">
        <f>(21.31+0.3*2.45+0.3*2.42)*10.764</f>
        <v>245.10704399999995</v>
      </c>
      <c r="E315" s="114"/>
      <c r="F315" s="15">
        <v>0</v>
      </c>
      <c r="G315" s="15">
        <v>502</v>
      </c>
      <c r="H315" s="15" t="s">
        <v>95</v>
      </c>
      <c r="I315" s="114"/>
      <c r="J315" s="114"/>
    </row>
    <row r="316" spans="1:10" s="14" customFormat="1" ht="15.75" x14ac:dyDescent="0.25">
      <c r="A316" s="15">
        <v>11</v>
      </c>
      <c r="B316" s="15">
        <v>6</v>
      </c>
      <c r="C316" s="15" t="s">
        <v>175</v>
      </c>
      <c r="D316" s="114">
        <f>(21.31+0.3*2.42+0.3*2.45)*10.764</f>
        <v>245.10704399999995</v>
      </c>
      <c r="E316" s="114"/>
      <c r="F316" s="15">
        <v>0</v>
      </c>
      <c r="G316" s="15">
        <v>502</v>
      </c>
      <c r="H316" s="15" t="s">
        <v>95</v>
      </c>
      <c r="I316" s="114"/>
      <c r="J316" s="114"/>
    </row>
    <row r="317" spans="1:10" s="14" customFormat="1" ht="15.75" x14ac:dyDescent="0.25">
      <c r="A317" s="15">
        <v>9</v>
      </c>
      <c r="B317" s="15">
        <v>7</v>
      </c>
      <c r="C317" s="15" t="s">
        <v>175</v>
      </c>
      <c r="D317" s="114">
        <f>(21.94+0.3*2.45+0.3*2.42)*10.764</f>
        <v>251.888364</v>
      </c>
      <c r="E317" s="114"/>
      <c r="F317" s="15">
        <v>0</v>
      </c>
      <c r="G317" s="15">
        <v>502</v>
      </c>
      <c r="H317" s="15" t="s">
        <v>95</v>
      </c>
      <c r="I317" s="114"/>
      <c r="J317" s="114"/>
    </row>
    <row r="318" spans="1:10" s="14" customFormat="1" ht="15.75" x14ac:dyDescent="0.25">
      <c r="A318" s="15">
        <v>7</v>
      </c>
      <c r="B318" s="15">
        <v>8</v>
      </c>
      <c r="C318" s="15" t="s">
        <v>175</v>
      </c>
      <c r="D318" s="114">
        <f>(21.94+0.3*2.45+0.3*2.42)*10.764</f>
        <v>251.888364</v>
      </c>
      <c r="E318" s="114"/>
      <c r="F318" s="15">
        <v>0</v>
      </c>
      <c r="G318" s="15">
        <v>502</v>
      </c>
      <c r="H318" s="15" t="s">
        <v>95</v>
      </c>
      <c r="I318" s="114"/>
      <c r="J318" s="114"/>
    </row>
    <row r="319" spans="1:10" s="14" customFormat="1" ht="15.75" x14ac:dyDescent="0.25">
      <c r="A319" s="15">
        <v>5</v>
      </c>
      <c r="B319" s="15">
        <v>9</v>
      </c>
      <c r="C319" s="15" t="s">
        <v>175</v>
      </c>
      <c r="D319" s="114">
        <f>(21.94+0.3*2.45+0.3*2.42)*10.764</f>
        <v>251.888364</v>
      </c>
      <c r="E319" s="114"/>
      <c r="F319" s="15">
        <v>0</v>
      </c>
      <c r="G319" s="15">
        <v>502</v>
      </c>
      <c r="H319" s="15" t="s">
        <v>95</v>
      </c>
      <c r="I319" s="114"/>
      <c r="J319" s="114"/>
    </row>
    <row r="320" spans="1:10" s="14" customFormat="1" ht="15.75" x14ac:dyDescent="0.25">
      <c r="A320" s="15">
        <v>3</v>
      </c>
      <c r="B320" s="15">
        <v>10</v>
      </c>
      <c r="C320" s="15" t="s">
        <v>175</v>
      </c>
      <c r="D320" s="114">
        <f>(21.94+0.3*2.45+0.3*2.42)*10.764</f>
        <v>251.888364</v>
      </c>
      <c r="E320" s="114"/>
      <c r="F320" s="15">
        <v>0</v>
      </c>
      <c r="G320" s="15">
        <v>502</v>
      </c>
      <c r="H320" s="15" t="s">
        <v>95</v>
      </c>
      <c r="I320" s="114"/>
      <c r="J320" s="114"/>
    </row>
    <row r="321" spans="1:10" s="14" customFormat="1" ht="15.75" x14ac:dyDescent="0.25">
      <c r="A321" s="15">
        <v>1</v>
      </c>
      <c r="B321" s="15">
        <v>11</v>
      </c>
      <c r="C321" s="15" t="s">
        <v>175</v>
      </c>
      <c r="D321" s="114">
        <f>(23.31+0.3*2.45+2.42)*10.764</f>
        <v>284.86925999999994</v>
      </c>
      <c r="E321" s="114"/>
      <c r="F321" s="15">
        <v>0</v>
      </c>
      <c r="G321" s="15">
        <v>502</v>
      </c>
      <c r="H321" s="15" t="s">
        <v>95</v>
      </c>
      <c r="I321" s="114"/>
      <c r="J321" s="114"/>
    </row>
    <row r="322" spans="1:10" s="14" customFormat="1" ht="15.75" x14ac:dyDescent="0.25">
      <c r="A322" s="15">
        <v>2</v>
      </c>
      <c r="B322" s="15">
        <v>12</v>
      </c>
      <c r="C322" s="15" t="s">
        <v>175</v>
      </c>
      <c r="D322" s="114">
        <f>(23.49+0.3*2.45+0.75*2.42)*10.764</f>
        <v>280.29455999999999</v>
      </c>
      <c r="E322" s="114"/>
      <c r="F322" s="15">
        <v>0</v>
      </c>
      <c r="G322" s="15">
        <v>502</v>
      </c>
      <c r="H322" s="15" t="s">
        <v>95</v>
      </c>
      <c r="I322" s="114"/>
      <c r="J322" s="114"/>
    </row>
    <row r="323" spans="1:10" s="14" customFormat="1" ht="16.5" x14ac:dyDescent="0.25">
      <c r="A323" s="123" t="s">
        <v>195</v>
      </c>
      <c r="B323" s="124"/>
      <c r="C323" s="124"/>
      <c r="D323" s="124"/>
      <c r="E323" s="124"/>
      <c r="F323" s="124"/>
      <c r="G323" s="124"/>
      <c r="H323" s="124"/>
      <c r="I323" s="124"/>
      <c r="J323" s="125"/>
    </row>
    <row r="324" spans="1:10" s="14" customFormat="1" ht="15.75" x14ac:dyDescent="0.25">
      <c r="A324" s="126" t="s">
        <v>202</v>
      </c>
      <c r="B324" s="127"/>
      <c r="C324" s="127"/>
      <c r="D324" s="127"/>
      <c r="E324" s="127"/>
      <c r="F324" s="127"/>
      <c r="G324" s="127"/>
      <c r="H324" s="127"/>
      <c r="I324" s="127"/>
      <c r="J324" s="128"/>
    </row>
    <row r="325" spans="1:10" s="14" customFormat="1" ht="15.75" x14ac:dyDescent="0.25">
      <c r="A325" s="15">
        <v>4</v>
      </c>
      <c r="B325" s="15">
        <v>1</v>
      </c>
      <c r="C325" s="15" t="s">
        <v>175</v>
      </c>
      <c r="D325" s="115">
        <f>(24.12+2.45)*10.764</f>
        <v>285.99948000000001</v>
      </c>
      <c r="E325" s="116"/>
      <c r="F325" s="15">
        <v>0</v>
      </c>
      <c r="G325" s="15">
        <v>502</v>
      </c>
      <c r="H325" s="15" t="s">
        <v>95</v>
      </c>
      <c r="I325" s="117" t="s">
        <v>168</v>
      </c>
      <c r="J325" s="118"/>
    </row>
    <row r="326" spans="1:10" s="14" customFormat="1" ht="15.75" x14ac:dyDescent="0.25">
      <c r="A326" s="15">
        <v>6</v>
      </c>
      <c r="B326" s="15">
        <v>2</v>
      </c>
      <c r="C326" s="15" t="s">
        <v>175</v>
      </c>
      <c r="D326" s="115">
        <f>(24.12+2.45)*10.764</f>
        <v>285.99948000000001</v>
      </c>
      <c r="E326" s="116"/>
      <c r="F326" s="15">
        <v>0</v>
      </c>
      <c r="G326" s="15">
        <v>502</v>
      </c>
      <c r="H326" s="15" t="s">
        <v>95</v>
      </c>
      <c r="I326" s="119"/>
      <c r="J326" s="120"/>
    </row>
    <row r="327" spans="1:10" s="14" customFormat="1" ht="15.75" x14ac:dyDescent="0.25">
      <c r="A327" s="15">
        <v>8</v>
      </c>
      <c r="B327" s="15">
        <v>3</v>
      </c>
      <c r="C327" s="15" t="s">
        <v>175</v>
      </c>
      <c r="D327" s="115">
        <f>(21.94+2.45+2.42)*10.764</f>
        <v>288.58284000000003</v>
      </c>
      <c r="E327" s="116"/>
      <c r="F327" s="15">
        <v>0</v>
      </c>
      <c r="G327" s="15">
        <v>502</v>
      </c>
      <c r="H327" s="15" t="s">
        <v>95</v>
      </c>
      <c r="I327" s="119"/>
      <c r="J327" s="120"/>
    </row>
    <row r="328" spans="1:10" s="14" customFormat="1" ht="15.75" x14ac:dyDescent="0.25">
      <c r="A328" s="15">
        <v>10</v>
      </c>
      <c r="B328" s="15">
        <v>4</v>
      </c>
      <c r="C328" s="15" t="s">
        <v>175</v>
      </c>
      <c r="D328" s="115">
        <f>(21.94+2.45+2.42)*10.764</f>
        <v>288.58284000000003</v>
      </c>
      <c r="E328" s="116"/>
      <c r="F328" s="15">
        <v>0</v>
      </c>
      <c r="G328" s="15">
        <v>502</v>
      </c>
      <c r="H328" s="15" t="s">
        <v>95</v>
      </c>
      <c r="I328" s="119"/>
      <c r="J328" s="120"/>
    </row>
    <row r="329" spans="1:10" s="14" customFormat="1" ht="15.75" x14ac:dyDescent="0.25">
      <c r="A329" s="15">
        <v>12</v>
      </c>
      <c r="B329" s="15">
        <v>5</v>
      </c>
      <c r="C329" s="15" t="s">
        <v>175</v>
      </c>
      <c r="D329" s="115">
        <f>(21.31+2.45+2.42)*10.764</f>
        <v>281.80151999999998</v>
      </c>
      <c r="E329" s="116"/>
      <c r="F329" s="15">
        <v>0</v>
      </c>
      <c r="G329" s="15">
        <v>502</v>
      </c>
      <c r="H329" s="15" t="s">
        <v>95</v>
      </c>
      <c r="I329" s="119"/>
      <c r="J329" s="120"/>
    </row>
    <row r="330" spans="1:10" s="14" customFormat="1" ht="15.75" x14ac:dyDescent="0.25">
      <c r="A330" s="15">
        <v>11</v>
      </c>
      <c r="B330" s="15">
        <v>6</v>
      </c>
      <c r="C330" s="15" t="s">
        <v>175</v>
      </c>
      <c r="D330" s="115">
        <f>(21.31+2.45+0.3*2.45+2.42)*10.764</f>
        <v>289.71305999999998</v>
      </c>
      <c r="E330" s="116"/>
      <c r="F330" s="15">
        <v>0</v>
      </c>
      <c r="G330" s="15">
        <v>502</v>
      </c>
      <c r="H330" s="15" t="s">
        <v>95</v>
      </c>
      <c r="I330" s="119"/>
      <c r="J330" s="120"/>
    </row>
    <row r="331" spans="1:10" s="14" customFormat="1" ht="15.75" x14ac:dyDescent="0.25">
      <c r="A331" s="15">
        <v>9</v>
      </c>
      <c r="B331" s="15">
        <v>7</v>
      </c>
      <c r="C331" s="15" t="s">
        <v>175</v>
      </c>
      <c r="D331" s="115">
        <f>(21.94+2.45+0.3*2.45+2.42)*10.764</f>
        <v>296.49437999999998</v>
      </c>
      <c r="E331" s="116"/>
      <c r="F331" s="15">
        <v>0</v>
      </c>
      <c r="G331" s="15">
        <v>502</v>
      </c>
      <c r="H331" s="15" t="s">
        <v>95</v>
      </c>
      <c r="I331" s="119"/>
      <c r="J331" s="120"/>
    </row>
    <row r="332" spans="1:10" s="14" customFormat="1" ht="15.75" x14ac:dyDescent="0.25">
      <c r="A332" s="15">
        <v>7</v>
      </c>
      <c r="B332" s="15">
        <v>8</v>
      </c>
      <c r="C332" s="15" t="s">
        <v>175</v>
      </c>
      <c r="D332" s="115">
        <f>(21.94+2.45+0.3*2.45+2.42)*10.764</f>
        <v>296.49437999999998</v>
      </c>
      <c r="E332" s="116"/>
      <c r="F332" s="15">
        <v>0</v>
      </c>
      <c r="G332" s="15">
        <v>502</v>
      </c>
      <c r="H332" s="15" t="s">
        <v>95</v>
      </c>
      <c r="I332" s="119"/>
      <c r="J332" s="120"/>
    </row>
    <row r="333" spans="1:10" s="14" customFormat="1" ht="15.75" x14ac:dyDescent="0.25">
      <c r="A333" s="15">
        <v>5</v>
      </c>
      <c r="B333" s="15">
        <v>9</v>
      </c>
      <c r="C333" s="15" t="s">
        <v>175</v>
      </c>
      <c r="D333" s="115">
        <f>(21.94+2.45+0.3*2.45+2.42)*10.764</f>
        <v>296.49437999999998</v>
      </c>
      <c r="E333" s="116"/>
      <c r="F333" s="15">
        <v>0</v>
      </c>
      <c r="G333" s="15">
        <v>502</v>
      </c>
      <c r="H333" s="15" t="s">
        <v>95</v>
      </c>
      <c r="I333" s="119"/>
      <c r="J333" s="120"/>
    </row>
    <row r="334" spans="1:10" s="14" customFormat="1" ht="15.75" x14ac:dyDescent="0.25">
      <c r="A334" s="15">
        <v>1</v>
      </c>
      <c r="B334" s="15">
        <v>11</v>
      </c>
      <c r="C334" s="15" t="s">
        <v>175</v>
      </c>
      <c r="D334" s="115">
        <f>(21.31+2.45+2.42)*10.764</f>
        <v>281.80151999999998</v>
      </c>
      <c r="E334" s="116"/>
      <c r="F334" s="15">
        <v>0</v>
      </c>
      <c r="G334" s="15">
        <v>502</v>
      </c>
      <c r="H334" s="15" t="s">
        <v>95</v>
      </c>
      <c r="I334" s="119"/>
      <c r="J334" s="120"/>
    </row>
    <row r="335" spans="1:10" s="14" customFormat="1" ht="15.75" x14ac:dyDescent="0.25">
      <c r="A335" s="15">
        <v>2</v>
      </c>
      <c r="B335" s="15">
        <v>12</v>
      </c>
      <c r="C335" s="15" t="s">
        <v>175</v>
      </c>
      <c r="D335" s="115">
        <f>(23.49+2.45)*10.764</f>
        <v>279.21815999999995</v>
      </c>
      <c r="E335" s="116"/>
      <c r="F335" s="15">
        <v>0</v>
      </c>
      <c r="G335" s="15">
        <v>502</v>
      </c>
      <c r="H335" s="15" t="s">
        <v>95</v>
      </c>
      <c r="I335" s="121"/>
      <c r="J335" s="122"/>
    </row>
    <row r="336" spans="1:10" s="14" customFormat="1" ht="15.75" x14ac:dyDescent="0.25">
      <c r="A336" s="126" t="s">
        <v>204</v>
      </c>
      <c r="B336" s="127"/>
      <c r="C336" s="127"/>
      <c r="D336" s="127"/>
      <c r="E336" s="127"/>
      <c r="F336" s="127"/>
      <c r="G336" s="127"/>
      <c r="H336" s="127"/>
      <c r="I336" s="127"/>
      <c r="J336" s="128"/>
    </row>
    <row r="337" spans="1:10" s="14" customFormat="1" ht="15.75" x14ac:dyDescent="0.25">
      <c r="A337" s="15">
        <v>4</v>
      </c>
      <c r="B337" s="15">
        <v>1</v>
      </c>
      <c r="C337" s="15" t="s">
        <v>175</v>
      </c>
      <c r="D337" s="115">
        <f>(24.12+0.3*2.45+0.75*2.42)*10.764</f>
        <v>287.07587999999998</v>
      </c>
      <c r="E337" s="116"/>
      <c r="F337" s="15">
        <v>0</v>
      </c>
      <c r="G337" s="15">
        <v>502</v>
      </c>
      <c r="H337" s="15" t="s">
        <v>95</v>
      </c>
      <c r="I337" s="117" t="str">
        <f>A336</f>
        <v>1st to 6th Floor</v>
      </c>
      <c r="J337" s="118"/>
    </row>
    <row r="338" spans="1:10" s="14" customFormat="1" ht="15.75" x14ac:dyDescent="0.25">
      <c r="A338" s="15">
        <v>6</v>
      </c>
      <c r="B338" s="15">
        <v>2</v>
      </c>
      <c r="C338" s="15" t="s">
        <v>175</v>
      </c>
      <c r="D338" s="115">
        <f>(24.12+0.3*2.45+0.75*2.42)*10.764</f>
        <v>287.07587999999998</v>
      </c>
      <c r="E338" s="116"/>
      <c r="F338" s="15">
        <v>0</v>
      </c>
      <c r="G338" s="15">
        <v>502</v>
      </c>
      <c r="H338" s="15" t="s">
        <v>95</v>
      </c>
      <c r="I338" s="119"/>
      <c r="J338" s="120"/>
    </row>
    <row r="339" spans="1:10" s="14" customFormat="1" ht="15.75" x14ac:dyDescent="0.25">
      <c r="A339" s="15">
        <v>8</v>
      </c>
      <c r="B339" s="15">
        <v>3</v>
      </c>
      <c r="C339" s="15" t="s">
        <v>175</v>
      </c>
      <c r="D339" s="115">
        <f>(21.94+0.3*2.45+0.3*2.42)*10.764</f>
        <v>251.888364</v>
      </c>
      <c r="E339" s="116"/>
      <c r="F339" s="15">
        <v>0</v>
      </c>
      <c r="G339" s="15">
        <v>502</v>
      </c>
      <c r="H339" s="15" t="s">
        <v>95</v>
      </c>
      <c r="I339" s="119"/>
      <c r="J339" s="120"/>
    </row>
    <row r="340" spans="1:10" s="14" customFormat="1" ht="15.75" x14ac:dyDescent="0.25">
      <c r="A340" s="15">
        <v>10</v>
      </c>
      <c r="B340" s="15">
        <v>4</v>
      </c>
      <c r="C340" s="15" t="s">
        <v>175</v>
      </c>
      <c r="D340" s="115">
        <f>(21.94+0.3*2.45+0.3*2.42)*10.764</f>
        <v>251.888364</v>
      </c>
      <c r="E340" s="116"/>
      <c r="F340" s="15">
        <v>0</v>
      </c>
      <c r="G340" s="15">
        <v>502</v>
      </c>
      <c r="H340" s="15" t="s">
        <v>95</v>
      </c>
      <c r="I340" s="119"/>
      <c r="J340" s="120"/>
    </row>
    <row r="341" spans="1:10" s="14" customFormat="1" ht="15.75" x14ac:dyDescent="0.25">
      <c r="A341" s="15">
        <v>12</v>
      </c>
      <c r="B341" s="15">
        <v>5</v>
      </c>
      <c r="C341" s="15" t="s">
        <v>175</v>
      </c>
      <c r="D341" s="115">
        <f>(21.31+0.3*2.45+0.3*2.42)*10.764</f>
        <v>245.10704399999995</v>
      </c>
      <c r="E341" s="116"/>
      <c r="F341" s="15">
        <v>0</v>
      </c>
      <c r="G341" s="15">
        <v>502</v>
      </c>
      <c r="H341" s="15" t="s">
        <v>95</v>
      </c>
      <c r="I341" s="119"/>
      <c r="J341" s="120"/>
    </row>
    <row r="342" spans="1:10" s="14" customFormat="1" ht="15.75" x14ac:dyDescent="0.25">
      <c r="A342" s="15">
        <v>11</v>
      </c>
      <c r="B342" s="15">
        <v>6</v>
      </c>
      <c r="C342" s="15" t="s">
        <v>175</v>
      </c>
      <c r="D342" s="115">
        <f>(21.31+0.3*2.42+0.3*2.45)*10.764</f>
        <v>245.10704399999995</v>
      </c>
      <c r="E342" s="116"/>
      <c r="F342" s="15">
        <v>0</v>
      </c>
      <c r="G342" s="15">
        <v>502</v>
      </c>
      <c r="H342" s="15" t="s">
        <v>95</v>
      </c>
      <c r="I342" s="119"/>
      <c r="J342" s="120"/>
    </row>
    <row r="343" spans="1:10" s="14" customFormat="1" ht="15.75" x14ac:dyDescent="0.25">
      <c r="A343" s="15">
        <v>9</v>
      </c>
      <c r="B343" s="15">
        <v>7</v>
      </c>
      <c r="C343" s="15" t="s">
        <v>175</v>
      </c>
      <c r="D343" s="115">
        <f>(21.94+0.3*2.45+0.3*2.42)*10.764</f>
        <v>251.888364</v>
      </c>
      <c r="E343" s="116"/>
      <c r="F343" s="15">
        <v>0</v>
      </c>
      <c r="G343" s="15">
        <v>502</v>
      </c>
      <c r="H343" s="15" t="s">
        <v>95</v>
      </c>
      <c r="I343" s="119"/>
      <c r="J343" s="120"/>
    </row>
    <row r="344" spans="1:10" s="14" customFormat="1" ht="15.75" x14ac:dyDescent="0.25">
      <c r="A344" s="15">
        <v>7</v>
      </c>
      <c r="B344" s="15">
        <v>8</v>
      </c>
      <c r="C344" s="15" t="s">
        <v>175</v>
      </c>
      <c r="D344" s="115">
        <f>(21.94+0.3*2.45+0.3*2.42)*10.764</f>
        <v>251.888364</v>
      </c>
      <c r="E344" s="116"/>
      <c r="F344" s="15">
        <v>0</v>
      </c>
      <c r="G344" s="15">
        <v>502</v>
      </c>
      <c r="H344" s="15" t="s">
        <v>95</v>
      </c>
      <c r="I344" s="119"/>
      <c r="J344" s="120"/>
    </row>
    <row r="345" spans="1:10" s="14" customFormat="1" ht="15.75" x14ac:dyDescent="0.25">
      <c r="A345" s="15">
        <v>5</v>
      </c>
      <c r="B345" s="15">
        <v>9</v>
      </c>
      <c r="C345" s="15" t="s">
        <v>175</v>
      </c>
      <c r="D345" s="115">
        <f>(21.94+0.3*2.45+0.3*2.42)*10.764</f>
        <v>251.888364</v>
      </c>
      <c r="E345" s="116"/>
      <c r="F345" s="15">
        <v>0</v>
      </c>
      <c r="G345" s="15">
        <v>502</v>
      </c>
      <c r="H345" s="15" t="s">
        <v>95</v>
      </c>
      <c r="I345" s="119"/>
      <c r="J345" s="120"/>
    </row>
    <row r="346" spans="1:10" s="14" customFormat="1" ht="15.75" x14ac:dyDescent="0.25">
      <c r="A346" s="15">
        <v>3</v>
      </c>
      <c r="B346" s="15">
        <v>10</v>
      </c>
      <c r="C346" s="15" t="s">
        <v>175</v>
      </c>
      <c r="D346" s="115">
        <f>(21.94+0.3*2.45+0.3*2.42)*10.764</f>
        <v>251.888364</v>
      </c>
      <c r="E346" s="116"/>
      <c r="F346" s="15">
        <v>0</v>
      </c>
      <c r="G346" s="15">
        <v>502</v>
      </c>
      <c r="H346" s="15" t="s">
        <v>95</v>
      </c>
      <c r="I346" s="119"/>
      <c r="J346" s="120"/>
    </row>
    <row r="347" spans="1:10" s="14" customFormat="1" ht="15.75" x14ac:dyDescent="0.25">
      <c r="A347" s="15">
        <v>1</v>
      </c>
      <c r="B347" s="15">
        <v>11</v>
      </c>
      <c r="C347" s="15" t="s">
        <v>175</v>
      </c>
      <c r="D347" s="115">
        <f>(23.31+0.3*2.45+2.42)*10.764</f>
        <v>284.86925999999994</v>
      </c>
      <c r="E347" s="116"/>
      <c r="F347" s="15">
        <v>0</v>
      </c>
      <c r="G347" s="15">
        <v>502</v>
      </c>
      <c r="H347" s="15" t="s">
        <v>95</v>
      </c>
      <c r="I347" s="119"/>
      <c r="J347" s="120"/>
    </row>
    <row r="348" spans="1:10" s="14" customFormat="1" ht="15.75" x14ac:dyDescent="0.25">
      <c r="A348" s="15">
        <v>2</v>
      </c>
      <c r="B348" s="15">
        <v>12</v>
      </c>
      <c r="C348" s="15" t="s">
        <v>175</v>
      </c>
      <c r="D348" s="115">
        <f>(23.49+0.3*2.45+0.75*2.42)*10.764</f>
        <v>280.29455999999999</v>
      </c>
      <c r="E348" s="116"/>
      <c r="F348" s="15">
        <v>0</v>
      </c>
      <c r="G348" s="15">
        <v>502</v>
      </c>
      <c r="H348" s="15" t="s">
        <v>95</v>
      </c>
      <c r="I348" s="121"/>
      <c r="J348" s="122"/>
    </row>
    <row r="349" spans="1:10" s="11" customFormat="1" ht="15.75" customHeight="1" x14ac:dyDescent="0.25">
      <c r="A349" s="138" t="s">
        <v>105</v>
      </c>
      <c r="B349" s="138"/>
      <c r="C349" s="138"/>
      <c r="D349" s="138"/>
      <c r="E349" s="138"/>
      <c r="F349" s="138"/>
      <c r="G349" s="138"/>
      <c r="H349" s="138"/>
      <c r="I349" s="138"/>
      <c r="J349" s="138"/>
    </row>
    <row r="350" spans="1:10" s="11" customFormat="1" ht="15.75" customHeight="1" x14ac:dyDescent="0.25">
      <c r="A350" s="260" t="s">
        <v>300</v>
      </c>
      <c r="B350" s="260"/>
      <c r="C350" s="260"/>
      <c r="D350" s="260"/>
      <c r="E350" s="260" t="s">
        <v>302</v>
      </c>
      <c r="F350" s="260"/>
      <c r="G350" s="260"/>
      <c r="H350" s="260"/>
      <c r="I350" s="260"/>
      <c r="J350" s="260"/>
    </row>
    <row r="351" spans="1:10" s="11" customFormat="1" ht="15.75" customHeight="1" x14ac:dyDescent="0.25">
      <c r="A351" s="260" t="s">
        <v>301</v>
      </c>
      <c r="B351" s="260"/>
      <c r="C351" s="260"/>
      <c r="D351" s="260"/>
      <c r="E351" s="260" t="s">
        <v>294</v>
      </c>
      <c r="F351" s="260"/>
      <c r="G351" s="260"/>
      <c r="H351" s="260"/>
      <c r="I351" s="260"/>
      <c r="J351" s="260"/>
    </row>
    <row r="352" spans="1:10" s="11" customFormat="1" ht="15.75" x14ac:dyDescent="0.25">
      <c r="A352" s="260" t="s">
        <v>298</v>
      </c>
      <c r="B352" s="260"/>
      <c r="C352" s="260"/>
      <c r="D352" s="260"/>
      <c r="E352" s="260" t="s">
        <v>292</v>
      </c>
      <c r="F352" s="260"/>
      <c r="G352" s="260"/>
      <c r="H352" s="260"/>
      <c r="I352" s="260"/>
      <c r="J352" s="260"/>
    </row>
    <row r="353" spans="1:10" s="11" customFormat="1" ht="15.75" x14ac:dyDescent="0.25">
      <c r="A353" s="260" t="s">
        <v>299</v>
      </c>
      <c r="B353" s="260"/>
      <c r="C353" s="260"/>
      <c r="D353" s="260"/>
      <c r="E353" s="260" t="s">
        <v>297</v>
      </c>
      <c r="F353" s="260"/>
      <c r="G353" s="260"/>
      <c r="H353" s="260"/>
      <c r="I353" s="260"/>
      <c r="J353" s="260"/>
    </row>
    <row r="354" spans="1:10" s="11" customFormat="1" ht="15.75" hidden="1" customHeight="1" x14ac:dyDescent="0.25">
      <c r="A354" s="260"/>
      <c r="B354" s="260"/>
      <c r="C354" s="260"/>
      <c r="D354" s="260"/>
      <c r="E354" s="260" t="s">
        <v>277</v>
      </c>
      <c r="F354" s="260"/>
      <c r="G354" s="260"/>
      <c r="H354" s="260"/>
      <c r="I354" s="260"/>
      <c r="J354" s="260"/>
    </row>
    <row r="355" spans="1:10" s="20" customFormat="1" ht="104.25" customHeight="1" x14ac:dyDescent="0.25">
      <c r="A355" s="139" t="s">
        <v>293</v>
      </c>
      <c r="B355" s="139"/>
      <c r="C355" s="139"/>
      <c r="D355" s="139"/>
      <c r="E355" s="139"/>
      <c r="F355" s="139"/>
      <c r="G355" s="139"/>
      <c r="H355" s="139"/>
      <c r="I355" s="139"/>
      <c r="J355" s="139"/>
    </row>
    <row r="356" spans="1:10" x14ac:dyDescent="0.25">
      <c r="A356" s="140" t="s">
        <v>96</v>
      </c>
      <c r="B356" s="141"/>
      <c r="C356" s="141"/>
      <c r="D356" s="141"/>
      <c r="E356" s="141"/>
      <c r="F356" s="141"/>
      <c r="G356" s="141"/>
      <c r="H356" s="141"/>
      <c r="I356" s="141"/>
      <c r="J356" s="142"/>
    </row>
    <row r="357" spans="1:10" x14ac:dyDescent="0.25">
      <c r="A357" s="83" t="s">
        <v>97</v>
      </c>
      <c r="B357" s="84"/>
      <c r="C357" s="84"/>
      <c r="D357" s="84"/>
      <c r="E357" s="84"/>
      <c r="F357" s="84"/>
      <c r="G357" s="84"/>
      <c r="H357" s="84"/>
      <c r="I357" s="84"/>
      <c r="J357" s="85"/>
    </row>
    <row r="358" spans="1:10" x14ac:dyDescent="0.25">
      <c r="A358" s="140" t="s">
        <v>98</v>
      </c>
      <c r="B358" s="141"/>
      <c r="C358" s="141"/>
      <c r="D358" s="141"/>
      <c r="E358" s="141"/>
      <c r="F358" s="141"/>
      <c r="G358" s="141"/>
      <c r="H358" s="141"/>
      <c r="I358" s="141"/>
      <c r="J358" s="142"/>
    </row>
    <row r="359" spans="1:10" x14ac:dyDescent="0.25">
      <c r="A359" s="83" t="s">
        <v>99</v>
      </c>
      <c r="B359" s="84"/>
      <c r="C359" s="84"/>
      <c r="D359" s="84"/>
      <c r="E359" s="84"/>
      <c r="F359" s="84"/>
      <c r="G359" s="84"/>
      <c r="H359" s="84"/>
      <c r="I359" s="84"/>
      <c r="J359" s="85"/>
    </row>
    <row r="360" spans="1:10" x14ac:dyDescent="0.25">
      <c r="A360" s="83" t="s">
        <v>100</v>
      </c>
      <c r="B360" s="84"/>
      <c r="C360" s="84"/>
      <c r="D360" s="84"/>
      <c r="E360" s="84"/>
      <c r="F360" s="84"/>
      <c r="G360" s="84"/>
      <c r="H360" s="84"/>
      <c r="I360" s="84"/>
      <c r="J360" s="85"/>
    </row>
    <row r="361" spans="1:10" x14ac:dyDescent="0.25">
      <c r="A361" s="83" t="s">
        <v>101</v>
      </c>
      <c r="B361" s="84"/>
      <c r="C361" s="84"/>
      <c r="D361" s="84"/>
      <c r="E361" s="84"/>
      <c r="F361" s="84"/>
      <c r="G361" s="84"/>
      <c r="H361" s="84"/>
      <c r="I361" s="84"/>
      <c r="J361" s="85"/>
    </row>
    <row r="362" spans="1:10" ht="30.75" customHeight="1" x14ac:dyDescent="0.25">
      <c r="A362" s="149" t="s">
        <v>102</v>
      </c>
      <c r="B362" s="150"/>
      <c r="C362" s="150"/>
      <c r="D362" s="150"/>
      <c r="E362" s="150"/>
      <c r="F362" s="150"/>
      <c r="G362" s="150"/>
      <c r="H362" s="150"/>
      <c r="I362" s="150"/>
      <c r="J362" s="151"/>
    </row>
    <row r="363" spans="1:10" ht="15" customHeight="1" x14ac:dyDescent="0.25">
      <c r="A363" s="129" t="s">
        <v>296</v>
      </c>
      <c r="B363" s="130"/>
      <c r="C363" s="130"/>
      <c r="D363" s="130"/>
      <c r="E363" s="130"/>
      <c r="F363" s="130"/>
      <c r="G363" s="130"/>
      <c r="H363" s="130"/>
      <c r="I363" s="130"/>
      <c r="J363" s="131"/>
    </row>
    <row r="364" spans="1:10" x14ac:dyDescent="0.25">
      <c r="A364" s="132"/>
      <c r="B364" s="133"/>
      <c r="C364" s="133"/>
      <c r="D364" s="133"/>
      <c r="E364" s="133"/>
      <c r="F364" s="133"/>
      <c r="G364" s="133"/>
      <c r="H364" s="133"/>
      <c r="I364" s="133"/>
      <c r="J364" s="134"/>
    </row>
    <row r="365" spans="1:10" x14ac:dyDescent="0.25">
      <c r="A365" s="132"/>
      <c r="B365" s="133"/>
      <c r="C365" s="133"/>
      <c r="D365" s="133"/>
      <c r="E365" s="133"/>
      <c r="F365" s="133"/>
      <c r="G365" s="133"/>
      <c r="H365" s="133"/>
      <c r="I365" s="133"/>
      <c r="J365" s="134"/>
    </row>
    <row r="366" spans="1:10" x14ac:dyDescent="0.25">
      <c r="A366" s="135"/>
      <c r="B366" s="136"/>
      <c r="C366" s="136"/>
      <c r="D366" s="136"/>
      <c r="E366" s="136"/>
      <c r="F366" s="136"/>
      <c r="G366" s="136"/>
      <c r="H366" s="136"/>
      <c r="I366" s="136"/>
      <c r="J366" s="137"/>
    </row>
    <row r="367" spans="1:10" x14ac:dyDescent="0.25">
      <c r="A367" s="16" t="s">
        <v>103</v>
      </c>
      <c r="B367" s="17"/>
      <c r="C367" s="17"/>
      <c r="D367" s="18" t="str">
        <f>F8</f>
        <v>Labdhi Gardens</v>
      </c>
      <c r="G367" s="17"/>
      <c r="H367" s="17"/>
      <c r="I367" s="17"/>
      <c r="J367" s="17"/>
    </row>
    <row r="368" spans="1:10" x14ac:dyDescent="0.25">
      <c r="A368" s="17"/>
      <c r="B368" s="17"/>
      <c r="C368" s="17"/>
      <c r="D368" s="17"/>
      <c r="E368" s="17"/>
      <c r="F368" s="17"/>
      <c r="G368" s="17"/>
      <c r="H368" s="17"/>
      <c r="I368" s="17"/>
      <c r="J368" s="17"/>
    </row>
    <row r="369" spans="1:17" x14ac:dyDescent="0.25">
      <c r="A369" s="17"/>
      <c r="B369" s="17"/>
      <c r="C369" s="17"/>
      <c r="D369" s="17"/>
      <c r="E369" s="17"/>
      <c r="F369" s="17"/>
      <c r="G369" s="17"/>
      <c r="H369" s="17"/>
      <c r="I369" s="17"/>
      <c r="J369" s="17"/>
    </row>
    <row r="381" spans="1:17" ht="15" customHeight="1" x14ac:dyDescent="0.25">
      <c r="M381" s="81"/>
      <c r="N381" s="81"/>
      <c r="O381" s="81"/>
      <c r="P381" s="81"/>
      <c r="Q381" s="81"/>
    </row>
    <row r="382" spans="1:17" x14ac:dyDescent="0.25">
      <c r="M382" s="82"/>
      <c r="N382" s="82"/>
      <c r="O382" s="82"/>
      <c r="P382" s="82"/>
      <c r="Q382" s="82"/>
    </row>
    <row r="383" spans="1:17" x14ac:dyDescent="0.25">
      <c r="M383" s="82"/>
      <c r="N383" s="82"/>
      <c r="O383" s="82"/>
      <c r="P383" s="82"/>
      <c r="Q383" s="82"/>
    </row>
    <row r="384" spans="1:17" x14ac:dyDescent="0.25">
      <c r="M384" s="82"/>
      <c r="N384" s="82"/>
      <c r="O384" s="82"/>
      <c r="P384" s="82"/>
      <c r="Q384" s="82"/>
    </row>
    <row r="385" spans="13:17" x14ac:dyDescent="0.25">
      <c r="M385" s="82"/>
      <c r="N385" s="82"/>
      <c r="O385" s="82"/>
      <c r="P385" s="82"/>
      <c r="Q385" s="82"/>
    </row>
    <row r="386" spans="13:17" x14ac:dyDescent="0.25">
      <c r="M386" s="82"/>
      <c r="N386" s="82"/>
      <c r="O386" s="82"/>
      <c r="P386" s="82"/>
      <c r="Q386" s="82"/>
    </row>
    <row r="387" spans="13:17" x14ac:dyDescent="0.25">
      <c r="M387" s="82"/>
      <c r="N387" s="82"/>
      <c r="O387" s="82"/>
      <c r="P387" s="82"/>
      <c r="Q387" s="82"/>
    </row>
    <row r="415" spans="1:1" x14ac:dyDescent="0.25">
      <c r="A415" s="19" t="s">
        <v>104</v>
      </c>
    </row>
  </sheetData>
  <mergeCells count="707">
    <mergeCell ref="A350:D350"/>
    <mergeCell ref="E350:J350"/>
    <mergeCell ref="A352:D352"/>
    <mergeCell ref="E352:J352"/>
    <mergeCell ref="A115:B115"/>
    <mergeCell ref="D115:E115"/>
    <mergeCell ref="F115:G124"/>
    <mergeCell ref="H115:J124"/>
    <mergeCell ref="A116:B116"/>
    <mergeCell ref="D116:E116"/>
    <mergeCell ref="A117:B117"/>
    <mergeCell ref="D117:E117"/>
    <mergeCell ref="A118:B118"/>
    <mergeCell ref="D118:E118"/>
    <mergeCell ref="A119:B119"/>
    <mergeCell ref="D119:E119"/>
    <mergeCell ref="A120:B120"/>
    <mergeCell ref="D120:E120"/>
    <mergeCell ref="A121:B121"/>
    <mergeCell ref="D121:E121"/>
    <mergeCell ref="A122:B122"/>
    <mergeCell ref="D122:E122"/>
    <mergeCell ref="A123:B123"/>
    <mergeCell ref="D123:E123"/>
    <mergeCell ref="A124:B124"/>
    <mergeCell ref="D124:E124"/>
    <mergeCell ref="A111:B111"/>
    <mergeCell ref="C111:J111"/>
    <mergeCell ref="E112:F112"/>
    <mergeCell ref="I112:J112"/>
    <mergeCell ref="A113:B113"/>
    <mergeCell ref="C113:J113"/>
    <mergeCell ref="A114:B114"/>
    <mergeCell ref="D114:E114"/>
    <mergeCell ref="F114:G114"/>
    <mergeCell ref="H114:J114"/>
    <mergeCell ref="E353:J353"/>
    <mergeCell ref="A353:D353"/>
    <mergeCell ref="A351:D351"/>
    <mergeCell ref="E351:J351"/>
    <mergeCell ref="A354:D354"/>
    <mergeCell ref="E354:J354"/>
    <mergeCell ref="A274:J274"/>
    <mergeCell ref="A275:J275"/>
    <mergeCell ref="A238:B238"/>
    <mergeCell ref="D238:E238"/>
    <mergeCell ref="A239:B239"/>
    <mergeCell ref="D239:E239"/>
    <mergeCell ref="D241:E241"/>
    <mergeCell ref="A247:B247"/>
    <mergeCell ref="D247:E247"/>
    <mergeCell ref="A244:B244"/>
    <mergeCell ref="D244:E244"/>
    <mergeCell ref="D243:E243"/>
    <mergeCell ref="A240:B240"/>
    <mergeCell ref="D240:E240"/>
    <mergeCell ref="A249:B249"/>
    <mergeCell ref="D249:E249"/>
    <mergeCell ref="A250:B250"/>
    <mergeCell ref="D250:E250"/>
    <mergeCell ref="D335:E335"/>
    <mergeCell ref="A336:J336"/>
    <mergeCell ref="D180:F180"/>
    <mergeCell ref="D181:F181"/>
    <mergeCell ref="D182:F182"/>
    <mergeCell ref="D183:F183"/>
    <mergeCell ref="D184:F184"/>
    <mergeCell ref="D185:F185"/>
    <mergeCell ref="D186:F186"/>
    <mergeCell ref="D187:F187"/>
    <mergeCell ref="D188:F188"/>
    <mergeCell ref="D189:F189"/>
    <mergeCell ref="D329:E329"/>
    <mergeCell ref="D330:E330"/>
    <mergeCell ref="D331:E331"/>
    <mergeCell ref="D332:E332"/>
    <mergeCell ref="D333:E333"/>
    <mergeCell ref="A190:J190"/>
    <mergeCell ref="A191:B191"/>
    <mergeCell ref="A193:J193"/>
    <mergeCell ref="A194:J194"/>
    <mergeCell ref="A199:B199"/>
    <mergeCell ref="D199:E199"/>
    <mergeCell ref="A200:B200"/>
    <mergeCell ref="D337:E337"/>
    <mergeCell ref="I337:J348"/>
    <mergeCell ref="D338:E338"/>
    <mergeCell ref="D339:E339"/>
    <mergeCell ref="D340:E340"/>
    <mergeCell ref="D341:E341"/>
    <mergeCell ref="D342:E342"/>
    <mergeCell ref="D343:E343"/>
    <mergeCell ref="D344:E344"/>
    <mergeCell ref="D345:E345"/>
    <mergeCell ref="D346:E346"/>
    <mergeCell ref="D347:E347"/>
    <mergeCell ref="D348:E348"/>
    <mergeCell ref="A172:F172"/>
    <mergeCell ref="G172:J172"/>
    <mergeCell ref="A173:F173"/>
    <mergeCell ref="A184:B184"/>
    <mergeCell ref="G184:J184"/>
    <mergeCell ref="A185:B185"/>
    <mergeCell ref="G185:J185"/>
    <mergeCell ref="C191:F191"/>
    <mergeCell ref="D334:E334"/>
    <mergeCell ref="A258:J258"/>
    <mergeCell ref="A225:J225"/>
    <mergeCell ref="I226:J235"/>
    <mergeCell ref="A257:J257"/>
    <mergeCell ref="A226:B226"/>
    <mergeCell ref="A243:B243"/>
    <mergeCell ref="A241:B241"/>
    <mergeCell ref="A203:J203"/>
    <mergeCell ref="A209:J209"/>
    <mergeCell ref="A236:J236"/>
    <mergeCell ref="A237:J237"/>
    <mergeCell ref="I238:J244"/>
    <mergeCell ref="A242:B242"/>
    <mergeCell ref="D242:E242"/>
    <mergeCell ref="D200:E200"/>
    <mergeCell ref="G173:J173"/>
    <mergeCell ref="A176:F176"/>
    <mergeCell ref="G176:J176"/>
    <mergeCell ref="A178:F178"/>
    <mergeCell ref="G178:J178"/>
    <mergeCell ref="A197:J197"/>
    <mergeCell ref="A179:J179"/>
    <mergeCell ref="G191:J191"/>
    <mergeCell ref="A192:B192"/>
    <mergeCell ref="C192:F192"/>
    <mergeCell ref="G192:J192"/>
    <mergeCell ref="A169:B169"/>
    <mergeCell ref="C169:J169"/>
    <mergeCell ref="A170:J170"/>
    <mergeCell ref="A167:J167"/>
    <mergeCell ref="A168:J168"/>
    <mergeCell ref="A1:J1"/>
    <mergeCell ref="A2:J2"/>
    <mergeCell ref="A3:E3"/>
    <mergeCell ref="F3:J3"/>
    <mergeCell ref="A4:E4"/>
    <mergeCell ref="F4:I4"/>
    <mergeCell ref="A8:E8"/>
    <mergeCell ref="F8:J8"/>
    <mergeCell ref="A9:E9"/>
    <mergeCell ref="F9:J9"/>
    <mergeCell ref="A11:E11"/>
    <mergeCell ref="F11:J11"/>
    <mergeCell ref="A5:E5"/>
    <mergeCell ref="F5:J5"/>
    <mergeCell ref="A6:E6"/>
    <mergeCell ref="F6:J6"/>
    <mergeCell ref="A7:E7"/>
    <mergeCell ref="F7:J7"/>
    <mergeCell ref="A15:B15"/>
    <mergeCell ref="C15:E15"/>
    <mergeCell ref="I15:J15"/>
    <mergeCell ref="B16:E16"/>
    <mergeCell ref="G16:J16"/>
    <mergeCell ref="B17:E17"/>
    <mergeCell ref="G17:J17"/>
    <mergeCell ref="A12:E12"/>
    <mergeCell ref="F12:J12"/>
    <mergeCell ref="A13:E13"/>
    <mergeCell ref="F13:J13"/>
    <mergeCell ref="A14:B14"/>
    <mergeCell ref="C14:J14"/>
    <mergeCell ref="A21:E21"/>
    <mergeCell ref="F21:J21"/>
    <mergeCell ref="A22:E22"/>
    <mergeCell ref="F22:I22"/>
    <mergeCell ref="A23:E23"/>
    <mergeCell ref="F23:J23"/>
    <mergeCell ref="A18:B18"/>
    <mergeCell ref="C18:E18"/>
    <mergeCell ref="F18:G18"/>
    <mergeCell ref="H18:J18"/>
    <mergeCell ref="A19:E20"/>
    <mergeCell ref="F19:J20"/>
    <mergeCell ref="A24:E24"/>
    <mergeCell ref="F24:I24"/>
    <mergeCell ref="A25:E25"/>
    <mergeCell ref="F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33:J33"/>
    <mergeCell ref="A34:E34"/>
    <mergeCell ref="F34:I34"/>
    <mergeCell ref="A35:E35"/>
    <mergeCell ref="F35:J35"/>
    <mergeCell ref="A36:J36"/>
    <mergeCell ref="A29:J29"/>
    <mergeCell ref="A30:J30"/>
    <mergeCell ref="A31:B31"/>
    <mergeCell ref="C31:D31"/>
    <mergeCell ref="E31:F31"/>
    <mergeCell ref="G31:H31"/>
    <mergeCell ref="I31:J31"/>
    <mergeCell ref="A32:B32"/>
    <mergeCell ref="C32:J32"/>
    <mergeCell ref="A40:E40"/>
    <mergeCell ref="F40:J40"/>
    <mergeCell ref="A41:E41"/>
    <mergeCell ref="F41:J41"/>
    <mergeCell ref="A42:E42"/>
    <mergeCell ref="F42:J42"/>
    <mergeCell ref="A37:E37"/>
    <mergeCell ref="F37:J37"/>
    <mergeCell ref="A38:E38"/>
    <mergeCell ref="F38:J38"/>
    <mergeCell ref="A39:E39"/>
    <mergeCell ref="F39:J39"/>
    <mergeCell ref="C46:F46"/>
    <mergeCell ref="A48:B48"/>
    <mergeCell ref="C48:F48"/>
    <mergeCell ref="H48:J48"/>
    <mergeCell ref="A43:J43"/>
    <mergeCell ref="A44:B44"/>
    <mergeCell ref="C44:F44"/>
    <mergeCell ref="H44:J44"/>
    <mergeCell ref="A45:B45"/>
    <mergeCell ref="C45:F45"/>
    <mergeCell ref="H45:J45"/>
    <mergeCell ref="A46:B47"/>
    <mergeCell ref="H46:J46"/>
    <mergeCell ref="C47:J47"/>
    <mergeCell ref="A52:B52"/>
    <mergeCell ref="A53:C53"/>
    <mergeCell ref="D53:J53"/>
    <mergeCell ref="A54:J54"/>
    <mergeCell ref="A49:C49"/>
    <mergeCell ref="D49:E49"/>
    <mergeCell ref="F49:G49"/>
    <mergeCell ref="H49:J49"/>
    <mergeCell ref="A50:J50"/>
    <mergeCell ref="A51:C51"/>
    <mergeCell ref="D51:E51"/>
    <mergeCell ref="C52:J52"/>
    <mergeCell ref="H51:J51"/>
    <mergeCell ref="F51:G51"/>
    <mergeCell ref="A217:B217"/>
    <mergeCell ref="D217:E217"/>
    <mergeCell ref="A180:B180"/>
    <mergeCell ref="G180:J180"/>
    <mergeCell ref="A177:F177"/>
    <mergeCell ref="G177:J177"/>
    <mergeCell ref="A175:F175"/>
    <mergeCell ref="G175:J175"/>
    <mergeCell ref="A183:B183"/>
    <mergeCell ref="G183:J183"/>
    <mergeCell ref="A189:B189"/>
    <mergeCell ref="G189:J189"/>
    <mergeCell ref="A181:B181"/>
    <mergeCell ref="G181:J181"/>
    <mergeCell ref="A182:B182"/>
    <mergeCell ref="G182:J182"/>
    <mergeCell ref="A186:B186"/>
    <mergeCell ref="G186:J186"/>
    <mergeCell ref="A187:B187"/>
    <mergeCell ref="G187:J187"/>
    <mergeCell ref="A188:B188"/>
    <mergeCell ref="G188:J188"/>
    <mergeCell ref="I199:J202"/>
    <mergeCell ref="A198:J198"/>
    <mergeCell ref="I210:J213"/>
    <mergeCell ref="D221:E221"/>
    <mergeCell ref="D195:E195"/>
    <mergeCell ref="I195:J195"/>
    <mergeCell ref="A196:J196"/>
    <mergeCell ref="A201:B201"/>
    <mergeCell ref="D201:E201"/>
    <mergeCell ref="A202:B202"/>
    <mergeCell ref="D202:E202"/>
    <mergeCell ref="A214:B214"/>
    <mergeCell ref="D214:E214"/>
    <mergeCell ref="I214:J217"/>
    <mergeCell ref="A215:B215"/>
    <mergeCell ref="D215:E215"/>
    <mergeCell ref="A212:B212"/>
    <mergeCell ref="D212:E212"/>
    <mergeCell ref="A213:B213"/>
    <mergeCell ref="D213:E213"/>
    <mergeCell ref="A205:B205"/>
    <mergeCell ref="D205:E205"/>
    <mergeCell ref="A206:B206"/>
    <mergeCell ref="D206:E206"/>
    <mergeCell ref="A216:B216"/>
    <mergeCell ref="D216:E216"/>
    <mergeCell ref="D234:E234"/>
    <mergeCell ref="D235:E235"/>
    <mergeCell ref="A204:J204"/>
    <mergeCell ref="I205:J208"/>
    <mergeCell ref="A207:B207"/>
    <mergeCell ref="D207:E207"/>
    <mergeCell ref="A208:B208"/>
    <mergeCell ref="D208:E208"/>
    <mergeCell ref="A218:J218"/>
    <mergeCell ref="A219:J219"/>
    <mergeCell ref="I220:J224"/>
    <mergeCell ref="A223:B223"/>
    <mergeCell ref="D223:E223"/>
    <mergeCell ref="A222:B222"/>
    <mergeCell ref="D222:E222"/>
    <mergeCell ref="A224:B224"/>
    <mergeCell ref="D224:E224"/>
    <mergeCell ref="A210:B210"/>
    <mergeCell ref="D210:E210"/>
    <mergeCell ref="A211:B211"/>
    <mergeCell ref="D211:E211"/>
    <mergeCell ref="A220:B220"/>
    <mergeCell ref="D220:E220"/>
    <mergeCell ref="A221:B221"/>
    <mergeCell ref="D226:E226"/>
    <mergeCell ref="A227:B227"/>
    <mergeCell ref="D227:E227"/>
    <mergeCell ref="D232:E232"/>
    <mergeCell ref="D233:E233"/>
    <mergeCell ref="A230:B230"/>
    <mergeCell ref="D230:E230"/>
    <mergeCell ref="A231:B231"/>
    <mergeCell ref="D231:E231"/>
    <mergeCell ref="A228:B228"/>
    <mergeCell ref="D228:E228"/>
    <mergeCell ref="A229:B229"/>
    <mergeCell ref="D229:E229"/>
    <mergeCell ref="A248:B248"/>
    <mergeCell ref="D248:E248"/>
    <mergeCell ref="A246:B246"/>
    <mergeCell ref="D246:E246"/>
    <mergeCell ref="A245:J245"/>
    <mergeCell ref="A261:B261"/>
    <mergeCell ref="D261:E261"/>
    <mergeCell ref="A262:B262"/>
    <mergeCell ref="D262:E262"/>
    <mergeCell ref="D255:E255"/>
    <mergeCell ref="A256:B256"/>
    <mergeCell ref="D256:E256"/>
    <mergeCell ref="I246:J256"/>
    <mergeCell ref="A252:B252"/>
    <mergeCell ref="D252:E252"/>
    <mergeCell ref="A259:B259"/>
    <mergeCell ref="D259:E259"/>
    <mergeCell ref="A260:B260"/>
    <mergeCell ref="D260:E260"/>
    <mergeCell ref="A255:B255"/>
    <mergeCell ref="A253:B253"/>
    <mergeCell ref="D253:E253"/>
    <mergeCell ref="A254:B254"/>
    <mergeCell ref="D254:E254"/>
    <mergeCell ref="A251:B251"/>
    <mergeCell ref="D251:E251"/>
    <mergeCell ref="I259:J264"/>
    <mergeCell ref="A272:B272"/>
    <mergeCell ref="D272:E272"/>
    <mergeCell ref="A270:B270"/>
    <mergeCell ref="D270:E270"/>
    <mergeCell ref="A271:B271"/>
    <mergeCell ref="D271:E271"/>
    <mergeCell ref="A263:B263"/>
    <mergeCell ref="D263:E263"/>
    <mergeCell ref="A264:B264"/>
    <mergeCell ref="D264:E264"/>
    <mergeCell ref="A265:J265"/>
    <mergeCell ref="I266:J273"/>
    <mergeCell ref="A273:B273"/>
    <mergeCell ref="D273:E273"/>
    <mergeCell ref="A268:B268"/>
    <mergeCell ref="D268:E268"/>
    <mergeCell ref="A269:B269"/>
    <mergeCell ref="D269:E269"/>
    <mergeCell ref="A266:B266"/>
    <mergeCell ref="D266:E266"/>
    <mergeCell ref="A267:B267"/>
    <mergeCell ref="A278:B278"/>
    <mergeCell ref="D278:E278"/>
    <mergeCell ref="A279:B279"/>
    <mergeCell ref="D279:E279"/>
    <mergeCell ref="A276:B276"/>
    <mergeCell ref="D276:E276"/>
    <mergeCell ref="A277:B277"/>
    <mergeCell ref="D277:E277"/>
    <mergeCell ref="I276:J287"/>
    <mergeCell ref="A282:B282"/>
    <mergeCell ref="D282:E282"/>
    <mergeCell ref="A283:B283"/>
    <mergeCell ref="D283:E283"/>
    <mergeCell ref="A280:B280"/>
    <mergeCell ref="D280:E280"/>
    <mergeCell ref="A281:B281"/>
    <mergeCell ref="D281:E281"/>
    <mergeCell ref="A286:B286"/>
    <mergeCell ref="D286:E286"/>
    <mergeCell ref="A287:B287"/>
    <mergeCell ref="D287:E287"/>
    <mergeCell ref="A284:B284"/>
    <mergeCell ref="D284:E284"/>
    <mergeCell ref="A285:B285"/>
    <mergeCell ref="A288:J288"/>
    <mergeCell ref="A294:B294"/>
    <mergeCell ref="D294:E294"/>
    <mergeCell ref="A295:B295"/>
    <mergeCell ref="D295:E295"/>
    <mergeCell ref="A292:B292"/>
    <mergeCell ref="D292:E292"/>
    <mergeCell ref="A293:B293"/>
    <mergeCell ref="D293:E293"/>
    <mergeCell ref="I311:J322"/>
    <mergeCell ref="D316:E316"/>
    <mergeCell ref="D317:E317"/>
    <mergeCell ref="D314:E314"/>
    <mergeCell ref="D315:E315"/>
    <mergeCell ref="D320:E320"/>
    <mergeCell ref="D321:E321"/>
    <mergeCell ref="D318:E318"/>
    <mergeCell ref="D319:E319"/>
    <mergeCell ref="D322:E322"/>
    <mergeCell ref="A363:J366"/>
    <mergeCell ref="A349:J349"/>
    <mergeCell ref="A355:J355"/>
    <mergeCell ref="A356:J356"/>
    <mergeCell ref="A357:J357"/>
    <mergeCell ref="A358:J358"/>
    <mergeCell ref="A359:J359"/>
    <mergeCell ref="A360:J360"/>
    <mergeCell ref="A174:F174"/>
    <mergeCell ref="G174:J174"/>
    <mergeCell ref="A323:J323"/>
    <mergeCell ref="A324:J324"/>
    <mergeCell ref="D325:E325"/>
    <mergeCell ref="I325:J335"/>
    <mergeCell ref="D326:E326"/>
    <mergeCell ref="D327:E327"/>
    <mergeCell ref="D328:E328"/>
    <mergeCell ref="A361:J361"/>
    <mergeCell ref="A362:J362"/>
    <mergeCell ref="D312:E312"/>
    <mergeCell ref="D313:E313"/>
    <mergeCell ref="D309:E309"/>
    <mergeCell ref="D311:E311"/>
    <mergeCell ref="A310:J310"/>
    <mergeCell ref="D267:E267"/>
    <mergeCell ref="D308:E308"/>
    <mergeCell ref="D306:E306"/>
    <mergeCell ref="D307:E307"/>
    <mergeCell ref="I289:J296"/>
    <mergeCell ref="A290:B290"/>
    <mergeCell ref="D290:E290"/>
    <mergeCell ref="A291:B291"/>
    <mergeCell ref="D291:E291"/>
    <mergeCell ref="A289:B289"/>
    <mergeCell ref="D289:E289"/>
    <mergeCell ref="D300:E300"/>
    <mergeCell ref="D301:E301"/>
    <mergeCell ref="A296:B296"/>
    <mergeCell ref="D296:E296"/>
    <mergeCell ref="D299:E299"/>
    <mergeCell ref="A297:J297"/>
    <mergeCell ref="A298:J298"/>
    <mergeCell ref="D304:E304"/>
    <mergeCell ref="D305:E305"/>
    <mergeCell ref="D302:E302"/>
    <mergeCell ref="D303:E303"/>
    <mergeCell ref="I299:J309"/>
    <mergeCell ref="D285:E285"/>
    <mergeCell ref="A69:B69"/>
    <mergeCell ref="C69:J69"/>
    <mergeCell ref="E70:F70"/>
    <mergeCell ref="I70:J70"/>
    <mergeCell ref="A71:B71"/>
    <mergeCell ref="C71:J71"/>
    <mergeCell ref="A72:B72"/>
    <mergeCell ref="D72:E72"/>
    <mergeCell ref="H72:J72"/>
    <mergeCell ref="F72:G72"/>
    <mergeCell ref="A73:B73"/>
    <mergeCell ref="D73:E73"/>
    <mergeCell ref="F73:G82"/>
    <mergeCell ref="H73:J82"/>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D82:E82"/>
    <mergeCell ref="A55:B55"/>
    <mergeCell ref="C55:J55"/>
    <mergeCell ref="E56:F56"/>
    <mergeCell ref="I56:J56"/>
    <mergeCell ref="A57:B57"/>
    <mergeCell ref="C57:J57"/>
    <mergeCell ref="A58:B58"/>
    <mergeCell ref="D58:E58"/>
    <mergeCell ref="F58:G58"/>
    <mergeCell ref="H58:J58"/>
    <mergeCell ref="A59:B59"/>
    <mergeCell ref="D59:E59"/>
    <mergeCell ref="F59:G68"/>
    <mergeCell ref="H59:J68"/>
    <mergeCell ref="A60:B60"/>
    <mergeCell ref="D60:E60"/>
    <mergeCell ref="A61:B61"/>
    <mergeCell ref="D61:E61"/>
    <mergeCell ref="A62:B62"/>
    <mergeCell ref="D62:E62"/>
    <mergeCell ref="A63:B63"/>
    <mergeCell ref="D63:E63"/>
    <mergeCell ref="A64:B64"/>
    <mergeCell ref="D64:E64"/>
    <mergeCell ref="A65:B65"/>
    <mergeCell ref="D65:E65"/>
    <mergeCell ref="A66:B66"/>
    <mergeCell ref="D66:E66"/>
    <mergeCell ref="A67:B67"/>
    <mergeCell ref="D67:E67"/>
    <mergeCell ref="A68:B68"/>
    <mergeCell ref="D68:E68"/>
    <mergeCell ref="A83:B83"/>
    <mergeCell ref="C83:J83"/>
    <mergeCell ref="E84:F84"/>
    <mergeCell ref="I84:J84"/>
    <mergeCell ref="A85:B85"/>
    <mergeCell ref="C85:J85"/>
    <mergeCell ref="A86:B86"/>
    <mergeCell ref="D86:E86"/>
    <mergeCell ref="F86:G86"/>
    <mergeCell ref="H86:J86"/>
    <mergeCell ref="A87:B87"/>
    <mergeCell ref="D87:E87"/>
    <mergeCell ref="F87:G96"/>
    <mergeCell ref="H87:J96"/>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A97:B97"/>
    <mergeCell ref="C97:J97"/>
    <mergeCell ref="E98:F98"/>
    <mergeCell ref="I98:J98"/>
    <mergeCell ref="A99:B99"/>
    <mergeCell ref="C99:J99"/>
    <mergeCell ref="A100:B100"/>
    <mergeCell ref="D100:E100"/>
    <mergeCell ref="F100:G100"/>
    <mergeCell ref="H100:J100"/>
    <mergeCell ref="A101:B101"/>
    <mergeCell ref="D101:E101"/>
    <mergeCell ref="F101:G110"/>
    <mergeCell ref="H101:J110"/>
    <mergeCell ref="A102:B102"/>
    <mergeCell ref="D102:E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09:B109"/>
    <mergeCell ref="D109:E109"/>
    <mergeCell ref="A110:B110"/>
    <mergeCell ref="D110:E110"/>
    <mergeCell ref="F143:G152"/>
    <mergeCell ref="H143:J152"/>
    <mergeCell ref="A144:B144"/>
    <mergeCell ref="D144:E144"/>
    <mergeCell ref="A145:B145"/>
    <mergeCell ref="D145:E145"/>
    <mergeCell ref="A146:B146"/>
    <mergeCell ref="D146:E146"/>
    <mergeCell ref="A147:B147"/>
    <mergeCell ref="D147:E147"/>
    <mergeCell ref="A148:B148"/>
    <mergeCell ref="D148:E148"/>
    <mergeCell ref="A149:B149"/>
    <mergeCell ref="D149:E149"/>
    <mergeCell ref="A150:B150"/>
    <mergeCell ref="D150:E150"/>
    <mergeCell ref="A151:B151"/>
    <mergeCell ref="D151:E151"/>
    <mergeCell ref="A152:B152"/>
    <mergeCell ref="D152:E152"/>
    <mergeCell ref="A143:B143"/>
    <mergeCell ref="D143:E143"/>
    <mergeCell ref="A166:B166"/>
    <mergeCell ref="D166:E166"/>
    <mergeCell ref="A153:B153"/>
    <mergeCell ref="C153:J153"/>
    <mergeCell ref="E154:F154"/>
    <mergeCell ref="I154:J154"/>
    <mergeCell ref="A155:B155"/>
    <mergeCell ref="C155:J155"/>
    <mergeCell ref="A156:B156"/>
    <mergeCell ref="D156:E156"/>
    <mergeCell ref="F156:G156"/>
    <mergeCell ref="H156:J156"/>
    <mergeCell ref="A162:B162"/>
    <mergeCell ref="D162:E162"/>
    <mergeCell ref="A163:B163"/>
    <mergeCell ref="D163:E163"/>
    <mergeCell ref="A164:B164"/>
    <mergeCell ref="D164:E164"/>
    <mergeCell ref="A165:B165"/>
    <mergeCell ref="D165:E165"/>
    <mergeCell ref="D160:E160"/>
    <mergeCell ref="A161:B161"/>
    <mergeCell ref="D161:E161"/>
    <mergeCell ref="A139:B139"/>
    <mergeCell ref="C139:J139"/>
    <mergeCell ref="E140:F140"/>
    <mergeCell ref="I140:J140"/>
    <mergeCell ref="A141:B141"/>
    <mergeCell ref="C141:J141"/>
    <mergeCell ref="A142:B142"/>
    <mergeCell ref="D142:E142"/>
    <mergeCell ref="F142:G142"/>
    <mergeCell ref="H142:J142"/>
    <mergeCell ref="A125:B125"/>
    <mergeCell ref="C125:J125"/>
    <mergeCell ref="E126:F126"/>
    <mergeCell ref="I126:J126"/>
    <mergeCell ref="A127:B127"/>
    <mergeCell ref="C127:J127"/>
    <mergeCell ref="A128:B128"/>
    <mergeCell ref="D128:E128"/>
    <mergeCell ref="F128:G128"/>
    <mergeCell ref="H128:J128"/>
    <mergeCell ref="A129:B129"/>
    <mergeCell ref="D129:E129"/>
    <mergeCell ref="F129:G138"/>
    <mergeCell ref="H129:J138"/>
    <mergeCell ref="A130:B130"/>
    <mergeCell ref="D130:E130"/>
    <mergeCell ref="A131:B131"/>
    <mergeCell ref="D131:E131"/>
    <mergeCell ref="A132:B132"/>
    <mergeCell ref="D132:E132"/>
    <mergeCell ref="A133:B133"/>
    <mergeCell ref="D133:E133"/>
    <mergeCell ref="M381:Q387"/>
    <mergeCell ref="A10:E10"/>
    <mergeCell ref="F10:J10"/>
    <mergeCell ref="A171:F171"/>
    <mergeCell ref="G171:J171"/>
    <mergeCell ref="A134:B134"/>
    <mergeCell ref="D134:E134"/>
    <mergeCell ref="A135:B135"/>
    <mergeCell ref="D135:E135"/>
    <mergeCell ref="A136:B136"/>
    <mergeCell ref="D136:E136"/>
    <mergeCell ref="A137:B137"/>
    <mergeCell ref="D137:E137"/>
    <mergeCell ref="A138:B138"/>
    <mergeCell ref="D138:E138"/>
    <mergeCell ref="A157:B157"/>
    <mergeCell ref="D157:E157"/>
    <mergeCell ref="F157:G166"/>
    <mergeCell ref="H157:J166"/>
    <mergeCell ref="A158:B158"/>
    <mergeCell ref="D158:E158"/>
    <mergeCell ref="A159:B159"/>
    <mergeCell ref="D159:E159"/>
    <mergeCell ref="A160:B160"/>
  </mergeCells>
  <hyperlinks>
    <hyperlink ref="C32" r:id="rId1"/>
  </hyperlinks>
  <pageMargins left="0.31496062992125984" right="0.31496062992125984" top="0.78740157480314965" bottom="0.78740157480314965" header="0.19685039370078741" footer="0.19685039370078741"/>
  <pageSetup paperSize="2" scale="97" fitToHeight="0" orientation="portrait" r:id="rId2"/>
  <headerFooter>
    <oddHeader>&amp;C&amp;"Times New Roman,Bold"&amp;20&amp;G</oddHeader>
    <oddFooter>&amp;L&amp;"Times New Roman,Bold"Ref No: &amp;F&amp;C&amp;G&amp;R&amp;P</oddFooter>
  </headerFooter>
  <rowBreaks count="4" manualBreakCount="4">
    <brk id="68" max="16383" man="1"/>
    <brk id="138" max="16383" man="1"/>
    <brk id="366" max="16383" man="1"/>
    <brk id="414"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7" sqref="C7"/>
    </sheetView>
  </sheetViews>
  <sheetFormatPr defaultRowHeight="15" x14ac:dyDescent="0.25"/>
  <cols>
    <col min="1" max="1" width="9.140625" style="21"/>
    <col min="2" max="2" width="11.7109375" style="21" customWidth="1"/>
    <col min="3" max="257" width="9.140625" style="21"/>
    <col min="258" max="258" width="11.7109375" style="21" customWidth="1"/>
    <col min="259" max="513" width="9.140625" style="21"/>
    <col min="514" max="514" width="11.7109375" style="21" customWidth="1"/>
    <col min="515" max="769" width="9.140625" style="21"/>
    <col min="770" max="770" width="11.7109375" style="21" customWidth="1"/>
    <col min="771" max="1025" width="9.140625" style="21"/>
    <col min="1026" max="1026" width="11.7109375" style="21" customWidth="1"/>
    <col min="1027" max="1281" width="9.140625" style="21"/>
    <col min="1282" max="1282" width="11.7109375" style="21" customWidth="1"/>
    <col min="1283" max="1537" width="9.140625" style="21"/>
    <col min="1538" max="1538" width="11.7109375" style="21" customWidth="1"/>
    <col min="1539" max="1793" width="9.140625" style="21"/>
    <col min="1794" max="1794" width="11.7109375" style="21" customWidth="1"/>
    <col min="1795" max="2049" width="9.140625" style="21"/>
    <col min="2050" max="2050" width="11.7109375" style="21" customWidth="1"/>
    <col min="2051" max="2305" width="9.140625" style="21"/>
    <col min="2306" max="2306" width="11.7109375" style="21" customWidth="1"/>
    <col min="2307" max="2561" width="9.140625" style="21"/>
    <col min="2562" max="2562" width="11.7109375" style="21" customWidth="1"/>
    <col min="2563" max="2817" width="9.140625" style="21"/>
    <col min="2818" max="2818" width="11.7109375" style="21" customWidth="1"/>
    <col min="2819" max="3073" width="9.140625" style="21"/>
    <col min="3074" max="3074" width="11.7109375" style="21" customWidth="1"/>
    <col min="3075" max="3329" width="9.140625" style="21"/>
    <col min="3330" max="3330" width="11.7109375" style="21" customWidth="1"/>
    <col min="3331" max="3585" width="9.140625" style="21"/>
    <col min="3586" max="3586" width="11.7109375" style="21" customWidth="1"/>
    <col min="3587" max="3841" width="9.140625" style="21"/>
    <col min="3842" max="3842" width="11.7109375" style="21" customWidth="1"/>
    <col min="3843" max="4097" width="9.140625" style="21"/>
    <col min="4098" max="4098" width="11.7109375" style="21" customWidth="1"/>
    <col min="4099" max="4353" width="9.140625" style="21"/>
    <col min="4354" max="4354" width="11.7109375" style="21" customWidth="1"/>
    <col min="4355" max="4609" width="9.140625" style="21"/>
    <col min="4610" max="4610" width="11.7109375" style="21" customWidth="1"/>
    <col min="4611" max="4865" width="9.140625" style="21"/>
    <col min="4866" max="4866" width="11.7109375" style="21" customWidth="1"/>
    <col min="4867" max="5121" width="9.140625" style="21"/>
    <col min="5122" max="5122" width="11.7109375" style="21" customWidth="1"/>
    <col min="5123" max="5377" width="9.140625" style="21"/>
    <col min="5378" max="5378" width="11.7109375" style="21" customWidth="1"/>
    <col min="5379" max="5633" width="9.140625" style="21"/>
    <col min="5634" max="5634" width="11.7109375" style="21" customWidth="1"/>
    <col min="5635" max="5889" width="9.140625" style="21"/>
    <col min="5890" max="5890" width="11.7109375" style="21" customWidth="1"/>
    <col min="5891" max="6145" width="9.140625" style="21"/>
    <col min="6146" max="6146" width="11.7109375" style="21" customWidth="1"/>
    <col min="6147" max="6401" width="9.140625" style="21"/>
    <col min="6402" max="6402" width="11.7109375" style="21" customWidth="1"/>
    <col min="6403" max="6657" width="9.140625" style="21"/>
    <col min="6658" max="6658" width="11.7109375" style="21" customWidth="1"/>
    <col min="6659" max="6913" width="9.140625" style="21"/>
    <col min="6914" max="6914" width="11.7109375" style="21" customWidth="1"/>
    <col min="6915" max="7169" width="9.140625" style="21"/>
    <col min="7170" max="7170" width="11.7109375" style="21" customWidth="1"/>
    <col min="7171" max="7425" width="9.140625" style="21"/>
    <col min="7426" max="7426" width="11.7109375" style="21" customWidth="1"/>
    <col min="7427" max="7681" width="9.140625" style="21"/>
    <col min="7682" max="7682" width="11.7109375" style="21" customWidth="1"/>
    <col min="7683" max="7937" width="9.140625" style="21"/>
    <col min="7938" max="7938" width="11.7109375" style="21" customWidth="1"/>
    <col min="7939" max="8193" width="9.140625" style="21"/>
    <col min="8194" max="8194" width="11.7109375" style="21" customWidth="1"/>
    <col min="8195" max="8449" width="9.140625" style="21"/>
    <col min="8450" max="8450" width="11.7109375" style="21" customWidth="1"/>
    <col min="8451" max="8705" width="9.140625" style="21"/>
    <col min="8706" max="8706" width="11.7109375" style="21" customWidth="1"/>
    <col min="8707" max="8961" width="9.140625" style="21"/>
    <col min="8962" max="8962" width="11.7109375" style="21" customWidth="1"/>
    <col min="8963" max="9217" width="9.140625" style="21"/>
    <col min="9218" max="9218" width="11.7109375" style="21" customWidth="1"/>
    <col min="9219" max="9473" width="9.140625" style="21"/>
    <col min="9474" max="9474" width="11.7109375" style="21" customWidth="1"/>
    <col min="9475" max="9729" width="9.140625" style="21"/>
    <col min="9730" max="9730" width="11.7109375" style="21" customWidth="1"/>
    <col min="9731" max="9985" width="9.140625" style="21"/>
    <col min="9986" max="9986" width="11.7109375" style="21" customWidth="1"/>
    <col min="9987" max="10241" width="9.140625" style="21"/>
    <col min="10242" max="10242" width="11.7109375" style="21" customWidth="1"/>
    <col min="10243" max="10497" width="9.140625" style="21"/>
    <col min="10498" max="10498" width="11.7109375" style="21" customWidth="1"/>
    <col min="10499" max="10753" width="9.140625" style="21"/>
    <col min="10754" max="10754" width="11.7109375" style="21" customWidth="1"/>
    <col min="10755" max="11009" width="9.140625" style="21"/>
    <col min="11010" max="11010" width="11.7109375" style="21" customWidth="1"/>
    <col min="11011" max="11265" width="9.140625" style="21"/>
    <col min="11266" max="11266" width="11.7109375" style="21" customWidth="1"/>
    <col min="11267" max="11521" width="9.140625" style="21"/>
    <col min="11522" max="11522" width="11.7109375" style="21" customWidth="1"/>
    <col min="11523" max="11777" width="9.140625" style="21"/>
    <col min="11778" max="11778" width="11.7109375" style="21" customWidth="1"/>
    <col min="11779" max="12033" width="9.140625" style="21"/>
    <col min="12034" max="12034" width="11.7109375" style="21" customWidth="1"/>
    <col min="12035" max="12289" width="9.140625" style="21"/>
    <col min="12290" max="12290" width="11.7109375" style="21" customWidth="1"/>
    <col min="12291" max="12545" width="9.140625" style="21"/>
    <col min="12546" max="12546" width="11.7109375" style="21" customWidth="1"/>
    <col min="12547" max="12801" width="9.140625" style="21"/>
    <col min="12802" max="12802" width="11.7109375" style="21" customWidth="1"/>
    <col min="12803" max="13057" width="9.140625" style="21"/>
    <col min="13058" max="13058" width="11.7109375" style="21" customWidth="1"/>
    <col min="13059" max="13313" width="9.140625" style="21"/>
    <col min="13314" max="13314" width="11.7109375" style="21" customWidth="1"/>
    <col min="13315" max="13569" width="9.140625" style="21"/>
    <col min="13570" max="13570" width="11.7109375" style="21" customWidth="1"/>
    <col min="13571" max="13825" width="9.140625" style="21"/>
    <col min="13826" max="13826" width="11.7109375" style="21" customWidth="1"/>
    <col min="13827" max="14081" width="9.140625" style="21"/>
    <col min="14082" max="14082" width="11.7109375" style="21" customWidth="1"/>
    <col min="14083" max="14337" width="9.140625" style="21"/>
    <col min="14338" max="14338" width="11.7109375" style="21" customWidth="1"/>
    <col min="14339" max="14593" width="9.140625" style="21"/>
    <col min="14594" max="14594" width="11.7109375" style="21" customWidth="1"/>
    <col min="14595" max="14849" width="9.140625" style="21"/>
    <col min="14850" max="14850" width="11.7109375" style="21" customWidth="1"/>
    <col min="14851" max="15105" width="9.140625" style="21"/>
    <col min="15106" max="15106" width="11.7109375" style="21" customWidth="1"/>
    <col min="15107" max="15361" width="9.140625" style="21"/>
    <col min="15362" max="15362" width="11.7109375" style="21" customWidth="1"/>
    <col min="15363" max="15617" width="9.140625" style="21"/>
    <col min="15618" max="15618" width="11.7109375" style="21" customWidth="1"/>
    <col min="15619" max="15873" width="9.140625" style="21"/>
    <col min="15874" max="15874" width="11.7109375" style="21" customWidth="1"/>
    <col min="15875" max="16129" width="9.140625" style="21"/>
    <col min="16130" max="16130" width="11.7109375" style="21" customWidth="1"/>
    <col min="16131" max="16384" width="9.140625" style="21"/>
  </cols>
  <sheetData>
    <row r="2" spans="1:15" x14ac:dyDescent="0.25">
      <c r="A2" s="21" t="s">
        <v>106</v>
      </c>
      <c r="B2" s="22" t="s">
        <v>107</v>
      </c>
      <c r="C2" s="22">
        <v>6</v>
      </c>
    </row>
    <row r="3" spans="1:15" x14ac:dyDescent="0.25">
      <c r="B3" s="21" t="s">
        <v>108</v>
      </c>
      <c r="C3" s="21" t="s">
        <v>109</v>
      </c>
    </row>
    <row r="4" spans="1:15" x14ac:dyDescent="0.25">
      <c r="A4" s="21" t="s">
        <v>110</v>
      </c>
      <c r="B4" s="23">
        <v>10</v>
      </c>
      <c r="C4" s="23">
        <v>10</v>
      </c>
      <c r="D4" s="24"/>
      <c r="E4" s="24">
        <f>(100/B4)*C4</f>
        <v>100</v>
      </c>
    </row>
    <row r="5" spans="1:15" x14ac:dyDescent="0.25">
      <c r="A5" s="21" t="s">
        <v>111</v>
      </c>
      <c r="B5" s="21" t="s">
        <v>112</v>
      </c>
      <c r="C5" s="21" t="s">
        <v>113</v>
      </c>
      <c r="E5" s="24">
        <f>(100/B6)*C6</f>
        <v>57.142857142857146</v>
      </c>
      <c r="I5" s="23" t="s">
        <v>114</v>
      </c>
      <c r="J5" s="23" t="s">
        <v>115</v>
      </c>
      <c r="K5" s="23" t="s">
        <v>116</v>
      </c>
      <c r="L5" s="23" t="s">
        <v>72</v>
      </c>
      <c r="M5" s="23" t="s">
        <v>73</v>
      </c>
      <c r="N5" s="23" t="s">
        <v>117</v>
      </c>
      <c r="O5" s="23" t="s">
        <v>74</v>
      </c>
    </row>
    <row r="6" spans="1:15" x14ac:dyDescent="0.25">
      <c r="B6" s="23">
        <f>C2+1</f>
        <v>7</v>
      </c>
      <c r="C6" s="23">
        <v>4</v>
      </c>
      <c r="E6" s="24">
        <f>(100/B8)*C8</f>
        <v>0</v>
      </c>
      <c r="F6" s="25" t="s">
        <v>118</v>
      </c>
      <c r="I6" s="25">
        <f>C4</f>
        <v>10</v>
      </c>
      <c r="J6" s="25">
        <f>40/B6*C6</f>
        <v>22.857142857142858</v>
      </c>
      <c r="K6" s="25">
        <f>15/B8*C8</f>
        <v>0</v>
      </c>
      <c r="L6" s="25">
        <f>10/B10*C10</f>
        <v>0</v>
      </c>
      <c r="M6" s="25">
        <f>10/B12*C12</f>
        <v>0</v>
      </c>
      <c r="N6" s="25">
        <f>5/B14*C14</f>
        <v>0</v>
      </c>
      <c r="O6" s="25">
        <f>5/B16*C16</f>
        <v>0</v>
      </c>
    </row>
    <row r="7" spans="1:15" x14ac:dyDescent="0.25">
      <c r="A7" s="21" t="s">
        <v>119</v>
      </c>
      <c r="B7" s="21" t="s">
        <v>120</v>
      </c>
      <c r="C7" s="21" t="s">
        <v>121</v>
      </c>
      <c r="E7" s="24">
        <f>(100/B10)*C10</f>
        <v>0</v>
      </c>
      <c r="F7" s="23" t="s">
        <v>122</v>
      </c>
      <c r="G7" s="23"/>
      <c r="H7" s="23"/>
      <c r="I7" s="23">
        <f>I6+20</f>
        <v>30</v>
      </c>
      <c r="J7" s="23">
        <f>30/B6*C6</f>
        <v>17.142857142857142</v>
      </c>
      <c r="K7" s="23">
        <f>15/B8*C8</f>
        <v>0</v>
      </c>
      <c r="L7" s="23">
        <f>10/B10*C10</f>
        <v>0</v>
      </c>
      <c r="M7" s="23">
        <f>5/B12*C12</f>
        <v>0</v>
      </c>
      <c r="N7" s="23">
        <f>5/B14*C14</f>
        <v>0</v>
      </c>
      <c r="O7" s="23">
        <f>5/B16*C16</f>
        <v>0</v>
      </c>
    </row>
    <row r="8" spans="1:15" x14ac:dyDescent="0.25">
      <c r="B8" s="23">
        <f>C2</f>
        <v>6</v>
      </c>
      <c r="C8" s="23">
        <v>0</v>
      </c>
      <c r="D8" s="24"/>
      <c r="E8" s="24">
        <f>(100/B12)*C12</f>
        <v>0</v>
      </c>
    </row>
    <row r="9" spans="1:15" x14ac:dyDescent="0.25">
      <c r="A9" s="21" t="s">
        <v>123</v>
      </c>
      <c r="B9" s="21" t="s">
        <v>120</v>
      </c>
      <c r="C9" s="21" t="s">
        <v>121</v>
      </c>
      <c r="E9" s="24">
        <f>(100/B14)*C14</f>
        <v>0</v>
      </c>
    </row>
    <row r="10" spans="1:15" x14ac:dyDescent="0.25">
      <c r="B10" s="23">
        <f>C2</f>
        <v>6</v>
      </c>
      <c r="C10" s="23">
        <v>0</v>
      </c>
      <c r="D10" s="24"/>
      <c r="E10" s="24">
        <f>(100/B16)*C16</f>
        <v>0</v>
      </c>
    </row>
    <row r="11" spans="1:15" x14ac:dyDescent="0.25">
      <c r="A11" s="21" t="s">
        <v>73</v>
      </c>
      <c r="B11" s="21" t="s">
        <v>120</v>
      </c>
      <c r="C11" s="21" t="s">
        <v>121</v>
      </c>
    </row>
    <row r="12" spans="1:15" x14ac:dyDescent="0.25">
      <c r="B12" s="23">
        <f>C2</f>
        <v>6</v>
      </c>
      <c r="C12" s="23">
        <v>0</v>
      </c>
      <c r="D12" s="24"/>
      <c r="F12" s="23"/>
      <c r="G12" s="23" t="s">
        <v>118</v>
      </c>
      <c r="H12" s="23" t="s">
        <v>124</v>
      </c>
      <c r="L12" s="24" t="s">
        <v>125</v>
      </c>
    </row>
    <row r="13" spans="1:15" ht="30" x14ac:dyDescent="0.25">
      <c r="A13" s="26" t="s">
        <v>117</v>
      </c>
      <c r="B13" s="21" t="s">
        <v>120</v>
      </c>
      <c r="C13" s="21" t="s">
        <v>121</v>
      </c>
      <c r="F13" s="23" t="s">
        <v>70</v>
      </c>
      <c r="G13" s="23">
        <f>I6</f>
        <v>10</v>
      </c>
      <c r="H13" s="23">
        <f>I7</f>
        <v>30</v>
      </c>
      <c r="L13" s="24" t="s">
        <v>125</v>
      </c>
    </row>
    <row r="14" spans="1:15" x14ac:dyDescent="0.25">
      <c r="B14" s="23">
        <f>C2</f>
        <v>6</v>
      </c>
      <c r="C14" s="23">
        <v>0</v>
      </c>
      <c r="D14" s="24"/>
      <c r="F14" s="23" t="s">
        <v>71</v>
      </c>
      <c r="G14" s="23">
        <f>J6</f>
        <v>22.857142857142858</v>
      </c>
      <c r="H14" s="23">
        <f>J7</f>
        <v>17.142857142857142</v>
      </c>
      <c r="L14" s="24"/>
    </row>
    <row r="15" spans="1:15" x14ac:dyDescent="0.25">
      <c r="A15" s="21" t="s">
        <v>74</v>
      </c>
      <c r="B15" s="21" t="s">
        <v>120</v>
      </c>
      <c r="C15" s="21" t="s">
        <v>121</v>
      </c>
      <c r="F15" s="23" t="s">
        <v>116</v>
      </c>
      <c r="G15" s="23">
        <f>K6</f>
        <v>0</v>
      </c>
      <c r="H15" s="23">
        <f>K7</f>
        <v>0</v>
      </c>
      <c r="L15" s="24"/>
    </row>
    <row r="16" spans="1:15" x14ac:dyDescent="0.25">
      <c r="B16" s="23">
        <f>C2</f>
        <v>6</v>
      </c>
      <c r="C16" s="23">
        <v>0</v>
      </c>
      <c r="D16" s="24"/>
      <c r="F16" s="23" t="s">
        <v>72</v>
      </c>
      <c r="G16" s="23">
        <f>L6</f>
        <v>0</v>
      </c>
      <c r="H16" s="23">
        <f>L7</f>
        <v>0</v>
      </c>
      <c r="L16" s="24"/>
    </row>
    <row r="17" spans="5:12" x14ac:dyDescent="0.25">
      <c r="F17" s="23" t="s">
        <v>73</v>
      </c>
      <c r="G17" s="23">
        <f>M6</f>
        <v>0</v>
      </c>
      <c r="H17" s="23">
        <f>M7</f>
        <v>0</v>
      </c>
      <c r="L17" s="24"/>
    </row>
    <row r="18" spans="5:12" ht="30" x14ac:dyDescent="0.25">
      <c r="F18" s="27" t="s">
        <v>117</v>
      </c>
      <c r="G18" s="23">
        <f>N6</f>
        <v>0</v>
      </c>
      <c r="H18" s="23">
        <f>N7</f>
        <v>0</v>
      </c>
      <c r="L18" s="24"/>
    </row>
    <row r="19" spans="5:12" x14ac:dyDescent="0.25">
      <c r="F19" s="23" t="s">
        <v>74</v>
      </c>
      <c r="G19" s="23">
        <f>O6</f>
        <v>0</v>
      </c>
      <c r="H19" s="23">
        <f>O7</f>
        <v>0</v>
      </c>
      <c r="L19" s="24"/>
    </row>
    <row r="20" spans="5:12" x14ac:dyDescent="0.25">
      <c r="F20" s="23" t="s">
        <v>126</v>
      </c>
      <c r="G20" s="23">
        <f>G13+G14+G15+G16+G17+G18+G19</f>
        <v>32.857142857142861</v>
      </c>
      <c r="H20" s="23">
        <f>H13+H14+H15+H16+H17+H18+H19</f>
        <v>47.142857142857139</v>
      </c>
      <c r="L20" s="24"/>
    </row>
    <row r="21" spans="5:12" x14ac:dyDescent="0.25">
      <c r="E21" s="2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9" workbookViewId="0">
      <selection activeCell="F22" sqref="F22"/>
    </sheetView>
  </sheetViews>
  <sheetFormatPr defaultRowHeight="15" x14ac:dyDescent="0.25"/>
  <cols>
    <col min="2" max="2" width="12.28515625" customWidth="1"/>
  </cols>
  <sheetData>
    <row r="2" spans="1:12" x14ac:dyDescent="0.25">
      <c r="B2" s="29" t="s">
        <v>127</v>
      </c>
      <c r="C2" s="285"/>
      <c r="D2" s="285"/>
    </row>
    <row r="3" spans="1:12" x14ac:dyDescent="0.25">
      <c r="D3" s="30"/>
      <c r="E3" s="30"/>
      <c r="F3" s="30"/>
      <c r="G3" s="30"/>
      <c r="H3" s="30"/>
      <c r="I3" s="30"/>
    </row>
    <row r="4" spans="1:12" x14ac:dyDescent="0.25">
      <c r="A4" s="29" t="s">
        <v>128</v>
      </c>
      <c r="B4" s="31" t="s">
        <v>129</v>
      </c>
      <c r="C4" s="286" t="s">
        <v>130</v>
      </c>
      <c r="D4" s="286"/>
      <c r="E4" s="286"/>
      <c r="F4" s="32"/>
      <c r="G4" s="286" t="s">
        <v>131</v>
      </c>
      <c r="H4" s="286"/>
      <c r="I4" s="286"/>
      <c r="J4" s="286" t="s">
        <v>132</v>
      </c>
      <c r="K4" s="286"/>
      <c r="L4" s="286"/>
    </row>
    <row r="5" spans="1:12" x14ac:dyDescent="0.25">
      <c r="A5" s="29">
        <v>1</v>
      </c>
      <c r="B5" s="31"/>
      <c r="C5" s="31" t="s">
        <v>133</v>
      </c>
      <c r="D5" s="31" t="s">
        <v>134</v>
      </c>
      <c r="E5" s="31" t="s">
        <v>85</v>
      </c>
      <c r="F5" s="31"/>
      <c r="G5" s="31" t="s">
        <v>133</v>
      </c>
      <c r="H5" s="31" t="s">
        <v>134</v>
      </c>
      <c r="I5" s="31" t="s">
        <v>85</v>
      </c>
      <c r="J5" s="31" t="s">
        <v>133</v>
      </c>
      <c r="K5" s="31" t="s">
        <v>134</v>
      </c>
      <c r="L5" s="31" t="s">
        <v>85</v>
      </c>
    </row>
    <row r="6" spans="1:12" x14ac:dyDescent="0.25">
      <c r="B6" s="33" t="s">
        <v>135</v>
      </c>
      <c r="C6" s="33">
        <v>3</v>
      </c>
      <c r="D6" s="33">
        <v>3.9</v>
      </c>
      <c r="E6" s="33">
        <f>C6*D6</f>
        <v>11.7</v>
      </c>
      <c r="F6" s="33" t="s">
        <v>136</v>
      </c>
      <c r="G6" s="33"/>
      <c r="H6" s="33"/>
      <c r="I6" s="33">
        <f>G6*H6</f>
        <v>0</v>
      </c>
      <c r="J6" s="33"/>
      <c r="K6" s="33"/>
      <c r="L6" s="33">
        <f>J6*K6</f>
        <v>0</v>
      </c>
    </row>
    <row r="7" spans="1:12" x14ac:dyDescent="0.25">
      <c r="B7" s="33"/>
      <c r="C7" s="33"/>
      <c r="D7" s="33"/>
      <c r="E7" s="33">
        <f t="shared" ref="E7:E33" si="0">C7*D7</f>
        <v>0</v>
      </c>
      <c r="F7" s="33" t="s">
        <v>137</v>
      </c>
      <c r="G7" s="33"/>
      <c r="H7" s="33"/>
      <c r="I7" s="33">
        <f t="shared" ref="I7:I29" si="1">G7*H7</f>
        <v>0</v>
      </c>
      <c r="J7" s="33"/>
      <c r="K7" s="33"/>
      <c r="L7" s="33">
        <f t="shared" ref="L7:L29" si="2">J7*K7</f>
        <v>0</v>
      </c>
    </row>
    <row r="8" spans="1:12" x14ac:dyDescent="0.25">
      <c r="B8" s="33"/>
      <c r="C8" s="33"/>
      <c r="D8" s="33"/>
      <c r="E8" s="33">
        <f t="shared" si="0"/>
        <v>0</v>
      </c>
      <c r="F8" s="33"/>
      <c r="G8" s="33"/>
      <c r="H8" s="33"/>
      <c r="I8" s="33">
        <f t="shared" si="1"/>
        <v>0</v>
      </c>
      <c r="J8" s="33"/>
      <c r="K8" s="33"/>
      <c r="L8" s="33">
        <f t="shared" si="2"/>
        <v>0</v>
      </c>
    </row>
    <row r="9" spans="1:12" x14ac:dyDescent="0.25">
      <c r="B9" s="33" t="s">
        <v>138</v>
      </c>
      <c r="C9" s="33">
        <v>1.9</v>
      </c>
      <c r="D9" s="33">
        <v>2.1</v>
      </c>
      <c r="E9" s="33">
        <f t="shared" si="0"/>
        <v>3.9899999999999998</v>
      </c>
      <c r="F9" s="33" t="s">
        <v>136</v>
      </c>
      <c r="G9" s="33"/>
      <c r="H9" s="33"/>
      <c r="I9" s="33">
        <f t="shared" si="1"/>
        <v>0</v>
      </c>
      <c r="J9" s="33"/>
      <c r="K9" s="33"/>
      <c r="L9" s="33">
        <f t="shared" si="2"/>
        <v>0</v>
      </c>
    </row>
    <row r="10" spans="1:12" x14ac:dyDescent="0.25">
      <c r="B10" s="33"/>
      <c r="C10" s="33"/>
      <c r="D10" s="33"/>
      <c r="E10" s="33">
        <f t="shared" si="0"/>
        <v>0</v>
      </c>
      <c r="F10" s="33" t="s">
        <v>137</v>
      </c>
      <c r="G10" s="33"/>
      <c r="H10" s="33"/>
      <c r="I10" s="33">
        <f t="shared" si="1"/>
        <v>0</v>
      </c>
      <c r="J10" s="33"/>
      <c r="K10" s="33"/>
      <c r="L10" s="33">
        <f t="shared" si="2"/>
        <v>0</v>
      </c>
    </row>
    <row r="11" spans="1:12" x14ac:dyDescent="0.25">
      <c r="B11" s="33"/>
      <c r="C11" s="33"/>
      <c r="D11" s="33"/>
      <c r="E11" s="33">
        <f t="shared" si="0"/>
        <v>0</v>
      </c>
      <c r="F11" s="33"/>
      <c r="G11" s="33"/>
      <c r="H11" s="33"/>
      <c r="I11" s="33">
        <f t="shared" si="1"/>
        <v>0</v>
      </c>
      <c r="J11" s="33"/>
      <c r="K11" s="33"/>
      <c r="L11" s="33">
        <f t="shared" si="2"/>
        <v>0</v>
      </c>
    </row>
    <row r="12" spans="1:12" x14ac:dyDescent="0.25">
      <c r="B12" s="33"/>
      <c r="C12" s="33"/>
      <c r="D12" s="33"/>
      <c r="E12" s="33">
        <f t="shared" si="0"/>
        <v>0</v>
      </c>
      <c r="F12" s="33"/>
      <c r="G12" s="33"/>
      <c r="H12" s="33"/>
      <c r="I12" s="33">
        <f t="shared" si="1"/>
        <v>0</v>
      </c>
      <c r="J12" s="33"/>
      <c r="K12" s="33"/>
      <c r="L12" s="33">
        <f t="shared" si="2"/>
        <v>0</v>
      </c>
    </row>
    <row r="13" spans="1:12" x14ac:dyDescent="0.25">
      <c r="B13" s="33" t="s">
        <v>139</v>
      </c>
      <c r="C13" s="33">
        <v>2.4</v>
      </c>
      <c r="D13" s="33">
        <v>3.25</v>
      </c>
      <c r="E13" s="33">
        <f t="shared" si="0"/>
        <v>7.8</v>
      </c>
      <c r="F13" s="33" t="s">
        <v>136</v>
      </c>
      <c r="G13" s="33"/>
      <c r="H13" s="33"/>
      <c r="I13" s="33">
        <f t="shared" si="1"/>
        <v>0</v>
      </c>
      <c r="J13" s="33"/>
      <c r="K13" s="33"/>
      <c r="L13" s="33">
        <f t="shared" si="2"/>
        <v>0</v>
      </c>
    </row>
    <row r="14" spans="1:12" x14ac:dyDescent="0.25">
      <c r="B14" s="33"/>
      <c r="C14" s="33"/>
      <c r="D14" s="33"/>
      <c r="E14" s="33">
        <f t="shared" si="0"/>
        <v>0</v>
      </c>
      <c r="F14" s="33" t="s">
        <v>137</v>
      </c>
      <c r="G14" s="33"/>
      <c r="H14" s="33"/>
      <c r="I14" s="33">
        <f t="shared" si="1"/>
        <v>0</v>
      </c>
      <c r="J14" s="33"/>
      <c r="K14" s="33"/>
      <c r="L14" s="33">
        <f t="shared" si="2"/>
        <v>0</v>
      </c>
    </row>
    <row r="15" spans="1:12" x14ac:dyDescent="0.25">
      <c r="B15" s="33"/>
      <c r="C15" s="33"/>
      <c r="D15" s="33"/>
      <c r="E15" s="33">
        <f t="shared" si="0"/>
        <v>0</v>
      </c>
      <c r="F15" s="33"/>
      <c r="G15" s="33"/>
      <c r="H15" s="33"/>
      <c r="I15" s="33">
        <f t="shared" si="1"/>
        <v>0</v>
      </c>
      <c r="J15" s="33"/>
      <c r="K15" s="33"/>
      <c r="L15" s="33">
        <f t="shared" si="2"/>
        <v>0</v>
      </c>
    </row>
    <row r="16" spans="1:12" x14ac:dyDescent="0.25">
      <c r="B16" s="33"/>
      <c r="C16" s="33"/>
      <c r="D16" s="33"/>
      <c r="E16" s="33">
        <f t="shared" si="0"/>
        <v>0</v>
      </c>
      <c r="F16" s="33"/>
      <c r="G16" s="33"/>
      <c r="H16" s="33"/>
      <c r="I16" s="33">
        <f t="shared" si="1"/>
        <v>0</v>
      </c>
      <c r="J16" s="33"/>
      <c r="K16" s="33"/>
      <c r="L16" s="33">
        <f t="shared" si="2"/>
        <v>0</v>
      </c>
    </row>
    <row r="17" spans="2:12" x14ac:dyDescent="0.25">
      <c r="B17" s="33" t="s">
        <v>140</v>
      </c>
      <c r="C17" s="33">
        <v>2.4500000000000002</v>
      </c>
      <c r="D17" s="33">
        <v>2.15</v>
      </c>
      <c r="E17" s="33">
        <f t="shared" si="0"/>
        <v>5.2675000000000001</v>
      </c>
      <c r="F17" s="33" t="s">
        <v>136</v>
      </c>
      <c r="G17" s="33"/>
      <c r="H17" s="33"/>
      <c r="I17" s="33">
        <f t="shared" si="1"/>
        <v>0</v>
      </c>
      <c r="J17" s="33"/>
      <c r="K17" s="33"/>
      <c r="L17" s="33">
        <f t="shared" si="2"/>
        <v>0</v>
      </c>
    </row>
    <row r="18" spans="2:12" x14ac:dyDescent="0.25">
      <c r="B18" s="33"/>
      <c r="C18" s="33"/>
      <c r="D18" s="33"/>
      <c r="E18" s="33">
        <f t="shared" si="0"/>
        <v>0</v>
      </c>
      <c r="F18" s="33" t="s">
        <v>137</v>
      </c>
      <c r="G18" s="33"/>
      <c r="H18" s="33"/>
      <c r="I18" s="33">
        <f t="shared" si="1"/>
        <v>0</v>
      </c>
      <c r="J18" s="33"/>
      <c r="K18" s="33"/>
      <c r="L18" s="33">
        <f t="shared" si="2"/>
        <v>0</v>
      </c>
    </row>
    <row r="19" spans="2:12" x14ac:dyDescent="0.25">
      <c r="B19" s="33"/>
      <c r="C19" s="33"/>
      <c r="D19" s="33"/>
      <c r="E19" s="33">
        <f t="shared" si="0"/>
        <v>0</v>
      </c>
      <c r="F19" s="33"/>
      <c r="G19" s="33"/>
      <c r="H19" s="33"/>
      <c r="I19" s="33">
        <f t="shared" si="1"/>
        <v>0</v>
      </c>
      <c r="J19" s="33"/>
      <c r="K19" s="33"/>
      <c r="L19" s="33">
        <f t="shared" si="2"/>
        <v>0</v>
      </c>
    </row>
    <row r="20" spans="2:12" x14ac:dyDescent="0.25">
      <c r="B20" s="33" t="s">
        <v>140</v>
      </c>
      <c r="C20" s="33">
        <v>2</v>
      </c>
      <c r="D20" s="33">
        <v>2.25</v>
      </c>
      <c r="E20" s="33">
        <f t="shared" si="0"/>
        <v>4.5</v>
      </c>
      <c r="F20" s="33" t="s">
        <v>136</v>
      </c>
      <c r="G20" s="33"/>
      <c r="H20" s="33"/>
      <c r="I20" s="33">
        <f t="shared" si="1"/>
        <v>0</v>
      </c>
      <c r="J20" s="33"/>
      <c r="K20" s="33"/>
      <c r="L20" s="33">
        <f t="shared" si="2"/>
        <v>0</v>
      </c>
    </row>
    <row r="21" spans="2:12" x14ac:dyDescent="0.25">
      <c r="B21" s="33"/>
      <c r="C21" s="33"/>
      <c r="D21" s="33"/>
      <c r="E21" s="33">
        <f t="shared" si="0"/>
        <v>0</v>
      </c>
      <c r="F21" s="33" t="s">
        <v>137</v>
      </c>
      <c r="G21" s="33"/>
      <c r="H21" s="33"/>
      <c r="I21" s="33">
        <f t="shared" si="1"/>
        <v>0</v>
      </c>
      <c r="J21" s="33"/>
      <c r="K21" s="33"/>
      <c r="L21" s="33">
        <f t="shared" si="2"/>
        <v>0</v>
      </c>
    </row>
    <row r="22" spans="2:12" x14ac:dyDescent="0.25">
      <c r="B22" s="33"/>
      <c r="C22" s="33"/>
      <c r="D22" s="33"/>
      <c r="E22" s="33">
        <f t="shared" si="0"/>
        <v>0</v>
      </c>
      <c r="F22" s="33"/>
      <c r="G22" s="33"/>
      <c r="H22" s="33"/>
      <c r="I22" s="33">
        <f t="shared" si="1"/>
        <v>0</v>
      </c>
      <c r="J22" s="33"/>
      <c r="K22" s="33"/>
      <c r="L22" s="33">
        <f t="shared" si="2"/>
        <v>0</v>
      </c>
    </row>
    <row r="23" spans="2:12" x14ac:dyDescent="0.25">
      <c r="B23" s="33" t="s">
        <v>141</v>
      </c>
      <c r="C23" s="33">
        <v>1.7</v>
      </c>
      <c r="D23" s="33">
        <v>1.2</v>
      </c>
      <c r="E23" s="33">
        <f t="shared" si="0"/>
        <v>2.04</v>
      </c>
      <c r="F23" s="33" t="s">
        <v>142</v>
      </c>
      <c r="G23" s="33"/>
      <c r="H23" s="33"/>
      <c r="I23" s="33">
        <f t="shared" si="1"/>
        <v>0</v>
      </c>
      <c r="J23" s="33"/>
      <c r="K23" s="33"/>
      <c r="L23" s="33">
        <f t="shared" si="2"/>
        <v>0</v>
      </c>
    </row>
    <row r="24" spans="2:12" x14ac:dyDescent="0.25">
      <c r="B24" s="33" t="s">
        <v>143</v>
      </c>
      <c r="C24" s="33">
        <v>1.2</v>
      </c>
      <c r="D24" s="33">
        <v>2.1</v>
      </c>
      <c r="E24" s="33">
        <f t="shared" si="0"/>
        <v>2.52</v>
      </c>
      <c r="F24" s="33" t="s">
        <v>142</v>
      </c>
      <c r="G24" s="33"/>
      <c r="H24" s="33"/>
      <c r="I24" s="33">
        <f t="shared" si="1"/>
        <v>0</v>
      </c>
      <c r="J24" s="33"/>
      <c r="K24" s="33"/>
      <c r="L24" s="33">
        <f t="shared" si="2"/>
        <v>0</v>
      </c>
    </row>
    <row r="25" spans="2:12" x14ac:dyDescent="0.25">
      <c r="B25" s="33" t="s">
        <v>144</v>
      </c>
      <c r="C25" s="33">
        <v>4.8</v>
      </c>
      <c r="D25" s="33">
        <v>0.9</v>
      </c>
      <c r="E25" s="33">
        <f t="shared" si="0"/>
        <v>4.32</v>
      </c>
      <c r="F25" s="33" t="s">
        <v>142</v>
      </c>
      <c r="G25" s="33"/>
      <c r="H25" s="33"/>
      <c r="I25" s="33">
        <f t="shared" si="1"/>
        <v>0</v>
      </c>
      <c r="J25" s="33"/>
      <c r="K25" s="33"/>
      <c r="L25" s="33">
        <f t="shared" si="2"/>
        <v>0</v>
      </c>
    </row>
    <row r="26" spans="2:12" x14ac:dyDescent="0.25">
      <c r="B26" s="33"/>
      <c r="C26" s="33"/>
      <c r="D26" s="33"/>
      <c r="E26" s="33">
        <f t="shared" si="0"/>
        <v>0</v>
      </c>
      <c r="F26" s="33"/>
      <c r="G26" s="33"/>
      <c r="H26" s="33"/>
      <c r="I26" s="33">
        <f t="shared" si="1"/>
        <v>0</v>
      </c>
      <c r="J26" s="33"/>
      <c r="K26" s="33"/>
      <c r="L26" s="33">
        <f t="shared" si="2"/>
        <v>0</v>
      </c>
    </row>
    <row r="27" spans="2:12" x14ac:dyDescent="0.25">
      <c r="B27" s="33" t="s">
        <v>145</v>
      </c>
      <c r="C27" s="33"/>
      <c r="D27" s="33"/>
      <c r="E27" s="33">
        <f t="shared" si="0"/>
        <v>0</v>
      </c>
      <c r="F27" s="33"/>
      <c r="G27" s="33"/>
      <c r="H27" s="33"/>
      <c r="I27" s="33">
        <f t="shared" si="1"/>
        <v>0</v>
      </c>
      <c r="J27" s="33"/>
      <c r="K27" s="33"/>
      <c r="L27" s="33">
        <f t="shared" si="2"/>
        <v>0</v>
      </c>
    </row>
    <row r="28" spans="2:12" x14ac:dyDescent="0.25">
      <c r="B28" s="33" t="s">
        <v>146</v>
      </c>
      <c r="C28" s="33"/>
      <c r="D28" s="33"/>
      <c r="E28" s="33">
        <f t="shared" si="0"/>
        <v>0</v>
      </c>
      <c r="F28" s="33"/>
      <c r="G28" s="33"/>
      <c r="H28" s="33"/>
      <c r="I28" s="33">
        <f t="shared" si="1"/>
        <v>0</v>
      </c>
      <c r="J28" s="33"/>
      <c r="K28" s="33"/>
      <c r="L28" s="33">
        <f t="shared" si="2"/>
        <v>0</v>
      </c>
    </row>
    <row r="29" spans="2:12" x14ac:dyDescent="0.25">
      <c r="B29" s="33" t="s">
        <v>147</v>
      </c>
      <c r="C29" s="33"/>
      <c r="D29" s="33"/>
      <c r="E29" s="33">
        <f t="shared" si="0"/>
        <v>0</v>
      </c>
      <c r="F29" s="33"/>
      <c r="G29" s="33"/>
      <c r="H29" s="33"/>
      <c r="I29" s="33">
        <f t="shared" si="1"/>
        <v>0</v>
      </c>
      <c r="J29" s="33"/>
      <c r="K29" s="33"/>
      <c r="L29" s="33">
        <f t="shared" si="2"/>
        <v>0</v>
      </c>
    </row>
    <row r="30" spans="2:12" x14ac:dyDescent="0.25">
      <c r="B30" s="33" t="s">
        <v>148</v>
      </c>
      <c r="C30" s="33"/>
      <c r="D30" s="33"/>
      <c r="E30" s="33">
        <f t="shared" si="0"/>
        <v>0</v>
      </c>
      <c r="F30" s="33"/>
      <c r="G30" s="33"/>
      <c r="H30" s="33"/>
      <c r="I30" s="33">
        <f>G30*H30</f>
        <v>0</v>
      </c>
      <c r="J30" s="33"/>
      <c r="K30" s="33"/>
      <c r="L30" s="33">
        <f>J30*K30</f>
        <v>0</v>
      </c>
    </row>
    <row r="31" spans="2:12" x14ac:dyDescent="0.25">
      <c r="B31" s="33"/>
      <c r="C31" s="33"/>
      <c r="D31" s="33"/>
      <c r="E31" s="33">
        <f t="shared" si="0"/>
        <v>0</v>
      </c>
      <c r="F31" s="33"/>
      <c r="G31" s="33"/>
      <c r="H31" s="33"/>
      <c r="I31" s="33">
        <f>G31*H31</f>
        <v>0</v>
      </c>
      <c r="J31" s="33"/>
      <c r="K31" s="33"/>
      <c r="L31" s="33">
        <f>J31*K31</f>
        <v>0</v>
      </c>
    </row>
    <row r="32" spans="2:12" x14ac:dyDescent="0.25">
      <c r="B32" s="33"/>
      <c r="C32" s="33"/>
      <c r="D32" s="33"/>
      <c r="E32" s="33">
        <f t="shared" si="0"/>
        <v>0</v>
      </c>
      <c r="F32" s="33"/>
      <c r="G32" s="33"/>
      <c r="H32" s="33"/>
      <c r="I32" s="33">
        <f>G32*H32</f>
        <v>0</v>
      </c>
      <c r="J32" s="33"/>
      <c r="K32" s="33"/>
      <c r="L32" s="33">
        <f>J32*K32</f>
        <v>0</v>
      </c>
    </row>
    <row r="33" spans="2:12" x14ac:dyDescent="0.25">
      <c r="B33" s="33"/>
      <c r="C33" s="33"/>
      <c r="D33" s="33"/>
      <c r="E33" s="33">
        <f t="shared" si="0"/>
        <v>0</v>
      </c>
      <c r="F33" s="33"/>
      <c r="G33" s="33"/>
      <c r="H33" s="33"/>
      <c r="I33" s="33">
        <f>G33*H33</f>
        <v>0</v>
      </c>
      <c r="J33" s="33"/>
      <c r="K33" s="33"/>
      <c r="L33" s="33">
        <f>J33*K33</f>
        <v>0</v>
      </c>
    </row>
    <row r="34" spans="2:12" x14ac:dyDescent="0.25">
      <c r="B34" s="33" t="s">
        <v>86</v>
      </c>
      <c r="C34" s="33"/>
      <c r="D34" s="33">
        <f>E34*10.764</f>
        <v>453.56805000000003</v>
      </c>
      <c r="E34" s="33">
        <f>SUM(E6:E33)</f>
        <v>42.137500000000003</v>
      </c>
      <c r="F34" s="33"/>
      <c r="G34" s="33"/>
      <c r="H34" s="33">
        <f>I34*10.764</f>
        <v>0</v>
      </c>
      <c r="I34" s="33">
        <f>SUM(I6:I33)</f>
        <v>0</v>
      </c>
      <c r="J34" s="33"/>
      <c r="K34" s="33">
        <f>L34*10.764</f>
        <v>0</v>
      </c>
      <c r="L34" s="33">
        <f>SUM(L6:L33)</f>
        <v>0</v>
      </c>
    </row>
    <row r="36" spans="2:12" x14ac:dyDescent="0.25">
      <c r="D36">
        <f>D34+H34</f>
        <v>453.56805000000003</v>
      </c>
      <c r="E36">
        <f>E34+I34</f>
        <v>42.137500000000003</v>
      </c>
    </row>
  </sheetData>
  <mergeCells count="4">
    <mergeCell ref="C2:D2"/>
    <mergeCell ref="C4:E4"/>
    <mergeCell ref="G4:I4"/>
    <mergeCell ref="J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sqref="A1:XFD1048576"/>
    </sheetView>
  </sheetViews>
  <sheetFormatPr defaultColWidth="8.7109375" defaultRowHeight="15" x14ac:dyDescent="0.25"/>
  <cols>
    <col min="1" max="1" width="8.7109375" style="37"/>
    <col min="2" max="2" width="22.140625" style="37" customWidth="1"/>
    <col min="3" max="3" width="37" style="37" customWidth="1"/>
    <col min="4" max="5" width="11.42578125" style="37" customWidth="1"/>
    <col min="6" max="6" width="14" style="37" customWidth="1"/>
    <col min="7" max="7" width="20" style="37" customWidth="1"/>
    <col min="8" max="8" width="16.42578125" style="37" customWidth="1"/>
    <col min="9" max="9" width="8.7109375" style="37"/>
    <col min="10" max="10" width="9.85546875" style="37" bestFit="1" customWidth="1"/>
    <col min="11" max="16384" width="8.7109375" style="37"/>
  </cols>
  <sheetData>
    <row r="1" spans="1:10" ht="15" customHeight="1" x14ac:dyDescent="0.25">
      <c r="A1" s="36"/>
      <c r="B1" s="36"/>
      <c r="C1" s="36"/>
      <c r="D1" s="36"/>
      <c r="E1" s="36"/>
      <c r="F1" s="36"/>
      <c r="G1" s="36"/>
      <c r="H1" s="36"/>
    </row>
    <row r="2" spans="1:10" ht="15" customHeight="1" x14ac:dyDescent="0.25">
      <c r="A2" s="38"/>
      <c r="B2" s="38"/>
      <c r="C2" s="38"/>
      <c r="D2" s="38"/>
      <c r="E2" s="38"/>
      <c r="F2" s="38"/>
      <c r="G2" s="38"/>
      <c r="H2" s="38"/>
    </row>
    <row r="3" spans="1:10" x14ac:dyDescent="0.25">
      <c r="A3" s="38"/>
      <c r="B3" s="284" t="s">
        <v>217</v>
      </c>
      <c r="C3" s="284"/>
      <c r="D3" s="284"/>
      <c r="E3" s="284"/>
      <c r="F3" s="284"/>
      <c r="G3" s="284"/>
      <c r="H3" s="284"/>
    </row>
    <row r="4" spans="1:10" x14ac:dyDescent="0.25">
      <c r="A4" s="38"/>
      <c r="B4" s="39" t="s">
        <v>218</v>
      </c>
      <c r="C4" s="39" t="s">
        <v>219</v>
      </c>
      <c r="D4" s="39" t="s">
        <v>128</v>
      </c>
      <c r="E4" s="39" t="s">
        <v>220</v>
      </c>
      <c r="F4" s="39" t="s">
        <v>221</v>
      </c>
      <c r="G4" s="39" t="s">
        <v>222</v>
      </c>
      <c r="H4" s="39" t="s">
        <v>223</v>
      </c>
    </row>
    <row r="5" spans="1:10" x14ac:dyDescent="0.25">
      <c r="A5" s="38"/>
      <c r="B5" s="40" t="s">
        <v>224</v>
      </c>
      <c r="C5" s="41" t="s">
        <v>150</v>
      </c>
      <c r="D5" s="42" t="s">
        <v>229</v>
      </c>
      <c r="E5" s="42">
        <v>0</v>
      </c>
      <c r="F5" s="43">
        <v>675</v>
      </c>
      <c r="G5" s="44">
        <f>H5/F5</f>
        <v>4148.1481481481478</v>
      </c>
      <c r="H5" s="45">
        <v>2800000</v>
      </c>
      <c r="J5" s="46"/>
    </row>
    <row r="6" spans="1:10" x14ac:dyDescent="0.25">
      <c r="A6" s="38"/>
      <c r="B6" s="40" t="s">
        <v>224</v>
      </c>
      <c r="C6" s="41" t="s">
        <v>150</v>
      </c>
      <c r="D6" s="42" t="s">
        <v>229</v>
      </c>
      <c r="E6" s="42">
        <v>0</v>
      </c>
      <c r="F6" s="43">
        <v>600</v>
      </c>
      <c r="G6" s="44">
        <f t="shared" ref="G6:G11" si="0">H6/F6</f>
        <v>4000</v>
      </c>
      <c r="H6" s="45">
        <v>2400000</v>
      </c>
      <c r="J6" s="46"/>
    </row>
    <row r="7" spans="1:10" x14ac:dyDescent="0.25">
      <c r="A7" s="38"/>
      <c r="B7" s="40" t="s">
        <v>224</v>
      </c>
      <c r="C7" s="41" t="s">
        <v>150</v>
      </c>
      <c r="D7" s="42" t="s">
        <v>229</v>
      </c>
      <c r="E7" s="42">
        <v>0</v>
      </c>
      <c r="F7" s="43">
        <v>502</v>
      </c>
      <c r="G7" s="44">
        <f t="shared" si="0"/>
        <v>3605.5776892430281</v>
      </c>
      <c r="H7" s="45">
        <v>1810000</v>
      </c>
      <c r="J7" s="46"/>
    </row>
    <row r="8" spans="1:10" ht="15" customHeight="1" x14ac:dyDescent="0.25">
      <c r="A8" s="38"/>
      <c r="B8" s="40" t="s">
        <v>224</v>
      </c>
      <c r="C8" s="41" t="s">
        <v>150</v>
      </c>
      <c r="D8" s="42" t="s">
        <v>229</v>
      </c>
      <c r="E8" s="42">
        <v>0</v>
      </c>
      <c r="F8" s="43">
        <v>600</v>
      </c>
      <c r="G8" s="44">
        <f t="shared" si="0"/>
        <v>3333.3333333333335</v>
      </c>
      <c r="H8" s="45">
        <v>2000000</v>
      </c>
      <c r="J8" s="46"/>
    </row>
    <row r="9" spans="1:10" x14ac:dyDescent="0.25">
      <c r="A9" s="38"/>
      <c r="B9" s="40" t="s">
        <v>226</v>
      </c>
      <c r="C9" s="41" t="s">
        <v>150</v>
      </c>
      <c r="D9" s="42" t="s">
        <v>229</v>
      </c>
      <c r="E9" s="42">
        <v>319.37</v>
      </c>
      <c r="F9" s="43">
        <f>E9*1.45</f>
        <v>463.0865</v>
      </c>
      <c r="G9" s="44">
        <f t="shared" si="0"/>
        <v>3679.6581200272517</v>
      </c>
      <c r="H9" s="45">
        <v>1704000</v>
      </c>
      <c r="J9" s="46"/>
    </row>
    <row r="10" spans="1:10" ht="15" customHeight="1" x14ac:dyDescent="0.25">
      <c r="A10" s="38"/>
      <c r="B10" s="40" t="s">
        <v>226</v>
      </c>
      <c r="C10" s="41" t="s">
        <v>150</v>
      </c>
      <c r="D10" s="42" t="s">
        <v>230</v>
      </c>
      <c r="E10" s="42">
        <v>501</v>
      </c>
      <c r="F10" s="43">
        <f t="shared" ref="F10:F11" si="1">E10*1.45</f>
        <v>726.44999999999993</v>
      </c>
      <c r="G10" s="44">
        <f t="shared" si="0"/>
        <v>3551.51765434648</v>
      </c>
      <c r="H10" s="45">
        <v>2580000</v>
      </c>
      <c r="J10" s="46"/>
    </row>
    <row r="11" spans="1:10" x14ac:dyDescent="0.25">
      <c r="A11" s="38"/>
      <c r="B11" s="40" t="s">
        <v>226</v>
      </c>
      <c r="C11" s="41" t="s">
        <v>150</v>
      </c>
      <c r="D11" s="42" t="s">
        <v>225</v>
      </c>
      <c r="E11" s="42">
        <v>701</v>
      </c>
      <c r="F11" s="43">
        <f t="shared" si="1"/>
        <v>1016.4499999999999</v>
      </c>
      <c r="G11" s="44">
        <f t="shared" si="0"/>
        <v>3652.9096364799057</v>
      </c>
      <c r="H11" s="45">
        <v>3713000</v>
      </c>
      <c r="J11" s="46"/>
    </row>
    <row r="12" spans="1:10" ht="15" customHeight="1" x14ac:dyDescent="0.25">
      <c r="A12" s="38"/>
      <c r="B12" s="47" t="s">
        <v>227</v>
      </c>
      <c r="C12" s="48"/>
      <c r="D12" s="48"/>
      <c r="E12" s="42">
        <v>0</v>
      </c>
      <c r="F12" s="44">
        <f>E12*1.5</f>
        <v>0</v>
      </c>
      <c r="G12" s="49">
        <f>AVERAGE(G5:G11)</f>
        <v>3710.1635116540206</v>
      </c>
      <c r="H12" s="48"/>
      <c r="J12" s="46"/>
    </row>
    <row r="13" spans="1:10" ht="15" customHeight="1" x14ac:dyDescent="0.25">
      <c r="A13" s="36"/>
      <c r="B13" s="47" t="s">
        <v>228</v>
      </c>
      <c r="C13" s="42"/>
      <c r="D13" s="42"/>
      <c r="E13" s="42"/>
      <c r="F13" s="50"/>
      <c r="G13" s="47">
        <v>3700</v>
      </c>
      <c r="H13" s="47"/>
      <c r="I13" s="51"/>
      <c r="J13" s="46"/>
    </row>
    <row r="14" spans="1:10" ht="15" customHeight="1" x14ac:dyDescent="0.25">
      <c r="B14" s="36"/>
      <c r="C14" s="36"/>
      <c r="D14" s="36"/>
      <c r="E14" s="36"/>
      <c r="G14" s="52"/>
    </row>
    <row r="15" spans="1:10" x14ac:dyDescent="0.25">
      <c r="E15" s="52"/>
      <c r="G15" s="52"/>
    </row>
    <row r="16" spans="1:10" x14ac:dyDescent="0.25">
      <c r="E16" s="52"/>
      <c r="G16" s="52"/>
    </row>
    <row r="17" spans="2:7" x14ac:dyDescent="0.25">
      <c r="E17" s="52"/>
      <c r="G17" s="52"/>
    </row>
    <row r="18" spans="2:7" x14ac:dyDescent="0.25">
      <c r="E18" s="52"/>
      <c r="G18" s="52"/>
    </row>
    <row r="19" spans="2:7" x14ac:dyDescent="0.25">
      <c r="E19" s="52"/>
      <c r="G19" s="52"/>
    </row>
    <row r="20" spans="2:7" x14ac:dyDescent="0.25">
      <c r="E20" s="52"/>
      <c r="G20" s="52"/>
    </row>
    <row r="21" spans="2:7" x14ac:dyDescent="0.25">
      <c r="G21" s="52"/>
    </row>
    <row r="22" spans="2:7" x14ac:dyDescent="0.25">
      <c r="G22" s="52"/>
    </row>
    <row r="23" spans="2:7" x14ac:dyDescent="0.25">
      <c r="B23" s="53"/>
      <c r="G23" s="52"/>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
  <sheetViews>
    <sheetView workbookViewId="0">
      <selection activeCell="D11" sqref="D11"/>
    </sheetView>
  </sheetViews>
  <sheetFormatPr defaultRowHeight="15" x14ac:dyDescent="0.25"/>
  <cols>
    <col min="1" max="1" width="11.5703125" customWidth="1"/>
    <col min="2" max="2" width="12" customWidth="1"/>
  </cols>
  <sheetData>
    <row r="2" spans="1:3" x14ac:dyDescent="0.25">
      <c r="A2" t="s">
        <v>212</v>
      </c>
      <c r="B2" t="s">
        <v>213</v>
      </c>
      <c r="C2" t="s">
        <v>214</v>
      </c>
    </row>
    <row r="3" spans="1:3" x14ac:dyDescent="0.25">
      <c r="C3" t="s">
        <v>215</v>
      </c>
    </row>
    <row r="5" spans="1:3" x14ac:dyDescent="0.25">
      <c r="A5" t="s">
        <v>231</v>
      </c>
      <c r="B5" t="s">
        <v>232</v>
      </c>
      <c r="C5" t="s">
        <v>233</v>
      </c>
    </row>
    <row r="6" spans="1:3" x14ac:dyDescent="0.25">
      <c r="C6" t="s">
        <v>234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zoomScale="85" zoomScaleNormal="85" workbookViewId="0">
      <selection activeCell="C9" sqref="C9"/>
    </sheetView>
  </sheetViews>
  <sheetFormatPr defaultRowHeight="15" x14ac:dyDescent="0.25"/>
  <cols>
    <col min="1" max="1" width="9.140625" style="21"/>
    <col min="2" max="2" width="11.7109375" style="21" customWidth="1"/>
    <col min="3" max="257" width="9.140625" style="21"/>
    <col min="258" max="258" width="11.7109375" style="21" customWidth="1"/>
    <col min="259" max="513" width="9.140625" style="21"/>
    <col min="514" max="514" width="11.7109375" style="21" customWidth="1"/>
    <col min="515" max="769" width="9.140625" style="21"/>
    <col min="770" max="770" width="11.7109375" style="21" customWidth="1"/>
    <col min="771" max="1025" width="9.140625" style="21"/>
    <col min="1026" max="1026" width="11.7109375" style="21" customWidth="1"/>
    <col min="1027" max="1281" width="9.140625" style="21"/>
    <col min="1282" max="1282" width="11.7109375" style="21" customWidth="1"/>
    <col min="1283" max="1537" width="9.140625" style="21"/>
    <col min="1538" max="1538" width="11.7109375" style="21" customWidth="1"/>
    <col min="1539" max="1793" width="9.140625" style="21"/>
    <col min="1794" max="1794" width="11.7109375" style="21" customWidth="1"/>
    <col min="1795" max="2049" width="9.140625" style="21"/>
    <col min="2050" max="2050" width="11.7109375" style="21" customWidth="1"/>
    <col min="2051" max="2305" width="9.140625" style="21"/>
    <col min="2306" max="2306" width="11.7109375" style="21" customWidth="1"/>
    <col min="2307" max="2561" width="9.140625" style="21"/>
    <col min="2562" max="2562" width="11.7109375" style="21" customWidth="1"/>
    <col min="2563" max="2817" width="9.140625" style="21"/>
    <col min="2818" max="2818" width="11.7109375" style="21" customWidth="1"/>
    <col min="2819" max="3073" width="9.140625" style="21"/>
    <col min="3074" max="3074" width="11.7109375" style="21" customWidth="1"/>
    <col min="3075" max="3329" width="9.140625" style="21"/>
    <col min="3330" max="3330" width="11.7109375" style="21" customWidth="1"/>
    <col min="3331" max="3585" width="9.140625" style="21"/>
    <col min="3586" max="3586" width="11.7109375" style="21" customWidth="1"/>
    <col min="3587" max="3841" width="9.140625" style="21"/>
    <col min="3842" max="3842" width="11.7109375" style="21" customWidth="1"/>
    <col min="3843" max="4097" width="9.140625" style="21"/>
    <col min="4098" max="4098" width="11.7109375" style="21" customWidth="1"/>
    <col min="4099" max="4353" width="9.140625" style="21"/>
    <col min="4354" max="4354" width="11.7109375" style="21" customWidth="1"/>
    <col min="4355" max="4609" width="9.140625" style="21"/>
    <col min="4610" max="4610" width="11.7109375" style="21" customWidth="1"/>
    <col min="4611" max="4865" width="9.140625" style="21"/>
    <col min="4866" max="4866" width="11.7109375" style="21" customWidth="1"/>
    <col min="4867" max="5121" width="9.140625" style="21"/>
    <col min="5122" max="5122" width="11.7109375" style="21" customWidth="1"/>
    <col min="5123" max="5377" width="9.140625" style="21"/>
    <col min="5378" max="5378" width="11.7109375" style="21" customWidth="1"/>
    <col min="5379" max="5633" width="9.140625" style="21"/>
    <col min="5634" max="5634" width="11.7109375" style="21" customWidth="1"/>
    <col min="5635" max="5889" width="9.140625" style="21"/>
    <col min="5890" max="5890" width="11.7109375" style="21" customWidth="1"/>
    <col min="5891" max="6145" width="9.140625" style="21"/>
    <col min="6146" max="6146" width="11.7109375" style="21" customWidth="1"/>
    <col min="6147" max="6401" width="9.140625" style="21"/>
    <col min="6402" max="6402" width="11.7109375" style="21" customWidth="1"/>
    <col min="6403" max="6657" width="9.140625" style="21"/>
    <col min="6658" max="6658" width="11.7109375" style="21" customWidth="1"/>
    <col min="6659" max="6913" width="9.140625" style="21"/>
    <col min="6914" max="6914" width="11.7109375" style="21" customWidth="1"/>
    <col min="6915" max="7169" width="9.140625" style="21"/>
    <col min="7170" max="7170" width="11.7109375" style="21" customWidth="1"/>
    <col min="7171" max="7425" width="9.140625" style="21"/>
    <col min="7426" max="7426" width="11.7109375" style="21" customWidth="1"/>
    <col min="7427" max="7681" width="9.140625" style="21"/>
    <col min="7682" max="7682" width="11.7109375" style="21" customWidth="1"/>
    <col min="7683" max="7937" width="9.140625" style="21"/>
    <col min="7938" max="7938" width="11.7109375" style="21" customWidth="1"/>
    <col min="7939" max="8193" width="9.140625" style="21"/>
    <col min="8194" max="8194" width="11.7109375" style="21" customWidth="1"/>
    <col min="8195" max="8449" width="9.140625" style="21"/>
    <col min="8450" max="8450" width="11.7109375" style="21" customWidth="1"/>
    <col min="8451" max="8705" width="9.140625" style="21"/>
    <col min="8706" max="8706" width="11.7109375" style="21" customWidth="1"/>
    <col min="8707" max="8961" width="9.140625" style="21"/>
    <col min="8962" max="8962" width="11.7109375" style="21" customWidth="1"/>
    <col min="8963" max="9217" width="9.140625" style="21"/>
    <col min="9218" max="9218" width="11.7109375" style="21" customWidth="1"/>
    <col min="9219" max="9473" width="9.140625" style="21"/>
    <col min="9474" max="9474" width="11.7109375" style="21" customWidth="1"/>
    <col min="9475" max="9729" width="9.140625" style="21"/>
    <col min="9730" max="9730" width="11.7109375" style="21" customWidth="1"/>
    <col min="9731" max="9985" width="9.140625" style="21"/>
    <col min="9986" max="9986" width="11.7109375" style="21" customWidth="1"/>
    <col min="9987" max="10241" width="9.140625" style="21"/>
    <col min="10242" max="10242" width="11.7109375" style="21" customWidth="1"/>
    <col min="10243" max="10497" width="9.140625" style="21"/>
    <col min="10498" max="10498" width="11.7109375" style="21" customWidth="1"/>
    <col min="10499" max="10753" width="9.140625" style="21"/>
    <col min="10754" max="10754" width="11.7109375" style="21" customWidth="1"/>
    <col min="10755" max="11009" width="9.140625" style="21"/>
    <col min="11010" max="11010" width="11.7109375" style="21" customWidth="1"/>
    <col min="11011" max="11265" width="9.140625" style="21"/>
    <col min="11266" max="11266" width="11.7109375" style="21" customWidth="1"/>
    <col min="11267" max="11521" width="9.140625" style="21"/>
    <col min="11522" max="11522" width="11.7109375" style="21" customWidth="1"/>
    <col min="11523" max="11777" width="9.140625" style="21"/>
    <col min="11778" max="11778" width="11.7109375" style="21" customWidth="1"/>
    <col min="11779" max="12033" width="9.140625" style="21"/>
    <col min="12034" max="12034" width="11.7109375" style="21" customWidth="1"/>
    <col min="12035" max="12289" width="9.140625" style="21"/>
    <col min="12290" max="12290" width="11.7109375" style="21" customWidth="1"/>
    <col min="12291" max="12545" width="9.140625" style="21"/>
    <col min="12546" max="12546" width="11.7109375" style="21" customWidth="1"/>
    <col min="12547" max="12801" width="9.140625" style="21"/>
    <col min="12802" max="12802" width="11.7109375" style="21" customWidth="1"/>
    <col min="12803" max="13057" width="9.140625" style="21"/>
    <col min="13058" max="13058" width="11.7109375" style="21" customWidth="1"/>
    <col min="13059" max="13313" width="9.140625" style="21"/>
    <col min="13314" max="13314" width="11.7109375" style="21" customWidth="1"/>
    <col min="13315" max="13569" width="9.140625" style="21"/>
    <col min="13570" max="13570" width="11.7109375" style="21" customWidth="1"/>
    <col min="13571" max="13825" width="9.140625" style="21"/>
    <col min="13826" max="13826" width="11.7109375" style="21" customWidth="1"/>
    <col min="13827" max="14081" width="9.140625" style="21"/>
    <col min="14082" max="14082" width="11.7109375" style="21" customWidth="1"/>
    <col min="14083" max="14337" width="9.140625" style="21"/>
    <col min="14338" max="14338" width="11.7109375" style="21" customWidth="1"/>
    <col min="14339" max="14593" width="9.140625" style="21"/>
    <col min="14594" max="14594" width="11.7109375" style="21" customWidth="1"/>
    <col min="14595" max="14849" width="9.140625" style="21"/>
    <col min="14850" max="14850" width="11.7109375" style="21" customWidth="1"/>
    <col min="14851" max="15105" width="9.140625" style="21"/>
    <col min="15106" max="15106" width="11.7109375" style="21" customWidth="1"/>
    <col min="15107" max="15361" width="9.140625" style="21"/>
    <col min="15362" max="15362" width="11.7109375" style="21" customWidth="1"/>
    <col min="15363" max="15617" width="9.140625" style="21"/>
    <col min="15618" max="15618" width="11.7109375" style="21" customWidth="1"/>
    <col min="15619" max="15873" width="9.140625" style="21"/>
    <col min="15874" max="15874" width="11.7109375" style="21" customWidth="1"/>
    <col min="15875" max="16129" width="9.140625" style="21"/>
    <col min="16130" max="16130" width="11.7109375" style="21" customWidth="1"/>
    <col min="16131" max="16384" width="9.140625" style="21"/>
  </cols>
  <sheetData>
    <row r="2" spans="1:15" x14ac:dyDescent="0.25">
      <c r="A2" s="21" t="s">
        <v>106</v>
      </c>
      <c r="B2" s="22" t="s">
        <v>107</v>
      </c>
      <c r="C2" s="22">
        <v>7</v>
      </c>
    </row>
    <row r="3" spans="1:15" x14ac:dyDescent="0.25">
      <c r="B3" s="21" t="s">
        <v>108</v>
      </c>
      <c r="C3" s="21" t="s">
        <v>109</v>
      </c>
    </row>
    <row r="4" spans="1:15" x14ac:dyDescent="0.25">
      <c r="A4" s="21" t="s">
        <v>110</v>
      </c>
      <c r="B4" s="23">
        <v>10</v>
      </c>
      <c r="C4" s="23">
        <v>10</v>
      </c>
      <c r="D4" s="24"/>
      <c r="E4" s="24">
        <f>(100/B4)*C4</f>
        <v>100</v>
      </c>
    </row>
    <row r="5" spans="1:15" x14ac:dyDescent="0.25">
      <c r="A5" s="21" t="s">
        <v>111</v>
      </c>
      <c r="B5" s="21" t="s">
        <v>112</v>
      </c>
      <c r="C5" s="21" t="s">
        <v>113</v>
      </c>
      <c r="E5" s="24">
        <f>(100/B6)*C6</f>
        <v>62.5</v>
      </c>
      <c r="I5" s="23" t="s">
        <v>114</v>
      </c>
      <c r="J5" s="23" t="s">
        <v>115</v>
      </c>
      <c r="K5" s="23" t="s">
        <v>116</v>
      </c>
      <c r="L5" s="23" t="s">
        <v>72</v>
      </c>
      <c r="M5" s="23" t="s">
        <v>73</v>
      </c>
      <c r="N5" s="23" t="s">
        <v>117</v>
      </c>
      <c r="O5" s="23" t="s">
        <v>74</v>
      </c>
    </row>
    <row r="6" spans="1:15" x14ac:dyDescent="0.25">
      <c r="B6" s="23">
        <f>C2+1</f>
        <v>8</v>
      </c>
      <c r="C6" s="23">
        <v>5</v>
      </c>
      <c r="E6" s="24">
        <f>(100/B8)*C8</f>
        <v>0</v>
      </c>
      <c r="F6" s="25" t="s">
        <v>118</v>
      </c>
      <c r="I6" s="25">
        <f>C4</f>
        <v>10</v>
      </c>
      <c r="J6" s="25">
        <f>40/B6*C6</f>
        <v>25</v>
      </c>
      <c r="K6" s="25">
        <f>15/B8*C8</f>
        <v>0</v>
      </c>
      <c r="L6" s="25">
        <f>10/B10*C10</f>
        <v>0</v>
      </c>
      <c r="M6" s="25">
        <f>10/B12*C12</f>
        <v>0</v>
      </c>
      <c r="N6" s="25">
        <f>5/B14*C14</f>
        <v>0</v>
      </c>
      <c r="O6" s="25">
        <f>5/B16*C16</f>
        <v>0</v>
      </c>
    </row>
    <row r="7" spans="1:15" x14ac:dyDescent="0.25">
      <c r="A7" s="21" t="s">
        <v>119</v>
      </c>
      <c r="B7" s="21" t="s">
        <v>120</v>
      </c>
      <c r="C7" s="21" t="s">
        <v>121</v>
      </c>
      <c r="E7" s="24">
        <f>(100/B10)*C10</f>
        <v>0</v>
      </c>
      <c r="F7" s="23" t="s">
        <v>122</v>
      </c>
      <c r="G7" s="23"/>
      <c r="H7" s="23"/>
      <c r="I7" s="23">
        <f>I6+20</f>
        <v>30</v>
      </c>
      <c r="J7" s="23">
        <f>30/B6*C6</f>
        <v>18.75</v>
      </c>
      <c r="K7" s="23">
        <f>15/B8*C8</f>
        <v>0</v>
      </c>
      <c r="L7" s="23">
        <f>10/B10*C10</f>
        <v>0</v>
      </c>
      <c r="M7" s="23">
        <f>5/B12*C12</f>
        <v>0</v>
      </c>
      <c r="N7" s="23">
        <f>5/B14*C14</f>
        <v>0</v>
      </c>
      <c r="O7" s="23">
        <f>5/B16*C16</f>
        <v>0</v>
      </c>
    </row>
    <row r="8" spans="1:15" x14ac:dyDescent="0.25">
      <c r="B8" s="23">
        <f>C2</f>
        <v>7</v>
      </c>
      <c r="C8" s="23">
        <v>0</v>
      </c>
      <c r="D8" s="24"/>
      <c r="E8" s="24">
        <f>(100/B12)*C12</f>
        <v>0</v>
      </c>
    </row>
    <row r="9" spans="1:15" x14ac:dyDescent="0.25">
      <c r="A9" s="21" t="s">
        <v>123</v>
      </c>
      <c r="B9" s="21" t="s">
        <v>120</v>
      </c>
      <c r="C9" s="21" t="s">
        <v>121</v>
      </c>
      <c r="E9" s="24">
        <f>(100/B14)*C14</f>
        <v>0</v>
      </c>
    </row>
    <row r="10" spans="1:15" x14ac:dyDescent="0.25">
      <c r="B10" s="23">
        <f>C2</f>
        <v>7</v>
      </c>
      <c r="C10" s="23">
        <v>0</v>
      </c>
      <c r="D10" s="24"/>
      <c r="E10" s="24">
        <f>(100/B16)*C16</f>
        <v>0</v>
      </c>
    </row>
    <row r="11" spans="1:15" x14ac:dyDescent="0.25">
      <c r="A11" s="21" t="s">
        <v>73</v>
      </c>
      <c r="B11" s="21" t="s">
        <v>120</v>
      </c>
      <c r="C11" s="21" t="s">
        <v>121</v>
      </c>
    </row>
    <row r="12" spans="1:15" x14ac:dyDescent="0.25">
      <c r="B12" s="23">
        <f>C2</f>
        <v>7</v>
      </c>
      <c r="C12" s="23">
        <v>0</v>
      </c>
      <c r="D12" s="24"/>
      <c r="F12" s="23"/>
      <c r="G12" s="23" t="s">
        <v>118</v>
      </c>
      <c r="H12" s="23" t="s">
        <v>124</v>
      </c>
      <c r="L12" s="24" t="s">
        <v>125</v>
      </c>
    </row>
    <row r="13" spans="1:15" ht="30" x14ac:dyDescent="0.25">
      <c r="A13" s="26" t="s">
        <v>117</v>
      </c>
      <c r="B13" s="21" t="s">
        <v>120</v>
      </c>
      <c r="C13" s="21" t="s">
        <v>121</v>
      </c>
      <c r="F13" s="23" t="s">
        <v>70</v>
      </c>
      <c r="G13" s="23">
        <f>I6</f>
        <v>10</v>
      </c>
      <c r="H13" s="23">
        <f>I7</f>
        <v>30</v>
      </c>
      <c r="L13" s="24" t="s">
        <v>125</v>
      </c>
    </row>
    <row r="14" spans="1:15" x14ac:dyDescent="0.25">
      <c r="B14" s="23">
        <f>C2</f>
        <v>7</v>
      </c>
      <c r="C14" s="23">
        <v>0</v>
      </c>
      <c r="D14" s="24"/>
      <c r="F14" s="23" t="s">
        <v>71</v>
      </c>
      <c r="G14" s="23">
        <f>J6</f>
        <v>25</v>
      </c>
      <c r="H14" s="23">
        <f>J7</f>
        <v>18.75</v>
      </c>
      <c r="L14" s="24"/>
    </row>
    <row r="15" spans="1:15" x14ac:dyDescent="0.25">
      <c r="A15" s="21" t="s">
        <v>74</v>
      </c>
      <c r="B15" s="21" t="s">
        <v>120</v>
      </c>
      <c r="C15" s="21" t="s">
        <v>121</v>
      </c>
      <c r="F15" s="23" t="s">
        <v>116</v>
      </c>
      <c r="G15" s="23">
        <f>K6</f>
        <v>0</v>
      </c>
      <c r="H15" s="23">
        <f>K7</f>
        <v>0</v>
      </c>
      <c r="L15" s="24"/>
    </row>
    <row r="16" spans="1:15" x14ac:dyDescent="0.25">
      <c r="B16" s="23">
        <f>C2</f>
        <v>7</v>
      </c>
      <c r="C16" s="23">
        <v>0</v>
      </c>
      <c r="D16" s="24"/>
      <c r="F16" s="23" t="s">
        <v>72</v>
      </c>
      <c r="G16" s="23">
        <f>L6</f>
        <v>0</v>
      </c>
      <c r="H16" s="23">
        <f>L7</f>
        <v>0</v>
      </c>
      <c r="L16" s="24"/>
    </row>
    <row r="17" spans="5:12" x14ac:dyDescent="0.25">
      <c r="F17" s="23" t="s">
        <v>73</v>
      </c>
      <c r="G17" s="23">
        <f>M6</f>
        <v>0</v>
      </c>
      <c r="H17" s="23">
        <f>M7</f>
        <v>0</v>
      </c>
      <c r="L17" s="24"/>
    </row>
    <row r="18" spans="5:12" ht="30" x14ac:dyDescent="0.25">
      <c r="F18" s="27" t="s">
        <v>117</v>
      </c>
      <c r="G18" s="23">
        <f>N6</f>
        <v>0</v>
      </c>
      <c r="H18" s="23">
        <f>N7</f>
        <v>0</v>
      </c>
      <c r="L18" s="24"/>
    </row>
    <row r="19" spans="5:12" x14ac:dyDescent="0.25">
      <c r="F19" s="23" t="s">
        <v>74</v>
      </c>
      <c r="G19" s="23">
        <f>O6</f>
        <v>0</v>
      </c>
      <c r="H19" s="23">
        <f>O7</f>
        <v>0</v>
      </c>
      <c r="L19" s="24"/>
    </row>
    <row r="20" spans="5:12" x14ac:dyDescent="0.25">
      <c r="F20" s="23" t="s">
        <v>126</v>
      </c>
      <c r="G20" s="23">
        <f>G13+G14+G15+G16+G17+G18+G19</f>
        <v>35</v>
      </c>
      <c r="H20" s="23">
        <f>H13+H14+H15+H16+H17+H18+H19</f>
        <v>48.75</v>
      </c>
      <c r="L20" s="24"/>
    </row>
    <row r="21" spans="5:12" x14ac:dyDescent="0.25">
      <c r="E21" s="2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4" sqref="C4"/>
    </sheetView>
  </sheetViews>
  <sheetFormatPr defaultRowHeight="15" x14ac:dyDescent="0.25"/>
  <cols>
    <col min="1" max="1" width="9.140625" style="21"/>
    <col min="2" max="2" width="11.7109375" style="21" customWidth="1"/>
    <col min="3" max="257" width="9.140625" style="21"/>
    <col min="258" max="258" width="11.7109375" style="21" customWidth="1"/>
    <col min="259" max="513" width="9.140625" style="21"/>
    <col min="514" max="514" width="11.7109375" style="21" customWidth="1"/>
    <col min="515" max="769" width="9.140625" style="21"/>
    <col min="770" max="770" width="11.7109375" style="21" customWidth="1"/>
    <col min="771" max="1025" width="9.140625" style="21"/>
    <col min="1026" max="1026" width="11.7109375" style="21" customWidth="1"/>
    <col min="1027" max="1281" width="9.140625" style="21"/>
    <col min="1282" max="1282" width="11.7109375" style="21" customWidth="1"/>
    <col min="1283" max="1537" width="9.140625" style="21"/>
    <col min="1538" max="1538" width="11.7109375" style="21" customWidth="1"/>
    <col min="1539" max="1793" width="9.140625" style="21"/>
    <col min="1794" max="1794" width="11.7109375" style="21" customWidth="1"/>
    <col min="1795" max="2049" width="9.140625" style="21"/>
    <col min="2050" max="2050" width="11.7109375" style="21" customWidth="1"/>
    <col min="2051" max="2305" width="9.140625" style="21"/>
    <col min="2306" max="2306" width="11.7109375" style="21" customWidth="1"/>
    <col min="2307" max="2561" width="9.140625" style="21"/>
    <col min="2562" max="2562" width="11.7109375" style="21" customWidth="1"/>
    <col min="2563" max="2817" width="9.140625" style="21"/>
    <col min="2818" max="2818" width="11.7109375" style="21" customWidth="1"/>
    <col min="2819" max="3073" width="9.140625" style="21"/>
    <col min="3074" max="3074" width="11.7109375" style="21" customWidth="1"/>
    <col min="3075" max="3329" width="9.140625" style="21"/>
    <col min="3330" max="3330" width="11.7109375" style="21" customWidth="1"/>
    <col min="3331" max="3585" width="9.140625" style="21"/>
    <col min="3586" max="3586" width="11.7109375" style="21" customWidth="1"/>
    <col min="3587" max="3841" width="9.140625" style="21"/>
    <col min="3842" max="3842" width="11.7109375" style="21" customWidth="1"/>
    <col min="3843" max="4097" width="9.140625" style="21"/>
    <col min="4098" max="4098" width="11.7109375" style="21" customWidth="1"/>
    <col min="4099" max="4353" width="9.140625" style="21"/>
    <col min="4354" max="4354" width="11.7109375" style="21" customWidth="1"/>
    <col min="4355" max="4609" width="9.140625" style="21"/>
    <col min="4610" max="4610" width="11.7109375" style="21" customWidth="1"/>
    <col min="4611" max="4865" width="9.140625" style="21"/>
    <col min="4866" max="4866" width="11.7109375" style="21" customWidth="1"/>
    <col min="4867" max="5121" width="9.140625" style="21"/>
    <col min="5122" max="5122" width="11.7109375" style="21" customWidth="1"/>
    <col min="5123" max="5377" width="9.140625" style="21"/>
    <col min="5378" max="5378" width="11.7109375" style="21" customWidth="1"/>
    <col min="5379" max="5633" width="9.140625" style="21"/>
    <col min="5634" max="5634" width="11.7109375" style="21" customWidth="1"/>
    <col min="5635" max="5889" width="9.140625" style="21"/>
    <col min="5890" max="5890" width="11.7109375" style="21" customWidth="1"/>
    <col min="5891" max="6145" width="9.140625" style="21"/>
    <col min="6146" max="6146" width="11.7109375" style="21" customWidth="1"/>
    <col min="6147" max="6401" width="9.140625" style="21"/>
    <col min="6402" max="6402" width="11.7109375" style="21" customWidth="1"/>
    <col min="6403" max="6657" width="9.140625" style="21"/>
    <col min="6658" max="6658" width="11.7109375" style="21" customWidth="1"/>
    <col min="6659" max="6913" width="9.140625" style="21"/>
    <col min="6914" max="6914" width="11.7109375" style="21" customWidth="1"/>
    <col min="6915" max="7169" width="9.140625" style="21"/>
    <col min="7170" max="7170" width="11.7109375" style="21" customWidth="1"/>
    <col min="7171" max="7425" width="9.140625" style="21"/>
    <col min="7426" max="7426" width="11.7109375" style="21" customWidth="1"/>
    <col min="7427" max="7681" width="9.140625" style="21"/>
    <col min="7682" max="7682" width="11.7109375" style="21" customWidth="1"/>
    <col min="7683" max="7937" width="9.140625" style="21"/>
    <col min="7938" max="7938" width="11.7109375" style="21" customWidth="1"/>
    <col min="7939" max="8193" width="9.140625" style="21"/>
    <col min="8194" max="8194" width="11.7109375" style="21" customWidth="1"/>
    <col min="8195" max="8449" width="9.140625" style="21"/>
    <col min="8450" max="8450" width="11.7109375" style="21" customWidth="1"/>
    <col min="8451" max="8705" width="9.140625" style="21"/>
    <col min="8706" max="8706" width="11.7109375" style="21" customWidth="1"/>
    <col min="8707" max="8961" width="9.140625" style="21"/>
    <col min="8962" max="8962" width="11.7109375" style="21" customWidth="1"/>
    <col min="8963" max="9217" width="9.140625" style="21"/>
    <col min="9218" max="9218" width="11.7109375" style="21" customWidth="1"/>
    <col min="9219" max="9473" width="9.140625" style="21"/>
    <col min="9474" max="9474" width="11.7109375" style="21" customWidth="1"/>
    <col min="9475" max="9729" width="9.140625" style="21"/>
    <col min="9730" max="9730" width="11.7109375" style="21" customWidth="1"/>
    <col min="9731" max="9985" width="9.140625" style="21"/>
    <col min="9986" max="9986" width="11.7109375" style="21" customWidth="1"/>
    <col min="9987" max="10241" width="9.140625" style="21"/>
    <col min="10242" max="10242" width="11.7109375" style="21" customWidth="1"/>
    <col min="10243" max="10497" width="9.140625" style="21"/>
    <col min="10498" max="10498" width="11.7109375" style="21" customWidth="1"/>
    <col min="10499" max="10753" width="9.140625" style="21"/>
    <col min="10754" max="10754" width="11.7109375" style="21" customWidth="1"/>
    <col min="10755" max="11009" width="9.140625" style="21"/>
    <col min="11010" max="11010" width="11.7109375" style="21" customWidth="1"/>
    <col min="11011" max="11265" width="9.140625" style="21"/>
    <col min="11266" max="11266" width="11.7109375" style="21" customWidth="1"/>
    <col min="11267" max="11521" width="9.140625" style="21"/>
    <col min="11522" max="11522" width="11.7109375" style="21" customWidth="1"/>
    <col min="11523" max="11777" width="9.140625" style="21"/>
    <col min="11778" max="11778" width="11.7109375" style="21" customWidth="1"/>
    <col min="11779" max="12033" width="9.140625" style="21"/>
    <col min="12034" max="12034" width="11.7109375" style="21" customWidth="1"/>
    <col min="12035" max="12289" width="9.140625" style="21"/>
    <col min="12290" max="12290" width="11.7109375" style="21" customWidth="1"/>
    <col min="12291" max="12545" width="9.140625" style="21"/>
    <col min="12546" max="12546" width="11.7109375" style="21" customWidth="1"/>
    <col min="12547" max="12801" width="9.140625" style="21"/>
    <col min="12802" max="12802" width="11.7109375" style="21" customWidth="1"/>
    <col min="12803" max="13057" width="9.140625" style="21"/>
    <col min="13058" max="13058" width="11.7109375" style="21" customWidth="1"/>
    <col min="13059" max="13313" width="9.140625" style="21"/>
    <col min="13314" max="13314" width="11.7109375" style="21" customWidth="1"/>
    <col min="13315" max="13569" width="9.140625" style="21"/>
    <col min="13570" max="13570" width="11.7109375" style="21" customWidth="1"/>
    <col min="13571" max="13825" width="9.140625" style="21"/>
    <col min="13826" max="13826" width="11.7109375" style="21" customWidth="1"/>
    <col min="13827" max="14081" width="9.140625" style="21"/>
    <col min="14082" max="14082" width="11.7109375" style="21" customWidth="1"/>
    <col min="14083" max="14337" width="9.140625" style="21"/>
    <col min="14338" max="14338" width="11.7109375" style="21" customWidth="1"/>
    <col min="14339" max="14593" width="9.140625" style="21"/>
    <col min="14594" max="14594" width="11.7109375" style="21" customWidth="1"/>
    <col min="14595" max="14849" width="9.140625" style="21"/>
    <col min="14850" max="14850" width="11.7109375" style="21" customWidth="1"/>
    <col min="14851" max="15105" width="9.140625" style="21"/>
    <col min="15106" max="15106" width="11.7109375" style="21" customWidth="1"/>
    <col min="15107" max="15361" width="9.140625" style="21"/>
    <col min="15362" max="15362" width="11.7109375" style="21" customWidth="1"/>
    <col min="15363" max="15617" width="9.140625" style="21"/>
    <col min="15618" max="15618" width="11.7109375" style="21" customWidth="1"/>
    <col min="15619" max="15873" width="9.140625" style="21"/>
    <col min="15874" max="15874" width="11.7109375" style="21" customWidth="1"/>
    <col min="15875" max="16129" width="9.140625" style="21"/>
    <col min="16130" max="16130" width="11.7109375" style="21" customWidth="1"/>
    <col min="16131" max="16384" width="9.140625" style="21"/>
  </cols>
  <sheetData>
    <row r="2" spans="1:15" x14ac:dyDescent="0.25">
      <c r="A2" s="21" t="s">
        <v>106</v>
      </c>
      <c r="B2" s="22" t="s">
        <v>107</v>
      </c>
      <c r="C2" s="22">
        <v>7</v>
      </c>
    </row>
    <row r="3" spans="1:15" x14ac:dyDescent="0.25">
      <c r="B3" s="21" t="s">
        <v>108</v>
      </c>
      <c r="C3" s="21" t="s">
        <v>109</v>
      </c>
    </row>
    <row r="4" spans="1:15" x14ac:dyDescent="0.25">
      <c r="A4" s="21" t="s">
        <v>110</v>
      </c>
      <c r="B4" s="23">
        <v>10</v>
      </c>
      <c r="C4" s="23">
        <v>7</v>
      </c>
      <c r="D4" s="24"/>
      <c r="E4" s="24">
        <f>(100/B4)*C4</f>
        <v>70</v>
      </c>
    </row>
    <row r="5" spans="1:15" x14ac:dyDescent="0.25">
      <c r="A5" s="21" t="s">
        <v>111</v>
      </c>
      <c r="B5" s="21" t="s">
        <v>112</v>
      </c>
      <c r="C5" s="21" t="s">
        <v>113</v>
      </c>
      <c r="E5" s="24">
        <f>(100/B6)*C6</f>
        <v>0</v>
      </c>
      <c r="I5" s="23" t="s">
        <v>114</v>
      </c>
      <c r="J5" s="23" t="s">
        <v>115</v>
      </c>
      <c r="K5" s="23" t="s">
        <v>116</v>
      </c>
      <c r="L5" s="23" t="s">
        <v>72</v>
      </c>
      <c r="M5" s="23" t="s">
        <v>73</v>
      </c>
      <c r="N5" s="23" t="s">
        <v>117</v>
      </c>
      <c r="O5" s="23" t="s">
        <v>74</v>
      </c>
    </row>
    <row r="6" spans="1:15" x14ac:dyDescent="0.25">
      <c r="B6" s="23">
        <f>C2+1</f>
        <v>8</v>
      </c>
      <c r="C6" s="23">
        <v>0</v>
      </c>
      <c r="E6" s="24">
        <f>(100/B8)*C8</f>
        <v>0</v>
      </c>
      <c r="F6" s="25" t="s">
        <v>118</v>
      </c>
      <c r="I6" s="25">
        <f>C4</f>
        <v>7</v>
      </c>
      <c r="J6" s="25">
        <f>40/B6*C6</f>
        <v>0</v>
      </c>
      <c r="K6" s="25">
        <f>15/B8*C8</f>
        <v>0</v>
      </c>
      <c r="L6" s="25">
        <f>10/B10*C10</f>
        <v>0</v>
      </c>
      <c r="M6" s="25">
        <f>10/B12*C12</f>
        <v>0</v>
      </c>
      <c r="N6" s="25">
        <f>5/B14*C14</f>
        <v>0</v>
      </c>
      <c r="O6" s="25">
        <f>5/B16*C16</f>
        <v>0</v>
      </c>
    </row>
    <row r="7" spans="1:15" x14ac:dyDescent="0.25">
      <c r="A7" s="21" t="s">
        <v>119</v>
      </c>
      <c r="B7" s="21" t="s">
        <v>120</v>
      </c>
      <c r="C7" s="21" t="s">
        <v>121</v>
      </c>
      <c r="E7" s="24">
        <f>(100/B10)*C10</f>
        <v>0</v>
      </c>
      <c r="F7" s="23" t="s">
        <v>122</v>
      </c>
      <c r="G7" s="23"/>
      <c r="H7" s="23"/>
      <c r="I7" s="23">
        <f>I6+20</f>
        <v>27</v>
      </c>
      <c r="J7" s="23">
        <f>30/B6*C6</f>
        <v>0</v>
      </c>
      <c r="K7" s="23">
        <f>15/B8*C8</f>
        <v>0</v>
      </c>
      <c r="L7" s="23">
        <f>10/B10*C10</f>
        <v>0</v>
      </c>
      <c r="M7" s="23">
        <f>5/B12*C12</f>
        <v>0</v>
      </c>
      <c r="N7" s="23">
        <f>5/B14*C14</f>
        <v>0</v>
      </c>
      <c r="O7" s="23">
        <f>5/B16*C16</f>
        <v>0</v>
      </c>
    </row>
    <row r="8" spans="1:15" x14ac:dyDescent="0.25">
      <c r="B8" s="23">
        <f>C2</f>
        <v>7</v>
      </c>
      <c r="C8" s="23">
        <v>0</v>
      </c>
      <c r="D8" s="24"/>
      <c r="E8" s="24">
        <f>(100/B12)*C12</f>
        <v>0</v>
      </c>
    </row>
    <row r="9" spans="1:15" x14ac:dyDescent="0.25">
      <c r="A9" s="21" t="s">
        <v>123</v>
      </c>
      <c r="B9" s="21" t="s">
        <v>120</v>
      </c>
      <c r="C9" s="21" t="s">
        <v>121</v>
      </c>
      <c r="E9" s="24">
        <f>(100/B14)*C14</f>
        <v>0</v>
      </c>
    </row>
    <row r="10" spans="1:15" x14ac:dyDescent="0.25">
      <c r="B10" s="23">
        <f>C2</f>
        <v>7</v>
      </c>
      <c r="C10" s="23">
        <v>0</v>
      </c>
      <c r="D10" s="24"/>
      <c r="E10" s="24">
        <f>(100/B16)*C16</f>
        <v>0</v>
      </c>
    </row>
    <row r="11" spans="1:15" x14ac:dyDescent="0.25">
      <c r="A11" s="21" t="s">
        <v>73</v>
      </c>
      <c r="B11" s="21" t="s">
        <v>120</v>
      </c>
      <c r="C11" s="21" t="s">
        <v>121</v>
      </c>
    </row>
    <row r="12" spans="1:15" x14ac:dyDescent="0.25">
      <c r="B12" s="23">
        <f>C2</f>
        <v>7</v>
      </c>
      <c r="C12" s="23">
        <v>0</v>
      </c>
      <c r="D12" s="24"/>
      <c r="F12" s="23"/>
      <c r="G12" s="23" t="s">
        <v>118</v>
      </c>
      <c r="H12" s="23" t="s">
        <v>124</v>
      </c>
      <c r="L12" s="24" t="s">
        <v>125</v>
      </c>
    </row>
    <row r="13" spans="1:15" ht="30" x14ac:dyDescent="0.25">
      <c r="A13" s="26" t="s">
        <v>117</v>
      </c>
      <c r="B13" s="21" t="s">
        <v>120</v>
      </c>
      <c r="C13" s="21" t="s">
        <v>121</v>
      </c>
      <c r="F13" s="23" t="s">
        <v>70</v>
      </c>
      <c r="G13" s="23">
        <f>I6</f>
        <v>7</v>
      </c>
      <c r="H13" s="23">
        <f>I7</f>
        <v>27</v>
      </c>
      <c r="L13" s="24" t="s">
        <v>125</v>
      </c>
    </row>
    <row r="14" spans="1:15" x14ac:dyDescent="0.25">
      <c r="B14" s="23">
        <f>C2</f>
        <v>7</v>
      </c>
      <c r="C14" s="23">
        <v>0</v>
      </c>
      <c r="D14" s="24"/>
      <c r="F14" s="23" t="s">
        <v>71</v>
      </c>
      <c r="G14" s="23">
        <f>J6</f>
        <v>0</v>
      </c>
      <c r="H14" s="23">
        <f>J7</f>
        <v>0</v>
      </c>
      <c r="L14" s="24"/>
    </row>
    <row r="15" spans="1:15" x14ac:dyDescent="0.25">
      <c r="A15" s="21" t="s">
        <v>74</v>
      </c>
      <c r="B15" s="21" t="s">
        <v>120</v>
      </c>
      <c r="C15" s="21" t="s">
        <v>121</v>
      </c>
      <c r="F15" s="23" t="s">
        <v>116</v>
      </c>
      <c r="G15" s="23">
        <f>K6</f>
        <v>0</v>
      </c>
      <c r="H15" s="23">
        <f>K7</f>
        <v>0</v>
      </c>
      <c r="L15" s="24"/>
    </row>
    <row r="16" spans="1:15" x14ac:dyDescent="0.25">
      <c r="B16" s="23">
        <f>C2</f>
        <v>7</v>
      </c>
      <c r="C16" s="23">
        <v>0</v>
      </c>
      <c r="D16" s="24"/>
      <c r="F16" s="23" t="s">
        <v>72</v>
      </c>
      <c r="G16" s="23">
        <f>L6</f>
        <v>0</v>
      </c>
      <c r="H16" s="23">
        <f>L7</f>
        <v>0</v>
      </c>
      <c r="L16" s="24"/>
    </row>
    <row r="17" spans="5:12" x14ac:dyDescent="0.25">
      <c r="F17" s="23" t="s">
        <v>73</v>
      </c>
      <c r="G17" s="23">
        <f>M6</f>
        <v>0</v>
      </c>
      <c r="H17" s="23">
        <f>M7</f>
        <v>0</v>
      </c>
      <c r="L17" s="24"/>
    </row>
    <row r="18" spans="5:12" ht="30" x14ac:dyDescent="0.25">
      <c r="F18" s="27" t="s">
        <v>117</v>
      </c>
      <c r="G18" s="23">
        <f>N6</f>
        <v>0</v>
      </c>
      <c r="H18" s="23">
        <f>N7</f>
        <v>0</v>
      </c>
      <c r="L18" s="24"/>
    </row>
    <row r="19" spans="5:12" x14ac:dyDescent="0.25">
      <c r="F19" s="23" t="s">
        <v>74</v>
      </c>
      <c r="G19" s="23">
        <f>O6</f>
        <v>0</v>
      </c>
      <c r="H19" s="23">
        <f>O7</f>
        <v>0</v>
      </c>
      <c r="L19" s="24"/>
    </row>
    <row r="20" spans="5:12" x14ac:dyDescent="0.25">
      <c r="F20" s="23" t="s">
        <v>126</v>
      </c>
      <c r="G20" s="23">
        <f>G13+G14+G15+G16+G17+G18+G19</f>
        <v>7</v>
      </c>
      <c r="H20" s="23">
        <f>H13+H14+H15+H16+H17+H18+H19</f>
        <v>27</v>
      </c>
      <c r="L20" s="24"/>
    </row>
    <row r="21" spans="5:12" x14ac:dyDescent="0.25">
      <c r="E21" s="2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5" sqref="C5"/>
    </sheetView>
  </sheetViews>
  <sheetFormatPr defaultRowHeight="15" x14ac:dyDescent="0.25"/>
  <cols>
    <col min="1" max="1" width="8.85546875" style="21"/>
    <col min="2" max="2" width="11.7109375" style="21" customWidth="1"/>
    <col min="3" max="257" width="8.85546875" style="21"/>
    <col min="258" max="258" width="11.7109375" style="21" customWidth="1"/>
    <col min="259" max="513" width="8.85546875" style="21"/>
    <col min="514" max="514" width="11.7109375" style="21" customWidth="1"/>
    <col min="515" max="769" width="8.85546875" style="21"/>
    <col min="770" max="770" width="11.7109375" style="21" customWidth="1"/>
    <col min="771" max="1025" width="8.85546875" style="21"/>
    <col min="1026" max="1026" width="11.7109375" style="21" customWidth="1"/>
    <col min="1027" max="1281" width="8.85546875" style="21"/>
    <col min="1282" max="1282" width="11.7109375" style="21" customWidth="1"/>
    <col min="1283" max="1537" width="8.85546875" style="21"/>
    <col min="1538" max="1538" width="11.7109375" style="21" customWidth="1"/>
    <col min="1539" max="1793" width="8.85546875" style="21"/>
    <col min="1794" max="1794" width="11.7109375" style="21" customWidth="1"/>
    <col min="1795" max="2049" width="8.85546875" style="21"/>
    <col min="2050" max="2050" width="11.7109375" style="21" customWidth="1"/>
    <col min="2051" max="2305" width="8.85546875" style="21"/>
    <col min="2306" max="2306" width="11.7109375" style="21" customWidth="1"/>
    <col min="2307" max="2561" width="8.85546875" style="21"/>
    <col min="2562" max="2562" width="11.7109375" style="21" customWidth="1"/>
    <col min="2563" max="2817" width="8.85546875" style="21"/>
    <col min="2818" max="2818" width="11.7109375" style="21" customWidth="1"/>
    <col min="2819" max="3073" width="8.85546875" style="21"/>
    <col min="3074" max="3074" width="11.7109375" style="21" customWidth="1"/>
    <col min="3075" max="3329" width="8.85546875" style="21"/>
    <col min="3330" max="3330" width="11.7109375" style="21" customWidth="1"/>
    <col min="3331" max="3585" width="8.85546875" style="21"/>
    <col min="3586" max="3586" width="11.7109375" style="21" customWidth="1"/>
    <col min="3587" max="3841" width="8.85546875" style="21"/>
    <col min="3842" max="3842" width="11.7109375" style="21" customWidth="1"/>
    <col min="3843" max="4097" width="8.85546875" style="21"/>
    <col min="4098" max="4098" width="11.7109375" style="21" customWidth="1"/>
    <col min="4099" max="4353" width="8.85546875" style="21"/>
    <col min="4354" max="4354" width="11.7109375" style="21" customWidth="1"/>
    <col min="4355" max="4609" width="8.85546875" style="21"/>
    <col min="4610" max="4610" width="11.7109375" style="21" customWidth="1"/>
    <col min="4611" max="4865" width="8.85546875" style="21"/>
    <col min="4866" max="4866" width="11.7109375" style="21" customWidth="1"/>
    <col min="4867" max="5121" width="8.85546875" style="21"/>
    <col min="5122" max="5122" width="11.7109375" style="21" customWidth="1"/>
    <col min="5123" max="5377" width="8.85546875" style="21"/>
    <col min="5378" max="5378" width="11.7109375" style="21" customWidth="1"/>
    <col min="5379" max="5633" width="8.85546875" style="21"/>
    <col min="5634" max="5634" width="11.7109375" style="21" customWidth="1"/>
    <col min="5635" max="5889" width="8.85546875" style="21"/>
    <col min="5890" max="5890" width="11.7109375" style="21" customWidth="1"/>
    <col min="5891" max="6145" width="8.85546875" style="21"/>
    <col min="6146" max="6146" width="11.7109375" style="21" customWidth="1"/>
    <col min="6147" max="6401" width="8.85546875" style="21"/>
    <col min="6402" max="6402" width="11.7109375" style="21" customWidth="1"/>
    <col min="6403" max="6657" width="8.85546875" style="21"/>
    <col min="6658" max="6658" width="11.7109375" style="21" customWidth="1"/>
    <col min="6659" max="6913" width="8.85546875" style="21"/>
    <col min="6914" max="6914" width="11.7109375" style="21" customWidth="1"/>
    <col min="6915" max="7169" width="8.85546875" style="21"/>
    <col min="7170" max="7170" width="11.7109375" style="21" customWidth="1"/>
    <col min="7171" max="7425" width="8.85546875" style="21"/>
    <col min="7426" max="7426" width="11.7109375" style="21" customWidth="1"/>
    <col min="7427" max="7681" width="8.85546875" style="21"/>
    <col min="7682" max="7682" width="11.7109375" style="21" customWidth="1"/>
    <col min="7683" max="7937" width="8.85546875" style="21"/>
    <col min="7938" max="7938" width="11.7109375" style="21" customWidth="1"/>
    <col min="7939" max="8193" width="8.85546875" style="21"/>
    <col min="8194" max="8194" width="11.7109375" style="21" customWidth="1"/>
    <col min="8195" max="8449" width="8.85546875" style="21"/>
    <col min="8450" max="8450" width="11.7109375" style="21" customWidth="1"/>
    <col min="8451" max="8705" width="8.85546875" style="21"/>
    <col min="8706" max="8706" width="11.7109375" style="21" customWidth="1"/>
    <col min="8707" max="8961" width="8.85546875" style="21"/>
    <col min="8962" max="8962" width="11.7109375" style="21" customWidth="1"/>
    <col min="8963" max="9217" width="8.85546875" style="21"/>
    <col min="9218" max="9218" width="11.7109375" style="21" customWidth="1"/>
    <col min="9219" max="9473" width="8.85546875" style="21"/>
    <col min="9474" max="9474" width="11.7109375" style="21" customWidth="1"/>
    <col min="9475" max="9729" width="8.85546875" style="21"/>
    <col min="9730" max="9730" width="11.7109375" style="21" customWidth="1"/>
    <col min="9731" max="9985" width="8.85546875" style="21"/>
    <col min="9986" max="9986" width="11.7109375" style="21" customWidth="1"/>
    <col min="9987" max="10241" width="8.85546875" style="21"/>
    <col min="10242" max="10242" width="11.7109375" style="21" customWidth="1"/>
    <col min="10243" max="10497" width="8.85546875" style="21"/>
    <col min="10498" max="10498" width="11.7109375" style="21" customWidth="1"/>
    <col min="10499" max="10753" width="8.85546875" style="21"/>
    <col min="10754" max="10754" width="11.7109375" style="21" customWidth="1"/>
    <col min="10755" max="11009" width="8.85546875" style="21"/>
    <col min="11010" max="11010" width="11.7109375" style="21" customWidth="1"/>
    <col min="11011" max="11265" width="8.85546875" style="21"/>
    <col min="11266" max="11266" width="11.7109375" style="21" customWidth="1"/>
    <col min="11267" max="11521" width="8.85546875" style="21"/>
    <col min="11522" max="11522" width="11.7109375" style="21" customWidth="1"/>
    <col min="11523" max="11777" width="8.85546875" style="21"/>
    <col min="11778" max="11778" width="11.7109375" style="21" customWidth="1"/>
    <col min="11779" max="12033" width="8.85546875" style="21"/>
    <col min="12034" max="12034" width="11.7109375" style="21" customWidth="1"/>
    <col min="12035" max="12289" width="8.85546875" style="21"/>
    <col min="12290" max="12290" width="11.7109375" style="21" customWidth="1"/>
    <col min="12291" max="12545" width="8.85546875" style="21"/>
    <col min="12546" max="12546" width="11.7109375" style="21" customWidth="1"/>
    <col min="12547" max="12801" width="8.85546875" style="21"/>
    <col min="12802" max="12802" width="11.7109375" style="21" customWidth="1"/>
    <col min="12803" max="13057" width="8.85546875" style="21"/>
    <col min="13058" max="13058" width="11.7109375" style="21" customWidth="1"/>
    <col min="13059" max="13313" width="8.85546875" style="21"/>
    <col min="13314" max="13314" width="11.7109375" style="21" customWidth="1"/>
    <col min="13315" max="13569" width="8.85546875" style="21"/>
    <col min="13570" max="13570" width="11.7109375" style="21" customWidth="1"/>
    <col min="13571" max="13825" width="8.85546875" style="21"/>
    <col min="13826" max="13826" width="11.7109375" style="21" customWidth="1"/>
    <col min="13827" max="14081" width="8.85546875" style="21"/>
    <col min="14082" max="14082" width="11.7109375" style="21" customWidth="1"/>
    <col min="14083" max="14337" width="8.85546875" style="21"/>
    <col min="14338" max="14338" width="11.7109375" style="21" customWidth="1"/>
    <col min="14339" max="14593" width="8.85546875" style="21"/>
    <col min="14594" max="14594" width="11.7109375" style="21" customWidth="1"/>
    <col min="14595" max="14849" width="8.85546875" style="21"/>
    <col min="14850" max="14850" width="11.7109375" style="21" customWidth="1"/>
    <col min="14851" max="15105" width="8.85546875" style="21"/>
    <col min="15106" max="15106" width="11.7109375" style="21" customWidth="1"/>
    <col min="15107" max="15361" width="8.85546875" style="21"/>
    <col min="15362" max="15362" width="11.7109375" style="21" customWidth="1"/>
    <col min="15363" max="15617" width="8.85546875" style="21"/>
    <col min="15618" max="15618" width="11.7109375" style="21" customWidth="1"/>
    <col min="15619" max="15873" width="8.85546875" style="21"/>
    <col min="15874" max="15874" width="11.7109375" style="21" customWidth="1"/>
    <col min="15875" max="16129" width="8.85546875" style="21"/>
    <col min="16130" max="16130" width="11.7109375" style="21" customWidth="1"/>
    <col min="16131" max="16384" width="8.85546875" style="21"/>
  </cols>
  <sheetData>
    <row r="2" spans="1:15" x14ac:dyDescent="0.25">
      <c r="A2" s="21" t="s">
        <v>106</v>
      </c>
      <c r="B2" s="22" t="s">
        <v>107</v>
      </c>
      <c r="C2" s="22">
        <v>7</v>
      </c>
    </row>
    <row r="3" spans="1:15" x14ac:dyDescent="0.25">
      <c r="B3" s="21" t="s">
        <v>108</v>
      </c>
      <c r="C3" s="21" t="s">
        <v>109</v>
      </c>
    </row>
    <row r="4" spans="1:15" x14ac:dyDescent="0.25">
      <c r="A4" s="21" t="s">
        <v>110</v>
      </c>
      <c r="B4" s="23">
        <v>10</v>
      </c>
      <c r="C4" s="23">
        <v>10</v>
      </c>
      <c r="D4" s="24"/>
      <c r="E4" s="24">
        <f>(100/B4)*C4</f>
        <v>100</v>
      </c>
    </row>
    <row r="5" spans="1:15" x14ac:dyDescent="0.25">
      <c r="A5" s="21" t="s">
        <v>111</v>
      </c>
      <c r="B5" s="21" t="s">
        <v>112</v>
      </c>
      <c r="C5" s="21" t="s">
        <v>113</v>
      </c>
      <c r="E5" s="24">
        <f>(100/B6)*C6</f>
        <v>0</v>
      </c>
      <c r="I5" s="23" t="s">
        <v>114</v>
      </c>
      <c r="J5" s="23" t="s">
        <v>115</v>
      </c>
      <c r="K5" s="23" t="s">
        <v>116</v>
      </c>
      <c r="L5" s="23" t="s">
        <v>72</v>
      </c>
      <c r="M5" s="23" t="s">
        <v>73</v>
      </c>
      <c r="N5" s="23" t="s">
        <v>117</v>
      </c>
      <c r="O5" s="23" t="s">
        <v>74</v>
      </c>
    </row>
    <row r="6" spans="1:15" x14ac:dyDescent="0.25">
      <c r="B6" s="23">
        <f>C2+1</f>
        <v>8</v>
      </c>
      <c r="C6" s="23">
        <v>0</v>
      </c>
      <c r="E6" s="24">
        <f>(100/B8)*C8</f>
        <v>0</v>
      </c>
      <c r="F6" s="25" t="s">
        <v>118</v>
      </c>
      <c r="I6" s="25">
        <f>C4</f>
        <v>10</v>
      </c>
      <c r="J6" s="25">
        <f>40/B6*C6</f>
        <v>0</v>
      </c>
      <c r="K6" s="25">
        <f>15/B8*C8</f>
        <v>0</v>
      </c>
      <c r="L6" s="25">
        <f>10/B10*C10</f>
        <v>0</v>
      </c>
      <c r="M6" s="25">
        <f>10/B12*C12</f>
        <v>0</v>
      </c>
      <c r="N6" s="25">
        <f>5/B14*C14</f>
        <v>0</v>
      </c>
      <c r="O6" s="25">
        <f>5/B16*C16</f>
        <v>0</v>
      </c>
    </row>
    <row r="7" spans="1:15" x14ac:dyDescent="0.25">
      <c r="A7" s="21" t="s">
        <v>119</v>
      </c>
      <c r="B7" s="21" t="s">
        <v>120</v>
      </c>
      <c r="C7" s="21" t="s">
        <v>121</v>
      </c>
      <c r="E7" s="24">
        <f>(100/B10)*C10</f>
        <v>0</v>
      </c>
      <c r="F7" s="23" t="s">
        <v>122</v>
      </c>
      <c r="G7" s="23"/>
      <c r="H7" s="23"/>
      <c r="I7" s="23">
        <f>I6+20</f>
        <v>30</v>
      </c>
      <c r="J7" s="23">
        <f>30/B6*C6</f>
        <v>0</v>
      </c>
      <c r="K7" s="23">
        <f>15/B8*C8</f>
        <v>0</v>
      </c>
      <c r="L7" s="23">
        <f>10/B10*C10</f>
        <v>0</v>
      </c>
      <c r="M7" s="23">
        <f>5/B12*C12</f>
        <v>0</v>
      </c>
      <c r="N7" s="23">
        <f>5/B14*C14</f>
        <v>0</v>
      </c>
      <c r="O7" s="23">
        <f>5/B16*C16</f>
        <v>0</v>
      </c>
    </row>
    <row r="8" spans="1:15" x14ac:dyDescent="0.25">
      <c r="B8" s="23">
        <f>C2</f>
        <v>7</v>
      </c>
      <c r="C8" s="23">
        <v>0</v>
      </c>
      <c r="D8" s="24"/>
      <c r="E8" s="24">
        <f>(100/B12)*C12</f>
        <v>0</v>
      </c>
    </row>
    <row r="9" spans="1:15" x14ac:dyDescent="0.25">
      <c r="A9" s="21" t="s">
        <v>123</v>
      </c>
      <c r="B9" s="21" t="s">
        <v>120</v>
      </c>
      <c r="C9" s="21" t="s">
        <v>121</v>
      </c>
      <c r="E9" s="24">
        <f>(100/B14)*C14</f>
        <v>0</v>
      </c>
    </row>
    <row r="10" spans="1:15" x14ac:dyDescent="0.25">
      <c r="B10" s="23">
        <f>C2</f>
        <v>7</v>
      </c>
      <c r="C10" s="23">
        <v>0</v>
      </c>
      <c r="D10" s="24"/>
      <c r="E10" s="24">
        <f>(100/B16)*C16</f>
        <v>0</v>
      </c>
    </row>
    <row r="11" spans="1:15" x14ac:dyDescent="0.25">
      <c r="A11" s="21" t="s">
        <v>73</v>
      </c>
      <c r="B11" s="21" t="s">
        <v>120</v>
      </c>
      <c r="C11" s="21" t="s">
        <v>121</v>
      </c>
    </row>
    <row r="12" spans="1:15" x14ac:dyDescent="0.25">
      <c r="B12" s="23">
        <f>C2</f>
        <v>7</v>
      </c>
      <c r="C12" s="23">
        <v>0</v>
      </c>
      <c r="D12" s="24"/>
      <c r="F12" s="23"/>
      <c r="G12" s="23" t="s">
        <v>118</v>
      </c>
      <c r="H12" s="23" t="s">
        <v>124</v>
      </c>
      <c r="L12" s="24" t="s">
        <v>125</v>
      </c>
    </row>
    <row r="13" spans="1:15" ht="30" x14ac:dyDescent="0.25">
      <c r="A13" s="26" t="s">
        <v>117</v>
      </c>
      <c r="B13" s="21" t="s">
        <v>120</v>
      </c>
      <c r="C13" s="21" t="s">
        <v>121</v>
      </c>
      <c r="F13" s="23" t="s">
        <v>70</v>
      </c>
      <c r="G13" s="23">
        <f>I6</f>
        <v>10</v>
      </c>
      <c r="H13" s="23">
        <f>I7</f>
        <v>30</v>
      </c>
      <c r="L13" s="24" t="s">
        <v>125</v>
      </c>
    </row>
    <row r="14" spans="1:15" x14ac:dyDescent="0.25">
      <c r="B14" s="23">
        <f>C2</f>
        <v>7</v>
      </c>
      <c r="C14" s="23">
        <v>0</v>
      </c>
      <c r="D14" s="24"/>
      <c r="F14" s="23" t="s">
        <v>71</v>
      </c>
      <c r="G14" s="23">
        <f>J6</f>
        <v>0</v>
      </c>
      <c r="H14" s="23">
        <f>J7</f>
        <v>0</v>
      </c>
      <c r="L14" s="24"/>
    </row>
    <row r="15" spans="1:15" x14ac:dyDescent="0.25">
      <c r="A15" s="21" t="s">
        <v>74</v>
      </c>
      <c r="B15" s="21" t="s">
        <v>120</v>
      </c>
      <c r="C15" s="21" t="s">
        <v>121</v>
      </c>
      <c r="F15" s="23" t="s">
        <v>116</v>
      </c>
      <c r="G15" s="23">
        <f>K6</f>
        <v>0</v>
      </c>
      <c r="H15" s="23">
        <f>K7</f>
        <v>0</v>
      </c>
      <c r="L15" s="24"/>
    </row>
    <row r="16" spans="1:15" x14ac:dyDescent="0.25">
      <c r="B16" s="23">
        <f>C2</f>
        <v>7</v>
      </c>
      <c r="C16" s="23">
        <v>0</v>
      </c>
      <c r="D16" s="24"/>
      <c r="F16" s="23" t="s">
        <v>72</v>
      </c>
      <c r="G16" s="23">
        <f>L6</f>
        <v>0</v>
      </c>
      <c r="H16" s="23">
        <f>L7</f>
        <v>0</v>
      </c>
      <c r="L16" s="24"/>
    </row>
    <row r="17" spans="5:12" x14ac:dyDescent="0.25">
      <c r="F17" s="23" t="s">
        <v>73</v>
      </c>
      <c r="G17" s="23">
        <f>M6</f>
        <v>0</v>
      </c>
      <c r="H17" s="23">
        <f>M7</f>
        <v>0</v>
      </c>
      <c r="L17" s="24"/>
    </row>
    <row r="18" spans="5:12" ht="30" x14ac:dyDescent="0.25">
      <c r="F18" s="27" t="s">
        <v>117</v>
      </c>
      <c r="G18" s="23">
        <f>N6</f>
        <v>0</v>
      </c>
      <c r="H18" s="23">
        <f>N7</f>
        <v>0</v>
      </c>
      <c r="L18" s="24"/>
    </row>
    <row r="19" spans="5:12" x14ac:dyDescent="0.25">
      <c r="F19" s="23" t="s">
        <v>74</v>
      </c>
      <c r="G19" s="23">
        <f>O6</f>
        <v>0</v>
      </c>
      <c r="H19" s="23">
        <f>O7</f>
        <v>0</v>
      </c>
      <c r="L19" s="24"/>
    </row>
    <row r="20" spans="5:12" x14ac:dyDescent="0.25">
      <c r="F20" s="23" t="s">
        <v>126</v>
      </c>
      <c r="G20" s="23">
        <f>G13+G14+G15+G16+G17+G18+G19</f>
        <v>10</v>
      </c>
      <c r="H20" s="23">
        <f>H13+H14+H15+H16+H17+H18+H19</f>
        <v>30</v>
      </c>
      <c r="L20" s="24"/>
    </row>
    <row r="21" spans="5:12" x14ac:dyDescent="0.25">
      <c r="E21" s="2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9" sqref="C9"/>
    </sheetView>
  </sheetViews>
  <sheetFormatPr defaultRowHeight="15" x14ac:dyDescent="0.25"/>
  <cols>
    <col min="1" max="1" width="8.85546875" style="21"/>
    <col min="2" max="2" width="11.7109375" style="21" customWidth="1"/>
    <col min="3" max="257" width="8.85546875" style="21"/>
    <col min="258" max="258" width="11.7109375" style="21" customWidth="1"/>
    <col min="259" max="513" width="8.85546875" style="21"/>
    <col min="514" max="514" width="11.7109375" style="21" customWidth="1"/>
    <col min="515" max="769" width="8.85546875" style="21"/>
    <col min="770" max="770" width="11.7109375" style="21" customWidth="1"/>
    <col min="771" max="1025" width="8.85546875" style="21"/>
    <col min="1026" max="1026" width="11.7109375" style="21" customWidth="1"/>
    <col min="1027" max="1281" width="8.85546875" style="21"/>
    <col min="1282" max="1282" width="11.7109375" style="21" customWidth="1"/>
    <col min="1283" max="1537" width="8.85546875" style="21"/>
    <col min="1538" max="1538" width="11.7109375" style="21" customWidth="1"/>
    <col min="1539" max="1793" width="8.85546875" style="21"/>
    <col min="1794" max="1794" width="11.7109375" style="21" customWidth="1"/>
    <col min="1795" max="2049" width="8.85546875" style="21"/>
    <col min="2050" max="2050" width="11.7109375" style="21" customWidth="1"/>
    <col min="2051" max="2305" width="8.85546875" style="21"/>
    <col min="2306" max="2306" width="11.7109375" style="21" customWidth="1"/>
    <col min="2307" max="2561" width="8.85546875" style="21"/>
    <col min="2562" max="2562" width="11.7109375" style="21" customWidth="1"/>
    <col min="2563" max="2817" width="8.85546875" style="21"/>
    <col min="2818" max="2818" width="11.7109375" style="21" customWidth="1"/>
    <col min="2819" max="3073" width="8.85546875" style="21"/>
    <col min="3074" max="3074" width="11.7109375" style="21" customWidth="1"/>
    <col min="3075" max="3329" width="8.85546875" style="21"/>
    <col min="3330" max="3330" width="11.7109375" style="21" customWidth="1"/>
    <col min="3331" max="3585" width="8.85546875" style="21"/>
    <col min="3586" max="3586" width="11.7109375" style="21" customWidth="1"/>
    <col min="3587" max="3841" width="8.85546875" style="21"/>
    <col min="3842" max="3842" width="11.7109375" style="21" customWidth="1"/>
    <col min="3843" max="4097" width="8.85546875" style="21"/>
    <col min="4098" max="4098" width="11.7109375" style="21" customWidth="1"/>
    <col min="4099" max="4353" width="8.85546875" style="21"/>
    <col min="4354" max="4354" width="11.7109375" style="21" customWidth="1"/>
    <col min="4355" max="4609" width="8.85546875" style="21"/>
    <col min="4610" max="4610" width="11.7109375" style="21" customWidth="1"/>
    <col min="4611" max="4865" width="8.85546875" style="21"/>
    <col min="4866" max="4866" width="11.7109375" style="21" customWidth="1"/>
    <col min="4867" max="5121" width="8.85546875" style="21"/>
    <col min="5122" max="5122" width="11.7109375" style="21" customWidth="1"/>
    <col min="5123" max="5377" width="8.85546875" style="21"/>
    <col min="5378" max="5378" width="11.7109375" style="21" customWidth="1"/>
    <col min="5379" max="5633" width="8.85546875" style="21"/>
    <col min="5634" max="5634" width="11.7109375" style="21" customWidth="1"/>
    <col min="5635" max="5889" width="8.85546875" style="21"/>
    <col min="5890" max="5890" width="11.7109375" style="21" customWidth="1"/>
    <col min="5891" max="6145" width="8.85546875" style="21"/>
    <col min="6146" max="6146" width="11.7109375" style="21" customWidth="1"/>
    <col min="6147" max="6401" width="8.85546875" style="21"/>
    <col min="6402" max="6402" width="11.7109375" style="21" customWidth="1"/>
    <col min="6403" max="6657" width="8.85546875" style="21"/>
    <col min="6658" max="6658" width="11.7109375" style="21" customWidth="1"/>
    <col min="6659" max="6913" width="8.85546875" style="21"/>
    <col min="6914" max="6914" width="11.7109375" style="21" customWidth="1"/>
    <col min="6915" max="7169" width="8.85546875" style="21"/>
    <col min="7170" max="7170" width="11.7109375" style="21" customWidth="1"/>
    <col min="7171" max="7425" width="8.85546875" style="21"/>
    <col min="7426" max="7426" width="11.7109375" style="21" customWidth="1"/>
    <col min="7427" max="7681" width="8.85546875" style="21"/>
    <col min="7682" max="7682" width="11.7109375" style="21" customWidth="1"/>
    <col min="7683" max="7937" width="8.85546875" style="21"/>
    <col min="7938" max="7938" width="11.7109375" style="21" customWidth="1"/>
    <col min="7939" max="8193" width="8.85546875" style="21"/>
    <col min="8194" max="8194" width="11.7109375" style="21" customWidth="1"/>
    <col min="8195" max="8449" width="8.85546875" style="21"/>
    <col min="8450" max="8450" width="11.7109375" style="21" customWidth="1"/>
    <col min="8451" max="8705" width="8.85546875" style="21"/>
    <col min="8706" max="8706" width="11.7109375" style="21" customWidth="1"/>
    <col min="8707" max="8961" width="8.85546875" style="21"/>
    <col min="8962" max="8962" width="11.7109375" style="21" customWidth="1"/>
    <col min="8963" max="9217" width="8.85546875" style="21"/>
    <col min="9218" max="9218" width="11.7109375" style="21" customWidth="1"/>
    <col min="9219" max="9473" width="8.85546875" style="21"/>
    <col min="9474" max="9474" width="11.7109375" style="21" customWidth="1"/>
    <col min="9475" max="9729" width="8.85546875" style="21"/>
    <col min="9730" max="9730" width="11.7109375" style="21" customWidth="1"/>
    <col min="9731" max="9985" width="8.85546875" style="21"/>
    <col min="9986" max="9986" width="11.7109375" style="21" customWidth="1"/>
    <col min="9987" max="10241" width="8.85546875" style="21"/>
    <col min="10242" max="10242" width="11.7109375" style="21" customWidth="1"/>
    <col min="10243" max="10497" width="8.85546875" style="21"/>
    <col min="10498" max="10498" width="11.7109375" style="21" customWidth="1"/>
    <col min="10499" max="10753" width="8.85546875" style="21"/>
    <col min="10754" max="10754" width="11.7109375" style="21" customWidth="1"/>
    <col min="10755" max="11009" width="8.85546875" style="21"/>
    <col min="11010" max="11010" width="11.7109375" style="21" customWidth="1"/>
    <col min="11011" max="11265" width="8.85546875" style="21"/>
    <col min="11266" max="11266" width="11.7109375" style="21" customWidth="1"/>
    <col min="11267" max="11521" width="8.85546875" style="21"/>
    <col min="11522" max="11522" width="11.7109375" style="21" customWidth="1"/>
    <col min="11523" max="11777" width="8.85546875" style="21"/>
    <col min="11778" max="11778" width="11.7109375" style="21" customWidth="1"/>
    <col min="11779" max="12033" width="8.85546875" style="21"/>
    <col min="12034" max="12034" width="11.7109375" style="21" customWidth="1"/>
    <col min="12035" max="12289" width="8.85546875" style="21"/>
    <col min="12290" max="12290" width="11.7109375" style="21" customWidth="1"/>
    <col min="12291" max="12545" width="8.85546875" style="21"/>
    <col min="12546" max="12546" width="11.7109375" style="21" customWidth="1"/>
    <col min="12547" max="12801" width="8.85546875" style="21"/>
    <col min="12802" max="12802" width="11.7109375" style="21" customWidth="1"/>
    <col min="12803" max="13057" width="8.85546875" style="21"/>
    <col min="13058" max="13058" width="11.7109375" style="21" customWidth="1"/>
    <col min="13059" max="13313" width="8.85546875" style="21"/>
    <col min="13314" max="13314" width="11.7109375" style="21" customWidth="1"/>
    <col min="13315" max="13569" width="8.85546875" style="21"/>
    <col min="13570" max="13570" width="11.7109375" style="21" customWidth="1"/>
    <col min="13571" max="13825" width="8.85546875" style="21"/>
    <col min="13826" max="13826" width="11.7109375" style="21" customWidth="1"/>
    <col min="13827" max="14081" width="8.85546875" style="21"/>
    <col min="14082" max="14082" width="11.7109375" style="21" customWidth="1"/>
    <col min="14083" max="14337" width="8.85546875" style="21"/>
    <col min="14338" max="14338" width="11.7109375" style="21" customWidth="1"/>
    <col min="14339" max="14593" width="8.85546875" style="21"/>
    <col min="14594" max="14594" width="11.7109375" style="21" customWidth="1"/>
    <col min="14595" max="14849" width="8.85546875" style="21"/>
    <col min="14850" max="14850" width="11.7109375" style="21" customWidth="1"/>
    <col min="14851" max="15105" width="8.85546875" style="21"/>
    <col min="15106" max="15106" width="11.7109375" style="21" customWidth="1"/>
    <col min="15107" max="15361" width="8.85546875" style="21"/>
    <col min="15362" max="15362" width="11.7109375" style="21" customWidth="1"/>
    <col min="15363" max="15617" width="8.85546875" style="21"/>
    <col min="15618" max="15618" width="11.7109375" style="21" customWidth="1"/>
    <col min="15619" max="15873" width="8.85546875" style="21"/>
    <col min="15874" max="15874" width="11.7109375" style="21" customWidth="1"/>
    <col min="15875" max="16129" width="8.85546875" style="21"/>
    <col min="16130" max="16130" width="11.7109375" style="21" customWidth="1"/>
    <col min="16131" max="16384" width="8.85546875" style="21"/>
  </cols>
  <sheetData>
    <row r="2" spans="1:15" x14ac:dyDescent="0.25">
      <c r="A2" s="21" t="s">
        <v>106</v>
      </c>
      <c r="B2" s="22" t="s">
        <v>107</v>
      </c>
      <c r="C2" s="22">
        <v>7</v>
      </c>
    </row>
    <row r="3" spans="1:15" x14ac:dyDescent="0.25">
      <c r="B3" s="21" t="s">
        <v>108</v>
      </c>
      <c r="C3" s="21" t="s">
        <v>109</v>
      </c>
    </row>
    <row r="4" spans="1:15" x14ac:dyDescent="0.25">
      <c r="A4" s="21" t="s">
        <v>110</v>
      </c>
      <c r="B4" s="23">
        <v>10</v>
      </c>
      <c r="C4" s="23">
        <v>10</v>
      </c>
      <c r="D4" s="24"/>
      <c r="E4" s="24">
        <f>(100/B4)*C4</f>
        <v>100</v>
      </c>
    </row>
    <row r="5" spans="1:15" x14ac:dyDescent="0.25">
      <c r="A5" s="21" t="s">
        <v>111</v>
      </c>
      <c r="B5" s="21" t="s">
        <v>112</v>
      </c>
      <c r="C5" s="21" t="s">
        <v>113</v>
      </c>
      <c r="E5" s="24">
        <f>(100/B6)*C6</f>
        <v>87.5</v>
      </c>
      <c r="I5" s="23" t="s">
        <v>114</v>
      </c>
      <c r="J5" s="23" t="s">
        <v>115</v>
      </c>
      <c r="K5" s="23" t="s">
        <v>116</v>
      </c>
      <c r="L5" s="23" t="s">
        <v>72</v>
      </c>
      <c r="M5" s="23" t="s">
        <v>73</v>
      </c>
      <c r="N5" s="23" t="s">
        <v>117</v>
      </c>
      <c r="O5" s="23" t="s">
        <v>74</v>
      </c>
    </row>
    <row r="6" spans="1:15" x14ac:dyDescent="0.25">
      <c r="B6" s="23">
        <f>C2+1</f>
        <v>8</v>
      </c>
      <c r="C6" s="23">
        <v>7</v>
      </c>
      <c r="E6" s="24">
        <f>(100/B8)*C8</f>
        <v>42.857142857142861</v>
      </c>
      <c r="F6" s="25" t="s">
        <v>118</v>
      </c>
      <c r="I6" s="25">
        <f>C4</f>
        <v>10</v>
      </c>
      <c r="J6" s="25">
        <f>40/B6*C6</f>
        <v>35</v>
      </c>
      <c r="K6" s="25">
        <f>15/B8*C8</f>
        <v>6.4285714285714288</v>
      </c>
      <c r="L6" s="25">
        <f>10/B10*C10</f>
        <v>0</v>
      </c>
      <c r="M6" s="25">
        <f>10/B12*C12</f>
        <v>0</v>
      </c>
      <c r="N6" s="25">
        <f>5/B14*C14</f>
        <v>0</v>
      </c>
      <c r="O6" s="25">
        <f>5/B16*C16</f>
        <v>0</v>
      </c>
    </row>
    <row r="7" spans="1:15" x14ac:dyDescent="0.25">
      <c r="A7" s="21" t="s">
        <v>119</v>
      </c>
      <c r="B7" s="21" t="s">
        <v>120</v>
      </c>
      <c r="C7" s="21" t="s">
        <v>121</v>
      </c>
      <c r="E7" s="24">
        <f>(100/B10)*C10</f>
        <v>0</v>
      </c>
      <c r="F7" s="23" t="s">
        <v>122</v>
      </c>
      <c r="G7" s="23"/>
      <c r="H7" s="23"/>
      <c r="I7" s="23">
        <f>I6+20</f>
        <v>30</v>
      </c>
      <c r="J7" s="23">
        <f>30/B6*C6</f>
        <v>26.25</v>
      </c>
      <c r="K7" s="23">
        <f>15/B8*C8</f>
        <v>6.4285714285714288</v>
      </c>
      <c r="L7" s="23">
        <f>10/B10*C10</f>
        <v>0</v>
      </c>
      <c r="M7" s="23">
        <f>5/B12*C12</f>
        <v>0</v>
      </c>
      <c r="N7" s="23">
        <f>5/B14*C14</f>
        <v>0</v>
      </c>
      <c r="O7" s="23">
        <f>5/B16*C16</f>
        <v>0</v>
      </c>
    </row>
    <row r="8" spans="1:15" x14ac:dyDescent="0.25">
      <c r="B8" s="23">
        <f>C2</f>
        <v>7</v>
      </c>
      <c r="C8" s="23">
        <v>3</v>
      </c>
      <c r="D8" s="24"/>
      <c r="E8" s="24">
        <f>(100/B12)*C12</f>
        <v>0</v>
      </c>
    </row>
    <row r="9" spans="1:15" x14ac:dyDescent="0.25">
      <c r="A9" s="21" t="s">
        <v>123</v>
      </c>
      <c r="B9" s="21" t="s">
        <v>120</v>
      </c>
      <c r="C9" s="21" t="s">
        <v>121</v>
      </c>
      <c r="E9" s="24">
        <f>(100/B14)*C14</f>
        <v>0</v>
      </c>
    </row>
    <row r="10" spans="1:15" x14ac:dyDescent="0.25">
      <c r="B10" s="23">
        <f>C2</f>
        <v>7</v>
      </c>
      <c r="C10" s="23">
        <v>0</v>
      </c>
      <c r="D10" s="24"/>
      <c r="E10" s="24">
        <f>(100/B16)*C16</f>
        <v>0</v>
      </c>
    </row>
    <row r="11" spans="1:15" x14ac:dyDescent="0.25">
      <c r="A11" s="21" t="s">
        <v>73</v>
      </c>
      <c r="B11" s="21" t="s">
        <v>120</v>
      </c>
      <c r="C11" s="21" t="s">
        <v>121</v>
      </c>
    </row>
    <row r="12" spans="1:15" x14ac:dyDescent="0.25">
      <c r="B12" s="23">
        <f>C2</f>
        <v>7</v>
      </c>
      <c r="C12" s="23">
        <v>0</v>
      </c>
      <c r="D12" s="24"/>
      <c r="F12" s="23"/>
      <c r="G12" s="23" t="s">
        <v>118</v>
      </c>
      <c r="H12" s="23" t="s">
        <v>124</v>
      </c>
      <c r="L12" s="24" t="s">
        <v>125</v>
      </c>
    </row>
    <row r="13" spans="1:15" ht="30" x14ac:dyDescent="0.25">
      <c r="A13" s="26" t="s">
        <v>117</v>
      </c>
      <c r="B13" s="21" t="s">
        <v>120</v>
      </c>
      <c r="C13" s="21" t="s">
        <v>121</v>
      </c>
      <c r="F13" s="23" t="s">
        <v>70</v>
      </c>
      <c r="G13" s="23">
        <f>I6</f>
        <v>10</v>
      </c>
      <c r="H13" s="23">
        <f>I7</f>
        <v>30</v>
      </c>
      <c r="L13" s="24" t="s">
        <v>125</v>
      </c>
    </row>
    <row r="14" spans="1:15" x14ac:dyDescent="0.25">
      <c r="B14" s="23">
        <f>C2</f>
        <v>7</v>
      </c>
      <c r="C14" s="23">
        <v>0</v>
      </c>
      <c r="D14" s="24"/>
      <c r="F14" s="23" t="s">
        <v>71</v>
      </c>
      <c r="G14" s="23">
        <f>J6</f>
        <v>35</v>
      </c>
      <c r="H14" s="23">
        <f>J7</f>
        <v>26.25</v>
      </c>
      <c r="L14" s="24"/>
    </row>
    <row r="15" spans="1:15" x14ac:dyDescent="0.25">
      <c r="A15" s="21" t="s">
        <v>74</v>
      </c>
      <c r="B15" s="21" t="s">
        <v>120</v>
      </c>
      <c r="C15" s="21" t="s">
        <v>121</v>
      </c>
      <c r="F15" s="23" t="s">
        <v>116</v>
      </c>
      <c r="G15" s="23">
        <f>K6</f>
        <v>6.4285714285714288</v>
      </c>
      <c r="H15" s="23">
        <f>K7</f>
        <v>6.4285714285714288</v>
      </c>
      <c r="L15" s="24"/>
    </row>
    <row r="16" spans="1:15" x14ac:dyDescent="0.25">
      <c r="B16" s="23">
        <f>C2</f>
        <v>7</v>
      </c>
      <c r="C16" s="23">
        <v>0</v>
      </c>
      <c r="D16" s="24"/>
      <c r="F16" s="23" t="s">
        <v>72</v>
      </c>
      <c r="G16" s="23">
        <f>L6</f>
        <v>0</v>
      </c>
      <c r="H16" s="23">
        <f>L7</f>
        <v>0</v>
      </c>
      <c r="L16" s="24"/>
    </row>
    <row r="17" spans="5:12" x14ac:dyDescent="0.25">
      <c r="F17" s="23" t="s">
        <v>73</v>
      </c>
      <c r="G17" s="23">
        <f>M6</f>
        <v>0</v>
      </c>
      <c r="H17" s="23">
        <f>M7</f>
        <v>0</v>
      </c>
      <c r="L17" s="24"/>
    </row>
    <row r="18" spans="5:12" ht="30" x14ac:dyDescent="0.25">
      <c r="F18" s="27" t="s">
        <v>117</v>
      </c>
      <c r="G18" s="23">
        <f>N6</f>
        <v>0</v>
      </c>
      <c r="H18" s="23">
        <f>N7</f>
        <v>0</v>
      </c>
      <c r="L18" s="24"/>
    </row>
    <row r="19" spans="5:12" x14ac:dyDescent="0.25">
      <c r="F19" s="23" t="s">
        <v>74</v>
      </c>
      <c r="G19" s="23">
        <f>O6</f>
        <v>0</v>
      </c>
      <c r="H19" s="23">
        <f>O7</f>
        <v>0</v>
      </c>
      <c r="L19" s="24"/>
    </row>
    <row r="20" spans="5:12" x14ac:dyDescent="0.25">
      <c r="F20" s="23" t="s">
        <v>126</v>
      </c>
      <c r="G20" s="23">
        <f>G13+G14+G15+G16+G17+G18+G19</f>
        <v>51.428571428571431</v>
      </c>
      <c r="H20" s="23">
        <f>H13+H14+H15+H16+H17+H18+H19</f>
        <v>62.678571428571431</v>
      </c>
      <c r="L20" s="24"/>
    </row>
    <row r="21" spans="5:12" x14ac:dyDescent="0.25">
      <c r="E21" s="2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11" sqref="C11"/>
    </sheetView>
  </sheetViews>
  <sheetFormatPr defaultRowHeight="15" x14ac:dyDescent="0.25"/>
  <cols>
    <col min="1" max="1" width="8.85546875" style="21"/>
    <col min="2" max="2" width="11.7109375" style="21" customWidth="1"/>
    <col min="3" max="257" width="8.85546875" style="21"/>
    <col min="258" max="258" width="11.7109375" style="21" customWidth="1"/>
    <col min="259" max="513" width="8.85546875" style="21"/>
    <col min="514" max="514" width="11.7109375" style="21" customWidth="1"/>
    <col min="515" max="769" width="8.85546875" style="21"/>
    <col min="770" max="770" width="11.7109375" style="21" customWidth="1"/>
    <col min="771" max="1025" width="8.85546875" style="21"/>
    <col min="1026" max="1026" width="11.7109375" style="21" customWidth="1"/>
    <col min="1027" max="1281" width="8.85546875" style="21"/>
    <col min="1282" max="1282" width="11.7109375" style="21" customWidth="1"/>
    <col min="1283" max="1537" width="8.85546875" style="21"/>
    <col min="1538" max="1538" width="11.7109375" style="21" customWidth="1"/>
    <col min="1539" max="1793" width="8.85546875" style="21"/>
    <col min="1794" max="1794" width="11.7109375" style="21" customWidth="1"/>
    <col min="1795" max="2049" width="8.85546875" style="21"/>
    <col min="2050" max="2050" width="11.7109375" style="21" customWidth="1"/>
    <col min="2051" max="2305" width="8.85546875" style="21"/>
    <col min="2306" max="2306" width="11.7109375" style="21" customWidth="1"/>
    <col min="2307" max="2561" width="8.85546875" style="21"/>
    <col min="2562" max="2562" width="11.7109375" style="21" customWidth="1"/>
    <col min="2563" max="2817" width="8.85546875" style="21"/>
    <col min="2818" max="2818" width="11.7109375" style="21" customWidth="1"/>
    <col min="2819" max="3073" width="8.85546875" style="21"/>
    <col min="3074" max="3074" width="11.7109375" style="21" customWidth="1"/>
    <col min="3075" max="3329" width="8.85546875" style="21"/>
    <col min="3330" max="3330" width="11.7109375" style="21" customWidth="1"/>
    <col min="3331" max="3585" width="8.85546875" style="21"/>
    <col min="3586" max="3586" width="11.7109375" style="21" customWidth="1"/>
    <col min="3587" max="3841" width="8.85546875" style="21"/>
    <col min="3842" max="3842" width="11.7109375" style="21" customWidth="1"/>
    <col min="3843" max="4097" width="8.85546875" style="21"/>
    <col min="4098" max="4098" width="11.7109375" style="21" customWidth="1"/>
    <col min="4099" max="4353" width="8.85546875" style="21"/>
    <col min="4354" max="4354" width="11.7109375" style="21" customWidth="1"/>
    <col min="4355" max="4609" width="8.85546875" style="21"/>
    <col min="4610" max="4610" width="11.7109375" style="21" customWidth="1"/>
    <col min="4611" max="4865" width="8.85546875" style="21"/>
    <col min="4866" max="4866" width="11.7109375" style="21" customWidth="1"/>
    <col min="4867" max="5121" width="8.85546875" style="21"/>
    <col min="5122" max="5122" width="11.7109375" style="21" customWidth="1"/>
    <col min="5123" max="5377" width="8.85546875" style="21"/>
    <col min="5378" max="5378" width="11.7109375" style="21" customWidth="1"/>
    <col min="5379" max="5633" width="8.85546875" style="21"/>
    <col min="5634" max="5634" width="11.7109375" style="21" customWidth="1"/>
    <col min="5635" max="5889" width="8.85546875" style="21"/>
    <col min="5890" max="5890" width="11.7109375" style="21" customWidth="1"/>
    <col min="5891" max="6145" width="8.85546875" style="21"/>
    <col min="6146" max="6146" width="11.7109375" style="21" customWidth="1"/>
    <col min="6147" max="6401" width="8.85546875" style="21"/>
    <col min="6402" max="6402" width="11.7109375" style="21" customWidth="1"/>
    <col min="6403" max="6657" width="8.85546875" style="21"/>
    <col min="6658" max="6658" width="11.7109375" style="21" customWidth="1"/>
    <col min="6659" max="6913" width="8.85546875" style="21"/>
    <col min="6914" max="6914" width="11.7109375" style="21" customWidth="1"/>
    <col min="6915" max="7169" width="8.85546875" style="21"/>
    <col min="7170" max="7170" width="11.7109375" style="21" customWidth="1"/>
    <col min="7171" max="7425" width="8.85546875" style="21"/>
    <col min="7426" max="7426" width="11.7109375" style="21" customWidth="1"/>
    <col min="7427" max="7681" width="8.85546875" style="21"/>
    <col min="7682" max="7682" width="11.7109375" style="21" customWidth="1"/>
    <col min="7683" max="7937" width="8.85546875" style="21"/>
    <col min="7938" max="7938" width="11.7109375" style="21" customWidth="1"/>
    <col min="7939" max="8193" width="8.85546875" style="21"/>
    <col min="8194" max="8194" width="11.7109375" style="21" customWidth="1"/>
    <col min="8195" max="8449" width="8.85546875" style="21"/>
    <col min="8450" max="8450" width="11.7109375" style="21" customWidth="1"/>
    <col min="8451" max="8705" width="8.85546875" style="21"/>
    <col min="8706" max="8706" width="11.7109375" style="21" customWidth="1"/>
    <col min="8707" max="8961" width="8.85546875" style="21"/>
    <col min="8962" max="8962" width="11.7109375" style="21" customWidth="1"/>
    <col min="8963" max="9217" width="8.85546875" style="21"/>
    <col min="9218" max="9218" width="11.7109375" style="21" customWidth="1"/>
    <col min="9219" max="9473" width="8.85546875" style="21"/>
    <col min="9474" max="9474" width="11.7109375" style="21" customWidth="1"/>
    <col min="9475" max="9729" width="8.85546875" style="21"/>
    <col min="9730" max="9730" width="11.7109375" style="21" customWidth="1"/>
    <col min="9731" max="9985" width="8.85546875" style="21"/>
    <col min="9986" max="9986" width="11.7109375" style="21" customWidth="1"/>
    <col min="9987" max="10241" width="8.85546875" style="21"/>
    <col min="10242" max="10242" width="11.7109375" style="21" customWidth="1"/>
    <col min="10243" max="10497" width="8.85546875" style="21"/>
    <col min="10498" max="10498" width="11.7109375" style="21" customWidth="1"/>
    <col min="10499" max="10753" width="8.85546875" style="21"/>
    <col min="10754" max="10754" width="11.7109375" style="21" customWidth="1"/>
    <col min="10755" max="11009" width="8.85546875" style="21"/>
    <col min="11010" max="11010" width="11.7109375" style="21" customWidth="1"/>
    <col min="11011" max="11265" width="8.85546875" style="21"/>
    <col min="11266" max="11266" width="11.7109375" style="21" customWidth="1"/>
    <col min="11267" max="11521" width="8.85546875" style="21"/>
    <col min="11522" max="11522" width="11.7109375" style="21" customWidth="1"/>
    <col min="11523" max="11777" width="8.85546875" style="21"/>
    <col min="11778" max="11778" width="11.7109375" style="21" customWidth="1"/>
    <col min="11779" max="12033" width="8.85546875" style="21"/>
    <col min="12034" max="12034" width="11.7109375" style="21" customWidth="1"/>
    <col min="12035" max="12289" width="8.85546875" style="21"/>
    <col min="12290" max="12290" width="11.7109375" style="21" customWidth="1"/>
    <col min="12291" max="12545" width="8.85546875" style="21"/>
    <col min="12546" max="12546" width="11.7109375" style="21" customWidth="1"/>
    <col min="12547" max="12801" width="8.85546875" style="21"/>
    <col min="12802" max="12802" width="11.7109375" style="21" customWidth="1"/>
    <col min="12803" max="13057" width="8.85546875" style="21"/>
    <col min="13058" max="13058" width="11.7109375" style="21" customWidth="1"/>
    <col min="13059" max="13313" width="8.85546875" style="21"/>
    <col min="13314" max="13314" width="11.7109375" style="21" customWidth="1"/>
    <col min="13315" max="13569" width="8.85546875" style="21"/>
    <col min="13570" max="13570" width="11.7109375" style="21" customWidth="1"/>
    <col min="13571" max="13825" width="8.85546875" style="21"/>
    <col min="13826" max="13826" width="11.7109375" style="21" customWidth="1"/>
    <col min="13827" max="14081" width="8.85546875" style="21"/>
    <col min="14082" max="14082" width="11.7109375" style="21" customWidth="1"/>
    <col min="14083" max="14337" width="8.85546875" style="21"/>
    <col min="14338" max="14338" width="11.7109375" style="21" customWidth="1"/>
    <col min="14339" max="14593" width="8.85546875" style="21"/>
    <col min="14594" max="14594" width="11.7109375" style="21" customWidth="1"/>
    <col min="14595" max="14849" width="8.85546875" style="21"/>
    <col min="14850" max="14850" width="11.7109375" style="21" customWidth="1"/>
    <col min="14851" max="15105" width="8.85546875" style="21"/>
    <col min="15106" max="15106" width="11.7109375" style="21" customWidth="1"/>
    <col min="15107" max="15361" width="8.85546875" style="21"/>
    <col min="15362" max="15362" width="11.7109375" style="21" customWidth="1"/>
    <col min="15363" max="15617" width="8.85546875" style="21"/>
    <col min="15618" max="15618" width="11.7109375" style="21" customWidth="1"/>
    <col min="15619" max="15873" width="8.85546875" style="21"/>
    <col min="15874" max="15874" width="11.7109375" style="21" customWidth="1"/>
    <col min="15875" max="16129" width="8.85546875" style="21"/>
    <col min="16130" max="16130" width="11.7109375" style="21" customWidth="1"/>
    <col min="16131" max="16384" width="8.85546875" style="21"/>
  </cols>
  <sheetData>
    <row r="2" spans="1:15" x14ac:dyDescent="0.25">
      <c r="A2" s="21" t="s">
        <v>106</v>
      </c>
      <c r="B2" s="22" t="s">
        <v>107</v>
      </c>
      <c r="C2" s="22">
        <v>7</v>
      </c>
    </row>
    <row r="3" spans="1:15" x14ac:dyDescent="0.25">
      <c r="B3" s="21" t="s">
        <v>108</v>
      </c>
      <c r="C3" s="21" t="s">
        <v>109</v>
      </c>
    </row>
    <row r="4" spans="1:15" x14ac:dyDescent="0.25">
      <c r="A4" s="21" t="s">
        <v>110</v>
      </c>
      <c r="B4" s="23">
        <v>10</v>
      </c>
      <c r="C4" s="23">
        <v>10</v>
      </c>
      <c r="D4" s="24"/>
      <c r="E4" s="24">
        <f>(100/B4)*C4</f>
        <v>100</v>
      </c>
    </row>
    <row r="5" spans="1:15" x14ac:dyDescent="0.25">
      <c r="A5" s="21" t="s">
        <v>111</v>
      </c>
      <c r="B5" s="21" t="s">
        <v>112</v>
      </c>
      <c r="C5" s="21" t="s">
        <v>113</v>
      </c>
      <c r="E5" s="24">
        <f>(100/B6)*C6</f>
        <v>100</v>
      </c>
      <c r="I5" s="23" t="s">
        <v>114</v>
      </c>
      <c r="J5" s="23" t="s">
        <v>115</v>
      </c>
      <c r="K5" s="23" t="s">
        <v>116</v>
      </c>
      <c r="L5" s="23" t="s">
        <v>72</v>
      </c>
      <c r="M5" s="23" t="s">
        <v>73</v>
      </c>
      <c r="N5" s="23" t="s">
        <v>117</v>
      </c>
      <c r="O5" s="23" t="s">
        <v>74</v>
      </c>
    </row>
    <row r="6" spans="1:15" x14ac:dyDescent="0.25">
      <c r="B6" s="23">
        <f>C2+1</f>
        <v>8</v>
      </c>
      <c r="C6" s="23">
        <v>8</v>
      </c>
      <c r="E6" s="24">
        <f>(100/B8)*C8</f>
        <v>85.714285714285722</v>
      </c>
      <c r="F6" s="25" t="s">
        <v>118</v>
      </c>
      <c r="I6" s="25">
        <f>C4</f>
        <v>10</v>
      </c>
      <c r="J6" s="25">
        <f>40/B6*C6</f>
        <v>40</v>
      </c>
      <c r="K6" s="25">
        <f>15/B8*C8</f>
        <v>12.857142857142858</v>
      </c>
      <c r="L6" s="25">
        <f>10/B10*C10</f>
        <v>1.4285714285714286</v>
      </c>
      <c r="M6" s="25">
        <f>10/B12*C12</f>
        <v>0</v>
      </c>
      <c r="N6" s="25">
        <f>5/B14*C14</f>
        <v>0</v>
      </c>
      <c r="O6" s="25">
        <f>5/B16*C16</f>
        <v>0</v>
      </c>
    </row>
    <row r="7" spans="1:15" x14ac:dyDescent="0.25">
      <c r="A7" s="21" t="s">
        <v>119</v>
      </c>
      <c r="B7" s="21" t="s">
        <v>120</v>
      </c>
      <c r="C7" s="21" t="s">
        <v>121</v>
      </c>
      <c r="E7" s="24">
        <f>(100/B10)*C10</f>
        <v>14.285714285714286</v>
      </c>
      <c r="F7" s="23" t="s">
        <v>122</v>
      </c>
      <c r="G7" s="23"/>
      <c r="H7" s="23"/>
      <c r="I7" s="23">
        <f>I6+20</f>
        <v>30</v>
      </c>
      <c r="J7" s="23">
        <f>30/B6*C6</f>
        <v>30</v>
      </c>
      <c r="K7" s="23">
        <f>15/B8*C8</f>
        <v>12.857142857142858</v>
      </c>
      <c r="L7" s="23">
        <f>10/B10*C10</f>
        <v>1.4285714285714286</v>
      </c>
      <c r="M7" s="23">
        <f>5/B12*C12</f>
        <v>0</v>
      </c>
      <c r="N7" s="23">
        <f>5/B14*C14</f>
        <v>0</v>
      </c>
      <c r="O7" s="23">
        <f>5/B16*C16</f>
        <v>0</v>
      </c>
    </row>
    <row r="8" spans="1:15" x14ac:dyDescent="0.25">
      <c r="B8" s="23">
        <f>C2</f>
        <v>7</v>
      </c>
      <c r="C8" s="23">
        <v>6</v>
      </c>
      <c r="D8" s="24"/>
      <c r="E8" s="24">
        <f>(100/B12)*C12</f>
        <v>0</v>
      </c>
    </row>
    <row r="9" spans="1:15" x14ac:dyDescent="0.25">
      <c r="A9" s="21" t="s">
        <v>123</v>
      </c>
      <c r="B9" s="21" t="s">
        <v>120</v>
      </c>
      <c r="C9" s="21" t="s">
        <v>121</v>
      </c>
      <c r="E9" s="24">
        <f>(100/B14)*C14</f>
        <v>0</v>
      </c>
    </row>
    <row r="10" spans="1:15" x14ac:dyDescent="0.25">
      <c r="B10" s="23">
        <f>C2</f>
        <v>7</v>
      </c>
      <c r="C10" s="23">
        <v>1</v>
      </c>
      <c r="D10" s="24"/>
      <c r="E10" s="24">
        <f>(100/B16)*C16</f>
        <v>0</v>
      </c>
    </row>
    <row r="11" spans="1:15" x14ac:dyDescent="0.25">
      <c r="A11" s="21" t="s">
        <v>73</v>
      </c>
      <c r="B11" s="21" t="s">
        <v>120</v>
      </c>
      <c r="C11" s="21" t="s">
        <v>121</v>
      </c>
    </row>
    <row r="12" spans="1:15" x14ac:dyDescent="0.25">
      <c r="B12" s="23">
        <f>C2</f>
        <v>7</v>
      </c>
      <c r="C12" s="23">
        <v>0</v>
      </c>
      <c r="D12" s="24"/>
      <c r="F12" s="23"/>
      <c r="G12" s="23" t="s">
        <v>118</v>
      </c>
      <c r="H12" s="23" t="s">
        <v>124</v>
      </c>
      <c r="L12" s="24" t="s">
        <v>125</v>
      </c>
    </row>
    <row r="13" spans="1:15" ht="30" x14ac:dyDescent="0.25">
      <c r="A13" s="26" t="s">
        <v>117</v>
      </c>
      <c r="B13" s="21" t="s">
        <v>120</v>
      </c>
      <c r="C13" s="21" t="s">
        <v>121</v>
      </c>
      <c r="F13" s="23" t="s">
        <v>70</v>
      </c>
      <c r="G13" s="23">
        <f>I6</f>
        <v>10</v>
      </c>
      <c r="H13" s="23">
        <f>I7</f>
        <v>30</v>
      </c>
      <c r="L13" s="24" t="s">
        <v>125</v>
      </c>
    </row>
    <row r="14" spans="1:15" x14ac:dyDescent="0.25">
      <c r="B14" s="23">
        <f>C2</f>
        <v>7</v>
      </c>
      <c r="C14" s="23">
        <v>0</v>
      </c>
      <c r="D14" s="24"/>
      <c r="F14" s="23" t="s">
        <v>71</v>
      </c>
      <c r="G14" s="23">
        <f>J6</f>
        <v>40</v>
      </c>
      <c r="H14" s="23">
        <f>J7</f>
        <v>30</v>
      </c>
      <c r="L14" s="24"/>
    </row>
    <row r="15" spans="1:15" x14ac:dyDescent="0.25">
      <c r="A15" s="21" t="s">
        <v>74</v>
      </c>
      <c r="B15" s="21" t="s">
        <v>120</v>
      </c>
      <c r="C15" s="21" t="s">
        <v>121</v>
      </c>
      <c r="F15" s="23" t="s">
        <v>116</v>
      </c>
      <c r="G15" s="23">
        <f>K6</f>
        <v>12.857142857142858</v>
      </c>
      <c r="H15" s="23">
        <f>K7</f>
        <v>12.857142857142858</v>
      </c>
      <c r="L15" s="24"/>
    </row>
    <row r="16" spans="1:15" x14ac:dyDescent="0.25">
      <c r="B16" s="23">
        <f>C2</f>
        <v>7</v>
      </c>
      <c r="C16" s="23">
        <v>0</v>
      </c>
      <c r="D16" s="24"/>
      <c r="F16" s="23" t="s">
        <v>72</v>
      </c>
      <c r="G16" s="23">
        <f>L6</f>
        <v>1.4285714285714286</v>
      </c>
      <c r="H16" s="23">
        <f>L7</f>
        <v>1.4285714285714286</v>
      </c>
      <c r="L16" s="24"/>
    </row>
    <row r="17" spans="5:12" x14ac:dyDescent="0.25">
      <c r="F17" s="23" t="s">
        <v>73</v>
      </c>
      <c r="G17" s="23">
        <f>M6</f>
        <v>0</v>
      </c>
      <c r="H17" s="23">
        <f>M7</f>
        <v>0</v>
      </c>
      <c r="L17" s="24"/>
    </row>
    <row r="18" spans="5:12" ht="30" x14ac:dyDescent="0.25">
      <c r="F18" s="27" t="s">
        <v>117</v>
      </c>
      <c r="G18" s="23">
        <f>N6</f>
        <v>0</v>
      </c>
      <c r="H18" s="23">
        <f>N7</f>
        <v>0</v>
      </c>
      <c r="L18" s="24"/>
    </row>
    <row r="19" spans="5:12" x14ac:dyDescent="0.25">
      <c r="F19" s="23" t="s">
        <v>74</v>
      </c>
      <c r="G19" s="23">
        <f>O6</f>
        <v>0</v>
      </c>
      <c r="H19" s="23">
        <f>O7</f>
        <v>0</v>
      </c>
      <c r="L19" s="24"/>
    </row>
    <row r="20" spans="5:12" x14ac:dyDescent="0.25">
      <c r="F20" s="23" t="s">
        <v>126</v>
      </c>
      <c r="G20" s="23">
        <f>G13+G14+G15+G16+G17+G18+G19</f>
        <v>64.285714285714292</v>
      </c>
      <c r="H20" s="23">
        <f>H13+H14+H15+H16+H17+H18+H19</f>
        <v>74.285714285714292</v>
      </c>
      <c r="L20" s="24"/>
    </row>
    <row r="21" spans="5:12" x14ac:dyDescent="0.25">
      <c r="E21" s="2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9" sqref="C9"/>
    </sheetView>
  </sheetViews>
  <sheetFormatPr defaultRowHeight="15" x14ac:dyDescent="0.25"/>
  <cols>
    <col min="1" max="1" width="8.85546875" style="21"/>
    <col min="2" max="2" width="11.7109375" style="21" customWidth="1"/>
    <col min="3" max="257" width="8.85546875" style="21"/>
    <col min="258" max="258" width="11.7109375" style="21" customWidth="1"/>
    <col min="259" max="513" width="8.85546875" style="21"/>
    <col min="514" max="514" width="11.7109375" style="21" customWidth="1"/>
    <col min="515" max="769" width="8.85546875" style="21"/>
    <col min="770" max="770" width="11.7109375" style="21" customWidth="1"/>
    <col min="771" max="1025" width="8.85546875" style="21"/>
    <col min="1026" max="1026" width="11.7109375" style="21" customWidth="1"/>
    <col min="1027" max="1281" width="8.85546875" style="21"/>
    <col min="1282" max="1282" width="11.7109375" style="21" customWidth="1"/>
    <col min="1283" max="1537" width="8.85546875" style="21"/>
    <col min="1538" max="1538" width="11.7109375" style="21" customWidth="1"/>
    <col min="1539" max="1793" width="8.85546875" style="21"/>
    <col min="1794" max="1794" width="11.7109375" style="21" customWidth="1"/>
    <col min="1795" max="2049" width="8.85546875" style="21"/>
    <col min="2050" max="2050" width="11.7109375" style="21" customWidth="1"/>
    <col min="2051" max="2305" width="8.85546875" style="21"/>
    <col min="2306" max="2306" width="11.7109375" style="21" customWidth="1"/>
    <col min="2307" max="2561" width="8.85546875" style="21"/>
    <col min="2562" max="2562" width="11.7109375" style="21" customWidth="1"/>
    <col min="2563" max="2817" width="8.85546875" style="21"/>
    <col min="2818" max="2818" width="11.7109375" style="21" customWidth="1"/>
    <col min="2819" max="3073" width="8.85546875" style="21"/>
    <col min="3074" max="3074" width="11.7109375" style="21" customWidth="1"/>
    <col min="3075" max="3329" width="8.85546875" style="21"/>
    <col min="3330" max="3330" width="11.7109375" style="21" customWidth="1"/>
    <col min="3331" max="3585" width="8.85546875" style="21"/>
    <col min="3586" max="3586" width="11.7109375" style="21" customWidth="1"/>
    <col min="3587" max="3841" width="8.85546875" style="21"/>
    <col min="3842" max="3842" width="11.7109375" style="21" customWidth="1"/>
    <col min="3843" max="4097" width="8.85546875" style="21"/>
    <col min="4098" max="4098" width="11.7109375" style="21" customWidth="1"/>
    <col min="4099" max="4353" width="8.85546875" style="21"/>
    <col min="4354" max="4354" width="11.7109375" style="21" customWidth="1"/>
    <col min="4355" max="4609" width="8.85546875" style="21"/>
    <col min="4610" max="4610" width="11.7109375" style="21" customWidth="1"/>
    <col min="4611" max="4865" width="8.85546875" style="21"/>
    <col min="4866" max="4866" width="11.7109375" style="21" customWidth="1"/>
    <col min="4867" max="5121" width="8.85546875" style="21"/>
    <col min="5122" max="5122" width="11.7109375" style="21" customWidth="1"/>
    <col min="5123" max="5377" width="8.85546875" style="21"/>
    <col min="5378" max="5378" width="11.7109375" style="21" customWidth="1"/>
    <col min="5379" max="5633" width="8.85546875" style="21"/>
    <col min="5634" max="5634" width="11.7109375" style="21" customWidth="1"/>
    <col min="5635" max="5889" width="8.85546875" style="21"/>
    <col min="5890" max="5890" width="11.7109375" style="21" customWidth="1"/>
    <col min="5891" max="6145" width="8.85546875" style="21"/>
    <col min="6146" max="6146" width="11.7109375" style="21" customWidth="1"/>
    <col min="6147" max="6401" width="8.85546875" style="21"/>
    <col min="6402" max="6402" width="11.7109375" style="21" customWidth="1"/>
    <col min="6403" max="6657" width="8.85546875" style="21"/>
    <col min="6658" max="6658" width="11.7109375" style="21" customWidth="1"/>
    <col min="6659" max="6913" width="8.85546875" style="21"/>
    <col min="6914" max="6914" width="11.7109375" style="21" customWidth="1"/>
    <col min="6915" max="7169" width="8.85546875" style="21"/>
    <col min="7170" max="7170" width="11.7109375" style="21" customWidth="1"/>
    <col min="7171" max="7425" width="8.85546875" style="21"/>
    <col min="7426" max="7426" width="11.7109375" style="21" customWidth="1"/>
    <col min="7427" max="7681" width="8.85546875" style="21"/>
    <col min="7682" max="7682" width="11.7109375" style="21" customWidth="1"/>
    <col min="7683" max="7937" width="8.85546875" style="21"/>
    <col min="7938" max="7938" width="11.7109375" style="21" customWidth="1"/>
    <col min="7939" max="8193" width="8.85546875" style="21"/>
    <col min="8194" max="8194" width="11.7109375" style="21" customWidth="1"/>
    <col min="8195" max="8449" width="8.85546875" style="21"/>
    <col min="8450" max="8450" width="11.7109375" style="21" customWidth="1"/>
    <col min="8451" max="8705" width="8.85546875" style="21"/>
    <col min="8706" max="8706" width="11.7109375" style="21" customWidth="1"/>
    <col min="8707" max="8961" width="8.85546875" style="21"/>
    <col min="8962" max="8962" width="11.7109375" style="21" customWidth="1"/>
    <col min="8963" max="9217" width="8.85546875" style="21"/>
    <col min="9218" max="9218" width="11.7109375" style="21" customWidth="1"/>
    <col min="9219" max="9473" width="8.85546875" style="21"/>
    <col min="9474" max="9474" width="11.7109375" style="21" customWidth="1"/>
    <col min="9475" max="9729" width="8.85546875" style="21"/>
    <col min="9730" max="9730" width="11.7109375" style="21" customWidth="1"/>
    <col min="9731" max="9985" width="8.85546875" style="21"/>
    <col min="9986" max="9986" width="11.7109375" style="21" customWidth="1"/>
    <col min="9987" max="10241" width="8.85546875" style="21"/>
    <col min="10242" max="10242" width="11.7109375" style="21" customWidth="1"/>
    <col min="10243" max="10497" width="8.85546875" style="21"/>
    <col min="10498" max="10498" width="11.7109375" style="21" customWidth="1"/>
    <col min="10499" max="10753" width="8.85546875" style="21"/>
    <col min="10754" max="10754" width="11.7109375" style="21" customWidth="1"/>
    <col min="10755" max="11009" width="8.85546875" style="21"/>
    <col min="11010" max="11010" width="11.7109375" style="21" customWidth="1"/>
    <col min="11011" max="11265" width="8.85546875" style="21"/>
    <col min="11266" max="11266" width="11.7109375" style="21" customWidth="1"/>
    <col min="11267" max="11521" width="8.85546875" style="21"/>
    <col min="11522" max="11522" width="11.7109375" style="21" customWidth="1"/>
    <col min="11523" max="11777" width="8.85546875" style="21"/>
    <col min="11778" max="11778" width="11.7109375" style="21" customWidth="1"/>
    <col min="11779" max="12033" width="8.85546875" style="21"/>
    <col min="12034" max="12034" width="11.7109375" style="21" customWidth="1"/>
    <col min="12035" max="12289" width="8.85546875" style="21"/>
    <col min="12290" max="12290" width="11.7109375" style="21" customWidth="1"/>
    <col min="12291" max="12545" width="8.85546875" style="21"/>
    <col min="12546" max="12546" width="11.7109375" style="21" customWidth="1"/>
    <col min="12547" max="12801" width="8.85546875" style="21"/>
    <col min="12802" max="12802" width="11.7109375" style="21" customWidth="1"/>
    <col min="12803" max="13057" width="8.85546875" style="21"/>
    <col min="13058" max="13058" width="11.7109375" style="21" customWidth="1"/>
    <col min="13059" max="13313" width="8.85546875" style="21"/>
    <col min="13314" max="13314" width="11.7109375" style="21" customWidth="1"/>
    <col min="13315" max="13569" width="8.85546875" style="21"/>
    <col min="13570" max="13570" width="11.7109375" style="21" customWidth="1"/>
    <col min="13571" max="13825" width="8.85546875" style="21"/>
    <col min="13826" max="13826" width="11.7109375" style="21" customWidth="1"/>
    <col min="13827" max="14081" width="8.85546875" style="21"/>
    <col min="14082" max="14082" width="11.7109375" style="21" customWidth="1"/>
    <col min="14083" max="14337" width="8.85546875" style="21"/>
    <col min="14338" max="14338" width="11.7109375" style="21" customWidth="1"/>
    <col min="14339" max="14593" width="8.85546875" style="21"/>
    <col min="14594" max="14594" width="11.7109375" style="21" customWidth="1"/>
    <col min="14595" max="14849" width="8.85546875" style="21"/>
    <col min="14850" max="14850" width="11.7109375" style="21" customWidth="1"/>
    <col min="14851" max="15105" width="8.85546875" style="21"/>
    <col min="15106" max="15106" width="11.7109375" style="21" customWidth="1"/>
    <col min="15107" max="15361" width="8.85546875" style="21"/>
    <col min="15362" max="15362" width="11.7109375" style="21" customWidth="1"/>
    <col min="15363" max="15617" width="8.85546875" style="21"/>
    <col min="15618" max="15618" width="11.7109375" style="21" customWidth="1"/>
    <col min="15619" max="15873" width="8.85546875" style="21"/>
    <col min="15874" max="15874" width="11.7109375" style="21" customWidth="1"/>
    <col min="15875" max="16129" width="8.85546875" style="21"/>
    <col min="16130" max="16130" width="11.7109375" style="21" customWidth="1"/>
    <col min="16131" max="16384" width="8.85546875" style="21"/>
  </cols>
  <sheetData>
    <row r="2" spans="1:15" x14ac:dyDescent="0.25">
      <c r="A2" s="21" t="s">
        <v>106</v>
      </c>
      <c r="B2" s="22" t="s">
        <v>107</v>
      </c>
      <c r="C2" s="22">
        <v>7</v>
      </c>
    </row>
    <row r="3" spans="1:15" x14ac:dyDescent="0.25">
      <c r="B3" s="21" t="s">
        <v>108</v>
      </c>
      <c r="C3" s="21" t="s">
        <v>109</v>
      </c>
    </row>
    <row r="4" spans="1:15" x14ac:dyDescent="0.25">
      <c r="A4" s="21" t="s">
        <v>110</v>
      </c>
      <c r="B4" s="23">
        <v>10</v>
      </c>
      <c r="C4" s="23">
        <v>10</v>
      </c>
      <c r="D4" s="24"/>
      <c r="E4" s="24">
        <f>(100/B4)*C4</f>
        <v>100</v>
      </c>
    </row>
    <row r="5" spans="1:15" x14ac:dyDescent="0.25">
      <c r="A5" s="21" t="s">
        <v>111</v>
      </c>
      <c r="B5" s="21" t="s">
        <v>112</v>
      </c>
      <c r="C5" s="21" t="s">
        <v>113</v>
      </c>
      <c r="E5" s="24">
        <f>(100/B6)*C6</f>
        <v>100</v>
      </c>
      <c r="I5" s="23" t="s">
        <v>114</v>
      </c>
      <c r="J5" s="23" t="s">
        <v>115</v>
      </c>
      <c r="K5" s="23" t="s">
        <v>116</v>
      </c>
      <c r="L5" s="23" t="s">
        <v>72</v>
      </c>
      <c r="M5" s="23" t="s">
        <v>73</v>
      </c>
      <c r="N5" s="23" t="s">
        <v>117</v>
      </c>
      <c r="O5" s="23" t="s">
        <v>74</v>
      </c>
    </row>
    <row r="6" spans="1:15" x14ac:dyDescent="0.25">
      <c r="B6" s="23">
        <f>C2+1</f>
        <v>8</v>
      </c>
      <c r="C6" s="23">
        <v>8</v>
      </c>
      <c r="E6" s="24">
        <f>(100/B8)*C8</f>
        <v>71.428571428571431</v>
      </c>
      <c r="F6" s="25" t="s">
        <v>118</v>
      </c>
      <c r="I6" s="25">
        <f>C4</f>
        <v>10</v>
      </c>
      <c r="J6" s="25">
        <f>40/B6*C6</f>
        <v>40</v>
      </c>
      <c r="K6" s="25">
        <f>15/B8*C8</f>
        <v>10.714285714285714</v>
      </c>
      <c r="L6" s="25">
        <f>10/B10*C10</f>
        <v>0</v>
      </c>
      <c r="M6" s="25">
        <f>10/B12*C12</f>
        <v>0</v>
      </c>
      <c r="N6" s="25">
        <f>5/B14*C14</f>
        <v>0</v>
      </c>
      <c r="O6" s="25">
        <f>5/B16*C16</f>
        <v>0</v>
      </c>
    </row>
    <row r="7" spans="1:15" x14ac:dyDescent="0.25">
      <c r="A7" s="21" t="s">
        <v>119</v>
      </c>
      <c r="B7" s="21" t="s">
        <v>120</v>
      </c>
      <c r="C7" s="21" t="s">
        <v>121</v>
      </c>
      <c r="E7" s="24">
        <f>(100/B10)*C10</f>
        <v>0</v>
      </c>
      <c r="F7" s="23" t="s">
        <v>122</v>
      </c>
      <c r="G7" s="23"/>
      <c r="H7" s="23"/>
      <c r="I7" s="23">
        <f>I6+20</f>
        <v>30</v>
      </c>
      <c r="J7" s="23">
        <f>30/B6*C6</f>
        <v>30</v>
      </c>
      <c r="K7" s="23">
        <f>15/B8*C8</f>
        <v>10.714285714285714</v>
      </c>
      <c r="L7" s="23">
        <f>10/B10*C10</f>
        <v>0</v>
      </c>
      <c r="M7" s="23">
        <f>5/B12*C12</f>
        <v>0</v>
      </c>
      <c r="N7" s="23">
        <f>5/B14*C14</f>
        <v>0</v>
      </c>
      <c r="O7" s="23">
        <f>5/B16*C16</f>
        <v>0</v>
      </c>
    </row>
    <row r="8" spans="1:15" x14ac:dyDescent="0.25">
      <c r="B8" s="23">
        <f>C2</f>
        <v>7</v>
      </c>
      <c r="C8" s="23">
        <v>5</v>
      </c>
      <c r="D8" s="24"/>
      <c r="E8" s="24">
        <f>(100/B12)*C12</f>
        <v>0</v>
      </c>
    </row>
    <row r="9" spans="1:15" x14ac:dyDescent="0.25">
      <c r="A9" s="21" t="s">
        <v>123</v>
      </c>
      <c r="B9" s="21" t="s">
        <v>120</v>
      </c>
      <c r="C9" s="21" t="s">
        <v>121</v>
      </c>
      <c r="E9" s="24">
        <f>(100/B14)*C14</f>
        <v>0</v>
      </c>
    </row>
    <row r="10" spans="1:15" x14ac:dyDescent="0.25">
      <c r="B10" s="23">
        <f>C2</f>
        <v>7</v>
      </c>
      <c r="C10" s="23">
        <v>0</v>
      </c>
      <c r="D10" s="24"/>
      <c r="E10" s="24">
        <f>(100/B16)*C16</f>
        <v>0</v>
      </c>
    </row>
    <row r="11" spans="1:15" x14ac:dyDescent="0.25">
      <c r="A11" s="21" t="s">
        <v>73</v>
      </c>
      <c r="B11" s="21" t="s">
        <v>120</v>
      </c>
      <c r="C11" s="21" t="s">
        <v>121</v>
      </c>
    </row>
    <row r="12" spans="1:15" x14ac:dyDescent="0.25">
      <c r="B12" s="23">
        <f>C2</f>
        <v>7</v>
      </c>
      <c r="C12" s="23">
        <v>0</v>
      </c>
      <c r="D12" s="24"/>
      <c r="F12" s="23"/>
      <c r="G12" s="23" t="s">
        <v>118</v>
      </c>
      <c r="H12" s="23" t="s">
        <v>124</v>
      </c>
      <c r="L12" s="24" t="s">
        <v>125</v>
      </c>
    </row>
    <row r="13" spans="1:15" ht="30" x14ac:dyDescent="0.25">
      <c r="A13" s="26" t="s">
        <v>117</v>
      </c>
      <c r="B13" s="21" t="s">
        <v>120</v>
      </c>
      <c r="C13" s="21" t="s">
        <v>121</v>
      </c>
      <c r="F13" s="23" t="s">
        <v>70</v>
      </c>
      <c r="G13" s="23">
        <f>I6</f>
        <v>10</v>
      </c>
      <c r="H13" s="23">
        <f>I7</f>
        <v>30</v>
      </c>
      <c r="L13" s="24" t="s">
        <v>125</v>
      </c>
    </row>
    <row r="14" spans="1:15" x14ac:dyDescent="0.25">
      <c r="B14" s="23">
        <f>C2</f>
        <v>7</v>
      </c>
      <c r="C14" s="23">
        <v>0</v>
      </c>
      <c r="D14" s="24"/>
      <c r="F14" s="23" t="s">
        <v>71</v>
      </c>
      <c r="G14" s="23">
        <f>J6</f>
        <v>40</v>
      </c>
      <c r="H14" s="23">
        <f>J7</f>
        <v>30</v>
      </c>
      <c r="L14" s="24"/>
    </row>
    <row r="15" spans="1:15" x14ac:dyDescent="0.25">
      <c r="A15" s="21" t="s">
        <v>74</v>
      </c>
      <c r="B15" s="21" t="s">
        <v>120</v>
      </c>
      <c r="C15" s="21" t="s">
        <v>121</v>
      </c>
      <c r="F15" s="23" t="s">
        <v>116</v>
      </c>
      <c r="G15" s="23">
        <f>K6</f>
        <v>10.714285714285714</v>
      </c>
      <c r="H15" s="23">
        <f>K7</f>
        <v>10.714285714285714</v>
      </c>
      <c r="L15" s="24"/>
    </row>
    <row r="16" spans="1:15" x14ac:dyDescent="0.25">
      <c r="B16" s="23">
        <f>C2</f>
        <v>7</v>
      </c>
      <c r="C16" s="23">
        <v>0</v>
      </c>
      <c r="D16" s="24"/>
      <c r="F16" s="23" t="s">
        <v>72</v>
      </c>
      <c r="G16" s="23">
        <f>L6</f>
        <v>0</v>
      </c>
      <c r="H16" s="23">
        <f>L7</f>
        <v>0</v>
      </c>
      <c r="L16" s="24"/>
    </row>
    <row r="17" spans="5:12" x14ac:dyDescent="0.25">
      <c r="F17" s="23" t="s">
        <v>73</v>
      </c>
      <c r="G17" s="23">
        <f>M6</f>
        <v>0</v>
      </c>
      <c r="H17" s="23">
        <f>M7</f>
        <v>0</v>
      </c>
      <c r="L17" s="24"/>
    </row>
    <row r="18" spans="5:12" ht="30" x14ac:dyDescent="0.25">
      <c r="F18" s="27" t="s">
        <v>117</v>
      </c>
      <c r="G18" s="23">
        <f>N6</f>
        <v>0</v>
      </c>
      <c r="H18" s="23">
        <f>N7</f>
        <v>0</v>
      </c>
      <c r="L18" s="24"/>
    </row>
    <row r="19" spans="5:12" x14ac:dyDescent="0.25">
      <c r="F19" s="23" t="s">
        <v>74</v>
      </c>
      <c r="G19" s="23">
        <f>O6</f>
        <v>0</v>
      </c>
      <c r="H19" s="23">
        <f>O7</f>
        <v>0</v>
      </c>
      <c r="L19" s="24"/>
    </row>
    <row r="20" spans="5:12" x14ac:dyDescent="0.25">
      <c r="F20" s="23" t="s">
        <v>126</v>
      </c>
      <c r="G20" s="23">
        <f>G13+G14+G15+G16+G17+G18+G19</f>
        <v>60.714285714285715</v>
      </c>
      <c r="H20" s="23">
        <f>H13+H14+H15+H16+H17+H18+H19</f>
        <v>70.714285714285708</v>
      </c>
      <c r="L20" s="24"/>
    </row>
    <row r="21" spans="5:12" x14ac:dyDescent="0.25">
      <c r="E21"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Report (2)</vt:lpstr>
      <vt:lpstr>VALUATION</vt:lpstr>
      <vt:lpstr>Note</vt:lpstr>
      <vt:lpstr>Balsam %</vt:lpstr>
      <vt:lpstr>Camellia% (2)</vt:lpstr>
      <vt:lpstr>Aaster %</vt:lpstr>
      <vt:lpstr>Zinnia %</vt:lpstr>
      <vt:lpstr>Xyris %</vt:lpstr>
      <vt:lpstr>Yarrow %</vt:lpstr>
      <vt:lpstr>C % Wisteria</vt:lpstr>
      <vt:lpstr>Flat detail</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2025-07-14T06:37:47Z</cp:lastPrinted>
  <dcterms:created xsi:type="dcterms:W3CDTF">2019-07-16T09:29:46Z</dcterms:created>
  <dcterms:modified xsi:type="dcterms:W3CDTF">2025-07-14T06:38:16Z</dcterms:modified>
</cp:coreProperties>
</file>