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7-07-2025\"/>
    </mc:Choice>
  </mc:AlternateContent>
  <bookViews>
    <workbookView xWindow="0" yWindow="0" windowWidth="19200" windowHeight="6640" tabRatio="725"/>
  </bookViews>
  <sheets>
    <sheet name="Report" sheetId="1" r:id="rId1"/>
    <sheet name="valuation" sheetId="5" r:id="rId2"/>
    <sheet name="Research" sheetId="4" r:id="rId3"/>
  </sheets>
  <definedNames>
    <definedName name="_xlnm._FilterDatabase" localSheetId="0" hidden="1">Report!$A$182:$H$207</definedName>
    <definedName name="_xlnm.Print_Area" localSheetId="0">Report!$A$1:$H$333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4" i="1" l="1"/>
  <c r="C75" i="1" l="1"/>
  <c r="C76" i="1" l="1"/>
  <c r="C77" i="1" s="1"/>
  <c r="L171" i="1" l="1"/>
  <c r="L155" i="1"/>
  <c r="D181" i="1"/>
  <c r="F181" i="1" s="1"/>
  <c r="D180" i="1"/>
  <c r="F180" i="1" s="1"/>
  <c r="D179" i="1"/>
  <c r="F179" i="1" s="1"/>
  <c r="D178" i="1"/>
  <c r="F178" i="1" s="1"/>
  <c r="J177" i="1"/>
  <c r="G177" i="1"/>
  <c r="D177" i="1"/>
  <c r="F177" i="1" s="1"/>
  <c r="D175" i="1"/>
  <c r="D174" i="1"/>
  <c r="C118" i="1" s="1"/>
  <c r="D173" i="1"/>
  <c r="D172" i="1"/>
  <c r="D171" i="1"/>
  <c r="E118" i="1" s="1"/>
  <c r="D167" i="1"/>
  <c r="F167" i="1" s="1"/>
  <c r="D166" i="1"/>
  <c r="F166" i="1" s="1"/>
  <c r="D165" i="1"/>
  <c r="F165" i="1" s="1"/>
  <c r="J164" i="1"/>
  <c r="D164" i="1"/>
  <c r="F164" i="1" s="1"/>
  <c r="D163" i="1"/>
  <c r="F163" i="1" s="1"/>
  <c r="A163" i="1"/>
  <c r="A164" i="1" s="1"/>
  <c r="A165" i="1" s="1"/>
  <c r="A166" i="1" s="1"/>
  <c r="A167" i="1" s="1"/>
  <c r="J162" i="1"/>
  <c r="G162" i="1"/>
  <c r="D162" i="1"/>
  <c r="F162" i="1" s="1"/>
  <c r="D159" i="1"/>
  <c r="D160" i="1" l="1"/>
  <c r="D158" i="1"/>
  <c r="D157" i="1"/>
  <c r="D156" i="1"/>
  <c r="D155" i="1"/>
  <c r="C117" i="1" l="1"/>
  <c r="C119" i="1" s="1"/>
  <c r="E117" i="1"/>
  <c r="C68" i="1"/>
  <c r="L6" i="5"/>
  <c r="L5" i="5"/>
  <c r="F6" i="5"/>
  <c r="F7" i="5"/>
  <c r="L7" i="5" s="1"/>
  <c r="F8" i="5"/>
  <c r="L8" i="5" s="1"/>
  <c r="F9" i="5"/>
  <c r="L9" i="5" s="1"/>
  <c r="F10" i="5"/>
  <c r="L10" i="5" s="1"/>
  <c r="F11" i="5"/>
  <c r="F5" i="5"/>
  <c r="J171" i="1"/>
  <c r="J157" i="1"/>
  <c r="J155" i="1"/>
  <c r="D143" i="1"/>
  <c r="D130" i="1"/>
  <c r="J130" i="1"/>
  <c r="I133" i="1"/>
  <c r="J127" i="1"/>
  <c r="F160" i="1" l="1"/>
  <c r="F159" i="1"/>
  <c r="D148" i="1"/>
  <c r="F148" i="1" s="1"/>
  <c r="D147" i="1"/>
  <c r="F147" i="1" s="1"/>
  <c r="D146" i="1"/>
  <c r="F146" i="1" s="1"/>
  <c r="D145" i="1"/>
  <c r="F145" i="1" s="1"/>
  <c r="D144" i="1"/>
  <c r="F144" i="1" s="1"/>
  <c r="D142" i="1"/>
  <c r="F142" i="1" s="1"/>
  <c r="D141" i="1"/>
  <c r="D138" i="1"/>
  <c r="F138" i="1" s="1"/>
  <c r="D137" i="1"/>
  <c r="F137" i="1" s="1"/>
  <c r="D136" i="1"/>
  <c r="F136" i="1" s="1"/>
  <c r="D135" i="1"/>
  <c r="F135" i="1" s="1"/>
  <c r="D134" i="1"/>
  <c r="F134" i="1" s="1"/>
  <c r="D133" i="1"/>
  <c r="F133" i="1" s="1"/>
  <c r="D132" i="1"/>
  <c r="F132" i="1" s="1"/>
  <c r="D131" i="1"/>
  <c r="F131" i="1" s="1"/>
  <c r="D129" i="1"/>
  <c r="D128" i="1"/>
  <c r="D127" i="1"/>
  <c r="G171" i="1"/>
  <c r="G141" i="1"/>
  <c r="F143" i="1"/>
  <c r="I127" i="1"/>
  <c r="D62" i="1"/>
  <c r="G50" i="1"/>
  <c r="E42" i="1"/>
  <c r="E112" i="1" l="1"/>
  <c r="F141" i="1"/>
  <c r="E113" i="1"/>
  <c r="E119" i="1"/>
  <c r="G113" i="1"/>
  <c r="C112" i="1"/>
  <c r="C113" i="1"/>
  <c r="Z12" i="1"/>
  <c r="I14" i="1"/>
  <c r="E114" i="1" l="1"/>
  <c r="C114" i="1"/>
  <c r="F155" i="1"/>
  <c r="F127" i="1"/>
  <c r="E120" i="1" l="1"/>
  <c r="C120" i="1"/>
  <c r="E43" i="1" l="1"/>
  <c r="E44" i="1" s="1"/>
  <c r="C15" i="1" l="1"/>
  <c r="E30" i="1" l="1"/>
  <c r="F156" i="1" l="1"/>
  <c r="F157" i="1"/>
  <c r="F158" i="1"/>
  <c r="A156" i="1"/>
  <c r="G155" i="1"/>
  <c r="G117" i="1" l="1"/>
  <c r="A157" i="1"/>
  <c r="A158" i="1" s="1"/>
  <c r="A159" i="1" s="1"/>
  <c r="A160" i="1" s="1"/>
  <c r="F109" i="1"/>
  <c r="F128" i="1" l="1"/>
  <c r="F129" i="1"/>
  <c r="F130" i="1"/>
  <c r="G112" i="1" l="1"/>
  <c r="G114" i="1" s="1"/>
  <c r="B184" i="1"/>
  <c r="F175" i="1" l="1"/>
  <c r="F174" i="1"/>
  <c r="F173" i="1"/>
  <c r="F172" i="1"/>
  <c r="F171" i="1"/>
  <c r="G118" i="1" l="1"/>
  <c r="G119" i="1" s="1"/>
  <c r="G120" i="1" s="1"/>
  <c r="B185" i="1"/>
  <c r="G11" i="5" l="1"/>
  <c r="G10" i="5"/>
  <c r="G9" i="5"/>
  <c r="G8" i="5"/>
  <c r="G7" i="5"/>
  <c r="G6" i="5"/>
  <c r="G5" i="5"/>
  <c r="D207" i="1"/>
  <c r="A128" i="1"/>
  <c r="A129" i="1" s="1"/>
  <c r="A130" i="1" s="1"/>
  <c r="A131" i="1" s="1"/>
  <c r="A132" i="1" s="1"/>
  <c r="A133" i="1" s="1"/>
  <c r="A134" i="1" s="1"/>
  <c r="A135" i="1" s="1"/>
  <c r="A136" i="1" s="1"/>
  <c r="A137" i="1" s="1"/>
  <c r="A138" i="1" s="1"/>
  <c r="A141" i="1" s="1"/>
  <c r="A142" i="1" s="1"/>
  <c r="A143" i="1" s="1"/>
  <c r="A144" i="1" s="1"/>
  <c r="A145" i="1" s="1"/>
  <c r="A146" i="1" s="1"/>
  <c r="A147" i="1" s="1"/>
  <c r="A148" i="1" s="1"/>
  <c r="G127" i="1"/>
  <c r="C82" i="1"/>
  <c r="B83" i="1" s="1"/>
  <c r="B69" i="1"/>
  <c r="D56" i="1"/>
  <c r="C50" i="1"/>
  <c r="E27" i="1"/>
  <c r="E25" i="1"/>
  <c r="E7" i="1"/>
  <c r="E3" i="1"/>
  <c r="H83" i="1"/>
  <c r="H69" i="1"/>
  <c r="G12" i="5" l="1"/>
  <c r="J87" i="1"/>
  <c r="C86" i="1" s="1"/>
  <c r="J85" i="1"/>
  <c r="J88" i="1"/>
  <c r="J82" i="1"/>
  <c r="J84" i="1" s="1"/>
  <c r="D90" i="1"/>
  <c r="D92" i="1"/>
  <c r="D95" i="1"/>
  <c r="D89" i="1"/>
  <c r="D93" i="1"/>
  <c r="D94" i="1"/>
  <c r="D91" i="1"/>
  <c r="J86" i="1"/>
  <c r="D81" i="1"/>
  <c r="D79" i="1"/>
  <c r="D78" i="1"/>
  <c r="D75" i="1"/>
  <c r="D77" i="1"/>
  <c r="J74" i="1"/>
  <c r="J75" i="1" s="1"/>
  <c r="J80" i="1" s="1"/>
  <c r="D80" i="1"/>
  <c r="J68" i="1"/>
  <c r="J70" i="1" s="1"/>
  <c r="D76" i="1"/>
  <c r="J72" i="1"/>
  <c r="J73" i="1"/>
  <c r="C72" i="1" s="1"/>
  <c r="D72" i="1" s="1"/>
  <c r="J71" i="1"/>
  <c r="J90" i="1"/>
  <c r="J91" i="1" s="1"/>
  <c r="J92" i="1" s="1"/>
  <c r="J93" i="1" s="1"/>
  <c r="J76" i="1"/>
  <c r="J77" i="1" s="1"/>
  <c r="J78" i="1" s="1"/>
  <c r="J79" i="1" s="1"/>
  <c r="D88" i="1"/>
  <c r="D74" i="1"/>
  <c r="D86" i="1" l="1"/>
  <c r="J89" i="1"/>
  <c r="J94" i="1" s="1"/>
  <c r="J95" i="1" s="1"/>
  <c r="C87" i="1" s="1"/>
  <c r="J81" i="1"/>
  <c r="C73" i="1" l="1"/>
  <c r="D73" i="1" s="1"/>
  <c r="I69" i="1" s="1"/>
  <c r="I70" i="1" s="1"/>
  <c r="J83" i="1"/>
  <c r="E86" i="1"/>
  <c r="G86" i="1"/>
  <c r="D87" i="1"/>
  <c r="I83" i="1" s="1"/>
  <c r="I84" i="1" s="1"/>
  <c r="G72" i="1" l="1"/>
  <c r="D66" i="1" s="1"/>
  <c r="E72" i="1"/>
  <c r="J69" i="1"/>
  <c r="I68" i="1" s="1"/>
  <c r="C70" i="1" s="1"/>
  <c r="I82" i="1"/>
  <c r="C84" i="1" s="1"/>
  <c r="D67" i="1" l="1"/>
  <c r="F67" i="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5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<sst xmlns="http://schemas.openxmlformats.org/spreadsheetml/2006/main" count="470" uniqueCount="291">
  <si>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</si>
  <si>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</si>
  <si>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</si>
  <si>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</si>
  <si>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</si>
  <si>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</si>
  <si>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</si>
  <si>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</si>
  <si>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</si>
  <si>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</si>
  <si>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</si>
  <si>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</si>
  <si>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</si>
  <si>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</si>
  <si>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</si>
  <si>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</si>
  <si>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</si>
  <si>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</si>
  <si>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</si>
  <si>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</si>
  <si>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</si>
  <si>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</si>
  <si>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</si>
  <si>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</si>
  <si>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</si>
  <si>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</si>
  <si>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</si>
  <si>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</si>
  <si>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</si>
  <si>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</si>
  <si>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</si>
  <si>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</si>
  <si>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</si>
  <si>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</si>
  <si>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</si>
  <si>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</si>
  <si>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</si>
  <si>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</si>
  <si>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</si>
  <si>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</si>
  <si>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</si>
  <si>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</si>
  <si>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</si>
  <si>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</si>
  <si>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</si>
  <si>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</si>
  <si>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</si>
  <si>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</si>
  <si>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</si>
  <si>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</si>
  <si>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</si>
  <si>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</si>
  <si>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</si>
  <si>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</si>
  <si>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</si>
  <si>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</si>
  <si>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</si>
  <si>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</si>
  <si>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</si>
  <si>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</si>
  <si>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</si>
  <si>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</si>
  <si>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</si>
  <si>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</si>
  <si>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</si>
  <si>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</si>
  <si>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</si>
  <si>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</si>
  <si>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</si>
  <si>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</si>
  <si>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</si>
  <si>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</si>
  <si>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</si>
  <si>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</si>
  <si>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</si>
  <si>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</si>
  <si>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</si>
  <si>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</si>
  <si>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</si>
  <si>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</si>
  <si>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</si>
  <si>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</si>
  <si>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</si>
  <si>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</si>
  <si>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</si>
  <si>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</si>
  <si>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</si>
  <si>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</si>
  <si>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</si>
  <si>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</si>
  <si>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</si>
  <si>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</si>
  <si>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</si>
  <si>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</si>
  <si>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</si>
  <si>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</si>
  <si>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</si>
  <si>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</si>
  <si>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</si>
  <si>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</si>
  <si>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</si>
  <si>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</si>
  <si>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</si>
  <si>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</si>
  <si>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</si>
  <si>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</si>
  <si>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</si>
  <si>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</si>
  <si>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</si>
  <si>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</si>
  <si>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</si>
  <si>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</si>
  <si>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</si>
  <si>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</si>
  <si>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</si>
  <si>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</si>
  <si>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</si>
  <si>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</si>
  <si>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</si>
  <si>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</si>
  <si>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</si>
  <si>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</si>
  <si>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</si>
  <si>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</si>
  <si>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</si>
  <si>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</si>
  <si>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</si>
  <si>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</si>
  <si>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</si>
  <si>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</si>
  <si>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</si>
  <si>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</si>
  <si>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</si>
  <si>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</si>
  <si>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</si>
  <si>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</si>
  <si>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</si>
  <si>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</si>
  <si>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</si>
  <si>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</si>
  <si>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</si>
  <si>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</si>
  <si>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</si>
  <si>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</si>
  <si>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</si>
  <si>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</si>
  <si>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</si>
  <si>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</si>
  <si>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</si>
  <si>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</si>
  <si>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</si>
  <si>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</si>
  <si>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</si>
  <si>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</si>
  <si>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</si>
  <si>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</si>
  <si>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</si>
  <si>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</si>
  <si>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</si>
  <si>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</si>
  <si>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</si>
  <si>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</si>
  <si>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</si>
  <si>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</si>
  <si>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</si>
  <si>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</si>
  <si>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</si>
  <si>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</si>
  <si>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</si>
  <si>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</si>
  <si>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</si>
  <si>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</si>
  <si>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</si>
  <si>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</si>
  <si>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</si>
  <si>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</si>
  <si>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</si>
  <si>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</si>
  <si>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</si>
  <si>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</si>
  <si>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</si>
  <si>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</si>
  <si>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</si>
  <si>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</si>
  <si>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</si>
  <si>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</si>
  <si>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</si>
  <si>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</si>
  <si>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</si>
  <si>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</si>
  <si>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</si>
  <si>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</si>
  <si>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</si>
  <si>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</si>
  <si>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</si>
  <si>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</si>
  <si>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</si>
  <si>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</si>
  <si>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</si>
  <si>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</si>
  <si>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</si>
  <si>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</si>
  <si>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</si>
  <si>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</si>
  <si>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</si>
  <si>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</si>
  <si>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</si>
  <si>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</si>
  <si>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</si>
  <si>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</si>
  <si>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</si>
  <si>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</si>
  <si>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</si>
  <si>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</si>
  <si>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</si>
  <si>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</si>
  <si>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</si>
  <si>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</si>
  <si>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</si>
  <si>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</si>
  <si>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</si>
  <si>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</si>
  <si>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</si>
  <si>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</si>
  <si>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</si>
  <si>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</si>
  <si>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</si>
  <si>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</si>
  <si>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</si>
  <si>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S. K. Heights Builders &amp; Developers Llp</t>
  </si>
  <si>
    <t>P51700051365</t>
  </si>
  <si>
    <t>Imperial Garden</t>
  </si>
  <si>
    <t>022-28971000/022-29875000</t>
  </si>
  <si>
    <t>Wing A &amp; B</t>
  </si>
  <si>
    <t>19.262554,72.870280</t>
  </si>
  <si>
    <t>https://goo.gl/maps/7PyfiX4fVf1bCJ1U7</t>
  </si>
  <si>
    <t>4276, 4277,4299 &amp; 4300, 4301, 4321 To 4329, 4376, 4378 To 4381, 4384, 4385 &amp; 4420, 4421, 4422, 4472, 4474, 4475, 4476, 4556</t>
  </si>
  <si>
    <t>Mahajanwadi</t>
  </si>
  <si>
    <t>Balram Gavad Road</t>
  </si>
  <si>
    <t>S K Imperial Heights</t>
  </si>
  <si>
    <t>Balram Gavad Road/S K Imperial Heights</t>
  </si>
  <si>
    <t>Basni Dairy</t>
  </si>
  <si>
    <t>18.00 Mtr. Wide D.P. Road/Other Plot</t>
  </si>
  <si>
    <t>Other Plot</t>
  </si>
  <si>
    <t>7.50 Mtr. Wide Road/Other Plot</t>
  </si>
  <si>
    <t xml:space="preserve">Mira-Bhayandar Municipal Corporation
</t>
  </si>
  <si>
    <t>MBMNP/NR/1773/2021-22</t>
  </si>
  <si>
    <t xml:space="preserve">As per RERA - 31/03/2031 </t>
  </si>
  <si>
    <t>Designed for maximum lights and breeze for energy effciency, multi level car parking, Rain water Harvesting, Automatic elevators, CCTV Monitorong, Solar Panel, Luxurious Design entrance lobby, Jogging Space, Sport Turf, Multi Purpose Hall, Fitness Center, Game Room, Meditation Room etc.</t>
  </si>
  <si>
    <r>
      <t xml:space="preserve">Proposed Amenities :                                                                                                                                                                                                                         </t>
    </r>
    <r>
      <rPr>
        <b/>
        <sz val="12"/>
        <color theme="1"/>
        <rFont val="Times New Roman"/>
        <family val="1"/>
      </rPr>
      <t xml:space="preserve">                                               </t>
    </r>
  </si>
  <si>
    <t>Ground Floor For Commercial, Entrance Lobby, Refuge Chute &amp; Parking</t>
  </si>
  <si>
    <t>Shop</t>
  </si>
  <si>
    <t>Wing A</t>
  </si>
  <si>
    <t>Wing B</t>
  </si>
  <si>
    <t>Ground Floor For Commercial, Drivers Room, Entrance Lobby &amp; Parking</t>
  </si>
  <si>
    <t>1st to 2nd Podium Floor For Refuge Chute, Entrance Lobby &amp; Parking</t>
  </si>
  <si>
    <t>1st to 2nd Podium Floor For Society Office, Entrance Lobby &amp; Parking</t>
  </si>
  <si>
    <t>2BHK</t>
  </si>
  <si>
    <t>1BHK</t>
  </si>
  <si>
    <t>3BHK</t>
  </si>
  <si>
    <t>Refuge Area</t>
  </si>
  <si>
    <t>Commercial Area Details : Shop</t>
  </si>
  <si>
    <t>Residential Area Details : Flat</t>
  </si>
  <si>
    <t>Mira Road East</t>
  </si>
  <si>
    <t>02 Wings</t>
  </si>
  <si>
    <t>Office No. 1031, Wing J, Akshar Business Park, Plot No. 03 Sector 25, Near APMC Market,
Vashi, Navi Mumbai, Maharashtra 400703 TEL: 022-46090378/79/80                                                                       
E mail : vsjcapf@gmail.com. Web site : www.vsjadon.com</t>
  </si>
  <si>
    <t>Penkarpada</t>
  </si>
  <si>
    <t>2.8 KM from Mira Road Railway Station</t>
  </si>
  <si>
    <t>Usmaniya Masjid</t>
  </si>
  <si>
    <t>A H Sapphire</t>
  </si>
  <si>
    <t>Existing Structure (G + 1)</t>
  </si>
  <si>
    <t>Sanket Salvi</t>
  </si>
  <si>
    <t>We considered Gross carpet area = Net carpet + Balcony.</t>
  </si>
  <si>
    <t>28th by online photo</t>
  </si>
  <si>
    <t>Proptiger</t>
  </si>
  <si>
    <t>MNP/NR/2409/2023-2024</t>
  </si>
  <si>
    <t>Building A = Gr/St + P1 to P4 + 1st to 19th Floor
Building B = Gr/St + P1 to P4 + 1st to 19th Floor</t>
  </si>
  <si>
    <t>Wing A = Gr/St + P1 to P4 + 1st to 19th Floor</t>
  </si>
  <si>
    <t>Wing B = Gr/St + P1 to P4 + 1st to 19th Floor</t>
  </si>
  <si>
    <t>MBMNP/NR/2409/2023-24</t>
  </si>
  <si>
    <t>1st, 3rd to 6th, 8th to 11th, 13th to 16th, 18th &amp; 19th Floor for Residential</t>
  </si>
  <si>
    <t>Approved Floor plan No.
For Wing A &amp; B = 1st to 19th Floor</t>
  </si>
  <si>
    <r>
      <t xml:space="preserve">Approved Floor plan No.
</t>
    </r>
    <r>
      <rPr>
        <b/>
        <sz val="12"/>
        <color indexed="8"/>
        <rFont val="Times New Roman"/>
        <family val="1"/>
      </rPr>
      <t>For Ground Floor &amp; podium 1st &amp; 2nd Only</t>
    </r>
    <r>
      <rPr>
        <sz val="12"/>
        <color indexed="8"/>
        <rFont val="Times New Roman"/>
        <family val="1"/>
      </rPr>
      <t xml:space="preserve"> </t>
    </r>
  </si>
  <si>
    <t>Wing A = Gr/St + P1 to P4 + 1st to 19th Floor
Wing B = Gr/St + P1 to P4 + 1st to 19th Floor</t>
  </si>
  <si>
    <t>2nd, 7th, 12th &amp; 17th Floor (Part Refuge Area)</t>
  </si>
  <si>
    <t>Flats - 201, Shops - 20</t>
  </si>
  <si>
    <t xml:space="preserve">We have updated revised approved floor plan for Wing A &amp; B = 1st to 19th Floor &amp; C.C (on 30/08/2024).
</t>
  </si>
  <si>
    <t xml:space="preserve">Provide approved layout plan, Ground Floor &amp; P1 to P4 floor plan.
</t>
  </si>
  <si>
    <t>Pooja Kawale</t>
  </si>
  <si>
    <t xml:space="preserve">Wing A = Construction work is in process at the time of Visit.
Wing B = Construction Work is same as last visit (dtd.17/08/2024)
</t>
  </si>
  <si>
    <t>Ms. Aparna : 9321841910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</si>
</sst>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28">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9" fontId="9" fillId="0" borderId="15" xfId="8" applyFont="1" applyFill="1" applyBorder="1" applyAlignment="1" applyProtection="1">
      <alignment horizontal="center" vertical="top" wrapText="1"/>
      <protection locked="0"/>
    </xf>
    <xf numFmtId="0" fontId="19" fillId="0" borderId="0" xfId="0" applyFont="1" applyProtection="1">
      <protection hidden="1"/>
    </xf>
    <xf numFmtId="0" fontId="19" fillId="0" borderId="10" xfId="0" applyFont="1" applyBorder="1" applyProtection="1">
      <protection hidden="1"/>
    </xf>
    <xf numFmtId="0" fontId="13" fillId="0" borderId="3"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6"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9" xfId="1" applyFont="1" applyBorder="1"/>
    <xf numFmtId="0" fontId="19"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1" fontId="9"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8" fillId="0" borderId="6"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26" fillId="2" borderId="29" xfId="0" applyFont="1" applyFill="1" applyBorder="1"/>
    <xf numFmtId="0" fontId="27" fillId="0" borderId="30" xfId="0" applyFont="1" applyBorder="1"/>
    <xf numFmtId="0" fontId="27" fillId="0" borderId="1" xfId="0" applyFont="1" applyBorder="1"/>
    <xf numFmtId="0" fontId="27" fillId="0" borderId="4" xfId="0" applyFont="1" applyBorder="1"/>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64" fontId="8" fillId="0" borderId="0" xfId="1" applyNumberFormat="1" applyFont="1"/>
    <xf numFmtId="0" fontId="8" fillId="0" borderId="1" xfId="1" applyFont="1" applyBorder="1" applyAlignment="1" applyProtection="1">
      <alignment horizontal="center" vertical="top"/>
      <protection locked="0"/>
    </xf>
    <xf numFmtId="1" fontId="8" fillId="0" borderId="1" xfId="1" applyNumberFormat="1" applyFont="1" applyBorder="1" applyAlignment="1">
      <alignment horizontal="center"/>
    </xf>
    <xf numFmtId="1" fontId="8" fillId="3" borderId="1" xfId="1" applyNumberFormat="1" applyFont="1" applyFill="1" applyBorder="1" applyAlignment="1">
      <alignment horizontal="center"/>
    </xf>
    <xf numFmtId="0" fontId="1" fillId="0" borderId="1" xfId="5" applyFont="1" applyBorder="1" applyAlignment="1">
      <alignment horizontal="center" vertical="center"/>
    </xf>
    <xf numFmtId="43" fontId="6" fillId="0" borderId="0" xfId="4" applyNumberFormat="1"/>
    <xf numFmtId="1" fontId="7" fillId="0" borderId="1" xfId="0" applyNumberFormat="1" applyFont="1" applyBorder="1" applyAlignment="1" applyProtection="1">
      <alignment horizontal="center" vertical="center" wrapText="1"/>
      <protection locked="0"/>
    </xf>
    <xf numFmtId="0" fontId="8" fillId="0" borderId="0" xfId="1" applyFont="1" applyAlignment="1">
      <alignment horizontal="center" vertical="center"/>
    </xf>
    <xf numFmtId="2" fontId="8" fillId="0" borderId="1" xfId="1" applyNumberFormat="1" applyFont="1" applyBorder="1" applyAlignment="1">
      <alignment horizontal="center"/>
    </xf>
    <xf numFmtId="0" fontId="8" fillId="0" borderId="2" xfId="1" applyFont="1" applyBorder="1" applyAlignment="1" applyProtection="1">
      <alignment horizontal="center" vertical="top" wrapText="1"/>
      <protection locked="0"/>
    </xf>
    <xf numFmtId="9" fontId="8" fillId="0" borderId="2" xfId="8" applyFont="1" applyFill="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1" fontId="7" fillId="0" borderId="16"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0" fontId="8" fillId="0" borderId="24" xfId="1" applyFont="1" applyBorder="1" applyAlignment="1">
      <alignment horizontal="center"/>
    </xf>
    <xf numFmtId="0" fontId="8" fillId="0" borderId="0" xfId="1" applyFont="1" applyAlignment="1">
      <alignment horizontal="center"/>
    </xf>
    <xf numFmtId="167" fontId="13"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9" fillId="0" borderId="7"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11" fillId="0" borderId="1" xfId="0"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9" fillId="0" borderId="31"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wrapText="1"/>
      <protection locked="0"/>
    </xf>
    <xf numFmtId="1" fontId="11" fillId="0" borderId="32" xfId="0" applyNumberFormat="1" applyFont="1" applyBorder="1" applyAlignment="1" applyProtection="1">
      <alignment horizontal="center" vertical="center"/>
      <protection locked="0"/>
    </xf>
    <xf numFmtId="1" fontId="11" fillId="0" borderId="32" xfId="0" applyNumberFormat="1" applyFont="1" applyBorder="1" applyAlignment="1" applyProtection="1">
      <alignment horizontal="center" vertical="top" wrapText="1"/>
      <protection locked="0"/>
    </xf>
    <xf numFmtId="1" fontId="9" fillId="0" borderId="32" xfId="0"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top" wrapText="1"/>
      <protection locked="0"/>
    </xf>
    <xf numFmtId="164" fontId="13" fillId="0" borderId="1" xfId="1" applyNumberFormat="1" applyFont="1" applyBorder="1" applyAlignment="1" applyProtection="1">
      <alignment horizontal="left" vertical="top"/>
      <protection locked="0"/>
    </xf>
    <xf numFmtId="0" fontId="9" fillId="0" borderId="21"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12"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8" fillId="0" borderId="3"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9" fillId="0" borderId="7"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4" fillId="0" borderId="3"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0" fontId="9" fillId="0" borderId="15" xfId="1" applyFont="1" applyBorder="1" applyAlignment="1" applyProtection="1">
      <alignment horizontal="center" vertical="top"/>
      <protection locked="0"/>
    </xf>
    <xf numFmtId="1" fontId="13"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11" fillId="0" borderId="34" xfId="0" applyNumberFormat="1" applyFont="1" applyBorder="1" applyAlignment="1" applyProtection="1">
      <alignment horizontal="center" vertical="center"/>
      <protection locked="0"/>
    </xf>
    <xf numFmtId="1" fontId="11" fillId="0" borderId="35" xfId="0" applyNumberFormat="1" applyFont="1" applyBorder="1" applyAlignment="1" applyProtection="1">
      <alignment horizontal="center" vertical="center"/>
      <protection locked="0"/>
    </xf>
    <xf numFmtId="0" fontId="8" fillId="0" borderId="4" xfId="1" applyFont="1" applyBorder="1" applyAlignment="1" applyProtection="1">
      <alignment horizontal="center" vertical="top" wrapText="1"/>
      <protection locked="0"/>
    </xf>
    <xf numFmtId="9" fontId="8" fillId="0" borderId="16" xfId="8" applyFont="1" applyFill="1" applyBorder="1" applyAlignment="1" applyProtection="1">
      <alignment horizontal="center" vertical="center" wrapText="1"/>
      <protection locked="0"/>
    </xf>
    <xf numFmtId="9" fontId="8" fillId="0" borderId="17" xfId="8" applyFont="1" applyFill="1" applyBorder="1" applyAlignment="1" applyProtection="1">
      <alignment horizontal="center" vertical="center" wrapText="1"/>
      <protection locked="0"/>
    </xf>
    <xf numFmtId="9" fontId="8" fillId="0" borderId="24"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1" fontId="11" fillId="0" borderId="34" xfId="0" applyNumberFormat="1" applyFont="1" applyBorder="1" applyAlignment="1" applyProtection="1">
      <alignment horizontal="center" vertical="top" wrapText="1"/>
      <protection locked="0"/>
    </xf>
    <xf numFmtId="1" fontId="11" fillId="0" borderId="35"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9" fillId="0" borderId="7" xfId="1" applyNumberFormat="1" applyFont="1" applyBorder="1" applyAlignment="1" applyProtection="1">
      <alignment horizontal="center" vertical="top" wrapText="1"/>
      <protection locked="0"/>
    </xf>
    <xf numFmtId="1" fontId="9" fillId="0" borderId="20" xfId="1" applyNumberFormat="1" applyFont="1" applyBorder="1" applyAlignment="1" applyProtection="1">
      <alignment horizontal="center" vertical="top" wrapText="1"/>
      <protection locked="0"/>
    </xf>
    <xf numFmtId="1" fontId="9" fillId="0" borderId="8" xfId="1" applyNumberFormat="1" applyFont="1" applyBorder="1" applyAlignment="1" applyProtection="1">
      <alignment horizontal="center" vertical="top" wrapText="1"/>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top" wrapText="1"/>
      <protection locked="0"/>
    </xf>
    <xf numFmtId="1" fontId="18" fillId="0" borderId="7" xfId="0" applyNumberFormat="1" applyFont="1" applyBorder="1" applyAlignment="1" applyProtection="1">
      <alignment vertical="top" wrapText="1"/>
      <protection locked="0"/>
    </xf>
    <xf numFmtId="1" fontId="18" fillId="0" borderId="20" xfId="0" applyNumberFormat="1" applyFont="1" applyBorder="1" applyAlignment="1" applyProtection="1">
      <alignment vertical="top" wrapText="1"/>
      <protection locked="0"/>
    </xf>
    <xf numFmtId="1" fontId="18" fillId="0" borderId="8" xfId="0" applyNumberFormat="1" applyFont="1" applyBorder="1" applyAlignment="1" applyProtection="1">
      <alignment vertical="top" wrapText="1"/>
      <protection locked="0"/>
    </xf>
    <xf numFmtId="0" fontId="11" fillId="0" borderId="20" xfId="1" applyFont="1" applyBorder="1" applyAlignment="1">
      <alignment horizontal="center" vertical="center"/>
    </xf>
    <xf numFmtId="0" fontId="7" fillId="0" borderId="2"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14" fontId="13"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8" fillId="0" borderId="1" xfId="1" applyFont="1" applyBorder="1" applyAlignment="1" applyProtection="1">
      <alignment horizontal="left"/>
      <protection locked="0"/>
    </xf>
    <xf numFmtId="0" fontId="13" fillId="0" borderId="1" xfId="1" applyFont="1" applyBorder="1" applyAlignment="1" applyProtection="1">
      <alignment horizontal="center" vertical="center"/>
      <protection locked="0"/>
    </xf>
    <xf numFmtId="0" fontId="14"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center" wrapText="1"/>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2" fontId="13"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left" vertical="top" wrapText="1"/>
      <protection locked="0"/>
    </xf>
    <xf numFmtId="2" fontId="13" fillId="0" borderId="1" xfId="1" applyNumberFormat="1" applyFont="1" applyBorder="1" applyAlignment="1" applyProtection="1">
      <alignment horizontal="left" vertical="top"/>
      <protection locked="0"/>
    </xf>
    <xf numFmtId="0" fontId="8" fillId="0" borderId="2" xfId="1" applyFont="1" applyBorder="1" applyAlignment="1" applyProtection="1">
      <alignment horizontal="left" vertical="top" wrapText="1"/>
      <protection locked="0"/>
    </xf>
    <xf numFmtId="0" fontId="8" fillId="0" borderId="2" xfId="1" applyFont="1" applyBorder="1" applyAlignment="1" applyProtection="1">
      <alignment horizontal="left" vertical="top"/>
      <protection locked="0"/>
    </xf>
    <xf numFmtId="0" fontId="13" fillId="0" borderId="16"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8" fillId="0" borderId="0" xfId="1" applyFont="1" applyAlignment="1">
      <alignment horizontal="center" vertical="center"/>
    </xf>
    <xf numFmtId="1" fontId="5" fillId="0" borderId="2" xfId="1" applyNumberFormat="1" applyFont="1" applyBorder="1" applyAlignment="1" applyProtection="1">
      <alignment horizontal="center" vertical="top" wrapText="1"/>
      <protection locked="0"/>
    </xf>
    <xf numFmtId="1" fontId="5" fillId="0" borderId="15"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9" fontId="8" fillId="0" borderId="27"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9" xfId="8" applyFont="1" applyFill="1" applyBorder="1" applyAlignment="1" applyProtection="1">
      <alignment horizontal="center" vertical="center" wrapText="1"/>
      <protection locked="0"/>
    </xf>
    <xf numFmtId="9" fontId="8" fillId="0" borderId="11" xfId="8" applyFont="1" applyFill="1" applyBorder="1" applyAlignment="1" applyProtection="1">
      <alignment horizontal="center" vertical="center" wrapText="1"/>
      <protection locked="0"/>
    </xf>
    <xf numFmtId="0" fontId="8" fillId="0" borderId="5" xfId="1" applyFont="1" applyBorder="1" applyAlignment="1" applyProtection="1">
      <alignment horizontal="center" vertical="top" wrapText="1"/>
      <protection locked="0"/>
    </xf>
    <xf numFmtId="0" fontId="8" fillId="0" borderId="6" xfId="1" applyFont="1" applyBorder="1" applyAlignment="1" applyProtection="1">
      <alignment horizontal="center" vertical="top" wrapText="1"/>
      <protection locked="0"/>
    </xf>
    <xf numFmtId="1" fontId="9" fillId="0" borderId="1" xfId="0" applyNumberFormat="1" applyFont="1" applyBorder="1" applyAlignment="1" applyProtection="1">
      <alignment horizontal="left" vertical="top" wrapText="1"/>
      <protection locked="0"/>
    </xf>
    <xf numFmtId="1" fontId="14" fillId="0" borderId="7" xfId="0" applyNumberFormat="1" applyFont="1" applyBorder="1" applyAlignment="1" applyProtection="1">
      <alignment vertical="top" wrapText="1"/>
      <protection locked="0"/>
    </xf>
    <xf numFmtId="1" fontId="14" fillId="0" borderId="20" xfId="0" applyNumberFormat="1" applyFont="1" applyBorder="1" applyAlignment="1" applyProtection="1">
      <alignment vertical="top" wrapText="1"/>
      <protection locked="0"/>
    </xf>
    <xf numFmtId="1" fontId="14" fillId="0" borderId="8" xfId="0" applyNumberFormat="1" applyFont="1" applyBorder="1" applyAlignment="1" applyProtection="1">
      <alignment vertical="top"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0" fontId="28" fillId="0" borderId="1" xfId="10" applyFont="1" applyFill="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1" fontId="9" fillId="0" borderId="34" xfId="0" applyNumberFormat="1" applyFont="1" applyBorder="1" applyAlignment="1" applyProtection="1">
      <alignment horizontal="center" vertical="top" wrapText="1"/>
      <protection locked="0"/>
    </xf>
    <xf numFmtId="1" fontId="9" fillId="0" borderId="35" xfId="0" applyNumberFormat="1" applyFont="1" applyBorder="1" applyAlignment="1" applyProtection="1">
      <alignment horizontal="center" vertical="top" wrapText="1"/>
      <protection locked="0"/>
    </xf>
    <xf numFmtId="0" fontId="8" fillId="0" borderId="36" xfId="1" applyFont="1" applyBorder="1" applyAlignment="1" applyProtection="1">
      <alignment horizontal="center" vertical="top" wrapText="1"/>
      <protection locked="0"/>
    </xf>
    <xf numFmtId="0" fontId="8" fillId="0" borderId="2"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0"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224120</xdr:colOff>
      <xdr:row>310</xdr:row>
      <xdr:rowOff>99146</xdr:rowOff>
    </xdr:from>
    <xdr:to>
      <xdr:col>6</xdr:col>
      <xdr:colOff>527973</xdr:colOff>
      <xdr:row>326</xdr:row>
      <xdr:rowOff>63628</xdr:rowOff>
    </xdr:to>
    <xdr:pic>
      <xdr:nvPicPr>
        <xdr:cNvPr id="2" name="Picture 1"/>
        <xdr:cNvPicPr>
          <a:picLocks noChangeAspect="1"/>
        </xdr:cNvPicPr>
      </xdr:nvPicPr>
      <xdr:blipFill rotWithShape="1">
        <a:blip xmlns:r="http://schemas.openxmlformats.org/officeDocument/2006/relationships" r:embed="rId1"/>
        <a:srcRect l="22769" t="21708" r="26578" b="18069"/>
        <a:stretch/>
      </xdr:blipFill>
      <xdr:spPr>
        <a:xfrm>
          <a:off x="1042149" y="66818970"/>
          <a:ext cx="4775000" cy="3191775"/>
        </a:xfrm>
        <a:prstGeom prst="rect">
          <a:avLst/>
        </a:prstGeom>
        <a:ln w="9525">
          <a:solidFill>
            <a:schemeClr val="tx1"/>
          </a:solidFill>
        </a:ln>
      </xdr:spPr>
    </xdr:pic>
    <xdr:clientData/>
  </xdr:twoCellAnchor>
  <xdr:twoCellAnchor editAs="oneCell">
    <xdr:from>
      <xdr:col>1</xdr:col>
      <xdr:colOff>224120</xdr:colOff>
      <xdr:row>294</xdr:row>
      <xdr:rowOff>0</xdr:rowOff>
    </xdr:from>
    <xdr:to>
      <xdr:col>6</xdr:col>
      <xdr:colOff>527973</xdr:colOff>
      <xdr:row>309</xdr:row>
      <xdr:rowOff>151714</xdr:rowOff>
    </xdr:to>
    <xdr:pic>
      <xdr:nvPicPr>
        <xdr:cNvPr id="3" name="Picture 2"/>
        <xdr:cNvPicPr>
          <a:picLocks noChangeAspect="1"/>
        </xdr:cNvPicPr>
      </xdr:nvPicPr>
      <xdr:blipFill rotWithShape="1">
        <a:blip xmlns:r="http://schemas.openxmlformats.org/officeDocument/2006/relationships" r:embed="rId2"/>
        <a:srcRect l="28154" t="30106" r="23447" b="15566"/>
        <a:stretch/>
      </xdr:blipFill>
      <xdr:spPr>
        <a:xfrm>
          <a:off x="1042149" y="63492529"/>
          <a:ext cx="4775000" cy="3177303"/>
        </a:xfrm>
        <a:prstGeom prst="rect">
          <a:avLst/>
        </a:prstGeom>
        <a:ln w="9525">
          <a:solidFill>
            <a:schemeClr val="tx1"/>
          </a:solidFill>
        </a:ln>
      </xdr:spPr>
    </xdr:pic>
    <xdr:clientData/>
  </xdr:twoCellAnchor>
  <xdr:twoCellAnchor>
    <xdr:from>
      <xdr:col>3</xdr:col>
      <xdr:colOff>34543</xdr:colOff>
      <xdr:row>316</xdr:row>
      <xdr:rowOff>84749</xdr:rowOff>
    </xdr:from>
    <xdr:to>
      <xdr:col>4</xdr:col>
      <xdr:colOff>593911</xdr:colOff>
      <xdr:row>322</xdr:row>
      <xdr:rowOff>168088</xdr:rowOff>
    </xdr:to>
    <xdr:grpSp>
      <xdr:nvGrpSpPr>
        <xdr:cNvPr id="4" name="Group 3"/>
        <xdr:cNvGrpSpPr/>
      </xdr:nvGrpSpPr>
      <xdr:grpSpPr>
        <a:xfrm>
          <a:off x="2561843" y="66639099"/>
          <a:ext cx="1549968" cy="1264439"/>
          <a:chOff x="3054350" y="4000500"/>
          <a:chExt cx="1450976" cy="1225550"/>
        </a:xfrm>
      </xdr:grpSpPr>
      <xdr:cxnSp macro="">
        <xdr:nvCxnSpPr>
          <xdr:cNvPr id="5" name="Straight Connector 4"/>
          <xdr:cNvCxnSpPr/>
        </xdr:nvCxnSpPr>
        <xdr:spPr>
          <a:xfrm flipH="1">
            <a:off x="3054350" y="4006850"/>
            <a:ext cx="184150" cy="4127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a:off x="3054350" y="4419600"/>
            <a:ext cx="1174750" cy="8064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a:off x="3238500" y="4000500"/>
            <a:ext cx="1256231" cy="7239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4229101" y="4724400"/>
            <a:ext cx="276225" cy="5016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645858</xdr:colOff>
      <xdr:row>268</xdr:row>
      <xdr:rowOff>117658</xdr:rowOff>
    </xdr:from>
    <xdr:to>
      <xdr:col>6</xdr:col>
      <xdr:colOff>98153</xdr:colOff>
      <xdr:row>289</xdr:row>
      <xdr:rowOff>128413</xdr:rowOff>
    </xdr:to>
    <xdr:pic>
      <xdr:nvPicPr>
        <xdr:cNvPr id="9" name="Picture 8"/>
        <xdr:cNvPicPr>
          <a:picLocks noChangeAspect="1"/>
        </xdr:cNvPicPr>
      </xdr:nvPicPr>
      <xdr:blipFill>
        <a:blip xmlns:r="http://schemas.openxmlformats.org/officeDocument/2006/relationships" r:embed="rId3"/>
        <a:stretch>
          <a:fillRect/>
        </a:stretch>
      </xdr:blipFill>
      <xdr:spPr>
        <a:xfrm>
          <a:off x="1407858" y="58462613"/>
          <a:ext cx="3600000" cy="4193096"/>
        </a:xfrm>
        <a:prstGeom prst="rect">
          <a:avLst/>
        </a:prstGeom>
        <a:ln w="9525">
          <a:solidFill>
            <a:schemeClr val="tx1"/>
          </a:solidFill>
        </a:ln>
      </xdr:spPr>
    </xdr:pic>
    <xdr:clientData/>
  </xdr:twoCellAnchor>
  <xdr:twoCellAnchor editAs="oneCell">
    <xdr:from>
      <xdr:col>8</xdr:col>
      <xdr:colOff>942822</xdr:colOff>
      <xdr:row>43</xdr:row>
      <xdr:rowOff>7642</xdr:rowOff>
    </xdr:from>
    <xdr:to>
      <xdr:col>12</xdr:col>
      <xdr:colOff>175354</xdr:colOff>
      <xdr:row>56</xdr:row>
      <xdr:rowOff>41436</xdr:rowOff>
    </xdr:to>
    <xdr:pic>
      <xdr:nvPicPr>
        <xdr:cNvPr id="16" name="Picture 15"/>
        <xdr:cNvPicPr>
          <a:picLocks noChangeAspect="1"/>
        </xdr:cNvPicPr>
      </xdr:nvPicPr>
      <xdr:blipFill>
        <a:blip xmlns:r="http://schemas.openxmlformats.org/officeDocument/2006/relationships" r:embed="rId4"/>
        <a:stretch>
          <a:fillRect/>
        </a:stretch>
      </xdr:blipFill>
      <xdr:spPr>
        <a:xfrm>
          <a:off x="7315913" y="10242687"/>
          <a:ext cx="2557623" cy="3579115"/>
        </a:xfrm>
        <a:prstGeom prst="rect">
          <a:avLst/>
        </a:prstGeom>
      </xdr:spPr>
    </xdr:pic>
    <xdr:clientData/>
  </xdr:twoCellAnchor>
  <xdr:twoCellAnchor>
    <xdr:from>
      <xdr:col>3</xdr:col>
      <xdr:colOff>513519</xdr:colOff>
      <xdr:row>319</xdr:row>
      <xdr:rowOff>8283</xdr:rowOff>
    </xdr:from>
    <xdr:to>
      <xdr:col>4</xdr:col>
      <xdr:colOff>380998</xdr:colOff>
      <xdr:row>320</xdr:row>
      <xdr:rowOff>49695</xdr:rowOff>
    </xdr:to>
    <xdr:sp macro="" textlink="">
      <xdr:nvSpPr>
        <xdr:cNvPr id="24" name="TextBox 23"/>
        <xdr:cNvSpPr txBox="1"/>
      </xdr:nvSpPr>
      <xdr:spPr>
        <a:xfrm rot="1759133">
          <a:off x="3105976" y="68662826"/>
          <a:ext cx="877957"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66FF33"/>
              </a:solidFill>
            </a:rPr>
            <a:t>Wing</a:t>
          </a:r>
          <a:r>
            <a:rPr lang="en-IN" sz="1100" b="1" baseline="0">
              <a:solidFill>
                <a:srgbClr val="66FF33"/>
              </a:solidFill>
            </a:rPr>
            <a:t> A</a:t>
          </a:r>
          <a:endParaRPr lang="en-IN" sz="1100" b="1">
            <a:solidFill>
              <a:srgbClr val="66FF33"/>
            </a:solidFill>
          </a:endParaRPr>
        </a:p>
      </xdr:txBody>
    </xdr:sp>
    <xdr:clientData/>
  </xdr:twoCellAnchor>
  <xdr:twoCellAnchor>
    <xdr:from>
      <xdr:col>3</xdr:col>
      <xdr:colOff>260903</xdr:colOff>
      <xdr:row>315</xdr:row>
      <xdr:rowOff>20705</xdr:rowOff>
    </xdr:from>
    <xdr:to>
      <xdr:col>3</xdr:col>
      <xdr:colOff>501098</xdr:colOff>
      <xdr:row>319</xdr:row>
      <xdr:rowOff>103532</xdr:rowOff>
    </xdr:to>
    <xdr:sp macro="" textlink="">
      <xdr:nvSpPr>
        <xdr:cNvPr id="25" name="TextBox 24"/>
        <xdr:cNvSpPr txBox="1"/>
      </xdr:nvSpPr>
      <xdr:spPr>
        <a:xfrm rot="18420512">
          <a:off x="2534479" y="68198999"/>
          <a:ext cx="877957"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66FF33"/>
              </a:solidFill>
            </a:rPr>
            <a:t>Wing</a:t>
          </a:r>
          <a:r>
            <a:rPr lang="en-IN" sz="1100" b="1" baseline="0">
              <a:solidFill>
                <a:srgbClr val="66FF33"/>
              </a:solidFill>
            </a:rPr>
            <a:t> B</a:t>
          </a:r>
          <a:endParaRPr lang="en-IN" sz="1100" b="1">
            <a:solidFill>
              <a:srgbClr val="66FF33"/>
            </a:solidFill>
          </a:endParaRPr>
        </a:p>
      </xdr:txBody>
    </xdr:sp>
    <xdr:clientData/>
  </xdr:twoCellAnchor>
  <xdr:twoCellAnchor editAs="oneCell">
    <xdr:from>
      <xdr:col>0</xdr:col>
      <xdr:colOff>329045</xdr:colOff>
      <xdr:row>251</xdr:row>
      <xdr:rowOff>34637</xdr:rowOff>
    </xdr:from>
    <xdr:to>
      <xdr:col>7</xdr:col>
      <xdr:colOff>417340</xdr:colOff>
      <xdr:row>267</xdr:row>
      <xdr:rowOff>120133</xdr:rowOff>
    </xdr:to>
    <xdr:pic>
      <xdr:nvPicPr>
        <xdr:cNvPr id="26" name="Picture 25"/>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29045" y="54993887"/>
          <a:ext cx="5760000" cy="3272042"/>
        </a:xfrm>
        <a:prstGeom prst="rect">
          <a:avLst/>
        </a:prstGeom>
        <a:ln>
          <a:solidFill>
            <a:schemeClr val="tx1"/>
          </a:solidFill>
        </a:ln>
      </xdr:spPr>
    </xdr:pic>
    <xdr:clientData/>
  </xdr:twoCellAnchor>
  <xdr:twoCellAnchor>
    <xdr:from>
      <xdr:col>3</xdr:col>
      <xdr:colOff>415637</xdr:colOff>
      <xdr:row>278</xdr:row>
      <xdr:rowOff>34635</xdr:rowOff>
    </xdr:from>
    <xdr:to>
      <xdr:col>4</xdr:col>
      <xdr:colOff>692727</xdr:colOff>
      <xdr:row>284</xdr:row>
      <xdr:rowOff>25976</xdr:rowOff>
    </xdr:to>
    <xdr:grpSp>
      <xdr:nvGrpSpPr>
        <xdr:cNvPr id="27" name="Group 26"/>
        <xdr:cNvGrpSpPr/>
      </xdr:nvGrpSpPr>
      <xdr:grpSpPr>
        <a:xfrm>
          <a:off x="2942937" y="59108685"/>
          <a:ext cx="1267690" cy="1172441"/>
          <a:chOff x="3054350" y="4000500"/>
          <a:chExt cx="1450976" cy="1225550"/>
        </a:xfrm>
      </xdr:grpSpPr>
      <xdr:cxnSp macro="">
        <xdr:nvCxnSpPr>
          <xdr:cNvPr id="28" name="Straight Connector 27"/>
          <xdr:cNvCxnSpPr/>
        </xdr:nvCxnSpPr>
        <xdr:spPr>
          <a:xfrm flipH="1">
            <a:off x="3054350" y="4006850"/>
            <a:ext cx="184150" cy="4127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a:off x="3054350" y="4419600"/>
            <a:ext cx="1174750" cy="8064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xdr:cNvCxnSpPr/>
        </xdr:nvCxnSpPr>
        <xdr:spPr>
          <a:xfrm>
            <a:off x="3238500" y="4000500"/>
            <a:ext cx="1256231" cy="7239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flipH="1">
            <a:off x="4229101" y="4724400"/>
            <a:ext cx="276225" cy="5016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0</xdr:colOff>
      <xdr:row>206</xdr:row>
      <xdr:rowOff>0</xdr:rowOff>
    </xdr:from>
    <xdr:to>
      <xdr:col>10</xdr:col>
      <xdr:colOff>176647</xdr:colOff>
      <xdr:row>207</xdr:row>
      <xdr:rowOff>174982</xdr:rowOff>
    </xdr:to>
    <xdr:sp macro="" textlink="">
      <xdr:nvSpPr>
        <xdr:cNvPr id="35" name="TextBox 3"/>
        <xdr:cNvSpPr txBox="1"/>
      </xdr:nvSpPr>
      <xdr:spPr>
        <a:xfrm>
          <a:off x="7912100" y="43332400"/>
          <a:ext cx="976747" cy="371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 </a:t>
          </a:r>
          <a:endParaRPr lang="en-IN" b="1"/>
        </a:p>
      </xdr:txBody>
    </xdr:sp>
    <xdr:clientData/>
  </xdr:twoCellAnchor>
  <xdr:twoCellAnchor>
    <xdr:from>
      <xdr:col>8</xdr:col>
      <xdr:colOff>425450</xdr:colOff>
      <xdr:row>206</xdr:row>
      <xdr:rowOff>101600</xdr:rowOff>
    </xdr:from>
    <xdr:to>
      <xdr:col>16</xdr:col>
      <xdr:colOff>87593</xdr:colOff>
      <xdr:row>244</xdr:row>
      <xdr:rowOff>18696</xdr:rowOff>
    </xdr:to>
    <xdr:grpSp>
      <xdr:nvGrpSpPr>
        <xdr:cNvPr id="10" name="Group 9"/>
        <xdr:cNvGrpSpPr/>
      </xdr:nvGrpSpPr>
      <xdr:grpSpPr>
        <a:xfrm>
          <a:off x="7118350" y="45008800"/>
          <a:ext cx="6361393" cy="7391046"/>
          <a:chOff x="215900" y="45392975"/>
          <a:chExt cx="6062943" cy="7508521"/>
        </a:xfrm>
      </xdr:grpSpPr>
      <xdr:pic>
        <xdr:nvPicPr>
          <xdr:cNvPr id="37" name="Picture 3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32227" y="50706571"/>
            <a:ext cx="1532588" cy="2194925"/>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15900" y="47848598"/>
            <a:ext cx="1946691" cy="2741275"/>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8426" y="45392975"/>
            <a:ext cx="2951680" cy="2338925"/>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32227" y="45392975"/>
            <a:ext cx="2907230" cy="2338925"/>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332152" y="47848598"/>
            <a:ext cx="1946691" cy="2741275"/>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99426" y="47848598"/>
            <a:ext cx="1895891" cy="2741275"/>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618354" y="50706571"/>
            <a:ext cx="1577038" cy="2194925"/>
          </a:xfrm>
          <a:prstGeom prst="rect">
            <a:avLst/>
          </a:prstGeom>
          <a:ln>
            <a:solidFill>
              <a:schemeClr val="tx1"/>
            </a:solidFill>
          </a:ln>
        </xdr:spPr>
      </xdr:pic>
    </xdr:grpSp>
    <xdr:clientData/>
  </xdr:twoCellAnchor>
  <xdr:twoCellAnchor>
    <xdr:from>
      <xdr:col>9</xdr:col>
      <xdr:colOff>642076</xdr:colOff>
      <xdr:row>207</xdr:row>
      <xdr:rowOff>175973</xdr:rowOff>
    </xdr:from>
    <xdr:to>
      <xdr:col>11</xdr:col>
      <xdr:colOff>158612</xdr:colOff>
      <xdr:row>209</xdr:row>
      <xdr:rowOff>148620</xdr:rowOff>
    </xdr:to>
    <xdr:sp macro="" textlink="">
      <xdr:nvSpPr>
        <xdr:cNvPr id="44" name="TextBox 19"/>
        <xdr:cNvSpPr txBox="1"/>
      </xdr:nvSpPr>
      <xdr:spPr>
        <a:xfrm>
          <a:off x="8185876" y="45429248"/>
          <a:ext cx="983386" cy="37269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lientData/>
  </xdr:twoCellAnchor>
  <xdr:twoCellAnchor>
    <xdr:from>
      <xdr:col>12</xdr:col>
      <xdr:colOff>503102</xdr:colOff>
      <xdr:row>207</xdr:row>
      <xdr:rowOff>175973</xdr:rowOff>
    </xdr:from>
    <xdr:to>
      <xdr:col>13</xdr:col>
      <xdr:colOff>699088</xdr:colOff>
      <xdr:row>209</xdr:row>
      <xdr:rowOff>148620</xdr:rowOff>
    </xdr:to>
    <xdr:sp macro="" textlink="">
      <xdr:nvSpPr>
        <xdr:cNvPr id="45" name="TextBox 19"/>
        <xdr:cNvSpPr txBox="1"/>
      </xdr:nvSpPr>
      <xdr:spPr>
        <a:xfrm>
          <a:off x="10218602" y="45429248"/>
          <a:ext cx="986561" cy="37269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lientData/>
  </xdr:twoCellAnchor>
  <xdr:twoCellAnchor>
    <xdr:from>
      <xdr:col>0</xdr:col>
      <xdr:colOff>184150</xdr:colOff>
      <xdr:row>207</xdr:row>
      <xdr:rowOff>69850</xdr:rowOff>
    </xdr:from>
    <xdr:to>
      <xdr:col>7</xdr:col>
      <xdr:colOff>481616</xdr:colOff>
      <xdr:row>248</xdr:row>
      <xdr:rowOff>128121</xdr:rowOff>
    </xdr:to>
    <xdr:grpSp>
      <xdr:nvGrpSpPr>
        <xdr:cNvPr id="11" name="Group 10"/>
        <xdr:cNvGrpSpPr/>
      </xdr:nvGrpSpPr>
      <xdr:grpSpPr>
        <a:xfrm>
          <a:off x="184150" y="45173900"/>
          <a:ext cx="6253766" cy="8122771"/>
          <a:chOff x="184150" y="45173900"/>
          <a:chExt cx="6253766" cy="8122771"/>
        </a:xfrm>
      </xdr:grpSpPr>
      <xdr:pic>
        <xdr:nvPicPr>
          <xdr:cNvPr id="46" name="Picture 4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rot="5400000">
            <a:off x="4064451" y="49666111"/>
            <a:ext cx="2400000" cy="180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rot="5400000">
            <a:off x="2111033" y="49666111"/>
            <a:ext cx="2400000" cy="180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rot="5400000">
            <a:off x="-325850" y="45683901"/>
            <a:ext cx="4080000" cy="306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rot="5400000">
            <a:off x="2867916" y="45683900"/>
            <a:ext cx="4080000" cy="306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rot="5400000">
            <a:off x="157615" y="49666111"/>
            <a:ext cx="2400000" cy="180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rot="16200000">
            <a:off x="2544383" y="52036671"/>
            <a:ext cx="1440000" cy="1080000"/>
          </a:xfrm>
          <a:prstGeom prst="rect">
            <a:avLst/>
          </a:prstGeom>
          <a:ln>
            <a:solidFill>
              <a:schemeClr val="tx1"/>
            </a:solidFill>
          </a:ln>
        </xdr:spPr>
      </xdr:pic>
      <xdr:sp macro="" textlink="">
        <xdr:nvSpPr>
          <xdr:cNvPr id="61" name="TextBox 19"/>
          <xdr:cNvSpPr txBox="1"/>
        </xdr:nvSpPr>
        <xdr:spPr>
          <a:xfrm>
            <a:off x="1670050" y="45192951"/>
            <a:ext cx="7429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Wing A</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63" name="TextBox 19"/>
          <xdr:cNvSpPr txBox="1"/>
        </xdr:nvSpPr>
        <xdr:spPr>
          <a:xfrm>
            <a:off x="4965416" y="46564550"/>
            <a:ext cx="7429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B</a:t>
            </a:r>
            <a:endParaRPr lang="en-IN" sz="14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64" name="TextBox 19"/>
          <xdr:cNvSpPr txBox="1"/>
        </xdr:nvSpPr>
        <xdr:spPr>
          <a:xfrm>
            <a:off x="3439733" y="49486761"/>
            <a:ext cx="7429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Wing A</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grpSp>
    <xdr:clientData/>
  </xdr:twoCellAnchor>
  <xdr:twoCellAnchor>
    <xdr:from>
      <xdr:col>5</xdr:col>
      <xdr:colOff>278244</xdr:colOff>
      <xdr:row>254</xdr:row>
      <xdr:rowOff>88900</xdr:rowOff>
    </xdr:from>
    <xdr:to>
      <xdr:col>7</xdr:col>
      <xdr:colOff>19049</xdr:colOff>
      <xdr:row>262</xdr:row>
      <xdr:rowOff>57150</xdr:rowOff>
    </xdr:to>
    <xdr:sp macro="" textlink="">
      <xdr:nvSpPr>
        <xdr:cNvPr id="65" name="Rectangle 64"/>
        <xdr:cNvSpPr/>
      </xdr:nvSpPr>
      <xdr:spPr>
        <a:xfrm>
          <a:off x="4615294" y="54438550"/>
          <a:ext cx="1360055" cy="154305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284594</xdr:colOff>
      <xdr:row>255</xdr:row>
      <xdr:rowOff>0</xdr:rowOff>
    </xdr:from>
    <xdr:to>
      <xdr:col>5</xdr:col>
      <xdr:colOff>279400</xdr:colOff>
      <xdr:row>262</xdr:row>
      <xdr:rowOff>165100</xdr:rowOff>
    </xdr:to>
    <xdr:sp macro="" textlink="">
      <xdr:nvSpPr>
        <xdr:cNvPr id="66" name="Rectangle 65"/>
        <xdr:cNvSpPr/>
      </xdr:nvSpPr>
      <xdr:spPr>
        <a:xfrm>
          <a:off x="2811894" y="54546500"/>
          <a:ext cx="1804556" cy="154305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767194</xdr:colOff>
      <xdr:row>258</xdr:row>
      <xdr:rowOff>88900</xdr:rowOff>
    </xdr:from>
    <xdr:to>
      <xdr:col>4</xdr:col>
      <xdr:colOff>519544</xdr:colOff>
      <xdr:row>260</xdr:row>
      <xdr:rowOff>6696</xdr:rowOff>
    </xdr:to>
    <xdr:sp macro="" textlink="">
      <xdr:nvSpPr>
        <xdr:cNvPr id="67" name="TextBox 19"/>
        <xdr:cNvSpPr txBox="1"/>
      </xdr:nvSpPr>
      <xdr:spPr>
        <a:xfrm>
          <a:off x="3294494" y="55225950"/>
          <a:ext cx="742950"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A</a:t>
          </a:r>
          <a:endParaRPr lang="en-IN" sz="1400" b="0" cap="none" spc="0">
            <a:ln w="0"/>
            <a:solidFill>
              <a:srgbClr val="FFFF00"/>
            </a:solidFill>
            <a:effectLst>
              <a:outerShdw blurRad="38100" dist="25400" dir="5400000" algn="ctr" rotWithShape="0">
                <a:srgbClr val="6E747A">
                  <a:alpha val="43000"/>
                </a:srgbClr>
              </a:outerShdw>
            </a:effectLst>
          </a:endParaRPr>
        </a:p>
      </xdr:txBody>
    </xdr:sp>
    <xdr:clientData/>
  </xdr:twoCellAnchor>
  <xdr:twoCellAnchor>
    <xdr:from>
      <xdr:col>5</xdr:col>
      <xdr:colOff>519544</xdr:colOff>
      <xdr:row>258</xdr:row>
      <xdr:rowOff>44450</xdr:rowOff>
    </xdr:from>
    <xdr:to>
      <xdr:col>6</xdr:col>
      <xdr:colOff>443344</xdr:colOff>
      <xdr:row>259</xdr:row>
      <xdr:rowOff>159096</xdr:rowOff>
    </xdr:to>
    <xdr:sp macro="" textlink="">
      <xdr:nvSpPr>
        <xdr:cNvPr id="68" name="TextBox 19"/>
        <xdr:cNvSpPr txBox="1"/>
      </xdr:nvSpPr>
      <xdr:spPr>
        <a:xfrm>
          <a:off x="4856594" y="55181500"/>
          <a:ext cx="742950"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B</a:t>
          </a:r>
          <a:endParaRPr lang="en-IN" sz="1400" b="0" cap="none" spc="0">
            <a:ln w="0"/>
            <a:solidFill>
              <a:srgbClr val="FFFF00"/>
            </a:solidFill>
            <a:effectLst>
              <a:outerShdw blurRad="38100" dist="25400" dir="5400000" algn="ctr" rotWithShape="0">
                <a:srgbClr val="6E747A">
                  <a:alpha val="43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14</xdr:col>
      <xdr:colOff>133965</xdr:colOff>
      <xdr:row>53</xdr:row>
      <xdr:rowOff>75286</xdr:rowOff>
    </xdr:to>
    <xdr:pic>
      <xdr:nvPicPr>
        <xdr:cNvPr id="2" name="Picture 1"/>
        <xdr:cNvPicPr>
          <a:picLocks noChangeAspect="1"/>
        </xdr:cNvPicPr>
      </xdr:nvPicPr>
      <xdr:blipFill>
        <a:blip xmlns:r="http://schemas.openxmlformats.org/officeDocument/2006/relationships" r:embed="rId1"/>
        <a:stretch>
          <a:fillRect/>
        </a:stretch>
      </xdr:blipFill>
      <xdr:spPr>
        <a:xfrm>
          <a:off x="582706" y="2868706"/>
          <a:ext cx="13009524" cy="7314286"/>
        </a:xfrm>
        <a:prstGeom prst="rect">
          <a:avLst/>
        </a:prstGeom>
      </xdr:spPr>
    </xdr:pic>
    <xdr:clientData/>
  </xdr:twoCellAnchor>
  <xdr:twoCellAnchor editAs="oneCell">
    <xdr:from>
      <xdr:col>1</xdr:col>
      <xdr:colOff>0</xdr:colOff>
      <xdr:row>55</xdr:row>
      <xdr:rowOff>0</xdr:rowOff>
    </xdr:from>
    <xdr:to>
      <xdr:col>14</xdr:col>
      <xdr:colOff>133965</xdr:colOff>
      <xdr:row>93</xdr:row>
      <xdr:rowOff>75286</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10488706"/>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PyfiX4fVf1bCJ1U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10"/>
  <sheetViews>
    <sheetView tabSelected="1" view="pageBreakPreview" zoomScaleNormal="100" zoomScaleSheetLayoutView="100" zoomScalePageLayoutView="85" workbookViewId="0">
      <selection activeCell="E9" sqref="E9:H9"/>
    </sheetView>
  </sheetViews>
  <sheetFormatPr defaultColWidth="9.1796875" defaultRowHeight="15.5" x14ac:dyDescent="0.35"/>
  <cols>
    <col min="1" max="1" width="11.453125" style="40" customWidth="1"/>
    <col min="2" max="2" width="12" style="40" customWidth="1"/>
    <col min="3" max="3" width="12.7265625" style="40" customWidth="1"/>
    <col min="4" max="4" width="14.1796875" style="40" customWidth="1"/>
    <col min="5" max="6" width="11.7265625" style="40" customWidth="1"/>
    <col min="7" max="7" width="11.453125" style="40" customWidth="1"/>
    <col min="8" max="8" width="10.54296875" style="40" customWidth="1"/>
    <col min="9" max="9" width="17.453125" style="21" customWidth="1"/>
    <col min="10" max="10" width="11.453125" style="21" customWidth="1"/>
    <col min="11" max="11" width="10.54296875" style="21" bestFit="1" customWidth="1"/>
    <col min="12" max="12" width="10.54296875" style="21" customWidth="1"/>
    <col min="13" max="13" width="11.81640625" style="21" customWidth="1"/>
    <col min="14" max="14" width="12.54296875" style="21" customWidth="1"/>
    <col min="15" max="15" width="9.81640625" style="21" customWidth="1"/>
    <col min="16" max="16" width="11.7265625" style="21" customWidth="1"/>
    <col min="17"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67" t="s">
        <v>265</v>
      </c>
      <c r="B1" s="167"/>
      <c r="C1" s="167"/>
      <c r="D1" s="167"/>
      <c r="E1" s="167"/>
      <c r="F1" s="167"/>
      <c r="G1" s="167"/>
      <c r="H1" s="167"/>
    </row>
    <row r="2" spans="1:26" ht="16.5" customHeight="1" x14ac:dyDescent="0.35">
      <c r="A2" s="86" t="s">
        <v>0</v>
      </c>
      <c r="B2" s="86"/>
      <c r="C2" s="86"/>
      <c r="D2" s="86"/>
      <c r="E2" s="86"/>
      <c r="F2" s="86"/>
      <c r="G2" s="86"/>
      <c r="H2" s="86"/>
    </row>
    <row r="3" spans="1:26" x14ac:dyDescent="0.35">
      <c r="A3" s="118" t="s">
        <v>1</v>
      </c>
      <c r="B3" s="118"/>
      <c r="C3" s="118"/>
      <c r="D3" s="118"/>
      <c r="E3" s="118" t="str">
        <f ca="1">TEXT(TODAY(),"DD/MM/YYYY")</f>
        <v>17/07/2025</v>
      </c>
      <c r="F3" s="118"/>
      <c r="G3" s="118"/>
      <c r="H3" s="118"/>
    </row>
    <row r="4" spans="1:26" ht="15" customHeight="1" x14ac:dyDescent="0.35">
      <c r="A4" s="118" t="s">
        <v>2</v>
      </c>
      <c r="B4" s="118"/>
      <c r="C4" s="118"/>
      <c r="D4" s="118"/>
      <c r="E4" s="121" t="s">
        <v>166</v>
      </c>
      <c r="F4" s="121"/>
      <c r="G4" s="121"/>
      <c r="H4" s="121"/>
    </row>
    <row r="5" spans="1:26" x14ac:dyDescent="0.35">
      <c r="A5" s="118" t="s">
        <v>3</v>
      </c>
      <c r="B5" s="118"/>
      <c r="C5" s="118"/>
      <c r="D5" s="118"/>
      <c r="E5" s="168">
        <v>45848</v>
      </c>
      <c r="F5" s="118"/>
      <c r="G5" s="118"/>
      <c r="H5" s="118"/>
    </row>
    <row r="6" spans="1:26" ht="16.5" customHeight="1" x14ac:dyDescent="0.35">
      <c r="A6" s="118" t="s">
        <v>4</v>
      </c>
      <c r="B6" s="118"/>
      <c r="C6" s="118"/>
      <c r="D6" s="118"/>
      <c r="E6" s="118" t="s">
        <v>229</v>
      </c>
      <c r="F6" s="118"/>
      <c r="G6" s="118"/>
      <c r="H6" s="118"/>
    </row>
    <row r="7" spans="1:26" ht="15" customHeight="1" x14ac:dyDescent="0.35">
      <c r="A7" s="118" t="s">
        <v>5</v>
      </c>
      <c r="B7" s="118"/>
      <c r="C7" s="118"/>
      <c r="D7" s="118"/>
      <c r="E7" s="118" t="str">
        <f>E6</f>
        <v>S. K. Heights Builders &amp; Developers Llp</v>
      </c>
      <c r="F7" s="118"/>
      <c r="G7" s="118"/>
      <c r="H7" s="118"/>
    </row>
    <row r="8" spans="1:26" x14ac:dyDescent="0.35">
      <c r="A8" s="118" t="s">
        <v>6</v>
      </c>
      <c r="B8" s="118"/>
      <c r="C8" s="118"/>
      <c r="D8" s="118"/>
      <c r="E8" s="123" t="s">
        <v>231</v>
      </c>
      <c r="F8" s="123"/>
      <c r="G8" s="123"/>
      <c r="H8" s="123"/>
    </row>
    <row r="9" spans="1:26" x14ac:dyDescent="0.35">
      <c r="A9" s="118" t="s">
        <v>163</v>
      </c>
      <c r="B9" s="118"/>
      <c r="C9" s="118"/>
      <c r="D9" s="118"/>
      <c r="E9" s="118" t="s">
        <v>232</v>
      </c>
      <c r="F9" s="118"/>
      <c r="G9" s="118"/>
      <c r="H9" s="118"/>
    </row>
    <row r="10" spans="1:26" x14ac:dyDescent="0.35">
      <c r="A10" s="118" t="s">
        <v>164</v>
      </c>
      <c r="B10" s="118"/>
      <c r="C10" s="118"/>
      <c r="D10" s="118"/>
      <c r="E10" s="118" t="s">
        <v>290</v>
      </c>
      <c r="F10" s="118"/>
      <c r="G10" s="118"/>
      <c r="H10" s="118"/>
    </row>
    <row r="11" spans="1:26" x14ac:dyDescent="0.35">
      <c r="A11" s="118" t="s">
        <v>7</v>
      </c>
      <c r="B11" s="118"/>
      <c r="C11" s="118"/>
      <c r="D11" s="118"/>
      <c r="E11" s="118" t="s">
        <v>233</v>
      </c>
      <c r="F11" s="118"/>
      <c r="G11" s="118"/>
      <c r="H11" s="118"/>
    </row>
    <row r="12" spans="1:26" x14ac:dyDescent="0.35">
      <c r="A12" s="118" t="s">
        <v>167</v>
      </c>
      <c r="B12" s="118"/>
      <c r="C12" s="118"/>
      <c r="D12" s="118"/>
      <c r="E12" s="118" t="s">
        <v>29</v>
      </c>
      <c r="F12" s="118"/>
      <c r="G12" s="118"/>
      <c r="H12" s="118"/>
      <c r="S12" s="58" t="s">
        <v>176</v>
      </c>
      <c r="T12" s="58" t="s">
        <v>186</v>
      </c>
      <c r="U12" s="58" t="s">
        <v>168</v>
      </c>
      <c r="V12" s="58" t="s">
        <v>191</v>
      </c>
      <c r="W12" s="58" t="s">
        <v>209</v>
      </c>
      <c r="X12"/>
      <c r="Y12" t="s">
        <v>191</v>
      </c>
      <c r="Z12" t="e">
        <f ca="1">OFFSET($S$12,1,MATCH($G19,$S$12:$W$12,0)-1,15,1)</f>
        <v>#VALUE!</v>
      </c>
    </row>
    <row r="13" spans="1:26" x14ac:dyDescent="0.35">
      <c r="A13" s="88" t="s">
        <v>8</v>
      </c>
      <c r="B13" s="88"/>
      <c r="C13" s="88"/>
      <c r="D13" s="88"/>
      <c r="E13" s="169" t="s">
        <v>225</v>
      </c>
      <c r="F13" s="169"/>
      <c r="G13" s="169"/>
      <c r="H13" s="169"/>
      <c r="S13" s="58" t="s">
        <v>177</v>
      </c>
      <c r="T13" s="58" t="s">
        <v>184</v>
      </c>
      <c r="U13" s="58" t="s">
        <v>206</v>
      </c>
      <c r="V13" s="58" t="s">
        <v>192</v>
      </c>
      <c r="W13" s="58" t="s">
        <v>210</v>
      </c>
      <c r="X13"/>
      <c r="Y13"/>
      <c r="Z13"/>
    </row>
    <row r="14" spans="1:26" x14ac:dyDescent="0.35">
      <c r="A14" s="88" t="s">
        <v>9</v>
      </c>
      <c r="B14" s="88"/>
      <c r="C14" s="88"/>
      <c r="D14" s="88"/>
      <c r="E14" s="169" t="s">
        <v>230</v>
      </c>
      <c r="F14" s="121"/>
      <c r="G14" s="121"/>
      <c r="H14" s="121"/>
      <c r="I14" s="83" t="e">
        <f ca="1">OFFSET($D$4,1,MATCH($J12,$D$4:$H$4,0)-1,15,1)</f>
        <v>#N/A</v>
      </c>
      <c r="J14" s="84"/>
      <c r="K14" s="84"/>
      <c r="L14" s="84"/>
      <c r="M14" s="84"/>
      <c r="N14" s="84"/>
      <c r="O14" s="84"/>
      <c r="P14" s="84"/>
      <c r="S14" s="58" t="s">
        <v>178</v>
      </c>
      <c r="T14" s="58" t="s">
        <v>185</v>
      </c>
      <c r="U14" s="58" t="s">
        <v>207</v>
      </c>
      <c r="V14" s="58" t="s">
        <v>193</v>
      </c>
      <c r="W14" s="58" t="s">
        <v>223</v>
      </c>
      <c r="X14"/>
      <c r="Y14"/>
      <c r="Z14"/>
    </row>
    <row r="15" spans="1:26" ht="66" customHeight="1" x14ac:dyDescent="0.35">
      <c r="A15" s="95" t="s">
        <v>10</v>
      </c>
      <c r="B15" s="95"/>
      <c r="C15" s="95" t="str">
        <f>CONCATENATE((IF(OR(E8="",E8="NA"),"",E8)),", ",(IF(OR(A16="",A16="NA"),"",A16)),".",(IF(OR(C16="",C16="NA"),"",C16)),", near ",(IF(OR(C21="",C21="NA"),"",C21)),", ",(IF(OR(C18="",C18="NA"),"",C18)),", ",(IF(OR(C17="",C17="NA"),"",C17)),", ",(IF(OR(G18="",G18="NA"),"",G18)),", ",(IF(OR(C19="",C19="NA"),"",C19)),", ",(IF(OR(C20="",C20="NA"),"",C20)),", ",(IF(OR(G19="",G19="NA"),"",G19))," - ",(IF(OR(G20="",G20="NA"),"",G20)),".")</f>
        <v>Imperial Garden, CTS No.4276, 4277,4299 &amp; 4300, 4301, 4321 To 4329, 4376, 4378 To 4381, 4384, 4385 &amp; 4420, 4421, 4422, 4472, 4474, 4475, 4476, 4556, near S K Imperial Heights, Balram Gavad Road, Penkarpada, Mahajanwadi, Mira Road East, Thane, Thane  - 401107.</v>
      </c>
      <c r="D15" s="95"/>
      <c r="E15" s="95"/>
      <c r="F15" s="95"/>
      <c r="G15" s="95"/>
      <c r="H15" s="95"/>
      <c r="S15" s="58" t="s">
        <v>179</v>
      </c>
      <c r="T15" s="58" t="s">
        <v>187</v>
      </c>
      <c r="U15" s="58" t="s">
        <v>208</v>
      </c>
      <c r="V15" s="58" t="s">
        <v>194</v>
      </c>
      <c r="W15" s="58" t="s">
        <v>211</v>
      </c>
      <c r="X15"/>
      <c r="Y15"/>
      <c r="Z15"/>
    </row>
    <row r="16" spans="1:26" ht="34.5" customHeight="1" x14ac:dyDescent="0.35">
      <c r="A16" s="169" t="s">
        <v>172</v>
      </c>
      <c r="B16" s="169"/>
      <c r="C16" s="169" t="s">
        <v>236</v>
      </c>
      <c r="D16" s="169"/>
      <c r="E16" s="169"/>
      <c r="F16" s="169"/>
      <c r="G16" s="169"/>
      <c r="H16" s="169"/>
      <c r="S16" s="58" t="s">
        <v>180</v>
      </c>
      <c r="T16" s="58" t="s">
        <v>188</v>
      </c>
      <c r="U16" s="58"/>
      <c r="V16" s="58" t="s">
        <v>195</v>
      </c>
      <c r="W16" s="58" t="s">
        <v>212</v>
      </c>
      <c r="X16"/>
      <c r="Y16"/>
      <c r="Z16"/>
    </row>
    <row r="17" spans="1:26" ht="15.75" customHeight="1" x14ac:dyDescent="0.35">
      <c r="A17" s="117" t="s">
        <v>160</v>
      </c>
      <c r="B17" s="117"/>
      <c r="C17" s="169" t="s">
        <v>266</v>
      </c>
      <c r="D17" s="170"/>
      <c r="E17" s="170"/>
      <c r="F17" s="170"/>
      <c r="G17" s="170"/>
      <c r="H17" s="170"/>
      <c r="S17" s="58" t="s">
        <v>181</v>
      </c>
      <c r="T17" s="58" t="s">
        <v>186</v>
      </c>
      <c r="U17" s="58"/>
      <c r="V17" s="58" t="s">
        <v>196</v>
      </c>
      <c r="W17" s="58" t="s">
        <v>213</v>
      </c>
      <c r="X17"/>
      <c r="Y17"/>
      <c r="Z17"/>
    </row>
    <row r="18" spans="1:26" ht="15.75" customHeight="1" x14ac:dyDescent="0.35">
      <c r="A18" s="95" t="s">
        <v>11</v>
      </c>
      <c r="B18" s="95"/>
      <c r="C18" s="121" t="s">
        <v>238</v>
      </c>
      <c r="D18" s="121"/>
      <c r="E18" s="169" t="s">
        <v>70</v>
      </c>
      <c r="F18" s="169"/>
      <c r="G18" s="169" t="s">
        <v>237</v>
      </c>
      <c r="H18" s="169"/>
      <c r="S18" s="58" t="s">
        <v>182</v>
      </c>
      <c r="T18" s="58" t="s">
        <v>189</v>
      </c>
      <c r="U18" s="58"/>
      <c r="V18" s="58" t="s">
        <v>197</v>
      </c>
      <c r="W18" s="58" t="s">
        <v>214</v>
      </c>
      <c r="X18"/>
      <c r="Y18"/>
      <c r="Z18"/>
    </row>
    <row r="19" spans="1:26" x14ac:dyDescent="0.35">
      <c r="A19" s="88" t="s">
        <v>13</v>
      </c>
      <c r="B19" s="88"/>
      <c r="C19" s="169" t="s">
        <v>263</v>
      </c>
      <c r="D19" s="169"/>
      <c r="E19" s="169" t="s">
        <v>12</v>
      </c>
      <c r="F19" s="169"/>
      <c r="G19" s="171" t="s">
        <v>176</v>
      </c>
      <c r="H19" s="171"/>
      <c r="S19" s="58" t="s">
        <v>183</v>
      </c>
      <c r="T19" s="58" t="s">
        <v>190</v>
      </c>
      <c r="U19" s="58"/>
      <c r="V19" s="58" t="s">
        <v>198</v>
      </c>
      <c r="W19" s="58" t="s">
        <v>215</v>
      </c>
      <c r="X19"/>
      <c r="Y19"/>
      <c r="Z19"/>
    </row>
    <row r="20" spans="1:26" x14ac:dyDescent="0.35">
      <c r="A20" s="88" t="s">
        <v>71</v>
      </c>
      <c r="B20" s="88"/>
      <c r="C20" s="169" t="s">
        <v>177</v>
      </c>
      <c r="D20" s="169"/>
      <c r="E20" s="169" t="s">
        <v>14</v>
      </c>
      <c r="F20" s="169"/>
      <c r="G20" s="169">
        <v>401107</v>
      </c>
      <c r="H20" s="169"/>
      <c r="S20" s="58"/>
      <c r="T20" s="58"/>
      <c r="U20" s="58"/>
      <c r="V20" s="58" t="s">
        <v>199</v>
      </c>
      <c r="W20" s="58" t="s">
        <v>216</v>
      </c>
      <c r="X20"/>
      <c r="Y20"/>
      <c r="Z20"/>
    </row>
    <row r="21" spans="1:26" ht="32.25" customHeight="1" x14ac:dyDescent="0.35">
      <c r="A21" s="88" t="s">
        <v>118</v>
      </c>
      <c r="B21" s="88"/>
      <c r="C21" s="117" t="s">
        <v>239</v>
      </c>
      <c r="D21" s="117"/>
      <c r="E21" s="95" t="s">
        <v>15</v>
      </c>
      <c r="F21" s="95"/>
      <c r="G21" s="169" t="s">
        <v>267</v>
      </c>
      <c r="H21" s="169"/>
      <c r="S21" s="58"/>
      <c r="T21" s="58"/>
      <c r="U21" s="58"/>
      <c r="V21" s="58" t="s">
        <v>200</v>
      </c>
      <c r="W21" s="58" t="s">
        <v>217</v>
      </c>
      <c r="X21"/>
      <c r="Y21"/>
      <c r="Z21"/>
    </row>
    <row r="22" spans="1:26" ht="15" customHeight="1" x14ac:dyDescent="0.35">
      <c r="A22" s="95" t="s">
        <v>72</v>
      </c>
      <c r="B22" s="95"/>
      <c r="C22" s="95"/>
      <c r="D22" s="95"/>
      <c r="E22" s="118" t="s">
        <v>16</v>
      </c>
      <c r="F22" s="118"/>
      <c r="G22" s="118"/>
      <c r="H22" s="118"/>
      <c r="S22" s="58"/>
      <c r="T22" s="58"/>
      <c r="U22" s="58"/>
      <c r="V22" s="58" t="s">
        <v>201</v>
      </c>
      <c r="W22" s="58" t="s">
        <v>218</v>
      </c>
      <c r="X22"/>
      <c r="Y22"/>
      <c r="Z22"/>
    </row>
    <row r="23" spans="1:26" ht="18.75" customHeight="1" x14ac:dyDescent="0.35">
      <c r="A23" s="95"/>
      <c r="B23" s="95"/>
      <c r="C23" s="95"/>
      <c r="D23" s="95"/>
      <c r="E23" s="118"/>
      <c r="F23" s="118"/>
      <c r="G23" s="118"/>
      <c r="H23" s="118"/>
      <c r="S23" s="58"/>
      <c r="T23" s="58"/>
      <c r="U23" s="58"/>
      <c r="V23" s="58" t="s">
        <v>202</v>
      </c>
      <c r="W23" s="58" t="s">
        <v>219</v>
      </c>
      <c r="X23"/>
      <c r="Y23"/>
      <c r="Z23"/>
    </row>
    <row r="24" spans="1:26" ht="15" customHeight="1" x14ac:dyDescent="0.35">
      <c r="A24" s="95" t="s">
        <v>17</v>
      </c>
      <c r="B24" s="95"/>
      <c r="C24" s="95"/>
      <c r="D24" s="95"/>
      <c r="E24" s="117" t="s">
        <v>18</v>
      </c>
      <c r="F24" s="117"/>
      <c r="G24" s="117"/>
      <c r="H24" s="117"/>
      <c r="S24" s="58"/>
      <c r="T24" s="58"/>
      <c r="U24" s="58"/>
      <c r="V24" s="58" t="s">
        <v>203</v>
      </c>
      <c r="W24" s="58" t="s">
        <v>220</v>
      </c>
      <c r="X24"/>
      <c r="Y24"/>
      <c r="Z24"/>
    </row>
    <row r="25" spans="1:26" ht="15" customHeight="1" x14ac:dyDescent="0.35">
      <c r="A25" s="88" t="s">
        <v>19</v>
      </c>
      <c r="B25" s="88"/>
      <c r="C25" s="88"/>
      <c r="D25" s="88"/>
      <c r="E25" s="117" t="str">
        <f>IF(AND(G19="Mumbai"),"Upper Class","Middle Class")</f>
        <v>Middle Class</v>
      </c>
      <c r="F25" s="117"/>
      <c r="G25" s="117"/>
      <c r="H25" s="117"/>
      <c r="S25" s="58"/>
      <c r="T25" s="58"/>
      <c r="U25" s="58"/>
      <c r="V25" s="58" t="s">
        <v>204</v>
      </c>
      <c r="W25" s="58" t="s">
        <v>221</v>
      </c>
      <c r="X25"/>
      <c r="Y25"/>
      <c r="Z25"/>
    </row>
    <row r="26" spans="1:26" x14ac:dyDescent="0.35">
      <c r="A26" s="88" t="s">
        <v>20</v>
      </c>
      <c r="B26" s="88"/>
      <c r="C26" s="88"/>
      <c r="D26" s="88"/>
      <c r="E26" s="117" t="s">
        <v>21</v>
      </c>
      <c r="F26" s="117"/>
      <c r="G26" s="117"/>
      <c r="H26" s="117"/>
      <c r="S26" s="58"/>
      <c r="T26" s="58"/>
      <c r="U26" s="58"/>
      <c r="V26" s="58" t="s">
        <v>205</v>
      </c>
      <c r="W26" s="58" t="s">
        <v>222</v>
      </c>
      <c r="X26"/>
      <c r="Y26"/>
      <c r="Z26"/>
    </row>
    <row r="27" spans="1:26" ht="15.75" customHeight="1" x14ac:dyDescent="0.35">
      <c r="A27" s="88" t="s">
        <v>22</v>
      </c>
      <c r="B27" s="88"/>
      <c r="C27" s="88"/>
      <c r="D27" s="88"/>
      <c r="E27" s="117" t="str">
        <f>IF(AND(G19="Mumbai"),"Developed","Developing")</f>
        <v>Developing</v>
      </c>
      <c r="F27" s="117"/>
      <c r="G27" s="117"/>
      <c r="H27" s="117"/>
    </row>
    <row r="28" spans="1:26" x14ac:dyDescent="0.35">
      <c r="A28" s="88" t="s">
        <v>23</v>
      </c>
      <c r="B28" s="88"/>
      <c r="C28" s="88"/>
      <c r="D28" s="88"/>
      <c r="E28" s="117" t="s">
        <v>24</v>
      </c>
      <c r="F28" s="117"/>
      <c r="G28" s="117"/>
      <c r="H28" s="117"/>
    </row>
    <row r="29" spans="1:26" ht="15.75" customHeight="1" x14ac:dyDescent="0.35">
      <c r="A29" s="88" t="s">
        <v>77</v>
      </c>
      <c r="B29" s="88"/>
      <c r="C29" s="88"/>
      <c r="D29" s="88"/>
      <c r="E29" s="117" t="s">
        <v>78</v>
      </c>
      <c r="F29" s="117"/>
      <c r="G29" s="117"/>
      <c r="H29" s="117"/>
    </row>
    <row r="30" spans="1:26" ht="15" customHeight="1" x14ac:dyDescent="0.35">
      <c r="A30" s="88" t="s">
        <v>32</v>
      </c>
      <c r="B30" s="88"/>
      <c r="C30" s="88"/>
      <c r="D30" s="88"/>
      <c r="E30" s="117"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 + Commercial</v>
      </c>
      <c r="F30" s="117"/>
      <c r="G30" s="117"/>
      <c r="H30" s="117"/>
    </row>
    <row r="31" spans="1:26" ht="15.75" customHeight="1" x14ac:dyDescent="0.35">
      <c r="A31" s="88" t="s">
        <v>89</v>
      </c>
      <c r="B31" s="88"/>
      <c r="C31" s="88"/>
      <c r="D31" s="88"/>
      <c r="E31" s="117" t="s">
        <v>33</v>
      </c>
      <c r="F31" s="117"/>
      <c r="G31" s="117"/>
      <c r="H31" s="117"/>
    </row>
    <row r="32" spans="1:26" s="22" customFormat="1" x14ac:dyDescent="0.35">
      <c r="A32" s="176" t="s">
        <v>90</v>
      </c>
      <c r="B32" s="176"/>
      <c r="C32" s="173" t="s">
        <v>169</v>
      </c>
      <c r="D32" s="173"/>
      <c r="E32" s="173"/>
      <c r="F32" s="173" t="s">
        <v>30</v>
      </c>
      <c r="G32" s="173"/>
      <c r="H32" s="173"/>
    </row>
    <row r="33" spans="1:9" s="22" customFormat="1" x14ac:dyDescent="0.35">
      <c r="A33" s="175" t="s">
        <v>25</v>
      </c>
      <c r="B33" s="175" t="s">
        <v>29</v>
      </c>
      <c r="C33" s="97" t="s">
        <v>270</v>
      </c>
      <c r="D33" s="97"/>
      <c r="E33" s="97"/>
      <c r="F33" s="97" t="s">
        <v>268</v>
      </c>
      <c r="G33" s="97"/>
      <c r="H33" s="97"/>
    </row>
    <row r="34" spans="1:9" x14ac:dyDescent="0.35">
      <c r="A34" s="175" t="s">
        <v>26</v>
      </c>
      <c r="B34" s="175" t="s">
        <v>29</v>
      </c>
      <c r="C34" s="97" t="s">
        <v>244</v>
      </c>
      <c r="D34" s="97"/>
      <c r="E34" s="97"/>
      <c r="F34" s="97" t="s">
        <v>269</v>
      </c>
      <c r="G34" s="97"/>
      <c r="H34" s="97"/>
    </row>
    <row r="35" spans="1:9" s="22" customFormat="1" ht="30" customHeight="1" x14ac:dyDescent="0.35">
      <c r="A35" s="172" t="s">
        <v>28</v>
      </c>
      <c r="B35" s="172" t="s">
        <v>29</v>
      </c>
      <c r="C35" s="172" t="s">
        <v>242</v>
      </c>
      <c r="D35" s="172"/>
      <c r="E35" s="172"/>
      <c r="F35" s="174" t="s">
        <v>240</v>
      </c>
      <c r="G35" s="174"/>
      <c r="H35" s="174"/>
      <c r="I35" s="21"/>
    </row>
    <row r="36" spans="1:9" x14ac:dyDescent="0.35">
      <c r="A36" s="175" t="s">
        <v>27</v>
      </c>
      <c r="B36" s="175" t="s">
        <v>29</v>
      </c>
      <c r="C36" s="177" t="s">
        <v>243</v>
      </c>
      <c r="D36" s="178"/>
      <c r="E36" s="179"/>
      <c r="F36" s="177" t="s">
        <v>241</v>
      </c>
      <c r="G36" s="178"/>
      <c r="H36" s="179"/>
    </row>
    <row r="37" spans="1:9" x14ac:dyDescent="0.35">
      <c r="A37" s="88" t="s">
        <v>31</v>
      </c>
      <c r="B37" s="88"/>
      <c r="C37" s="88"/>
      <c r="D37" s="88"/>
      <c r="E37" s="88"/>
      <c r="F37" s="88"/>
      <c r="G37" s="88"/>
      <c r="H37" s="88"/>
    </row>
    <row r="38" spans="1:9" ht="15.75" customHeight="1" x14ac:dyDescent="0.35">
      <c r="A38" s="181" t="s">
        <v>161</v>
      </c>
      <c r="B38" s="181"/>
      <c r="C38" s="88" t="s">
        <v>234</v>
      </c>
      <c r="D38" s="88"/>
      <c r="E38" s="88"/>
      <c r="F38" s="88"/>
      <c r="G38" s="88"/>
      <c r="H38" s="88"/>
    </row>
    <row r="39" spans="1:9" x14ac:dyDescent="0.35">
      <c r="A39" s="181" t="s">
        <v>159</v>
      </c>
      <c r="B39" s="181"/>
      <c r="C39" s="214" t="s">
        <v>235</v>
      </c>
      <c r="D39" s="117"/>
      <c r="E39" s="117"/>
      <c r="F39" s="117"/>
      <c r="G39" s="117"/>
      <c r="H39" s="117"/>
    </row>
    <row r="40" spans="1:9" x14ac:dyDescent="0.35">
      <c r="A40" s="181" t="s">
        <v>34</v>
      </c>
      <c r="B40" s="181"/>
      <c r="C40" s="181"/>
      <c r="D40" s="181"/>
      <c r="E40" s="181"/>
      <c r="F40" s="181"/>
      <c r="G40" s="181"/>
      <c r="H40" s="181"/>
    </row>
    <row r="41" spans="1:9" x14ac:dyDescent="0.35">
      <c r="A41" s="88" t="s">
        <v>35</v>
      </c>
      <c r="B41" s="88"/>
      <c r="C41" s="88"/>
      <c r="D41" s="88"/>
      <c r="E41" s="180">
        <v>3061.25</v>
      </c>
      <c r="F41" s="180"/>
      <c r="G41" s="180"/>
      <c r="H41" s="180"/>
    </row>
    <row r="42" spans="1:9" x14ac:dyDescent="0.35">
      <c r="A42" s="88" t="s">
        <v>36</v>
      </c>
      <c r="B42" s="88"/>
      <c r="C42" s="88"/>
      <c r="D42" s="88"/>
      <c r="E42" s="104">
        <f>3367.38/E41</f>
        <v>1.1000016333197224</v>
      </c>
      <c r="F42" s="104"/>
      <c r="G42" s="104"/>
      <c r="H42" s="104"/>
      <c r="I42" s="61"/>
    </row>
    <row r="43" spans="1:9" x14ac:dyDescent="0.35">
      <c r="A43" s="88" t="s">
        <v>37</v>
      </c>
      <c r="B43" s="88"/>
      <c r="C43" s="88"/>
      <c r="D43" s="88"/>
      <c r="E43" s="104">
        <f>E45/E41-E42</f>
        <v>1.782268681094324</v>
      </c>
      <c r="F43" s="104"/>
      <c r="G43" s="104"/>
      <c r="H43" s="104"/>
    </row>
    <row r="44" spans="1:9" x14ac:dyDescent="0.35">
      <c r="A44" s="88" t="s">
        <v>38</v>
      </c>
      <c r="B44" s="88"/>
      <c r="C44" s="88"/>
      <c r="D44" s="88"/>
      <c r="E44" s="104">
        <f>E42+E43</f>
        <v>2.8822703144140465</v>
      </c>
      <c r="F44" s="104"/>
      <c r="G44" s="104"/>
      <c r="H44" s="104"/>
    </row>
    <row r="45" spans="1:9" x14ac:dyDescent="0.35">
      <c r="A45" s="88" t="s">
        <v>88</v>
      </c>
      <c r="B45" s="88"/>
      <c r="C45" s="88"/>
      <c r="D45" s="88"/>
      <c r="E45" s="183">
        <v>8823.35</v>
      </c>
      <c r="F45" s="183"/>
      <c r="G45" s="183"/>
      <c r="H45" s="183"/>
    </row>
    <row r="46" spans="1:9" x14ac:dyDescent="0.35">
      <c r="A46" s="118" t="s">
        <v>39</v>
      </c>
      <c r="B46" s="118"/>
      <c r="C46" s="118"/>
      <c r="D46" s="118"/>
      <c r="E46" s="121" t="s">
        <v>264</v>
      </c>
      <c r="F46" s="121"/>
      <c r="G46" s="121"/>
      <c r="H46" s="121"/>
    </row>
    <row r="47" spans="1:9" x14ac:dyDescent="0.35">
      <c r="A47" s="181" t="s">
        <v>40</v>
      </c>
      <c r="B47" s="181"/>
      <c r="C47" s="181"/>
      <c r="D47" s="181"/>
      <c r="E47" s="181"/>
      <c r="F47" s="181"/>
      <c r="G47" s="181"/>
      <c r="H47" s="181"/>
    </row>
    <row r="48" spans="1:9" ht="33.75" customHeight="1" x14ac:dyDescent="0.35">
      <c r="A48" s="112" t="s">
        <v>147</v>
      </c>
      <c r="B48" s="113"/>
      <c r="C48" s="215" t="s">
        <v>245</v>
      </c>
      <c r="D48" s="216"/>
      <c r="E48" s="216"/>
      <c r="F48" s="216"/>
      <c r="G48" s="216"/>
      <c r="H48" s="217"/>
    </row>
    <row r="49" spans="1:14" ht="14.5" customHeight="1" x14ac:dyDescent="0.35">
      <c r="A49" s="112" t="s">
        <v>41</v>
      </c>
      <c r="B49" s="113"/>
      <c r="C49" s="112" t="s">
        <v>246</v>
      </c>
      <c r="D49" s="114"/>
      <c r="E49" s="113"/>
      <c r="F49" s="18" t="s">
        <v>42</v>
      </c>
      <c r="G49" s="115">
        <v>44448</v>
      </c>
      <c r="H49" s="113"/>
    </row>
    <row r="50" spans="1:14" ht="49.5" customHeight="1" x14ac:dyDescent="0.35">
      <c r="A50" s="112" t="s">
        <v>282</v>
      </c>
      <c r="B50" s="113"/>
      <c r="C50" s="112" t="str">
        <f>C49</f>
        <v>MBMNP/NR/1773/2021-22</v>
      </c>
      <c r="D50" s="114"/>
      <c r="E50" s="113"/>
      <c r="F50" s="18" t="s">
        <v>42</v>
      </c>
      <c r="G50" s="115">
        <f>G49</f>
        <v>44448</v>
      </c>
      <c r="H50" s="113"/>
    </row>
    <row r="51" spans="1:14" ht="52.5" customHeight="1" x14ac:dyDescent="0.35">
      <c r="A51" s="112" t="s">
        <v>281</v>
      </c>
      <c r="B51" s="113"/>
      <c r="C51" s="112" t="s">
        <v>279</v>
      </c>
      <c r="D51" s="114"/>
      <c r="E51" s="113"/>
      <c r="F51" s="18" t="s">
        <v>42</v>
      </c>
      <c r="G51" s="115">
        <v>45230</v>
      </c>
      <c r="H51" s="113"/>
    </row>
    <row r="52" spans="1:14" s="23" customFormat="1" ht="15.75" customHeight="1" x14ac:dyDescent="0.35">
      <c r="A52" s="189" t="s">
        <v>151</v>
      </c>
      <c r="B52" s="190"/>
      <c r="C52" s="112" t="s">
        <v>275</v>
      </c>
      <c r="D52" s="114"/>
      <c r="E52" s="113"/>
      <c r="F52" s="18" t="s">
        <v>42</v>
      </c>
      <c r="G52" s="115">
        <v>45230</v>
      </c>
      <c r="H52" s="113"/>
    </row>
    <row r="53" spans="1:14" s="23" customFormat="1" ht="34" customHeight="1" x14ac:dyDescent="0.35">
      <c r="A53" s="191"/>
      <c r="B53" s="192"/>
      <c r="C53" s="112" t="s">
        <v>276</v>
      </c>
      <c r="D53" s="114"/>
      <c r="E53" s="114"/>
      <c r="F53" s="114"/>
      <c r="G53" s="114"/>
      <c r="H53" s="113"/>
    </row>
    <row r="54" spans="1:14" x14ac:dyDescent="0.35">
      <c r="A54" s="89" t="s">
        <v>43</v>
      </c>
      <c r="B54" s="90"/>
      <c r="C54" s="89" t="s">
        <v>102</v>
      </c>
      <c r="D54" s="91"/>
      <c r="E54" s="90"/>
      <c r="F54" s="45" t="s">
        <v>42</v>
      </c>
      <c r="G54" s="119" t="s">
        <v>29</v>
      </c>
      <c r="H54" s="120"/>
    </row>
    <row r="55" spans="1:14" x14ac:dyDescent="0.35">
      <c r="A55" s="116" t="s">
        <v>45</v>
      </c>
      <c r="B55" s="116"/>
      <c r="C55" s="116"/>
      <c r="D55" s="116"/>
      <c r="E55" s="116"/>
      <c r="F55" s="116"/>
      <c r="G55" s="116"/>
      <c r="H55" s="116"/>
    </row>
    <row r="56" spans="1:14" x14ac:dyDescent="0.35">
      <c r="A56" s="95" t="s">
        <v>87</v>
      </c>
      <c r="B56" s="95"/>
      <c r="C56" s="95"/>
      <c r="D56" s="88">
        <f>E45</f>
        <v>8823.35</v>
      </c>
      <c r="E56" s="88"/>
      <c r="F56" s="88"/>
      <c r="G56" s="88"/>
      <c r="H56" s="88"/>
    </row>
    <row r="57" spans="1:14" x14ac:dyDescent="0.35">
      <c r="A57" s="117" t="s">
        <v>46</v>
      </c>
      <c r="B57" s="118"/>
      <c r="C57" s="118"/>
      <c r="D57" s="118" t="s">
        <v>285</v>
      </c>
      <c r="E57" s="118"/>
      <c r="F57" s="118"/>
      <c r="G57" s="118"/>
      <c r="H57" s="118"/>
      <c r="I57" s="24"/>
    </row>
    <row r="58" spans="1:14" ht="34.5" customHeight="1" x14ac:dyDescent="0.35">
      <c r="A58" s="186" t="s">
        <v>47</v>
      </c>
      <c r="B58" s="187"/>
      <c r="C58" s="188"/>
      <c r="D58" s="184" t="s">
        <v>283</v>
      </c>
      <c r="E58" s="185"/>
      <c r="F58" s="185"/>
      <c r="G58" s="185"/>
      <c r="H58" s="185"/>
    </row>
    <row r="59" spans="1:14" ht="15.75" customHeight="1" x14ac:dyDescent="0.35">
      <c r="A59" s="117" t="s">
        <v>85</v>
      </c>
      <c r="B59" s="117"/>
      <c r="C59" s="117"/>
      <c r="D59" s="121" t="s">
        <v>277</v>
      </c>
      <c r="E59" s="121"/>
      <c r="F59" s="121"/>
      <c r="G59" s="121"/>
      <c r="H59" s="121"/>
      <c r="I59" s="21" t="s">
        <v>273</v>
      </c>
    </row>
    <row r="60" spans="1:14" ht="15.75" customHeight="1" x14ac:dyDescent="0.35">
      <c r="A60" s="117"/>
      <c r="B60" s="117"/>
      <c r="C60" s="117"/>
      <c r="D60" s="121" t="s">
        <v>278</v>
      </c>
      <c r="E60" s="121"/>
      <c r="F60" s="121"/>
      <c r="G60" s="121"/>
      <c r="H60" s="121"/>
    </row>
    <row r="61" spans="1:14" ht="15.75" customHeight="1" x14ac:dyDescent="0.35">
      <c r="A61" s="88" t="s">
        <v>44</v>
      </c>
      <c r="B61" s="88"/>
      <c r="C61" s="88"/>
      <c r="D61" s="95" t="s">
        <v>247</v>
      </c>
      <c r="E61" s="95"/>
      <c r="F61" s="95"/>
      <c r="G61" s="95"/>
      <c r="H61" s="95"/>
      <c r="J61" s="25"/>
      <c r="K61" s="24"/>
      <c r="N61" s="24"/>
    </row>
    <row r="62" spans="1:14" ht="15.75" customHeight="1" x14ac:dyDescent="0.35">
      <c r="A62" s="88" t="s">
        <v>83</v>
      </c>
      <c r="B62" s="88"/>
      <c r="C62" s="88"/>
      <c r="D62" s="182" t="str">
        <f>(IF(G54="NA","60 Years After Completion",IF(G54&lt;&gt;"NA",""&amp;60-ROUNDDOWN((E3-G54)/360,0)&amp;" Years"," ")))</f>
        <v>60 Years After Completion</v>
      </c>
      <c r="E62" s="182"/>
      <c r="F62" s="182"/>
      <c r="G62" s="182"/>
      <c r="H62" s="182"/>
      <c r="N62" s="24"/>
    </row>
    <row r="63" spans="1:14" ht="15.75" customHeight="1" x14ac:dyDescent="0.35">
      <c r="A63" s="88" t="s">
        <v>84</v>
      </c>
      <c r="B63" s="88"/>
      <c r="C63" s="88"/>
      <c r="D63" s="95" t="s">
        <v>24</v>
      </c>
      <c r="E63" s="95"/>
      <c r="F63" s="95"/>
      <c r="G63" s="95"/>
      <c r="H63" s="95"/>
      <c r="J63" s="26"/>
      <c r="K63" s="26"/>
    </row>
    <row r="64" spans="1:14" ht="84" customHeight="1" x14ac:dyDescent="0.35">
      <c r="A64" s="121" t="s">
        <v>249</v>
      </c>
      <c r="B64" s="121"/>
      <c r="C64" s="121"/>
      <c r="D64" s="117" t="s">
        <v>248</v>
      </c>
      <c r="E64" s="95"/>
      <c r="F64" s="95"/>
      <c r="G64" s="95"/>
      <c r="H64" s="95"/>
    </row>
    <row r="65" spans="1:14" x14ac:dyDescent="0.35">
      <c r="A65" s="95" t="s">
        <v>144</v>
      </c>
      <c r="B65" s="95"/>
      <c r="C65" s="95"/>
      <c r="D65" s="95" t="s">
        <v>29</v>
      </c>
      <c r="E65" s="95"/>
      <c r="F65" s="95"/>
      <c r="G65" s="95"/>
      <c r="H65" s="95"/>
      <c r="I65" s="27"/>
      <c r="J65" s="27"/>
      <c r="K65" s="27"/>
      <c r="L65" s="27"/>
      <c r="M65" s="27"/>
      <c r="N65" s="27"/>
    </row>
    <row r="66" spans="1:14" ht="15.75" customHeight="1" x14ac:dyDescent="0.35">
      <c r="A66" s="96" t="s">
        <v>82</v>
      </c>
      <c r="B66" s="96"/>
      <c r="C66" s="96"/>
      <c r="D66" s="166" t="str">
        <f ca="1">(IF(G72&gt;95%,"Nothing",IF(G72&gt;0%,"Cement, Aggregate, Steel, etc",IF(G72=0%,"Work not yet Started"))))</f>
        <v>Cement, Aggregate, Steel, etc</v>
      </c>
      <c r="E66" s="166"/>
      <c r="F66" s="166"/>
      <c r="G66" s="166"/>
      <c r="H66" s="166"/>
      <c r="J66" s="26"/>
    </row>
    <row r="67" spans="1:14" ht="33.75" customHeight="1" thickBot="1" x14ac:dyDescent="0.4">
      <c r="A67" s="165" t="s">
        <v>115</v>
      </c>
      <c r="B67" s="165"/>
      <c r="C67" s="165"/>
      <c r="D67" s="166" t="str">
        <f ca="1">(IF(D66="Nothing","Yes",IF(D66="Cement, Aggregate, Steel, etc","Under Construction",IF(D66="Work not yet Started","Work not yet Started"))))</f>
        <v>Under Construction</v>
      </c>
      <c r="E67" s="166"/>
      <c r="F67" s="166" t="str">
        <f ca="1">(IF(D66="Nothing","Yes",IF(D66="Cement, Aggregate, Steel, etc","Under Construction",IF(D66="Work not yet Started","Work not yet Started"))))</f>
        <v>Under Construction</v>
      </c>
      <c r="G67" s="166"/>
      <c r="H67" s="166"/>
    </row>
    <row r="68" spans="1:14" ht="15.75" customHeight="1" x14ac:dyDescent="0.35">
      <c r="A68" s="105" t="s">
        <v>136</v>
      </c>
      <c r="B68" s="106"/>
      <c r="C68" s="107" t="str">
        <f>D59</f>
        <v>Wing A = Gr/St + P1 to P4 + 1st to 19th Floor</v>
      </c>
      <c r="D68" s="108"/>
      <c r="E68" s="108"/>
      <c r="F68" s="108"/>
      <c r="G68" s="108"/>
      <c r="H68" s="109"/>
      <c r="I68" s="49" t="str">
        <f ca="1">IF(D81=100%,"All work Completed. Possession granted to the Building.",IF(D80=100%,"All work Completed, Waiting for OC",I69&amp;""&amp;I70&amp;""&amp;J69&amp;""&amp;J68&amp;" "&amp;J70))</f>
        <v>Excavation, Plinth Completed, RCC upto 23 Slab, Brickwork upto 18 Floor, Internal Plaster upto 12.6 Floor, External Plaster upto 12.6 Floor Completed</v>
      </c>
      <c r="J68" s="50" t="str">
        <f ca="1">(IF(C74=(D69+F69+H69),"",IF(C74&gt;0,",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RCC upto 23 Slab, Brickwork upto 18 Floor, Internal Plaster upto 12.6 Floor, External Plaster upto 12.6 Floor</v>
      </c>
    </row>
    <row r="69" spans="1:14" x14ac:dyDescent="0.35">
      <c r="A69" s="16" t="s">
        <v>138</v>
      </c>
      <c r="B69" s="53">
        <f>IF(AND(ISNUMBER(SEARCH("1B",C68))),1,IF(AND(ISNUMBER(SEARCH("2B",C68))),2,IF(AND(ISNUMBER(SEARCH("3B",C68))),3,IF(AND(ISNUMBER(SEARCH("4B",C68))),4,IF(ISNUMBER(SEARCH("5B",C68)),5,0)))))</f>
        <v>0</v>
      </c>
      <c r="C69" s="47" t="s">
        <v>69</v>
      </c>
      <c r="D69" s="47">
        <v>1</v>
      </c>
      <c r="E69" s="47" t="s">
        <v>68</v>
      </c>
      <c r="F69" s="62">
        <v>4</v>
      </c>
      <c r="G69" s="48" t="s">
        <v>76</v>
      </c>
      <c r="H69" s="17">
        <f ca="1">--TRIM(RIGHT(SUBSTITUTE(LEFT(C68,_xlfn.AGGREGATE(16,6,FIND({0,1,2,3,4,5,6,7,8,9},C68,ROW(INDIRECT("1:"&amp;LEN(C68)))),1))," ",REPT(" ",LEN(C68))),LEN(C68)))</f>
        <v>19</v>
      </c>
      <c r="I69" s="51" t="str">
        <f ca="1">IF(D72=100%,"Excavation","")&amp;IF(D73=100%,", Plinth","")&amp;IF(D74=100%,", RCC Slab","")&amp;IF(D75=100%,", Brickwork","")&amp;IF(D76=100%,", Internal Plaster","")&amp;IF(D77=100%,", External Plaster","")&amp;IF(D78=100%,", Flooring","")&amp;IF(D79=100%,", Painting","")&amp;IF(D80=100%,", Building common Amenities","")</f>
        <v>Excavation, Plinth</v>
      </c>
      <c r="J69" s="52" t="str">
        <f ca="1">(IF(C72=0,"Work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
      </c>
    </row>
    <row r="70" spans="1:14" ht="30.5" customHeight="1" x14ac:dyDescent="0.35">
      <c r="A70" s="122" t="s">
        <v>86</v>
      </c>
      <c r="B70" s="123"/>
      <c r="C70" s="225" t="str">
        <f ca="1">I68</f>
        <v>Excavation, Plinth Completed, RCC upto 23 Slab, Brickwork upto 18 Floor, Internal Plaster upto 12.6 Floor, External Plaster upto 12.6 Floor Completed</v>
      </c>
      <c r="D70" s="225"/>
      <c r="E70" s="225"/>
      <c r="F70" s="225"/>
      <c r="G70" s="225"/>
      <c r="H70" s="226"/>
      <c r="I70" s="51" t="str">
        <f ca="1">IF(I69&lt;&gt;""," Completed","")</f>
        <v xml:space="preserve"> Completed</v>
      </c>
      <c r="J70" s="52" t="str">
        <f ca="1">IF(J68&lt;&gt;"","Completed","")</f>
        <v>Completed</v>
      </c>
    </row>
    <row r="71" spans="1:14" ht="15.75" customHeight="1" x14ac:dyDescent="0.35">
      <c r="A71" s="110" t="s">
        <v>48</v>
      </c>
      <c r="B71" s="111"/>
      <c r="C71" s="43" t="s">
        <v>135</v>
      </c>
      <c r="D71" s="43" t="s">
        <v>79</v>
      </c>
      <c r="E71" s="111" t="s">
        <v>81</v>
      </c>
      <c r="F71" s="111"/>
      <c r="G71" s="111" t="s">
        <v>80</v>
      </c>
      <c r="H71" s="139"/>
      <c r="I71" s="14" t="s">
        <v>137</v>
      </c>
      <c r="J71" s="28">
        <f ca="1">H69*25%</f>
        <v>4.75</v>
      </c>
    </row>
    <row r="72" spans="1:14" x14ac:dyDescent="0.35">
      <c r="A72" s="110" t="s">
        <v>124</v>
      </c>
      <c r="B72" s="111"/>
      <c r="C72" s="43">
        <f ca="1">J73</f>
        <v>19</v>
      </c>
      <c r="D72" s="19">
        <f ca="1">((100/H69)*C72)/100</f>
        <v>1</v>
      </c>
      <c r="E72" s="140">
        <f ca="1">(((C73/H69*10)+(40/(D69+F69+H69)*C74)+(7.5/(H69)*C75)+(7.5/(H69)*C76)+(10/H69*C77)+(10/H69*C78)+(5/H69*C79)+(5/H69*C80)+(5/H69*C81))/100)</f>
        <v>0.67043859649122806</v>
      </c>
      <c r="F72" s="141"/>
      <c r="G72" s="140">
        <f ca="1">((((C72/H69)*20)+((C73/H69)*25)+(30/(H69+F69+D69)*C74)+(5/H69*C75)+(5/H69*C76)+(5/H69*C77)+(5/H69*C78)+(0/H69*C79)+(0/H69*C80)+(5/H69*C81))/100)</f>
        <v>0.85118421052631565</v>
      </c>
      <c r="H72" s="202"/>
      <c r="I72" s="14" t="s">
        <v>97</v>
      </c>
      <c r="J72" s="29">
        <f ca="1">H69*50%</f>
        <v>9.5</v>
      </c>
    </row>
    <row r="73" spans="1:14" x14ac:dyDescent="0.35">
      <c r="A73" s="110" t="s">
        <v>49</v>
      </c>
      <c r="B73" s="111"/>
      <c r="C73" s="55">
        <f ca="1">J81</f>
        <v>19</v>
      </c>
      <c r="D73" s="19">
        <f ca="1">((100/H69)*C73)/100</f>
        <v>1</v>
      </c>
      <c r="E73" s="142"/>
      <c r="F73" s="143"/>
      <c r="G73" s="142"/>
      <c r="H73" s="203"/>
      <c r="I73" s="14" t="s">
        <v>98</v>
      </c>
      <c r="J73" s="29">
        <f ca="1">H69</f>
        <v>19</v>
      </c>
    </row>
    <row r="74" spans="1:14" ht="15.75" customHeight="1" x14ac:dyDescent="0.35">
      <c r="A74" s="110" t="s">
        <v>125</v>
      </c>
      <c r="B74" s="111"/>
      <c r="C74" s="43">
        <f>F69+19</f>
        <v>23</v>
      </c>
      <c r="D74" s="19">
        <f ca="1">((100/(D69+F69+H69))*C74)/100</f>
        <v>0.95833333333333348</v>
      </c>
      <c r="E74" s="142"/>
      <c r="F74" s="143"/>
      <c r="G74" s="142"/>
      <c r="H74" s="203"/>
      <c r="I74" s="14" t="s">
        <v>99</v>
      </c>
      <c r="J74" s="30">
        <f ca="1">(IF(B69&gt;1,(H69/(B69+2)),H69/4))</f>
        <v>4.75</v>
      </c>
    </row>
    <row r="75" spans="1:14" ht="15.75" customHeight="1" x14ac:dyDescent="0.35">
      <c r="A75" s="110" t="s">
        <v>132</v>
      </c>
      <c r="B75" s="111" t="s">
        <v>126</v>
      </c>
      <c r="C75" s="43">
        <f>C74-F69-1</f>
        <v>18</v>
      </c>
      <c r="D75" s="19">
        <f ca="1">((100/H69)*C75)/100</f>
        <v>0.94736842105263164</v>
      </c>
      <c r="E75" s="142"/>
      <c r="F75" s="143"/>
      <c r="G75" s="142"/>
      <c r="H75" s="203"/>
      <c r="I75" s="14" t="s">
        <v>100</v>
      </c>
      <c r="J75" s="30">
        <f ca="1">(IF(B69&gt;1,(H69/(B69+2)+J74),H69/4+J74))</f>
        <v>9.5</v>
      </c>
    </row>
    <row r="76" spans="1:14" ht="15.75" customHeight="1" x14ac:dyDescent="0.35">
      <c r="A76" s="110" t="s">
        <v>133</v>
      </c>
      <c r="B76" s="111" t="s">
        <v>126</v>
      </c>
      <c r="C76" s="55">
        <f>C75*0.7</f>
        <v>12.6</v>
      </c>
      <c r="D76" s="19">
        <f ca="1">((100/H69)*C76)/100</f>
        <v>0.66315789473684217</v>
      </c>
      <c r="E76" s="142"/>
      <c r="F76" s="143"/>
      <c r="G76" s="142"/>
      <c r="H76" s="203"/>
      <c r="I76" s="14" t="s">
        <v>142</v>
      </c>
      <c r="J76" s="30">
        <f>(IF(B69&gt;1,(H69/(B69+2)+J75),0))</f>
        <v>0</v>
      </c>
    </row>
    <row r="77" spans="1:14" ht="15" customHeight="1" x14ac:dyDescent="0.35">
      <c r="A77" s="110" t="s">
        <v>131</v>
      </c>
      <c r="B77" s="111" t="s">
        <v>128</v>
      </c>
      <c r="C77" s="55">
        <f>C76</f>
        <v>12.6</v>
      </c>
      <c r="D77" s="19">
        <f ca="1">((100/(H69))*C77)/100</f>
        <v>0.66315789473684217</v>
      </c>
      <c r="E77" s="142"/>
      <c r="F77" s="143"/>
      <c r="G77" s="142"/>
      <c r="H77" s="203"/>
      <c r="I77" s="14" t="s">
        <v>139</v>
      </c>
      <c r="J77" s="30">
        <f>(IF(B69&gt;2,(H69/(B69+2)+J76),0))</f>
        <v>0</v>
      </c>
    </row>
    <row r="78" spans="1:14" ht="15.75" customHeight="1" x14ac:dyDescent="0.35">
      <c r="A78" s="110" t="s">
        <v>127</v>
      </c>
      <c r="B78" s="111" t="s">
        <v>127</v>
      </c>
      <c r="C78" s="43">
        <v>0</v>
      </c>
      <c r="D78" s="19">
        <f ca="1">((100/H69)*C78)/100</f>
        <v>0</v>
      </c>
      <c r="E78" s="142"/>
      <c r="F78" s="143"/>
      <c r="G78" s="142"/>
      <c r="H78" s="203"/>
      <c r="I78" s="14" t="s">
        <v>140</v>
      </c>
      <c r="J78" s="31">
        <f>(IF(B69&gt;3,(H69/(B69+2)+J77),0))</f>
        <v>0</v>
      </c>
    </row>
    <row r="79" spans="1:14" ht="15.75" customHeight="1" x14ac:dyDescent="0.35">
      <c r="A79" s="110" t="s">
        <v>134</v>
      </c>
      <c r="B79" s="111"/>
      <c r="C79" s="43">
        <v>0</v>
      </c>
      <c r="D79" s="19">
        <f ca="1">((100/H69)*C79)/100</f>
        <v>0</v>
      </c>
      <c r="E79" s="142"/>
      <c r="F79" s="143"/>
      <c r="G79" s="142"/>
      <c r="H79" s="203"/>
      <c r="I79" s="14" t="s">
        <v>141</v>
      </c>
      <c r="J79" s="30">
        <f>(IF(B69&gt;4,(H69/(B69+2)+J78),0))</f>
        <v>0</v>
      </c>
    </row>
    <row r="80" spans="1:14" ht="15.75" customHeight="1" x14ac:dyDescent="0.35">
      <c r="A80" s="110" t="s">
        <v>129</v>
      </c>
      <c r="B80" s="111" t="s">
        <v>129</v>
      </c>
      <c r="C80" s="43">
        <v>0</v>
      </c>
      <c r="D80" s="19">
        <f ca="1">((100/(H69))*C80)/100</f>
        <v>0</v>
      </c>
      <c r="E80" s="142"/>
      <c r="F80" s="143"/>
      <c r="G80" s="142"/>
      <c r="H80" s="203"/>
      <c r="I80" s="14" t="s">
        <v>143</v>
      </c>
      <c r="J80" s="30">
        <f ca="1">(IF(B69=1,(H69/(B69+3)+J75),IF(B69=0,(H69/4+J75),IF(B69&gt;1,0))))</f>
        <v>14.25</v>
      </c>
    </row>
    <row r="81" spans="1:10" ht="16" thickBot="1" x14ac:dyDescent="0.4">
      <c r="A81" s="205" t="s">
        <v>130</v>
      </c>
      <c r="B81" s="206"/>
      <c r="C81" s="44">
        <v>0</v>
      </c>
      <c r="D81" s="20">
        <f ca="1">((100/(H69))*C81)/100</f>
        <v>0</v>
      </c>
      <c r="E81" s="200"/>
      <c r="F81" s="201"/>
      <c r="G81" s="200"/>
      <c r="H81" s="204"/>
      <c r="I81" s="15" t="s">
        <v>101</v>
      </c>
      <c r="J81" s="32">
        <f ca="1">(IF(B69&gt;1.5,(H69/(B69+2)+J75+MAX(0,J76-J75)+MAX(0,J77-J76)+MAX(0,J78-J77)+MAX(0,J79-J78)+MAX(0,J80-J79)),IF(B69=1,(H69/(B69+3)+J80),IF(B69=0,H69/4+J80))))</f>
        <v>19</v>
      </c>
    </row>
    <row r="82" spans="1:10" ht="15.75" customHeight="1" x14ac:dyDescent="0.35">
      <c r="A82" s="105" t="s">
        <v>136</v>
      </c>
      <c r="B82" s="106"/>
      <c r="C82" s="107" t="str">
        <f>D60</f>
        <v>Wing B = Gr/St + P1 to P4 + 1st to 19th Floor</v>
      </c>
      <c r="D82" s="108"/>
      <c r="E82" s="108"/>
      <c r="F82" s="108"/>
      <c r="G82" s="108"/>
      <c r="H82" s="109"/>
      <c r="I82" s="49" t="str">
        <f ca="1">IF(D95=100%,"All work Completed. Possession granted to the Building.",IF(D94=100%,"All work Completed, Waiting for OC",I83&amp;""&amp;I84&amp;""&amp;J83&amp;""&amp;J82&amp;" "&amp;J84))</f>
        <v>Excavation, Plinth Completed, RCC upto 4 Slab Completed</v>
      </c>
      <c r="J82" s="50"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RCC upto 4 Slab</v>
      </c>
    </row>
    <row r="83" spans="1:10" x14ac:dyDescent="0.35">
      <c r="A83" s="16" t="s">
        <v>138</v>
      </c>
      <c r="B83" s="54">
        <f>IF(AND(ISNUMBER(SEARCH("1B",C82))),1,IF(AND(ISNUMBER(SEARCH("2B",C82))),2,IF(AND(ISNUMBER(SEARCH("3B",C82))),3,IF(AND(ISNUMBER(SEARCH("4B",C82))),4,IF(ISNUMBER(SEARCH("5B",C82)),5,0)))))</f>
        <v>0</v>
      </c>
      <c r="C83" s="47" t="s">
        <v>69</v>
      </c>
      <c r="D83" s="47">
        <v>1</v>
      </c>
      <c r="E83" s="47" t="s">
        <v>68</v>
      </c>
      <c r="F83" s="62">
        <v>4</v>
      </c>
      <c r="G83" s="48" t="s">
        <v>76</v>
      </c>
      <c r="H83" s="17">
        <f ca="1">--TRIM(RIGHT(SUBSTITUTE(LEFT(C82,_xlfn.AGGREGATE(16,6,FIND({0,1,2,3,4,5,6,7,8,9},C82,ROW(INDIRECT("1:"&amp;LEN(C82)))),1))," ",REPT(" ",LEN(C82))),LEN(C82)))</f>
        <v>19</v>
      </c>
      <c r="I83" s="51" t="str">
        <f ca="1">IF(D86=100%,"Excavation","")&amp;IF(D87=100%,", Plinth","")&amp;IF(D88=100%,", RCC Slab","")&amp;IF(D89=100%,", Brickwork","")&amp;IF(D90=100%,", Internal Plaster","")&amp;IF(D91=100%,", External Plaster","")&amp;IF(D92=100%,", Flooring","")&amp;IF(D93=100%,", Painting","")&amp;IF(D94=100%,", Building common Amenities","")</f>
        <v>Excavation, Plinth</v>
      </c>
      <c r="J83" s="52" t="str">
        <f ca="1">(IF(C86=0,"Work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
      </c>
    </row>
    <row r="84" spans="1:10" x14ac:dyDescent="0.35">
      <c r="A84" s="122" t="s">
        <v>86</v>
      </c>
      <c r="B84" s="123"/>
      <c r="C84" s="225" t="str">
        <f ca="1">(IF($G$54="NA",I82,"All work Completed. OC Received."))</f>
        <v>Excavation, Plinth Completed, RCC upto 4 Slab Completed</v>
      </c>
      <c r="D84" s="225"/>
      <c r="E84" s="225"/>
      <c r="F84" s="225"/>
      <c r="G84" s="225"/>
      <c r="H84" s="226"/>
      <c r="I84" s="51" t="str">
        <f ca="1">IF(I83&lt;&gt;""," Completed","")</f>
        <v xml:space="preserve"> Completed</v>
      </c>
      <c r="J84" s="52" t="str">
        <f ca="1">IF(J82&lt;&gt;"","Completed","")</f>
        <v>Completed</v>
      </c>
    </row>
    <row r="85" spans="1:10" ht="15.75" customHeight="1" x14ac:dyDescent="0.35">
      <c r="A85" s="110" t="s">
        <v>48</v>
      </c>
      <c r="B85" s="111"/>
      <c r="C85" s="43" t="s">
        <v>135</v>
      </c>
      <c r="D85" s="43" t="s">
        <v>79</v>
      </c>
      <c r="E85" s="111" t="s">
        <v>81</v>
      </c>
      <c r="F85" s="111"/>
      <c r="G85" s="111" t="s">
        <v>80</v>
      </c>
      <c r="H85" s="139"/>
      <c r="I85" s="14" t="s">
        <v>137</v>
      </c>
      <c r="J85" s="28">
        <f ca="1">H83*25%</f>
        <v>4.75</v>
      </c>
    </row>
    <row r="86" spans="1:10" x14ac:dyDescent="0.35">
      <c r="A86" s="110" t="s">
        <v>124</v>
      </c>
      <c r="B86" s="111"/>
      <c r="C86" s="43">
        <f ca="1">J87</f>
        <v>19</v>
      </c>
      <c r="D86" s="19">
        <f ca="1">((100/H83)*C86)/100</f>
        <v>1</v>
      </c>
      <c r="E86" s="140">
        <f ca="1">(((C87/H83*10)+(40/(D83+F83+H83)*C88)+(7.5/(H83)*C89)+(7.5/(H83)*C90)+(10/H83*C91)+(10/H83*C92)+(5/H83*C93)+(5/H83*C94)+(5/H83*C95))/100)</f>
        <v>0.16666666666666669</v>
      </c>
      <c r="F86" s="141"/>
      <c r="G86" s="140">
        <f ca="1">((((C86/H83)*20)+((C87/H83)*25)+(30/(H83+F83+D83)*C88)+(5/H83*C89)+(5/H83*C90)+(5/H83*C91)+(5/H83*C92)+(0/H83*C93)+(0/H83*C94)+(5/H83*C95))/100)</f>
        <v>0.5</v>
      </c>
      <c r="H86" s="202"/>
      <c r="I86" s="14" t="s">
        <v>97</v>
      </c>
      <c r="J86" s="29">
        <f ca="1">H83*50%</f>
        <v>9.5</v>
      </c>
    </row>
    <row r="87" spans="1:10" x14ac:dyDescent="0.35">
      <c r="A87" s="110" t="s">
        <v>49</v>
      </c>
      <c r="B87" s="111"/>
      <c r="C87" s="55">
        <f ca="1">J95</f>
        <v>19</v>
      </c>
      <c r="D87" s="19">
        <f ca="1">((100/H83)*C87)/100</f>
        <v>1</v>
      </c>
      <c r="E87" s="142"/>
      <c r="F87" s="143"/>
      <c r="G87" s="142"/>
      <c r="H87" s="203"/>
      <c r="I87" s="14" t="s">
        <v>98</v>
      </c>
      <c r="J87" s="29">
        <f ca="1">H83</f>
        <v>19</v>
      </c>
    </row>
    <row r="88" spans="1:10" ht="15.75" customHeight="1" x14ac:dyDescent="0.35">
      <c r="A88" s="110" t="s">
        <v>125</v>
      </c>
      <c r="B88" s="111"/>
      <c r="C88" s="43">
        <v>4</v>
      </c>
      <c r="D88" s="19">
        <f ca="1">((100/(D83+F83+H83))*C88)/100</f>
        <v>0.16666666666666669</v>
      </c>
      <c r="E88" s="142"/>
      <c r="F88" s="143"/>
      <c r="G88" s="142"/>
      <c r="H88" s="203"/>
      <c r="I88" s="14" t="s">
        <v>99</v>
      </c>
      <c r="J88" s="30">
        <f ca="1">(IF(B83&gt;1,(H83/(B83+2)),H83/4))</f>
        <v>4.75</v>
      </c>
    </row>
    <row r="89" spans="1:10" ht="15.75" customHeight="1" x14ac:dyDescent="0.35">
      <c r="A89" s="110" t="s">
        <v>132</v>
      </c>
      <c r="B89" s="111" t="s">
        <v>126</v>
      </c>
      <c r="C89" s="43">
        <v>0</v>
      </c>
      <c r="D89" s="19">
        <f ca="1">((100/H83)*C89)/100</f>
        <v>0</v>
      </c>
      <c r="E89" s="142"/>
      <c r="F89" s="143"/>
      <c r="G89" s="142"/>
      <c r="H89" s="203"/>
      <c r="I89" s="14" t="s">
        <v>100</v>
      </c>
      <c r="J89" s="30">
        <f ca="1">(IF(B83&gt;1,(H83/(B83+2)+J88),H83/4+J88))</f>
        <v>9.5</v>
      </c>
    </row>
    <row r="90" spans="1:10" ht="15.75" customHeight="1" x14ac:dyDescent="0.35">
      <c r="A90" s="110" t="s">
        <v>133</v>
      </c>
      <c r="B90" s="111" t="s">
        <v>126</v>
      </c>
      <c r="C90" s="43">
        <v>0</v>
      </c>
      <c r="D90" s="19">
        <f ca="1">((100/H83)*C90)/100</f>
        <v>0</v>
      </c>
      <c r="E90" s="142"/>
      <c r="F90" s="143"/>
      <c r="G90" s="142"/>
      <c r="H90" s="203"/>
      <c r="I90" s="14" t="s">
        <v>142</v>
      </c>
      <c r="J90" s="30">
        <f>(IF(B83&gt;1,(H83/(B83+2)+J89),0))</f>
        <v>0</v>
      </c>
    </row>
    <row r="91" spans="1:10" ht="15" customHeight="1" x14ac:dyDescent="0.35">
      <c r="A91" s="110" t="s">
        <v>131</v>
      </c>
      <c r="B91" s="111" t="s">
        <v>128</v>
      </c>
      <c r="C91" s="43">
        <v>0</v>
      </c>
      <c r="D91" s="19">
        <f ca="1">((100/(H83))*C91)/100</f>
        <v>0</v>
      </c>
      <c r="E91" s="142"/>
      <c r="F91" s="143"/>
      <c r="G91" s="142"/>
      <c r="H91" s="203"/>
      <c r="I91" s="14" t="s">
        <v>139</v>
      </c>
      <c r="J91" s="30">
        <f>(IF(B83&gt;2,(H83/(B83+2)+J90),0))</f>
        <v>0</v>
      </c>
    </row>
    <row r="92" spans="1:10" ht="15.75" customHeight="1" x14ac:dyDescent="0.35">
      <c r="A92" s="110" t="s">
        <v>127</v>
      </c>
      <c r="B92" s="111" t="s">
        <v>127</v>
      </c>
      <c r="C92" s="43">
        <v>0</v>
      </c>
      <c r="D92" s="19">
        <f ca="1">((100/H83)*C92)/100</f>
        <v>0</v>
      </c>
      <c r="E92" s="142"/>
      <c r="F92" s="143"/>
      <c r="G92" s="142"/>
      <c r="H92" s="203"/>
      <c r="I92" s="14" t="s">
        <v>140</v>
      </c>
      <c r="J92" s="31">
        <f>(IF(B83&gt;3,(H83/(B83+2)+J91),0))</f>
        <v>0</v>
      </c>
    </row>
    <row r="93" spans="1:10" ht="15.75" customHeight="1" x14ac:dyDescent="0.35">
      <c r="A93" s="110" t="s">
        <v>134</v>
      </c>
      <c r="B93" s="111"/>
      <c r="C93" s="43">
        <v>0</v>
      </c>
      <c r="D93" s="19">
        <f ca="1">((100/H83)*C93)/100</f>
        <v>0</v>
      </c>
      <c r="E93" s="142"/>
      <c r="F93" s="143"/>
      <c r="G93" s="142"/>
      <c r="H93" s="203"/>
      <c r="I93" s="14" t="s">
        <v>141</v>
      </c>
      <c r="J93" s="30">
        <f>(IF(B83&gt;4,(H83/(B83+2)+J92),0))</f>
        <v>0</v>
      </c>
    </row>
    <row r="94" spans="1:10" ht="15.75" customHeight="1" x14ac:dyDescent="0.35">
      <c r="A94" s="110" t="s">
        <v>129</v>
      </c>
      <c r="B94" s="111" t="s">
        <v>129</v>
      </c>
      <c r="C94" s="43">
        <v>0</v>
      </c>
      <c r="D94" s="19">
        <f ca="1">((100/(H83))*C94)/100</f>
        <v>0</v>
      </c>
      <c r="E94" s="142"/>
      <c r="F94" s="143"/>
      <c r="G94" s="142"/>
      <c r="H94" s="203"/>
      <c r="I94" s="14" t="s">
        <v>143</v>
      </c>
      <c r="J94" s="30">
        <f ca="1">(IF(B83=1,(H83/(B83+3)+J89),IF(B83=0,(H83/4+J89),IF(B83&gt;1,0))))</f>
        <v>14.25</v>
      </c>
    </row>
    <row r="95" spans="1:10" ht="16" thickBot="1" x14ac:dyDescent="0.4">
      <c r="A95" s="220" t="s">
        <v>130</v>
      </c>
      <c r="B95" s="221"/>
      <c r="C95" s="70">
        <v>0</v>
      </c>
      <c r="D95" s="71">
        <f ca="1">((100/(H83))*C95)/100</f>
        <v>0</v>
      </c>
      <c r="E95" s="142"/>
      <c r="F95" s="143"/>
      <c r="G95" s="142"/>
      <c r="H95" s="203"/>
      <c r="I95" s="15" t="s">
        <v>101</v>
      </c>
      <c r="J95" s="32">
        <f ca="1">(IF(B83&gt;1.5,(H83/(B83+2)+J89+MAX(0,J90-J89)+MAX(0,J91-J90)+MAX(0,J92-J91)+MAX(0,J93-J92)+MAX(0,J94-J93)),IF(B83=1,(H83/(B83+3)+J94),IF(B83=0,H83/4+J94))))</f>
        <v>19</v>
      </c>
    </row>
    <row r="96" spans="1:10" x14ac:dyDescent="0.35">
      <c r="A96" s="181" t="s">
        <v>153</v>
      </c>
      <c r="B96" s="181"/>
      <c r="C96" s="181"/>
      <c r="D96" s="181"/>
      <c r="E96" s="181"/>
      <c r="F96" s="86" t="s">
        <v>157</v>
      </c>
      <c r="G96" s="86"/>
      <c r="H96" s="86"/>
    </row>
    <row r="97" spans="1:8" x14ac:dyDescent="0.35">
      <c r="A97" s="88" t="s">
        <v>155</v>
      </c>
      <c r="B97" s="88"/>
      <c r="C97" s="88"/>
      <c r="D97" s="88"/>
      <c r="E97" s="88"/>
      <c r="F97" s="85">
        <v>9500</v>
      </c>
      <c r="G97" s="85"/>
      <c r="H97" s="85"/>
    </row>
    <row r="98" spans="1:8" x14ac:dyDescent="0.35">
      <c r="A98" s="88" t="s">
        <v>154</v>
      </c>
      <c r="B98" s="88"/>
      <c r="C98" s="88"/>
      <c r="D98" s="88"/>
      <c r="E98" s="88"/>
      <c r="F98" s="85">
        <v>20000</v>
      </c>
      <c r="G98" s="85"/>
      <c r="H98" s="85"/>
    </row>
    <row r="99" spans="1:8" hidden="1" x14ac:dyDescent="0.35">
      <c r="A99" s="88" t="s">
        <v>156</v>
      </c>
      <c r="B99" s="88"/>
      <c r="C99" s="88"/>
      <c r="D99" s="88"/>
      <c r="E99" s="88"/>
      <c r="F99" s="85"/>
      <c r="G99" s="85"/>
      <c r="H99" s="85"/>
    </row>
    <row r="100" spans="1:8" s="33" customFormat="1" hidden="1" x14ac:dyDescent="0.3">
      <c r="A100" s="88" t="s">
        <v>171</v>
      </c>
      <c r="B100" s="88"/>
      <c r="C100" s="88"/>
      <c r="D100" s="88"/>
      <c r="E100" s="88"/>
      <c r="F100" s="85"/>
      <c r="G100" s="85"/>
      <c r="H100" s="85"/>
    </row>
    <row r="101" spans="1:8" s="33" customFormat="1" hidden="1" x14ac:dyDescent="0.3">
      <c r="A101" s="88" t="s">
        <v>91</v>
      </c>
      <c r="B101" s="88"/>
      <c r="C101" s="88"/>
      <c r="D101" s="88"/>
      <c r="E101" s="88"/>
      <c r="F101" s="85"/>
      <c r="G101" s="85"/>
      <c r="H101" s="85"/>
    </row>
    <row r="102" spans="1:8" s="33" customFormat="1" hidden="1" x14ac:dyDescent="0.3">
      <c r="A102" s="88" t="s">
        <v>92</v>
      </c>
      <c r="B102" s="88"/>
      <c r="C102" s="88"/>
      <c r="D102" s="88"/>
      <c r="E102" s="88"/>
      <c r="F102" s="85"/>
      <c r="G102" s="85"/>
      <c r="H102" s="85"/>
    </row>
    <row r="103" spans="1:8" s="33" customFormat="1" hidden="1" x14ac:dyDescent="0.3">
      <c r="A103" s="88" t="s">
        <v>158</v>
      </c>
      <c r="B103" s="88"/>
      <c r="C103" s="88"/>
      <c r="D103" s="88"/>
      <c r="E103" s="88"/>
      <c r="F103" s="85"/>
      <c r="G103" s="85"/>
      <c r="H103" s="85"/>
    </row>
    <row r="104" spans="1:8" s="33" customFormat="1" hidden="1" x14ac:dyDescent="0.3">
      <c r="A104" s="88" t="s">
        <v>93</v>
      </c>
      <c r="B104" s="88"/>
      <c r="C104" s="88"/>
      <c r="D104" s="88"/>
      <c r="E104" s="88"/>
      <c r="F104" s="85"/>
      <c r="G104" s="85"/>
      <c r="H104" s="85"/>
    </row>
    <row r="105" spans="1:8" s="33" customFormat="1" hidden="1" x14ac:dyDescent="0.3">
      <c r="A105" s="88" t="s">
        <v>94</v>
      </c>
      <c r="B105" s="88"/>
      <c r="C105" s="88"/>
      <c r="D105" s="88"/>
      <c r="E105" s="88"/>
      <c r="F105" s="85"/>
      <c r="G105" s="85"/>
      <c r="H105" s="85"/>
    </row>
    <row r="106" spans="1:8" s="33" customFormat="1" hidden="1" x14ac:dyDescent="0.3">
      <c r="A106" s="88" t="s">
        <v>95</v>
      </c>
      <c r="B106" s="88"/>
      <c r="C106" s="88"/>
      <c r="D106" s="88"/>
      <c r="E106" s="88"/>
      <c r="F106" s="85"/>
      <c r="G106" s="85"/>
      <c r="H106" s="85"/>
    </row>
    <row r="107" spans="1:8" s="33" customFormat="1" hidden="1" x14ac:dyDescent="0.3">
      <c r="A107" s="88" t="s">
        <v>96</v>
      </c>
      <c r="B107" s="88"/>
      <c r="C107" s="88"/>
      <c r="D107" s="88"/>
      <c r="E107" s="88"/>
      <c r="F107" s="85"/>
      <c r="G107" s="85"/>
      <c r="H107" s="85"/>
    </row>
    <row r="108" spans="1:8" x14ac:dyDescent="0.35">
      <c r="A108" s="88" t="s">
        <v>50</v>
      </c>
      <c r="B108" s="88"/>
      <c r="C108" s="88"/>
      <c r="D108" s="88"/>
      <c r="E108" s="88"/>
      <c r="F108" s="85">
        <v>400000</v>
      </c>
      <c r="G108" s="85"/>
      <c r="H108" s="85"/>
    </row>
    <row r="109" spans="1:8" s="34" customFormat="1" x14ac:dyDescent="0.35">
      <c r="A109" s="181" t="s">
        <v>51</v>
      </c>
      <c r="B109" s="181"/>
      <c r="C109" s="181"/>
      <c r="D109" s="181"/>
      <c r="E109" s="181"/>
      <c r="F109" s="85">
        <f>F97*0.8</f>
        <v>7600</v>
      </c>
      <c r="G109" s="85"/>
      <c r="H109" s="85"/>
    </row>
    <row r="110" spans="1:8" s="35" customFormat="1" ht="15.75" customHeight="1" x14ac:dyDescent="0.35">
      <c r="A110" s="149" t="s">
        <v>261</v>
      </c>
      <c r="B110" s="149"/>
      <c r="C110" s="149"/>
      <c r="D110" s="149"/>
      <c r="E110" s="149"/>
      <c r="F110" s="149"/>
      <c r="G110" s="149"/>
      <c r="H110" s="149"/>
    </row>
    <row r="111" spans="1:8" s="35" customFormat="1" ht="15.75" customHeight="1" x14ac:dyDescent="0.35">
      <c r="A111" s="87" t="s">
        <v>52</v>
      </c>
      <c r="B111" s="87"/>
      <c r="C111" s="94" t="s">
        <v>74</v>
      </c>
      <c r="D111" s="94"/>
      <c r="E111" s="92" t="s">
        <v>53</v>
      </c>
      <c r="F111" s="92"/>
      <c r="G111" s="87" t="s">
        <v>54</v>
      </c>
      <c r="H111" s="87"/>
    </row>
    <row r="112" spans="1:8" s="35" customFormat="1" x14ac:dyDescent="0.35">
      <c r="A112" s="223" t="s">
        <v>252</v>
      </c>
      <c r="B112" s="223"/>
      <c r="C112" s="131">
        <f>COUNT(D127:D138)</f>
        <v>12</v>
      </c>
      <c r="D112" s="132"/>
      <c r="E112" s="130">
        <f>SUM(D127:D138)</f>
        <v>2744.9276399999999</v>
      </c>
      <c r="F112" s="136"/>
      <c r="G112" s="130">
        <f>SUM(F127:F138)</f>
        <v>4254.6378420000001</v>
      </c>
      <c r="H112" s="136"/>
    </row>
    <row r="113" spans="1:10" s="35" customFormat="1" x14ac:dyDescent="0.35">
      <c r="A113" s="93" t="s">
        <v>253</v>
      </c>
      <c r="B113" s="93"/>
      <c r="C113" s="129">
        <f>COUNT(D141:D148)</f>
        <v>8</v>
      </c>
      <c r="D113" s="133"/>
      <c r="E113" s="134">
        <f>SUM(D141:D148)</f>
        <v>1791.3448800000001</v>
      </c>
      <c r="F113" s="135"/>
      <c r="G113" s="134">
        <f>SUM(F141:F148)</f>
        <v>2776.5845639999998</v>
      </c>
      <c r="H113" s="135"/>
    </row>
    <row r="114" spans="1:10" s="35" customFormat="1" x14ac:dyDescent="0.35">
      <c r="A114" s="149" t="s">
        <v>146</v>
      </c>
      <c r="B114" s="149"/>
      <c r="C114" s="222">
        <f t="shared" ref="C114:G114" si="0">SUM(C112:D113)</f>
        <v>20</v>
      </c>
      <c r="D114" s="94"/>
      <c r="E114" s="146">
        <f t="shared" si="0"/>
        <v>4536.2725200000004</v>
      </c>
      <c r="F114" s="92"/>
      <c r="G114" s="87">
        <f t="shared" si="0"/>
        <v>7031.2224059999999</v>
      </c>
      <c r="H114" s="87"/>
    </row>
    <row r="115" spans="1:10" s="35" customFormat="1" x14ac:dyDescent="0.35">
      <c r="A115" s="149" t="s">
        <v>262</v>
      </c>
      <c r="B115" s="149"/>
      <c r="C115" s="149"/>
      <c r="D115" s="149"/>
      <c r="E115" s="149"/>
      <c r="F115" s="149"/>
      <c r="G115" s="149"/>
      <c r="H115" s="149"/>
    </row>
    <row r="116" spans="1:10" s="35" customFormat="1" ht="15.75" customHeight="1" x14ac:dyDescent="0.35">
      <c r="A116" s="87" t="s">
        <v>52</v>
      </c>
      <c r="B116" s="87"/>
      <c r="C116" s="94" t="s">
        <v>74</v>
      </c>
      <c r="D116" s="94"/>
      <c r="E116" s="92" t="s">
        <v>53</v>
      </c>
      <c r="F116" s="92"/>
      <c r="G116" s="87" t="s">
        <v>54</v>
      </c>
      <c r="H116" s="87"/>
    </row>
    <row r="117" spans="1:10" s="35" customFormat="1" x14ac:dyDescent="0.35">
      <c r="A117" s="93" t="s">
        <v>252</v>
      </c>
      <c r="B117" s="93"/>
      <c r="C117" s="129">
        <f>COUNT(D155:D160)*15+COUNT(D162:D165,D167)*4</f>
        <v>110</v>
      </c>
      <c r="D117" s="129"/>
      <c r="E117" s="130">
        <f>SUM(D155:D160)*15+SUM(D162:D165,D167)*4</f>
        <v>59014.867859999998</v>
      </c>
      <c r="F117" s="130"/>
      <c r="G117" s="130">
        <f>SUM(F155:F160)*15+SUM(F162:F165,F167)*4</f>
        <v>88522.301789999998</v>
      </c>
      <c r="H117" s="130"/>
    </row>
    <row r="118" spans="1:10" s="35" customFormat="1" x14ac:dyDescent="0.35">
      <c r="A118" s="93" t="s">
        <v>253</v>
      </c>
      <c r="B118" s="93"/>
      <c r="C118" s="129">
        <f>COUNT(D171:D175)*15+COUNT(D177,D179:D181)*4</f>
        <v>91</v>
      </c>
      <c r="D118" s="129"/>
      <c r="E118" s="130">
        <f>SUM(D171:D175)*15+SUM(D177,D179:D181)*4</f>
        <v>54416.54088</v>
      </c>
      <c r="F118" s="130"/>
      <c r="G118" s="130">
        <f>SUM(F171:F175)*15+SUM(F177,F179:F181)*4</f>
        <v>81624.811320000008</v>
      </c>
      <c r="H118" s="130"/>
    </row>
    <row r="119" spans="1:10" s="35" customFormat="1" ht="16" thickBot="1" x14ac:dyDescent="0.4">
      <c r="A119" s="224" t="s">
        <v>146</v>
      </c>
      <c r="B119" s="224"/>
      <c r="C119" s="137">
        <f>SUM(C117:C118)</f>
        <v>201</v>
      </c>
      <c r="D119" s="138"/>
      <c r="E119" s="144">
        <f>SUM(E117:E118)</f>
        <v>113431.40874</v>
      </c>
      <c r="F119" s="145"/>
      <c r="G119" s="218">
        <f>SUM(G117:G118)</f>
        <v>170147.11311000001</v>
      </c>
      <c r="H119" s="219"/>
    </row>
    <row r="120" spans="1:10" s="35" customFormat="1" ht="16" thickBot="1" x14ac:dyDescent="0.4">
      <c r="A120" s="98" t="s">
        <v>162</v>
      </c>
      <c r="B120" s="99"/>
      <c r="C120" s="100">
        <f>C114+C119</f>
        <v>221</v>
      </c>
      <c r="D120" s="100"/>
      <c r="E120" s="101">
        <f>E114+E119</f>
        <v>117967.68126</v>
      </c>
      <c r="F120" s="101"/>
      <c r="G120" s="102">
        <f>G114+G119</f>
        <v>177178.33551599999</v>
      </c>
      <c r="H120" s="103"/>
    </row>
    <row r="121" spans="1:10" s="34" customFormat="1" x14ac:dyDescent="0.35">
      <c r="A121" s="128" t="s">
        <v>55</v>
      </c>
      <c r="B121" s="128"/>
      <c r="C121" s="128"/>
      <c r="D121" s="128"/>
      <c r="E121" s="128"/>
      <c r="F121" s="128"/>
      <c r="G121" s="128"/>
      <c r="H121" s="128"/>
    </row>
    <row r="122" spans="1:10" x14ac:dyDescent="0.35">
      <c r="A122" s="86" t="s">
        <v>170</v>
      </c>
      <c r="B122" s="86"/>
      <c r="C122" s="86"/>
      <c r="D122" s="86"/>
      <c r="E122" s="86"/>
      <c r="F122" s="86"/>
      <c r="G122" s="86"/>
      <c r="H122" s="86"/>
    </row>
    <row r="123" spans="1:10" ht="47.25" customHeight="1" x14ac:dyDescent="0.35">
      <c r="A123" s="126" t="s">
        <v>116</v>
      </c>
      <c r="B123" s="126" t="s">
        <v>173</v>
      </c>
      <c r="C123" s="126" t="s">
        <v>56</v>
      </c>
      <c r="D123" s="126" t="s">
        <v>57</v>
      </c>
      <c r="E123" s="194" t="s">
        <v>152</v>
      </c>
      <c r="F123" s="42" t="s">
        <v>145</v>
      </c>
      <c r="G123" s="196" t="s">
        <v>59</v>
      </c>
      <c r="H123" s="197"/>
      <c r="I123" s="63">
        <v>10.763999999999999</v>
      </c>
    </row>
    <row r="124" spans="1:10" s="37" customFormat="1" x14ac:dyDescent="0.35">
      <c r="A124" s="127"/>
      <c r="B124" s="127"/>
      <c r="C124" s="127"/>
      <c r="D124" s="127"/>
      <c r="E124" s="195"/>
      <c r="F124" s="13">
        <v>0.55000000000000004</v>
      </c>
      <c r="G124" s="198"/>
      <c r="H124" s="199"/>
    </row>
    <row r="125" spans="1:10" s="60" customFormat="1" x14ac:dyDescent="0.35">
      <c r="A125" s="150" t="s">
        <v>252</v>
      </c>
      <c r="B125" s="151"/>
      <c r="C125" s="151"/>
      <c r="D125" s="151"/>
      <c r="E125" s="151"/>
      <c r="F125" s="151"/>
      <c r="G125" s="151"/>
      <c r="H125" s="152"/>
    </row>
    <row r="126" spans="1:10" s="37" customFormat="1" x14ac:dyDescent="0.35">
      <c r="A126" s="153" t="s">
        <v>250</v>
      </c>
      <c r="B126" s="154"/>
      <c r="C126" s="154"/>
      <c r="D126" s="154"/>
      <c r="E126" s="154"/>
      <c r="F126" s="154"/>
      <c r="G126" s="154"/>
      <c r="H126" s="155"/>
      <c r="J126" s="36"/>
    </row>
    <row r="127" spans="1:10" s="60" customFormat="1" ht="15.75" customHeight="1" x14ac:dyDescent="0.35">
      <c r="A127" s="80">
        <v>1</v>
      </c>
      <c r="B127" s="81"/>
      <c r="C127" s="41" t="s">
        <v>251</v>
      </c>
      <c r="D127" s="63">
        <f>(24.92)*10.764</f>
        <v>268.23887999999999</v>
      </c>
      <c r="E127" s="41">
        <v>0</v>
      </c>
      <c r="F127" s="41">
        <f>(D127+E127)*(($F$124)+1)</f>
        <v>415.770264</v>
      </c>
      <c r="G127" s="74" t="str">
        <f>A126</f>
        <v>Ground Floor For Commercial, Entrance Lobby, Refuge Chute &amp; Parking</v>
      </c>
      <c r="H127" s="75"/>
      <c r="I127" s="60">
        <f>(2.5+4.7)/2*5.5+(2.33*1.2+2.1*1.2)</f>
        <v>25.116</v>
      </c>
      <c r="J127" s="36">
        <f>3.65*5.5+2.1*1.2</f>
        <v>22.594999999999999</v>
      </c>
    </row>
    <row r="128" spans="1:10" s="60" customFormat="1" ht="15.75" customHeight="1" x14ac:dyDescent="0.35">
      <c r="A128" s="80">
        <f t="shared" ref="A128:A148" si="1">A127+1</f>
        <v>2</v>
      </c>
      <c r="B128" s="81"/>
      <c r="C128" s="59" t="s">
        <v>251</v>
      </c>
      <c r="D128" s="63">
        <f>(20.85)*10.764</f>
        <v>224.42940000000002</v>
      </c>
      <c r="E128" s="41">
        <v>0</v>
      </c>
      <c r="F128" s="41">
        <f t="shared" ref="F128:F148" si="2">(D128+E128)*(($F$124)+1)</f>
        <v>347.86557000000005</v>
      </c>
      <c r="G128" s="76"/>
      <c r="H128" s="77"/>
      <c r="J128" s="36"/>
    </row>
    <row r="129" spans="1:10" s="60" customFormat="1" ht="15.75" customHeight="1" x14ac:dyDescent="0.35">
      <c r="A129" s="80">
        <f t="shared" si="1"/>
        <v>3</v>
      </c>
      <c r="B129" s="81"/>
      <c r="C129" s="59" t="s">
        <v>251</v>
      </c>
      <c r="D129" s="63">
        <f>(20.85)*10.764</f>
        <v>224.42940000000002</v>
      </c>
      <c r="E129" s="41">
        <v>0</v>
      </c>
      <c r="F129" s="41">
        <f t="shared" si="2"/>
        <v>347.86557000000005</v>
      </c>
      <c r="G129" s="76"/>
      <c r="H129" s="77"/>
      <c r="J129" s="36"/>
    </row>
    <row r="130" spans="1:10" s="60" customFormat="1" ht="15.75" customHeight="1" x14ac:dyDescent="0.35">
      <c r="A130" s="80">
        <f t="shared" si="1"/>
        <v>4</v>
      </c>
      <c r="B130" s="81"/>
      <c r="C130" s="59" t="s">
        <v>251</v>
      </c>
      <c r="D130" s="64">
        <f>23*10.764</f>
        <v>247.57199999999997</v>
      </c>
      <c r="E130" s="41">
        <v>0</v>
      </c>
      <c r="F130" s="41">
        <f t="shared" si="2"/>
        <v>383.73659999999995</v>
      </c>
      <c r="G130" s="76"/>
      <c r="H130" s="77"/>
      <c r="J130" s="36">
        <f>3.05*6.85+2.15*1.2</f>
        <v>23.472499999999997</v>
      </c>
    </row>
    <row r="131" spans="1:10" s="60" customFormat="1" x14ac:dyDescent="0.35">
      <c r="A131" s="80">
        <f t="shared" si="1"/>
        <v>5</v>
      </c>
      <c r="B131" s="81"/>
      <c r="C131" s="59" t="s">
        <v>251</v>
      </c>
      <c r="D131" s="63">
        <f>(18.55)*10.764</f>
        <v>199.6722</v>
      </c>
      <c r="E131" s="59">
        <v>0</v>
      </c>
      <c r="F131" s="59">
        <f t="shared" si="2"/>
        <v>309.49191000000002</v>
      </c>
      <c r="G131" s="76"/>
      <c r="H131" s="77"/>
      <c r="J131" s="36"/>
    </row>
    <row r="132" spans="1:10" s="60" customFormat="1" x14ac:dyDescent="0.35">
      <c r="A132" s="80">
        <f t="shared" si="1"/>
        <v>6</v>
      </c>
      <c r="B132" s="81"/>
      <c r="C132" s="59" t="s">
        <v>251</v>
      </c>
      <c r="D132" s="63">
        <f>(23.35)*10.764</f>
        <v>251.33940000000001</v>
      </c>
      <c r="E132" s="59">
        <v>0</v>
      </c>
      <c r="F132" s="59">
        <f t="shared" si="2"/>
        <v>389.57607000000002</v>
      </c>
      <c r="G132" s="76"/>
      <c r="H132" s="77"/>
      <c r="J132" s="36"/>
    </row>
    <row r="133" spans="1:10" s="60" customFormat="1" x14ac:dyDescent="0.35">
      <c r="A133" s="80">
        <f t="shared" si="1"/>
        <v>7</v>
      </c>
      <c r="B133" s="81"/>
      <c r="C133" s="59" t="s">
        <v>251</v>
      </c>
      <c r="D133" s="63">
        <f>(19.24)*10.764</f>
        <v>207.09935999999996</v>
      </c>
      <c r="E133" s="59">
        <v>0</v>
      </c>
      <c r="F133" s="59">
        <f t="shared" si="2"/>
        <v>321.00400799999994</v>
      </c>
      <c r="G133" s="76"/>
      <c r="H133" s="77"/>
      <c r="I133" s="60">
        <f>3.05*4.55+2.35*1+2.35*1.2</f>
        <v>19.047499999999999</v>
      </c>
      <c r="J133" s="36"/>
    </row>
    <row r="134" spans="1:10" s="60" customFormat="1" x14ac:dyDescent="0.35">
      <c r="A134" s="80">
        <f t="shared" si="1"/>
        <v>8</v>
      </c>
      <c r="B134" s="81"/>
      <c r="C134" s="59" t="s">
        <v>251</v>
      </c>
      <c r="D134" s="63">
        <f>(20.85)*10.764</f>
        <v>224.42940000000002</v>
      </c>
      <c r="E134" s="59">
        <v>0</v>
      </c>
      <c r="F134" s="59">
        <f t="shared" si="2"/>
        <v>347.86557000000005</v>
      </c>
      <c r="G134" s="76"/>
      <c r="H134" s="77"/>
      <c r="J134" s="36"/>
    </row>
    <row r="135" spans="1:10" s="60" customFormat="1" x14ac:dyDescent="0.35">
      <c r="A135" s="80">
        <f t="shared" si="1"/>
        <v>9</v>
      </c>
      <c r="B135" s="81"/>
      <c r="C135" s="59" t="s">
        <v>251</v>
      </c>
      <c r="D135" s="63">
        <f>(20.85)*10.764</f>
        <v>224.42940000000002</v>
      </c>
      <c r="E135" s="59">
        <v>0</v>
      </c>
      <c r="F135" s="59">
        <f t="shared" si="2"/>
        <v>347.86557000000005</v>
      </c>
      <c r="G135" s="76"/>
      <c r="H135" s="77"/>
      <c r="J135" s="36"/>
    </row>
    <row r="136" spans="1:10" s="60" customFormat="1" x14ac:dyDescent="0.35">
      <c r="A136" s="80">
        <f t="shared" si="1"/>
        <v>10</v>
      </c>
      <c r="B136" s="81"/>
      <c r="C136" s="59" t="s">
        <v>251</v>
      </c>
      <c r="D136" s="63">
        <f>(20.85)*10.764</f>
        <v>224.42940000000002</v>
      </c>
      <c r="E136" s="59">
        <v>0</v>
      </c>
      <c r="F136" s="59">
        <f t="shared" si="2"/>
        <v>347.86557000000005</v>
      </c>
      <c r="G136" s="76"/>
      <c r="H136" s="77"/>
      <c r="J136" s="36"/>
    </row>
    <row r="137" spans="1:10" s="60" customFormat="1" x14ac:dyDescent="0.35">
      <c r="A137" s="80">
        <f t="shared" si="1"/>
        <v>11</v>
      </c>
      <c r="B137" s="81"/>
      <c r="C137" s="59" t="s">
        <v>251</v>
      </c>
      <c r="D137" s="63">
        <f>(20.85)*10.764</f>
        <v>224.42940000000002</v>
      </c>
      <c r="E137" s="59">
        <v>0</v>
      </c>
      <c r="F137" s="59">
        <f t="shared" si="2"/>
        <v>347.86557000000005</v>
      </c>
      <c r="G137" s="76"/>
      <c r="H137" s="77"/>
      <c r="J137" s="36"/>
    </row>
    <row r="138" spans="1:10" s="60" customFormat="1" x14ac:dyDescent="0.35">
      <c r="A138" s="80">
        <f t="shared" si="1"/>
        <v>12</v>
      </c>
      <c r="B138" s="81"/>
      <c r="C138" s="59" t="s">
        <v>251</v>
      </c>
      <c r="D138" s="63">
        <f>(20.85)*10.764</f>
        <v>224.42940000000002</v>
      </c>
      <c r="E138" s="59">
        <v>0</v>
      </c>
      <c r="F138" s="59">
        <f t="shared" si="2"/>
        <v>347.86557000000005</v>
      </c>
      <c r="G138" s="78"/>
      <c r="H138" s="79"/>
      <c r="J138" s="36"/>
    </row>
    <row r="139" spans="1:10" s="60" customFormat="1" x14ac:dyDescent="0.35">
      <c r="A139" s="153" t="s">
        <v>253</v>
      </c>
      <c r="B139" s="154"/>
      <c r="C139" s="154"/>
      <c r="D139" s="154"/>
      <c r="E139" s="154"/>
      <c r="F139" s="154"/>
      <c r="G139" s="154"/>
      <c r="H139" s="155"/>
      <c r="J139" s="36"/>
    </row>
    <row r="140" spans="1:10" s="60" customFormat="1" x14ac:dyDescent="0.35">
      <c r="A140" s="153" t="s">
        <v>254</v>
      </c>
      <c r="B140" s="154"/>
      <c r="C140" s="154"/>
      <c r="D140" s="154"/>
      <c r="E140" s="154"/>
      <c r="F140" s="154"/>
      <c r="G140" s="154"/>
      <c r="H140" s="155"/>
      <c r="J140" s="36"/>
    </row>
    <row r="141" spans="1:10" s="60" customFormat="1" ht="15.75" customHeight="1" x14ac:dyDescent="0.35">
      <c r="A141" s="80">
        <f>A138+1</f>
        <v>13</v>
      </c>
      <c r="B141" s="81"/>
      <c r="C141" s="59" t="s">
        <v>251</v>
      </c>
      <c r="D141" s="63">
        <f>(20.85)*10.764</f>
        <v>224.42940000000002</v>
      </c>
      <c r="E141" s="59">
        <v>0</v>
      </c>
      <c r="F141" s="59">
        <f t="shared" si="2"/>
        <v>347.86557000000005</v>
      </c>
      <c r="G141" s="74" t="str">
        <f>A140</f>
        <v>Ground Floor For Commercial, Drivers Room, Entrance Lobby &amp; Parking</v>
      </c>
      <c r="H141" s="75"/>
      <c r="J141" s="36"/>
    </row>
    <row r="142" spans="1:10" s="60" customFormat="1" x14ac:dyDescent="0.35">
      <c r="A142" s="80">
        <f t="shared" si="1"/>
        <v>14</v>
      </c>
      <c r="B142" s="81"/>
      <c r="C142" s="59" t="s">
        <v>251</v>
      </c>
      <c r="D142" s="63">
        <f>(19.96)*10.764</f>
        <v>214.84943999999999</v>
      </c>
      <c r="E142" s="59">
        <v>0</v>
      </c>
      <c r="F142" s="59">
        <f t="shared" si="2"/>
        <v>333.01663200000002</v>
      </c>
      <c r="G142" s="76"/>
      <c r="H142" s="77"/>
      <c r="J142" s="36"/>
    </row>
    <row r="143" spans="1:10" s="60" customFormat="1" x14ac:dyDescent="0.35">
      <c r="A143" s="80">
        <f t="shared" si="1"/>
        <v>15</v>
      </c>
      <c r="B143" s="81"/>
      <c r="C143" s="59" t="s">
        <v>251</v>
      </c>
      <c r="D143" s="63">
        <f>21.66*10.764</f>
        <v>233.14823999999999</v>
      </c>
      <c r="E143" s="59">
        <v>0</v>
      </c>
      <c r="F143" s="59">
        <f t="shared" si="2"/>
        <v>361.379772</v>
      </c>
      <c r="G143" s="76"/>
      <c r="H143" s="77"/>
      <c r="J143" s="36"/>
    </row>
    <row r="144" spans="1:10" s="60" customFormat="1" x14ac:dyDescent="0.35">
      <c r="A144" s="80">
        <f t="shared" si="1"/>
        <v>16</v>
      </c>
      <c r="B144" s="81"/>
      <c r="C144" s="59" t="s">
        <v>251</v>
      </c>
      <c r="D144" s="63">
        <f>(20.85)*10.764</f>
        <v>224.42940000000002</v>
      </c>
      <c r="E144" s="59">
        <v>0</v>
      </c>
      <c r="F144" s="59">
        <f t="shared" si="2"/>
        <v>347.86557000000005</v>
      </c>
      <c r="G144" s="76"/>
      <c r="H144" s="77"/>
      <c r="J144" s="36"/>
    </row>
    <row r="145" spans="1:14" s="60" customFormat="1" x14ac:dyDescent="0.35">
      <c r="A145" s="80">
        <f t="shared" si="1"/>
        <v>17</v>
      </c>
      <c r="B145" s="81"/>
      <c r="C145" s="59" t="s">
        <v>251</v>
      </c>
      <c r="D145" s="63">
        <f>(22.89)*10.764</f>
        <v>246.38795999999999</v>
      </c>
      <c r="E145" s="59">
        <v>0</v>
      </c>
      <c r="F145" s="59">
        <f t="shared" si="2"/>
        <v>381.90133800000001</v>
      </c>
      <c r="G145" s="76"/>
      <c r="H145" s="77"/>
      <c r="J145" s="36"/>
    </row>
    <row r="146" spans="1:14" s="60" customFormat="1" x14ac:dyDescent="0.35">
      <c r="A146" s="80">
        <f t="shared" si="1"/>
        <v>18</v>
      </c>
      <c r="B146" s="81"/>
      <c r="C146" s="59" t="s">
        <v>251</v>
      </c>
      <c r="D146" s="63">
        <f>(20.7)*10.764</f>
        <v>222.81479999999999</v>
      </c>
      <c r="E146" s="59">
        <v>0</v>
      </c>
      <c r="F146" s="59">
        <f t="shared" si="2"/>
        <v>345.36293999999998</v>
      </c>
      <c r="G146" s="76"/>
      <c r="H146" s="77"/>
      <c r="J146" s="36"/>
    </row>
    <row r="147" spans="1:14" s="60" customFormat="1" x14ac:dyDescent="0.35">
      <c r="A147" s="80">
        <f t="shared" si="1"/>
        <v>19</v>
      </c>
      <c r="B147" s="81"/>
      <c r="C147" s="59" t="s">
        <v>251</v>
      </c>
      <c r="D147" s="63">
        <f>(18.66)*10.764</f>
        <v>200.85623999999999</v>
      </c>
      <c r="E147" s="59">
        <v>0</v>
      </c>
      <c r="F147" s="59">
        <f t="shared" si="2"/>
        <v>311.32717199999996</v>
      </c>
      <c r="G147" s="76"/>
      <c r="H147" s="77"/>
      <c r="J147" s="36"/>
    </row>
    <row r="148" spans="1:14" s="37" customFormat="1" x14ac:dyDescent="0.35">
      <c r="A148" s="80">
        <f t="shared" si="1"/>
        <v>20</v>
      </c>
      <c r="B148" s="81"/>
      <c r="C148" s="59" t="s">
        <v>251</v>
      </c>
      <c r="D148" s="63">
        <f>(20.85)*10.764</f>
        <v>224.42940000000002</v>
      </c>
      <c r="E148" s="59">
        <v>0</v>
      </c>
      <c r="F148" s="59">
        <f t="shared" si="2"/>
        <v>347.86557000000005</v>
      </c>
      <c r="G148" s="78"/>
      <c r="H148" s="79"/>
      <c r="I148" s="36"/>
      <c r="L148" s="193"/>
      <c r="M148" s="193"/>
      <c r="N148" s="36"/>
    </row>
    <row r="149" spans="1:14" s="37" customFormat="1" x14ac:dyDescent="0.35">
      <c r="A149" s="124"/>
      <c r="B149" s="124"/>
      <c r="C149" s="124"/>
      <c r="D149" s="124"/>
      <c r="E149" s="124"/>
      <c r="F149" s="124"/>
      <c r="G149" s="124"/>
      <c r="H149" s="124"/>
      <c r="I149" s="36"/>
      <c r="N149" s="36"/>
    </row>
    <row r="150" spans="1:14" ht="47.25" customHeight="1" x14ac:dyDescent="0.35">
      <c r="A150" s="125" t="s">
        <v>117</v>
      </c>
      <c r="B150" s="125" t="s">
        <v>174</v>
      </c>
      <c r="C150" s="125" t="s">
        <v>56</v>
      </c>
      <c r="D150" s="125" t="s">
        <v>57</v>
      </c>
      <c r="E150" s="160" t="s">
        <v>58</v>
      </c>
      <c r="F150" s="72" t="s">
        <v>145</v>
      </c>
      <c r="G150" s="125" t="s">
        <v>59</v>
      </c>
      <c r="H150" s="125"/>
      <c r="I150" s="36"/>
    </row>
    <row r="151" spans="1:14" s="37" customFormat="1" x14ac:dyDescent="0.35">
      <c r="A151" s="125"/>
      <c r="B151" s="125"/>
      <c r="C151" s="125"/>
      <c r="D151" s="125"/>
      <c r="E151" s="160"/>
      <c r="F151" s="73">
        <v>0.5</v>
      </c>
      <c r="G151" s="125"/>
      <c r="H151" s="125"/>
      <c r="I151" s="36"/>
    </row>
    <row r="152" spans="1:14" s="60" customFormat="1" x14ac:dyDescent="0.35">
      <c r="A152" s="164" t="s">
        <v>252</v>
      </c>
      <c r="B152" s="164"/>
      <c r="C152" s="164"/>
      <c r="D152" s="164"/>
      <c r="E152" s="164"/>
      <c r="F152" s="164"/>
      <c r="G152" s="164"/>
      <c r="H152" s="164"/>
      <c r="I152" s="36"/>
    </row>
    <row r="153" spans="1:14" s="60" customFormat="1" x14ac:dyDescent="0.35">
      <c r="A153" s="150" t="s">
        <v>255</v>
      </c>
      <c r="B153" s="151"/>
      <c r="C153" s="151"/>
      <c r="D153" s="151"/>
      <c r="E153" s="151"/>
      <c r="F153" s="151"/>
      <c r="G153" s="151"/>
      <c r="H153" s="152"/>
      <c r="I153" s="36"/>
    </row>
    <row r="154" spans="1:14" s="37" customFormat="1" x14ac:dyDescent="0.35">
      <c r="A154" s="153" t="s">
        <v>280</v>
      </c>
      <c r="B154" s="154"/>
      <c r="C154" s="154"/>
      <c r="D154" s="154"/>
      <c r="E154" s="154"/>
      <c r="F154" s="154"/>
      <c r="G154" s="154"/>
      <c r="H154" s="155"/>
      <c r="L154" s="193"/>
      <c r="M154" s="193"/>
    </row>
    <row r="155" spans="1:14" s="37" customFormat="1" ht="15.75" customHeight="1" x14ac:dyDescent="0.35">
      <c r="A155" s="80">
        <v>1</v>
      </c>
      <c r="B155" s="81"/>
      <c r="C155" s="41" t="s">
        <v>259</v>
      </c>
      <c r="D155" s="63">
        <f>(74.35+2.15*0.6)*10.764</f>
        <v>814.18895999999995</v>
      </c>
      <c r="E155" s="41">
        <v>0</v>
      </c>
      <c r="F155" s="41">
        <f>D155*(($F$151)+1)+(IF(E155&lt;101,E155,IF(E155&lt;201,E155/2,IF(E155&lt;=301,E155/3,E155/4))))</f>
        <v>1221.2834399999999</v>
      </c>
      <c r="G155" s="74" t="str">
        <f>A154</f>
        <v>1st, 3rd to 6th, 8th to 11th, 13th to 16th, 18th &amp; 19th Floor for Residential</v>
      </c>
      <c r="H155" s="75"/>
      <c r="I155" s="36"/>
      <c r="J155" s="69">
        <f>(3.05*5+0.6*2.47+2.3*2.9+2.75*3.05+3.05*4.1+1.5*1+2.15*0.6+3.2*3.8+(2.15*1.42)*2+2.45*1.42+3.6*1+(2.3*1.2))</f>
        <v>75.189499999999995</v>
      </c>
      <c r="K155" s="36"/>
      <c r="L155" s="37">
        <f>19*6-4</f>
        <v>110</v>
      </c>
      <c r="N155" s="36"/>
    </row>
    <row r="156" spans="1:14" s="37" customFormat="1" ht="15.75" customHeight="1" x14ac:dyDescent="0.35">
      <c r="A156" s="80">
        <f t="shared" ref="A156:A166" si="3">A155+1</f>
        <v>2</v>
      </c>
      <c r="B156" s="81"/>
      <c r="C156" s="59" t="s">
        <v>257</v>
      </c>
      <c r="D156" s="63">
        <f>(57.54+0.6*2.1)*10.764</f>
        <v>632.92319999999995</v>
      </c>
      <c r="E156" s="41">
        <v>0</v>
      </c>
      <c r="F156" s="41">
        <f>D156*(($F$151)+1)+(IF(E156&lt;101,E156,IF(E156&lt;201,E156/2,IF(E156&lt;=301,E156/3,E156/4))))</f>
        <v>949.38479999999993</v>
      </c>
      <c r="G156" s="76"/>
      <c r="H156" s="77"/>
      <c r="I156" s="36"/>
      <c r="K156" s="36"/>
      <c r="L156" s="193"/>
      <c r="M156" s="193"/>
      <c r="N156" s="36"/>
    </row>
    <row r="157" spans="1:14" s="60" customFormat="1" x14ac:dyDescent="0.35">
      <c r="A157" s="80">
        <f t="shared" si="3"/>
        <v>3</v>
      </c>
      <c r="B157" s="81"/>
      <c r="C157" s="59" t="s">
        <v>258</v>
      </c>
      <c r="D157" s="63">
        <f>(39.85+1.55*0.6)*10.764</f>
        <v>438.95591999999999</v>
      </c>
      <c r="E157" s="59">
        <v>0</v>
      </c>
      <c r="F157" s="59">
        <f>D157*(($F$151)+1)+(IF(E157&lt;101,E157,IF(E157&lt;201,E157/2,IF(E157&lt;=301,E157/3,E157/4))))</f>
        <v>658.43388000000004</v>
      </c>
      <c r="G157" s="76"/>
      <c r="H157" s="77"/>
      <c r="I157" s="36"/>
      <c r="J157" s="63">
        <f>(2.9*4.65+0.45*3.15+2.25*2.6+3.05*3.2+2.1*1.2+2.1*1.2+2.2*1+(2.3*1.2))</f>
        <v>40.51250000000001</v>
      </c>
      <c r="K157" s="36"/>
      <c r="N157" s="36"/>
    </row>
    <row r="158" spans="1:14" s="60" customFormat="1" ht="15.75" customHeight="1" x14ac:dyDescent="0.35">
      <c r="A158" s="80">
        <f>A157+1</f>
        <v>4</v>
      </c>
      <c r="B158" s="81"/>
      <c r="C158" s="59" t="s">
        <v>258</v>
      </c>
      <c r="D158" s="63">
        <f>(39.85+1.55*0.6)*10.764</f>
        <v>438.95591999999999</v>
      </c>
      <c r="E158" s="41">
        <v>0</v>
      </c>
      <c r="F158" s="41">
        <f>D158*(($F$151)+1)+(IF(E158&lt;101,E158,IF(E158&lt;201,E158/2,IF(E158&lt;=301,E158/3,E158/4))))</f>
        <v>658.43388000000004</v>
      </c>
      <c r="G158" s="76"/>
      <c r="H158" s="77"/>
      <c r="I158" s="36"/>
      <c r="K158" s="36"/>
      <c r="N158" s="36"/>
    </row>
    <row r="159" spans="1:14" s="60" customFormat="1" x14ac:dyDescent="0.35">
      <c r="A159" s="80">
        <f t="shared" si="3"/>
        <v>5</v>
      </c>
      <c r="B159" s="81"/>
      <c r="C159" s="59" t="s">
        <v>258</v>
      </c>
      <c r="D159" s="63">
        <f>(39.85+1.55*0.45)*10.764</f>
        <v>436.45328999999998</v>
      </c>
      <c r="E159" s="59">
        <v>0</v>
      </c>
      <c r="F159" s="59">
        <f t="shared" ref="F159:F160" si="4">D159*(($F$151)+1)+(IF(E159&lt;101,E159,IF(E159&lt;201,E159/2,IF(E159&lt;=301,E159/3,E159/4))))</f>
        <v>654.679935</v>
      </c>
      <c r="G159" s="76"/>
      <c r="H159" s="77"/>
      <c r="I159" s="36"/>
      <c r="K159" s="36"/>
      <c r="N159" s="36"/>
    </row>
    <row r="160" spans="1:14" s="37" customFormat="1" x14ac:dyDescent="0.35">
      <c r="A160" s="80">
        <f>A159+1</f>
        <v>6</v>
      </c>
      <c r="B160" s="81"/>
      <c r="C160" s="59" t="s">
        <v>258</v>
      </c>
      <c r="D160" s="63">
        <f>(39.85+1.55*0.45)*10.764</f>
        <v>436.45328999999998</v>
      </c>
      <c r="E160" s="59">
        <v>0</v>
      </c>
      <c r="F160" s="59">
        <f t="shared" si="4"/>
        <v>654.679935</v>
      </c>
      <c r="G160" s="78"/>
      <c r="H160" s="79"/>
      <c r="I160" s="36"/>
      <c r="L160" s="193"/>
      <c r="M160" s="193"/>
      <c r="N160" s="36"/>
    </row>
    <row r="161" spans="1:14" s="37" customFormat="1" x14ac:dyDescent="0.35">
      <c r="A161" s="164" t="s">
        <v>284</v>
      </c>
      <c r="B161" s="164"/>
      <c r="C161" s="164"/>
      <c r="D161" s="164"/>
      <c r="E161" s="164"/>
      <c r="F161" s="164"/>
      <c r="G161" s="164"/>
      <c r="H161" s="164"/>
      <c r="I161" s="36"/>
      <c r="L161" s="193"/>
      <c r="M161" s="193"/>
      <c r="N161" s="36"/>
    </row>
    <row r="162" spans="1:14" s="68" customFormat="1" ht="15.75" customHeight="1" x14ac:dyDescent="0.35">
      <c r="A162" s="80">
        <v>1</v>
      </c>
      <c r="B162" s="81"/>
      <c r="C162" s="59" t="s">
        <v>259</v>
      </c>
      <c r="D162" s="63">
        <f>(74.35+2.15*0.6)*10.764</f>
        <v>814.18895999999995</v>
      </c>
      <c r="E162" s="59">
        <v>0</v>
      </c>
      <c r="F162" s="59">
        <f>D162*(($F$151)+1)+(IF(E162&lt;101,E162,IF(E162&lt;201,E162/2,IF(E162&lt;=301,E162/3,E162/4))))</f>
        <v>1221.2834399999999</v>
      </c>
      <c r="G162" s="74" t="str">
        <f>A161</f>
        <v>2nd, 7th, 12th &amp; 17th Floor (Part Refuge Area)</v>
      </c>
      <c r="H162" s="75"/>
      <c r="I162" s="36"/>
      <c r="J162" s="69">
        <f>(3.05*5+0.6*2.47+2.3*2.9+2.75*3.05+3.05*4.1+1.5*1+2.15*0.6+3.2*3.8+(2.15*1.42)*2+2.45*1.42+3.6*1+(2.3*1.2))</f>
        <v>75.189499999999995</v>
      </c>
      <c r="K162" s="36"/>
      <c r="N162" s="36"/>
    </row>
    <row r="163" spans="1:14" s="68" customFormat="1" ht="15.75" customHeight="1" x14ac:dyDescent="0.35">
      <c r="A163" s="80">
        <f t="shared" si="3"/>
        <v>2</v>
      </c>
      <c r="B163" s="81"/>
      <c r="C163" s="59" t="s">
        <v>257</v>
      </c>
      <c r="D163" s="63">
        <f>(57.54+0.6*2.1)*10.764</f>
        <v>632.92319999999995</v>
      </c>
      <c r="E163" s="59">
        <v>0</v>
      </c>
      <c r="F163" s="59">
        <f>D163*(($F$151)+1)+(IF(E163&lt;101,E163,IF(E163&lt;201,E163/2,IF(E163&lt;=301,E163/3,E163/4))))</f>
        <v>949.38479999999993</v>
      </c>
      <c r="G163" s="76"/>
      <c r="H163" s="77"/>
      <c r="I163" s="36"/>
      <c r="K163" s="36"/>
      <c r="L163" s="193"/>
      <c r="M163" s="193"/>
      <c r="N163" s="36"/>
    </row>
    <row r="164" spans="1:14" s="68" customFormat="1" x14ac:dyDescent="0.35">
      <c r="A164" s="80">
        <f t="shared" si="3"/>
        <v>3</v>
      </c>
      <c r="B164" s="81"/>
      <c r="C164" s="59" t="s">
        <v>258</v>
      </c>
      <c r="D164" s="63">
        <f>(39.85+1.55*0.6)*10.764</f>
        <v>438.95591999999999</v>
      </c>
      <c r="E164" s="59">
        <v>0</v>
      </c>
      <c r="F164" s="59">
        <f>D164*(($F$151)+1)+(IF(E164&lt;101,E164,IF(E164&lt;201,E164/2,IF(E164&lt;=301,E164/3,E164/4))))</f>
        <v>658.43388000000004</v>
      </c>
      <c r="G164" s="76"/>
      <c r="H164" s="77"/>
      <c r="I164" s="36"/>
      <c r="J164" s="63">
        <f>(2.9*4.65+0.45*3.15+2.25*2.6+3.05*3.2+2.1*1.2+2.1*1.2+2.2*1+(2.3*1.2))</f>
        <v>40.51250000000001</v>
      </c>
      <c r="K164" s="36"/>
      <c r="N164" s="36"/>
    </row>
    <row r="165" spans="1:14" s="68" customFormat="1" ht="15.75" customHeight="1" x14ac:dyDescent="0.35">
      <c r="A165" s="80">
        <f>A164+1</f>
        <v>4</v>
      </c>
      <c r="B165" s="81"/>
      <c r="C165" s="59" t="s">
        <v>258</v>
      </c>
      <c r="D165" s="63">
        <f>(39.85+1.55*0.6)*10.764</f>
        <v>438.95591999999999</v>
      </c>
      <c r="E165" s="59">
        <v>0</v>
      </c>
      <c r="F165" s="59">
        <f>D165*(($F$151)+1)+(IF(E165&lt;101,E165,IF(E165&lt;201,E165/2,IF(E165&lt;=301,E165/3,E165/4))))</f>
        <v>658.43388000000004</v>
      </c>
      <c r="G165" s="76"/>
      <c r="H165" s="77"/>
      <c r="I165" s="36"/>
      <c r="K165" s="36"/>
      <c r="N165" s="36"/>
    </row>
    <row r="166" spans="1:14" s="68" customFormat="1" x14ac:dyDescent="0.35">
      <c r="A166" s="80">
        <f t="shared" si="3"/>
        <v>5</v>
      </c>
      <c r="B166" s="81"/>
      <c r="C166" s="80" t="s">
        <v>260</v>
      </c>
      <c r="D166" s="82">
        <f>(39.85+1.55*0.45)*10.764</f>
        <v>436.45328999999998</v>
      </c>
      <c r="E166" s="82">
        <v>0</v>
      </c>
      <c r="F166" s="81">
        <f t="shared" ref="F166:F167" si="5">D166*(($F$151)+1)+(IF(E166&lt;101,E166,IF(E166&lt;201,E166/2,IF(E166&lt;=301,E166/3,E166/4))))</f>
        <v>654.679935</v>
      </c>
      <c r="G166" s="76"/>
      <c r="H166" s="77"/>
      <c r="I166" s="36"/>
      <c r="K166" s="36"/>
      <c r="N166" s="36"/>
    </row>
    <row r="167" spans="1:14" s="68" customFormat="1" x14ac:dyDescent="0.35">
      <c r="A167" s="80">
        <f>A166+1</f>
        <v>6</v>
      </c>
      <c r="B167" s="81"/>
      <c r="C167" s="59" t="s">
        <v>258</v>
      </c>
      <c r="D167" s="63">
        <f>(39.85+1.55*0.45)*10.764</f>
        <v>436.45328999999998</v>
      </c>
      <c r="E167" s="59">
        <v>0</v>
      </c>
      <c r="F167" s="59">
        <f t="shared" si="5"/>
        <v>654.679935</v>
      </c>
      <c r="G167" s="78"/>
      <c r="H167" s="79"/>
      <c r="I167" s="36"/>
      <c r="L167" s="193"/>
      <c r="M167" s="193"/>
      <c r="N167" s="36"/>
    </row>
    <row r="168" spans="1:14" s="60" customFormat="1" ht="15" customHeight="1" x14ac:dyDescent="0.35">
      <c r="A168" s="153" t="s">
        <v>253</v>
      </c>
      <c r="B168" s="154"/>
      <c r="C168" s="154"/>
      <c r="D168" s="154"/>
      <c r="E168" s="154"/>
      <c r="F168" s="154"/>
      <c r="G168" s="154"/>
      <c r="H168" s="155"/>
      <c r="I168" s="36"/>
    </row>
    <row r="169" spans="1:14" s="37" customFormat="1" x14ac:dyDescent="0.35">
      <c r="A169" s="150" t="s">
        <v>256</v>
      </c>
      <c r="B169" s="151"/>
      <c r="C169" s="151"/>
      <c r="D169" s="151"/>
      <c r="E169" s="151"/>
      <c r="F169" s="151"/>
      <c r="G169" s="151"/>
      <c r="H169" s="152"/>
      <c r="I169" s="36"/>
    </row>
    <row r="170" spans="1:14" s="60" customFormat="1" x14ac:dyDescent="0.35">
      <c r="A170" s="150" t="s">
        <v>280</v>
      </c>
      <c r="B170" s="151"/>
      <c r="C170" s="151"/>
      <c r="D170" s="151"/>
      <c r="E170" s="151"/>
      <c r="F170" s="151"/>
      <c r="G170" s="151"/>
      <c r="H170" s="152"/>
      <c r="I170" s="36"/>
    </row>
    <row r="171" spans="1:14" s="37" customFormat="1" ht="15.75" customHeight="1" x14ac:dyDescent="0.35">
      <c r="A171" s="80">
        <v>1</v>
      </c>
      <c r="B171" s="81"/>
      <c r="C171" s="59" t="s">
        <v>259</v>
      </c>
      <c r="D171" s="63">
        <f>(74.28+0.6*2)*10.764</f>
        <v>812.46672000000001</v>
      </c>
      <c r="E171" s="41">
        <v>0</v>
      </c>
      <c r="F171" s="41">
        <f>D171*(($F$151)+1)+(IF(E171&lt;101,E171,IF(E171&lt;201,E171/2,IF(E171&lt;=301,E171/3,E171/4))))</f>
        <v>1218.7000800000001</v>
      </c>
      <c r="G171" s="74" t="str">
        <f>A170</f>
        <v>1st, 3rd to 6th, 8th to 11th, 13th to 16th, 18th &amp; 19th Floor for Residential</v>
      </c>
      <c r="H171" s="75"/>
      <c r="I171" s="36"/>
      <c r="J171" s="37">
        <f>(3.05*5.95+0.83*3.15+2.6*2.3+3.05*3.5+2.73*3.36+3.05*3.65+2*0.6+(2.1*1.35)*3+1.8*0.9+(2.3*1.05))</f>
        <v>71.462300000000013</v>
      </c>
      <c r="L171" s="37">
        <f>19*5-4</f>
        <v>91</v>
      </c>
    </row>
    <row r="172" spans="1:14" s="37" customFormat="1" x14ac:dyDescent="0.35">
      <c r="A172" s="80">
        <v>2</v>
      </c>
      <c r="B172" s="81"/>
      <c r="C172" s="59" t="s">
        <v>258</v>
      </c>
      <c r="D172" s="63">
        <f>(39.85+1.55*0.6)*10.764</f>
        <v>438.95591999999999</v>
      </c>
      <c r="E172" s="41">
        <v>0</v>
      </c>
      <c r="F172" s="41">
        <f>D172*(($F$151)+1)+(IF(E172&lt;101,E172,IF(E172&lt;201,E172/2,IF(E172&lt;=301,E172/3,E172/4))))</f>
        <v>658.43388000000004</v>
      </c>
      <c r="G172" s="76"/>
      <c r="H172" s="77"/>
      <c r="I172" s="36"/>
    </row>
    <row r="173" spans="1:14" s="37" customFormat="1" x14ac:dyDescent="0.35">
      <c r="A173" s="80">
        <v>3</v>
      </c>
      <c r="B173" s="81"/>
      <c r="C173" s="59" t="s">
        <v>258</v>
      </c>
      <c r="D173" s="63">
        <f>(39.85+1.55*0.6)*10.764</f>
        <v>438.95591999999999</v>
      </c>
      <c r="E173" s="41">
        <v>0</v>
      </c>
      <c r="F173" s="41">
        <f>D173*(($F$151)+1)+(IF(E173&lt;101,E173,IF(E173&lt;201,E173/2,IF(E173&lt;=301,E173/3,E173/4))))</f>
        <v>658.43388000000004</v>
      </c>
      <c r="G173" s="76"/>
      <c r="H173" s="77"/>
      <c r="I173" s="36"/>
    </row>
    <row r="174" spans="1:14" s="37" customFormat="1" x14ac:dyDescent="0.35">
      <c r="A174" s="80">
        <v>4</v>
      </c>
      <c r="B174" s="81"/>
      <c r="C174" s="59" t="s">
        <v>257</v>
      </c>
      <c r="D174" s="63">
        <f>(57.55+2.1*0.6)*10.764</f>
        <v>633.0308399999999</v>
      </c>
      <c r="E174" s="41">
        <v>0</v>
      </c>
      <c r="F174" s="41">
        <f>D174*(($F$151)+1)+(IF(E174&lt;101,E174,IF(E174&lt;201,E174/2,IF(E174&lt;=301,E174/3,E174/4))))</f>
        <v>949.54625999999985</v>
      </c>
      <c r="G174" s="76"/>
      <c r="H174" s="77"/>
      <c r="I174" s="36"/>
    </row>
    <row r="175" spans="1:14" s="37" customFormat="1" x14ac:dyDescent="0.35">
      <c r="A175" s="80">
        <v>5</v>
      </c>
      <c r="B175" s="81"/>
      <c r="C175" s="59" t="s">
        <v>257</v>
      </c>
      <c r="D175" s="63">
        <f>(57.55+2.1*0.6)*10.764</f>
        <v>633.0308399999999</v>
      </c>
      <c r="E175" s="41">
        <v>0</v>
      </c>
      <c r="F175" s="41">
        <f>D175*(($F$151)+1)+(IF(E175&lt;101,E175,IF(E175&lt;201,E175/2,IF(E175&lt;=301,E175/3,E175/4))))</f>
        <v>949.54625999999985</v>
      </c>
      <c r="G175" s="78"/>
      <c r="H175" s="79"/>
      <c r="I175" s="36"/>
    </row>
    <row r="176" spans="1:14" s="68" customFormat="1" x14ac:dyDescent="0.35">
      <c r="A176" s="150" t="s">
        <v>284</v>
      </c>
      <c r="B176" s="151"/>
      <c r="C176" s="151"/>
      <c r="D176" s="151"/>
      <c r="E176" s="151"/>
      <c r="F176" s="151"/>
      <c r="G176" s="151"/>
      <c r="H176" s="152"/>
      <c r="I176" s="36"/>
    </row>
    <row r="177" spans="1:10" s="68" customFormat="1" ht="15.75" customHeight="1" x14ac:dyDescent="0.35">
      <c r="A177" s="80">
        <v>1</v>
      </c>
      <c r="B177" s="81"/>
      <c r="C177" s="59" t="s">
        <v>259</v>
      </c>
      <c r="D177" s="63">
        <f>(74.28+0.6*2)*10.764</f>
        <v>812.46672000000001</v>
      </c>
      <c r="E177" s="59">
        <v>0</v>
      </c>
      <c r="F177" s="59">
        <f>D177*(($F$151)+1)+(IF(E177&lt;101,E177,IF(E177&lt;201,E177/2,IF(E177&lt;=301,E177/3,E177/4))))</f>
        <v>1218.7000800000001</v>
      </c>
      <c r="G177" s="74" t="str">
        <f>A176</f>
        <v>2nd, 7th, 12th &amp; 17th Floor (Part Refuge Area)</v>
      </c>
      <c r="H177" s="75"/>
      <c r="I177" s="36"/>
      <c r="J177" s="68">
        <f>(3.05*5.95+0.83*3.15+2.6*2.3+3.05*3.5+2.73*3.36+3.05*3.65+2*0.6+(2.1*1.35)*3+1.8*0.9+(2.3*1.05))</f>
        <v>71.462300000000013</v>
      </c>
    </row>
    <row r="178" spans="1:10" s="68" customFormat="1" x14ac:dyDescent="0.35">
      <c r="A178" s="80">
        <v>2</v>
      </c>
      <c r="B178" s="81"/>
      <c r="C178" s="80" t="s">
        <v>260</v>
      </c>
      <c r="D178" s="82">
        <f>(39.85+1.55*0.6)*10.764</f>
        <v>438.95591999999999</v>
      </c>
      <c r="E178" s="82">
        <v>0</v>
      </c>
      <c r="F178" s="81">
        <f>D178*(($F$151)+1)+(IF(E178&lt;101,E178,IF(E178&lt;201,E178/2,IF(E178&lt;=301,E178/3,E178/4))))</f>
        <v>658.43388000000004</v>
      </c>
      <c r="G178" s="76"/>
      <c r="H178" s="77"/>
      <c r="I178" s="36"/>
    </row>
    <row r="179" spans="1:10" s="68" customFormat="1" x14ac:dyDescent="0.35">
      <c r="A179" s="80">
        <v>3</v>
      </c>
      <c r="B179" s="81"/>
      <c r="C179" s="59" t="s">
        <v>258</v>
      </c>
      <c r="D179" s="63">
        <f>(39.85+1.55*0.6)*10.764</f>
        <v>438.95591999999999</v>
      </c>
      <c r="E179" s="59">
        <v>0</v>
      </c>
      <c r="F179" s="59">
        <f>D179*(($F$151)+1)+(IF(E179&lt;101,E179,IF(E179&lt;201,E179/2,IF(E179&lt;=301,E179/3,E179/4))))</f>
        <v>658.43388000000004</v>
      </c>
      <c r="G179" s="76"/>
      <c r="H179" s="77"/>
      <c r="I179" s="36"/>
    </row>
    <row r="180" spans="1:10" s="68" customFormat="1" x14ac:dyDescent="0.35">
      <c r="A180" s="80">
        <v>4</v>
      </c>
      <c r="B180" s="81"/>
      <c r="C180" s="59" t="s">
        <v>257</v>
      </c>
      <c r="D180" s="63">
        <f>(57.55+2.1*0.6)*10.764</f>
        <v>633.0308399999999</v>
      </c>
      <c r="E180" s="59">
        <v>0</v>
      </c>
      <c r="F180" s="59">
        <f>D180*(($F$151)+1)+(IF(E180&lt;101,E180,IF(E180&lt;201,E180/2,IF(E180&lt;=301,E180/3,E180/4))))</f>
        <v>949.54625999999985</v>
      </c>
      <c r="G180" s="76"/>
      <c r="H180" s="77"/>
      <c r="I180" s="36"/>
    </row>
    <row r="181" spans="1:10" s="68" customFormat="1" x14ac:dyDescent="0.35">
      <c r="A181" s="80">
        <v>5</v>
      </c>
      <c r="B181" s="81"/>
      <c r="C181" s="59" t="s">
        <v>257</v>
      </c>
      <c r="D181" s="63">
        <f>(57.55+2.1*0.6)*10.764</f>
        <v>633.0308399999999</v>
      </c>
      <c r="E181" s="59">
        <v>0</v>
      </c>
      <c r="F181" s="59">
        <f>D181*(($F$151)+1)+(IF(E181&lt;101,E181,IF(E181&lt;201,E181/2,IF(E181&lt;=301,E181/3,E181/4))))</f>
        <v>949.54625999999985</v>
      </c>
      <c r="G181" s="78"/>
      <c r="H181" s="79"/>
      <c r="I181" s="36"/>
    </row>
    <row r="182" spans="1:10" s="35" customFormat="1" x14ac:dyDescent="0.35">
      <c r="A182" s="207" t="s">
        <v>66</v>
      </c>
      <c r="B182" s="207"/>
      <c r="C182" s="207"/>
      <c r="D182" s="207"/>
      <c r="E182" s="207"/>
      <c r="F182" s="207"/>
      <c r="G182" s="207"/>
      <c r="H182" s="207"/>
    </row>
    <row r="183" spans="1:10" s="35" customFormat="1" ht="32.25" customHeight="1" x14ac:dyDescent="0.35">
      <c r="A183" s="46" t="s">
        <v>149</v>
      </c>
      <c r="B183" s="211" t="s">
        <v>289</v>
      </c>
      <c r="C183" s="212"/>
      <c r="D183" s="212"/>
      <c r="E183" s="212"/>
      <c r="F183" s="212"/>
      <c r="G183" s="212"/>
      <c r="H183" s="213"/>
    </row>
    <row r="184" spans="1:10" s="35" customFormat="1" x14ac:dyDescent="0.35">
      <c r="A184" s="46" t="s">
        <v>149</v>
      </c>
      <c r="B184" s="208" t="str">
        <f>(IF(F150="Saleable area Loading :","We have considered Saleable area of Flats as per our Calculation.","We considered Saleable area of Flat as per Builder area Sheet."))</f>
        <v>We have considered Saleable area of Flats as per our Calculation.</v>
      </c>
      <c r="C184" s="209"/>
      <c r="D184" s="209"/>
      <c r="E184" s="209"/>
      <c r="F184" s="209"/>
      <c r="G184" s="209"/>
      <c r="H184" s="210"/>
    </row>
    <row r="185" spans="1:10" s="35" customFormat="1" x14ac:dyDescent="0.35">
      <c r="A185" s="46" t="s">
        <v>149</v>
      </c>
      <c r="B185" s="208" t="str">
        <f>(IF(F123="Saleable area Loading :","We have considered Saleable area of Commercial as per our Calculation.","We considered Saleable area of Commercial as per Builder area Sheet."))</f>
        <v>We have considered Saleable area of Commercial as per our Calculation.</v>
      </c>
      <c r="C185" s="209"/>
      <c r="D185" s="209"/>
      <c r="E185" s="209"/>
      <c r="F185" s="209"/>
      <c r="G185" s="209"/>
      <c r="H185" s="210"/>
    </row>
    <row r="186" spans="1:10" s="35" customFormat="1" x14ac:dyDescent="0.35">
      <c r="A186" s="46" t="s">
        <v>149</v>
      </c>
      <c r="B186" s="157" t="s">
        <v>119</v>
      </c>
      <c r="C186" s="158"/>
      <c r="D186" s="158"/>
      <c r="E186" s="158"/>
      <c r="F186" s="158"/>
      <c r="G186" s="158"/>
      <c r="H186" s="159"/>
    </row>
    <row r="187" spans="1:10" s="35" customFormat="1" x14ac:dyDescent="0.35">
      <c r="A187" s="46" t="s">
        <v>149</v>
      </c>
      <c r="B187" s="157" t="s">
        <v>272</v>
      </c>
      <c r="C187" s="158"/>
      <c r="D187" s="158"/>
      <c r="E187" s="158"/>
      <c r="F187" s="158"/>
      <c r="G187" s="158"/>
      <c r="H187" s="159"/>
    </row>
    <row r="188" spans="1:10" s="35" customFormat="1" x14ac:dyDescent="0.35">
      <c r="A188" s="46" t="s">
        <v>149</v>
      </c>
      <c r="B188" s="157" t="s">
        <v>148</v>
      </c>
      <c r="C188" s="158"/>
      <c r="D188" s="158"/>
      <c r="E188" s="158"/>
      <c r="F188" s="158"/>
      <c r="G188" s="158"/>
      <c r="H188" s="159"/>
    </row>
    <row r="189" spans="1:10" s="35" customFormat="1" x14ac:dyDescent="0.35">
      <c r="A189" s="46" t="s">
        <v>149</v>
      </c>
      <c r="B189" s="157" t="s">
        <v>120</v>
      </c>
      <c r="C189" s="158"/>
      <c r="D189" s="158"/>
      <c r="E189" s="158"/>
      <c r="F189" s="158"/>
      <c r="G189" s="158"/>
      <c r="H189" s="159"/>
    </row>
    <row r="190" spans="1:10" s="35" customFormat="1" ht="34.5" customHeight="1" x14ac:dyDescent="0.35">
      <c r="A190" s="46" t="s">
        <v>149</v>
      </c>
      <c r="B190" s="157" t="s">
        <v>150</v>
      </c>
      <c r="C190" s="158"/>
      <c r="D190" s="158"/>
      <c r="E190" s="158"/>
      <c r="F190" s="158"/>
      <c r="G190" s="158"/>
      <c r="H190" s="159"/>
    </row>
    <row r="191" spans="1:10" s="35" customFormat="1" x14ac:dyDescent="0.35">
      <c r="A191" s="46" t="s">
        <v>149</v>
      </c>
      <c r="B191" s="157" t="s">
        <v>121</v>
      </c>
      <c r="C191" s="158"/>
      <c r="D191" s="158"/>
      <c r="E191" s="158"/>
      <c r="F191" s="158"/>
      <c r="G191" s="158"/>
      <c r="H191" s="159"/>
    </row>
    <row r="192" spans="1:10" s="35" customFormat="1" ht="32.25" hidden="1" customHeight="1" x14ac:dyDescent="0.35">
      <c r="A192" s="56" t="s">
        <v>149</v>
      </c>
      <c r="B192" s="161" t="s">
        <v>175</v>
      </c>
      <c r="C192" s="162"/>
      <c r="D192" s="162"/>
      <c r="E192" s="162"/>
      <c r="F192" s="162"/>
      <c r="G192" s="162"/>
      <c r="H192" s="163"/>
    </row>
    <row r="193" spans="1:8" s="35" customFormat="1" ht="33" customHeight="1" x14ac:dyDescent="0.35">
      <c r="A193" s="67" t="s">
        <v>149</v>
      </c>
      <c r="B193" s="157" t="s">
        <v>286</v>
      </c>
      <c r="C193" s="158"/>
      <c r="D193" s="158"/>
      <c r="E193" s="158"/>
      <c r="F193" s="158"/>
      <c r="G193" s="158"/>
      <c r="H193" s="159"/>
    </row>
    <row r="194" spans="1:8" s="35" customFormat="1" ht="18" customHeight="1" x14ac:dyDescent="0.35">
      <c r="A194" s="67" t="s">
        <v>149</v>
      </c>
      <c r="B194" s="157" t="s">
        <v>287</v>
      </c>
      <c r="C194" s="158"/>
      <c r="D194" s="158"/>
      <c r="E194" s="158"/>
      <c r="F194" s="158"/>
      <c r="G194" s="158"/>
      <c r="H194" s="159"/>
    </row>
    <row r="195" spans="1:8" x14ac:dyDescent="0.35">
      <c r="A195" s="116" t="s">
        <v>60</v>
      </c>
      <c r="B195" s="116"/>
      <c r="C195" s="116"/>
      <c r="D195" s="116"/>
      <c r="E195" s="116"/>
      <c r="F195" s="116"/>
      <c r="G195" s="116"/>
      <c r="H195" s="116"/>
    </row>
    <row r="196" spans="1:8" x14ac:dyDescent="0.35">
      <c r="A196" s="88" t="s">
        <v>61</v>
      </c>
      <c r="B196" s="88"/>
      <c r="C196" s="88"/>
      <c r="D196" s="88"/>
      <c r="E196" s="88"/>
      <c r="F196" s="88"/>
      <c r="G196" s="88"/>
      <c r="H196" s="88"/>
    </row>
    <row r="197" spans="1:8" ht="15.75" customHeight="1" x14ac:dyDescent="0.35">
      <c r="A197" s="156" t="s">
        <v>62</v>
      </c>
      <c r="B197" s="156"/>
      <c r="C197" s="156"/>
      <c r="D197" s="156"/>
      <c r="E197" s="156"/>
      <c r="F197" s="156"/>
      <c r="G197" s="156"/>
      <c r="H197" s="156"/>
    </row>
    <row r="198" spans="1:8" x14ac:dyDescent="0.35">
      <c r="A198" s="88" t="s">
        <v>63</v>
      </c>
      <c r="B198" s="88"/>
      <c r="C198" s="88"/>
      <c r="D198" s="88"/>
      <c r="E198" s="88"/>
      <c r="F198" s="88"/>
      <c r="G198" s="88"/>
      <c r="H198" s="88"/>
    </row>
    <row r="199" spans="1:8" x14ac:dyDescent="0.35">
      <c r="A199" s="88" t="s">
        <v>64</v>
      </c>
      <c r="B199" s="88"/>
      <c r="C199" s="88"/>
      <c r="D199" s="88"/>
      <c r="E199" s="88"/>
      <c r="F199" s="88"/>
      <c r="G199" s="88"/>
      <c r="H199" s="88"/>
    </row>
    <row r="200" spans="1:8" x14ac:dyDescent="0.35">
      <c r="A200" s="88" t="s">
        <v>122</v>
      </c>
      <c r="B200" s="88"/>
      <c r="C200" s="88"/>
      <c r="D200" s="88"/>
      <c r="E200" s="88"/>
      <c r="F200" s="88"/>
      <c r="G200" s="88"/>
      <c r="H200" s="88"/>
    </row>
    <row r="201" spans="1:8" ht="34" customHeight="1" x14ac:dyDescent="0.35">
      <c r="A201" s="95" t="s">
        <v>123</v>
      </c>
      <c r="B201" s="95"/>
      <c r="C201" s="95"/>
      <c r="D201" s="95"/>
      <c r="E201" s="95"/>
      <c r="F201" s="95"/>
      <c r="G201" s="95"/>
      <c r="H201" s="95"/>
    </row>
    <row r="202" spans="1:8" x14ac:dyDescent="0.35">
      <c r="A202" s="148" t="s">
        <v>73</v>
      </c>
      <c r="B202" s="148"/>
      <c r="C202" s="148" t="s">
        <v>271</v>
      </c>
      <c r="D202" s="148"/>
      <c r="E202" s="148" t="s">
        <v>103</v>
      </c>
      <c r="F202" s="148"/>
      <c r="G202" s="148" t="s">
        <v>288</v>
      </c>
      <c r="H202" s="148"/>
    </row>
    <row r="203" spans="1:8" x14ac:dyDescent="0.35">
      <c r="A203" s="147" t="s">
        <v>75</v>
      </c>
      <c r="B203" s="147"/>
      <c r="C203" s="147"/>
      <c r="D203" s="147"/>
      <c r="E203" s="147"/>
      <c r="F203" s="147"/>
      <c r="G203" s="147"/>
      <c r="H203" s="147"/>
    </row>
    <row r="204" spans="1:8" x14ac:dyDescent="0.35">
      <c r="A204" s="147"/>
      <c r="B204" s="147"/>
      <c r="C204" s="147"/>
      <c r="D204" s="147"/>
      <c r="E204" s="147"/>
      <c r="F204" s="147"/>
      <c r="G204" s="147"/>
      <c r="H204" s="147"/>
    </row>
    <row r="205" spans="1:8" x14ac:dyDescent="0.35">
      <c r="A205" s="147"/>
      <c r="B205" s="147"/>
      <c r="C205" s="147"/>
      <c r="D205" s="147"/>
      <c r="E205" s="147"/>
      <c r="F205" s="147"/>
      <c r="G205" s="147"/>
      <c r="H205" s="147"/>
    </row>
    <row r="206" spans="1:8" x14ac:dyDescent="0.35">
      <c r="A206" s="147"/>
      <c r="B206" s="147"/>
      <c r="C206" s="147"/>
      <c r="D206" s="147"/>
      <c r="E206" s="147"/>
      <c r="F206" s="147"/>
      <c r="G206" s="147"/>
      <c r="H206" s="147"/>
    </row>
    <row r="207" spans="1:8" x14ac:dyDescent="0.35">
      <c r="A207" s="38" t="s">
        <v>65</v>
      </c>
      <c r="B207" s="39"/>
      <c r="C207" s="39"/>
      <c r="D207" s="38" t="str">
        <f>E8</f>
        <v>Imperial Garden</v>
      </c>
      <c r="F207" s="39"/>
      <c r="G207" s="39"/>
      <c r="H207" s="39"/>
    </row>
    <row r="208" spans="1:8" x14ac:dyDescent="0.35">
      <c r="A208" s="39"/>
      <c r="B208" s="39"/>
      <c r="C208" s="39"/>
      <c r="D208" s="39"/>
      <c r="E208" s="39"/>
      <c r="F208" s="39"/>
      <c r="G208" s="39"/>
      <c r="H208" s="39"/>
    </row>
    <row r="210" ht="15" customHeight="1" x14ac:dyDescent="0.35"/>
  </sheetData>
  <mergeCells count="356">
    <mergeCell ref="C53:H53"/>
    <mergeCell ref="A131:B131"/>
    <mergeCell ref="A132:B132"/>
    <mergeCell ref="A133:B133"/>
    <mergeCell ref="A134:B134"/>
    <mergeCell ref="A135:B135"/>
    <mergeCell ref="A136:B136"/>
    <mergeCell ref="A137:B137"/>
    <mergeCell ref="A138:B138"/>
    <mergeCell ref="E112:F112"/>
    <mergeCell ref="G113:H113"/>
    <mergeCell ref="A114:B114"/>
    <mergeCell ref="C114:D114"/>
    <mergeCell ref="A108:E108"/>
    <mergeCell ref="A112:B112"/>
    <mergeCell ref="A119:B119"/>
    <mergeCell ref="A85:B85"/>
    <mergeCell ref="A84:B84"/>
    <mergeCell ref="C84:H84"/>
    <mergeCell ref="A78:B78"/>
    <mergeCell ref="C70:H70"/>
    <mergeCell ref="A73:B73"/>
    <mergeCell ref="A75:B75"/>
    <mergeCell ref="E71:F71"/>
    <mergeCell ref="A39:B39"/>
    <mergeCell ref="C39:H39"/>
    <mergeCell ref="B190:H190"/>
    <mergeCell ref="A48:B48"/>
    <mergeCell ref="C48:H48"/>
    <mergeCell ref="B188:H188"/>
    <mergeCell ref="G86:H95"/>
    <mergeCell ref="A87:B87"/>
    <mergeCell ref="A88:B88"/>
    <mergeCell ref="A89:B89"/>
    <mergeCell ref="F98:H98"/>
    <mergeCell ref="A98:E98"/>
    <mergeCell ref="D123:D124"/>
    <mergeCell ref="A100:E100"/>
    <mergeCell ref="A99:E99"/>
    <mergeCell ref="A96:E96"/>
    <mergeCell ref="F100:H100"/>
    <mergeCell ref="A107:E107"/>
    <mergeCell ref="G119:H119"/>
    <mergeCell ref="A51:B51"/>
    <mergeCell ref="C51:E51"/>
    <mergeCell ref="G51:H51"/>
    <mergeCell ref="A153:H153"/>
    <mergeCell ref="A95:B95"/>
    <mergeCell ref="L156:M156"/>
    <mergeCell ref="L160:M160"/>
    <mergeCell ref="B186:H186"/>
    <mergeCell ref="B187:H187"/>
    <mergeCell ref="A182:H182"/>
    <mergeCell ref="A158:B158"/>
    <mergeCell ref="L161:M161"/>
    <mergeCell ref="B185:H185"/>
    <mergeCell ref="A169:H169"/>
    <mergeCell ref="A171:B171"/>
    <mergeCell ref="A172:B172"/>
    <mergeCell ref="A175:B175"/>
    <mergeCell ref="A174:B174"/>
    <mergeCell ref="B183:H183"/>
    <mergeCell ref="B184:H184"/>
    <mergeCell ref="A170:H170"/>
    <mergeCell ref="L163:M163"/>
    <mergeCell ref="A165:B165"/>
    <mergeCell ref="A166:B166"/>
    <mergeCell ref="A167:B167"/>
    <mergeCell ref="L167:M167"/>
    <mergeCell ref="C166:F166"/>
    <mergeCell ref="A176:H176"/>
    <mergeCell ref="A177:B177"/>
    <mergeCell ref="L154:M154"/>
    <mergeCell ref="A156:B156"/>
    <mergeCell ref="A127:B127"/>
    <mergeCell ref="F108:H108"/>
    <mergeCell ref="A109:E109"/>
    <mergeCell ref="F109:H109"/>
    <mergeCell ref="A38:B38"/>
    <mergeCell ref="C38:H38"/>
    <mergeCell ref="A45:D45"/>
    <mergeCell ref="L148:M148"/>
    <mergeCell ref="A79:B79"/>
    <mergeCell ref="C117:D117"/>
    <mergeCell ref="E117:F117"/>
    <mergeCell ref="G117:H117"/>
    <mergeCell ref="F103:H103"/>
    <mergeCell ref="A97:E97"/>
    <mergeCell ref="A126:H126"/>
    <mergeCell ref="E123:E124"/>
    <mergeCell ref="G123:H124"/>
    <mergeCell ref="A86:B86"/>
    <mergeCell ref="E72:F81"/>
    <mergeCell ref="G72:H81"/>
    <mergeCell ref="A80:B80"/>
    <mergeCell ref="A81:B81"/>
    <mergeCell ref="A37:H37"/>
    <mergeCell ref="A36:B36"/>
    <mergeCell ref="C36:E36"/>
    <mergeCell ref="A41:D41"/>
    <mergeCell ref="E41:H41"/>
    <mergeCell ref="A40:H40"/>
    <mergeCell ref="A61:C61"/>
    <mergeCell ref="A62:C62"/>
    <mergeCell ref="D61:H61"/>
    <mergeCell ref="D62:H62"/>
    <mergeCell ref="A43:D43"/>
    <mergeCell ref="E43:H43"/>
    <mergeCell ref="E44:H44"/>
    <mergeCell ref="E45:H45"/>
    <mergeCell ref="E46:H46"/>
    <mergeCell ref="A44:D44"/>
    <mergeCell ref="F36:H36"/>
    <mergeCell ref="A46:D46"/>
    <mergeCell ref="A47:H47"/>
    <mergeCell ref="D58:H58"/>
    <mergeCell ref="A58:C58"/>
    <mergeCell ref="G50:H50"/>
    <mergeCell ref="A52:B53"/>
    <mergeCell ref="C50:E50"/>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3:H33"/>
    <mergeCell ref="E26:H26"/>
    <mergeCell ref="A28:D28"/>
    <mergeCell ref="E28:H28"/>
    <mergeCell ref="A25:D25"/>
    <mergeCell ref="E25:H25"/>
    <mergeCell ref="A24:D24"/>
    <mergeCell ref="E24:H24"/>
    <mergeCell ref="A29:D29"/>
    <mergeCell ref="E29:H29"/>
    <mergeCell ref="A26:D26"/>
    <mergeCell ref="E19:F19"/>
    <mergeCell ref="G19:H19"/>
    <mergeCell ref="A20:B20"/>
    <mergeCell ref="C20:D20"/>
    <mergeCell ref="E20:F20"/>
    <mergeCell ref="G20:H20"/>
    <mergeCell ref="A21:B21"/>
    <mergeCell ref="C21:D21"/>
    <mergeCell ref="E21:F21"/>
    <mergeCell ref="G21:H21"/>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64:C64"/>
    <mergeCell ref="D64:H64"/>
    <mergeCell ref="A67:C67"/>
    <mergeCell ref="D67:H67"/>
    <mergeCell ref="A65:C65"/>
    <mergeCell ref="D66:H66"/>
    <mergeCell ref="A72:B72"/>
    <mergeCell ref="G71:H71"/>
    <mergeCell ref="A71:B71"/>
    <mergeCell ref="A196:H196"/>
    <mergeCell ref="B191:H191"/>
    <mergeCell ref="B189:H189"/>
    <mergeCell ref="A143:B143"/>
    <mergeCell ref="A144:B144"/>
    <mergeCell ref="A145:B145"/>
    <mergeCell ref="A146:B146"/>
    <mergeCell ref="A147:B147"/>
    <mergeCell ref="A148:B148"/>
    <mergeCell ref="A150:A151"/>
    <mergeCell ref="D150:D151"/>
    <mergeCell ref="E150:E151"/>
    <mergeCell ref="A154:H154"/>
    <mergeCell ref="B192:H192"/>
    <mergeCell ref="A173:B173"/>
    <mergeCell ref="B193:H193"/>
    <mergeCell ref="B194:H194"/>
    <mergeCell ref="A152:H152"/>
    <mergeCell ref="A168:H168"/>
    <mergeCell ref="A157:B157"/>
    <mergeCell ref="A159:B159"/>
    <mergeCell ref="A160:B160"/>
    <mergeCell ref="A161:H161"/>
    <mergeCell ref="A164:B164"/>
    <mergeCell ref="A203:H206"/>
    <mergeCell ref="A202:B202"/>
    <mergeCell ref="E202:F202"/>
    <mergeCell ref="C202:D202"/>
    <mergeCell ref="G202:H202"/>
    <mergeCell ref="A110:H110"/>
    <mergeCell ref="A125:H125"/>
    <mergeCell ref="A139:H139"/>
    <mergeCell ref="A140:H140"/>
    <mergeCell ref="C150:C151"/>
    <mergeCell ref="A141:B141"/>
    <mergeCell ref="A142:B142"/>
    <mergeCell ref="G171:H175"/>
    <mergeCell ref="G155:H160"/>
    <mergeCell ref="G127:H138"/>
    <mergeCell ref="G141:H148"/>
    <mergeCell ref="A200:H200"/>
    <mergeCell ref="A197:H197"/>
    <mergeCell ref="A198:H198"/>
    <mergeCell ref="A115:H115"/>
    <mergeCell ref="A201:H201"/>
    <mergeCell ref="A199:H199"/>
    <mergeCell ref="A195:H195"/>
    <mergeCell ref="G116:H116"/>
    <mergeCell ref="F97:H97"/>
    <mergeCell ref="G112:H112"/>
    <mergeCell ref="F104:H104"/>
    <mergeCell ref="C111:D111"/>
    <mergeCell ref="C119:D119"/>
    <mergeCell ref="E85:F85"/>
    <mergeCell ref="G85:H85"/>
    <mergeCell ref="A102:E102"/>
    <mergeCell ref="F102:H102"/>
    <mergeCell ref="A103:E103"/>
    <mergeCell ref="A105:E105"/>
    <mergeCell ref="F99:H99"/>
    <mergeCell ref="A104:E104"/>
    <mergeCell ref="E86:F95"/>
    <mergeCell ref="A93:B93"/>
    <mergeCell ref="A94:B94"/>
    <mergeCell ref="E116:F116"/>
    <mergeCell ref="A116:B116"/>
    <mergeCell ref="E119:F119"/>
    <mergeCell ref="E114:F114"/>
    <mergeCell ref="G114:H114"/>
    <mergeCell ref="A162:B162"/>
    <mergeCell ref="G162:H167"/>
    <mergeCell ref="A163:B163"/>
    <mergeCell ref="G150:H151"/>
    <mergeCell ref="C123:C124"/>
    <mergeCell ref="B150:B151"/>
    <mergeCell ref="A121:H121"/>
    <mergeCell ref="B123:B124"/>
    <mergeCell ref="A123:A124"/>
    <mergeCell ref="A70:B70"/>
    <mergeCell ref="A68:B68"/>
    <mergeCell ref="C68:H68"/>
    <mergeCell ref="A76:B76"/>
    <mergeCell ref="A63:C63"/>
    <mergeCell ref="D63:H63"/>
    <mergeCell ref="F96:H96"/>
    <mergeCell ref="F101:H101"/>
    <mergeCell ref="A155:B155"/>
    <mergeCell ref="A130:B130"/>
    <mergeCell ref="A129:B129"/>
    <mergeCell ref="A149:H149"/>
    <mergeCell ref="A118:B118"/>
    <mergeCell ref="C118:D118"/>
    <mergeCell ref="E118:F118"/>
    <mergeCell ref="G118:H118"/>
    <mergeCell ref="C112:D112"/>
    <mergeCell ref="C113:D113"/>
    <mergeCell ref="E113:F113"/>
    <mergeCell ref="A101:E101"/>
    <mergeCell ref="A117:B117"/>
    <mergeCell ref="A90:B90"/>
    <mergeCell ref="A91:B91"/>
    <mergeCell ref="A92:B92"/>
    <mergeCell ref="A120:B120"/>
    <mergeCell ref="C120:D120"/>
    <mergeCell ref="E120:F120"/>
    <mergeCell ref="G120:H120"/>
    <mergeCell ref="E42:H42"/>
    <mergeCell ref="A42:D42"/>
    <mergeCell ref="A82:B82"/>
    <mergeCell ref="C82:H82"/>
    <mergeCell ref="A77:B77"/>
    <mergeCell ref="A49:B49"/>
    <mergeCell ref="C49:E49"/>
    <mergeCell ref="G49:H49"/>
    <mergeCell ref="G52:H52"/>
    <mergeCell ref="A50:B50"/>
    <mergeCell ref="A55:H55"/>
    <mergeCell ref="A56:C56"/>
    <mergeCell ref="A57:C57"/>
    <mergeCell ref="D57:H57"/>
    <mergeCell ref="G54:H54"/>
    <mergeCell ref="C52:E52"/>
    <mergeCell ref="A59:C60"/>
    <mergeCell ref="D59:H59"/>
    <mergeCell ref="D60:H60"/>
    <mergeCell ref="A74:B74"/>
    <mergeCell ref="G177:H181"/>
    <mergeCell ref="A178:B178"/>
    <mergeCell ref="A179:B179"/>
    <mergeCell ref="A180:B180"/>
    <mergeCell ref="A181:B181"/>
    <mergeCell ref="C178:F178"/>
    <mergeCell ref="I14:P14"/>
    <mergeCell ref="F107:H107"/>
    <mergeCell ref="F105:H105"/>
    <mergeCell ref="A122:H122"/>
    <mergeCell ref="G111:H111"/>
    <mergeCell ref="A106:E106"/>
    <mergeCell ref="A128:B128"/>
    <mergeCell ref="A54:B54"/>
    <mergeCell ref="C54:E54"/>
    <mergeCell ref="D56:H56"/>
    <mergeCell ref="F106:H106"/>
    <mergeCell ref="E111:F111"/>
    <mergeCell ref="A111:B111"/>
    <mergeCell ref="A113:B113"/>
    <mergeCell ref="C116:D116"/>
    <mergeCell ref="D65:H65"/>
    <mergeCell ref="A66:C66"/>
    <mergeCell ref="F34:H34"/>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23:E124">
      <formula1>"Attached Loft area,Attached Terrace area,Attached Mezzanine area"</formula1>
    </dataValidation>
    <dataValidation type="list" allowBlank="1" showInputMessage="1" showErrorMessage="1" sqref="F124 F151">
      <formula1>"45%,50%,55%,60%"</formula1>
    </dataValidation>
    <dataValidation type="list" allowBlank="1" showInputMessage="1" showErrorMessage="1" sqref="G202:H202">
      <formula1>"Kunal Kadam, Shruti Tathare,Pranita Mhatre,Shruti Fule,Pooja Kawale,Mansee Mohite,Anjali Kamble, Hitakshi Mhatre, Sachin Sawant"</formula1>
    </dataValidation>
    <dataValidation type="list" allowBlank="1" showInputMessage="1" showErrorMessage="1" sqref="F96:H96">
      <formula1>"On Saleable Area,On Builtup Area,On Carpet Area,On Plot Area"</formula1>
    </dataValidation>
    <dataValidation type="list" allowBlank="1" showInputMessage="1" showErrorMessage="1" sqref="F108:H108">
      <formula1>"100000,150000,200000,250000,300000,350000,400000,500000,600000,700000,800000,900000,1000000,1200000,1400000,1500000"</formula1>
    </dataValidation>
    <dataValidation type="list" allowBlank="1" showInputMessage="1" showErrorMessage="1" sqref="F123 F150">
      <formula1>"Saleable area Loading :,Builder Saleable area"</formula1>
    </dataValidation>
    <dataValidation type="list" allowBlank="1" showInputMessage="1" showErrorMessage="1" sqref="B123:B124">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06" max="16383" man="1"/>
    <brk id="249" max="16383" man="1"/>
    <brk id="292" max="16383" man="1"/>
  </rowBreaks>
  <ignoredErrors>
    <ignoredError sqref="C50 A130 A156:B156 A155:B155 E155:G155 E156:F156 E174:E175 E127:F138 F141:F148 G141 F113 F112 C114:H114 C112:D112 C113:D113 F157:F160 E120:G120 F117 D119 D117 D118 C120:D120 H120 C72:H72 D86 B83 B69 H69 C70 F119 C78:H82 E73:H73 C89:D95 D87 D74:H74 D88 D75:H75 D76:H76 D77:H77" unlockedFormula="1"/>
  </ignoredError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6"/>
  <sheetViews>
    <sheetView topLeftCell="A124" zoomScale="85" zoomScaleNormal="85" workbookViewId="0">
      <selection activeCell="K6" sqref="K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0" width="8.7265625" style="1"/>
    <col min="11" max="11" width="13.26953125" style="1" customWidth="1"/>
    <col min="12" max="12" width="12.453125" style="1" customWidth="1"/>
    <col min="13" max="16384" width="8.7265625" style="1"/>
  </cols>
  <sheetData>
    <row r="1" spans="1:12" ht="15" customHeight="1" x14ac:dyDescent="0.35"/>
    <row r="2" spans="1:12" ht="15" customHeight="1" x14ac:dyDescent="0.35">
      <c r="A2" s="2"/>
      <c r="B2" s="2"/>
      <c r="C2" s="2"/>
      <c r="D2" s="2"/>
      <c r="E2" s="2"/>
      <c r="F2" s="2"/>
      <c r="G2" s="2"/>
      <c r="H2" s="2"/>
    </row>
    <row r="3" spans="1:12" ht="15.75" customHeight="1" x14ac:dyDescent="0.35">
      <c r="A3" s="2"/>
      <c r="B3" s="227" t="s">
        <v>104</v>
      </c>
      <c r="C3" s="227"/>
      <c r="D3" s="227"/>
      <c r="E3" s="227"/>
      <c r="F3" s="227"/>
      <c r="G3" s="227"/>
      <c r="H3" s="227"/>
    </row>
    <row r="4" spans="1:12" x14ac:dyDescent="0.35">
      <c r="A4" s="2"/>
      <c r="B4" s="3" t="s">
        <v>105</v>
      </c>
      <c r="C4" s="3" t="s">
        <v>106</v>
      </c>
      <c r="D4" s="3" t="s">
        <v>67</v>
      </c>
      <c r="E4" s="3" t="s">
        <v>107</v>
      </c>
      <c r="F4" s="3" t="s">
        <v>113</v>
      </c>
      <c r="G4" s="3" t="s">
        <v>114</v>
      </c>
      <c r="H4" s="3" t="s">
        <v>108</v>
      </c>
    </row>
    <row r="5" spans="1:12" ht="15" customHeight="1" x14ac:dyDescent="0.35">
      <c r="A5" s="2"/>
      <c r="B5" s="65" t="s">
        <v>274</v>
      </c>
      <c r="C5" s="6"/>
      <c r="D5" s="5"/>
      <c r="E5" s="5">
        <v>432</v>
      </c>
      <c r="F5" s="7">
        <f>E5*1.5</f>
        <v>648</v>
      </c>
      <c r="G5" s="7">
        <f>H5/F5</f>
        <v>9259.2592592592591</v>
      </c>
      <c r="H5" s="8">
        <v>6000000</v>
      </c>
      <c r="I5" s="1">
        <v>65</v>
      </c>
      <c r="K5" s="8">
        <v>6300000</v>
      </c>
      <c r="L5" s="66">
        <f>K5/F5</f>
        <v>9722.2222222222226</v>
      </c>
    </row>
    <row r="6" spans="1:12" x14ac:dyDescent="0.35">
      <c r="A6" s="2"/>
      <c r="B6" s="65" t="s">
        <v>274</v>
      </c>
      <c r="C6" s="9"/>
      <c r="D6" s="5"/>
      <c r="E6" s="5">
        <v>803</v>
      </c>
      <c r="F6" s="7">
        <f t="shared" ref="F6:F11" si="0">E6*1.5</f>
        <v>1204.5</v>
      </c>
      <c r="G6" s="7">
        <f t="shared" ref="G6:G11" si="1">H6/F6</f>
        <v>9547.5300954753002</v>
      </c>
      <c r="H6" s="8">
        <v>11500000</v>
      </c>
      <c r="I6" s="1">
        <v>1.2</v>
      </c>
      <c r="K6" s="8">
        <v>12000000</v>
      </c>
      <c r="L6" s="66">
        <f t="shared" ref="L6:L10" si="2">K6/F6</f>
        <v>9962.6400996264001</v>
      </c>
    </row>
    <row r="7" spans="1:12" ht="15" customHeight="1" x14ac:dyDescent="0.35">
      <c r="A7" s="2"/>
      <c r="B7" s="5" t="s">
        <v>109</v>
      </c>
      <c r="C7" s="6"/>
      <c r="D7" s="5"/>
      <c r="E7" s="5"/>
      <c r="F7" s="7">
        <f t="shared" si="0"/>
        <v>0</v>
      </c>
      <c r="G7" s="7" t="e">
        <f t="shared" si="1"/>
        <v>#DIV/0!</v>
      </c>
      <c r="H7" s="8"/>
      <c r="K7" s="8"/>
      <c r="L7" s="66" t="e">
        <f t="shared" si="2"/>
        <v>#DIV/0!</v>
      </c>
    </row>
    <row r="8" spans="1:12" x14ac:dyDescent="0.35">
      <c r="A8" s="2"/>
      <c r="B8" s="5" t="s">
        <v>109</v>
      </c>
      <c r="C8" s="9"/>
      <c r="D8" s="5"/>
      <c r="E8" s="5"/>
      <c r="F8" s="7">
        <f t="shared" si="0"/>
        <v>0</v>
      </c>
      <c r="G8" s="7" t="e">
        <f t="shared" si="1"/>
        <v>#DIV/0!</v>
      </c>
      <c r="H8" s="8"/>
      <c r="K8" s="8"/>
      <c r="L8" s="66" t="e">
        <f t="shared" si="2"/>
        <v>#DIV/0!</v>
      </c>
    </row>
    <row r="9" spans="1:12" ht="15" customHeight="1" x14ac:dyDescent="0.35">
      <c r="A9" s="2"/>
      <c r="B9" s="5" t="s">
        <v>109</v>
      </c>
      <c r="C9" s="9"/>
      <c r="D9" s="5"/>
      <c r="E9" s="5"/>
      <c r="F9" s="7">
        <f t="shared" si="0"/>
        <v>0</v>
      </c>
      <c r="G9" s="7" t="e">
        <f t="shared" si="1"/>
        <v>#DIV/0!</v>
      </c>
      <c r="H9" s="8"/>
      <c r="K9" s="8"/>
      <c r="L9" s="66" t="e">
        <f t="shared" si="2"/>
        <v>#DIV/0!</v>
      </c>
    </row>
    <row r="10" spans="1:12" ht="15" customHeight="1" x14ac:dyDescent="0.35">
      <c r="A10" s="2"/>
      <c r="B10" s="5" t="s">
        <v>110</v>
      </c>
      <c r="C10" s="6"/>
      <c r="D10" s="5"/>
      <c r="E10" s="5">
        <v>619</v>
      </c>
      <c r="F10" s="7">
        <f t="shared" si="0"/>
        <v>928.5</v>
      </c>
      <c r="G10" s="7">
        <f t="shared" si="1"/>
        <v>9477.6521270866997</v>
      </c>
      <c r="H10" s="8">
        <v>8800000</v>
      </c>
      <c r="I10" s="1">
        <v>93</v>
      </c>
      <c r="K10" s="8">
        <v>9300000</v>
      </c>
      <c r="L10" s="66">
        <f t="shared" si="2"/>
        <v>10016.155088852989</v>
      </c>
    </row>
    <row r="11" spans="1:12" ht="15" customHeight="1" x14ac:dyDescent="0.35">
      <c r="A11" s="2"/>
      <c r="B11" s="5" t="s">
        <v>110</v>
      </c>
      <c r="C11" s="6"/>
      <c r="D11" s="5"/>
      <c r="E11" s="5"/>
      <c r="F11" s="7">
        <f t="shared" si="0"/>
        <v>0</v>
      </c>
      <c r="G11" s="7" t="e">
        <f t="shared" si="1"/>
        <v>#DIV/0!</v>
      </c>
      <c r="H11" s="8"/>
    </row>
    <row r="12" spans="1:12" ht="15" customHeight="1" x14ac:dyDescent="0.35">
      <c r="A12" s="2"/>
      <c r="B12" s="10" t="s">
        <v>111</v>
      </c>
      <c r="C12" s="5"/>
      <c r="D12" s="5"/>
      <c r="E12" s="5"/>
      <c r="F12" s="5"/>
      <c r="G12" s="11" t="e">
        <f>AVERAGE(G5:G11)</f>
        <v>#DIV/0!</v>
      </c>
      <c r="H12" s="5"/>
    </row>
    <row r="13" spans="1:12" ht="15" customHeight="1" x14ac:dyDescent="0.35">
      <c r="B13" s="10" t="s">
        <v>112</v>
      </c>
      <c r="C13" s="5"/>
      <c r="D13" s="5"/>
      <c r="E13" s="5"/>
      <c r="F13" s="12"/>
      <c r="G13" s="10"/>
      <c r="H13" s="10"/>
      <c r="I13" s="4"/>
    </row>
    <row r="14" spans="1:12" ht="15" customHeight="1" x14ac:dyDescent="0.35"/>
    <row r="15" spans="1:12" ht="15" customHeight="1" x14ac:dyDescent="0.35"/>
    <row r="16" spans="1:12"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4.5" x14ac:dyDescent="0.35"/>
  <cols>
    <col min="4" max="4" width="11" bestFit="1" customWidth="1"/>
    <col min="5" max="5" width="10.453125" bestFit="1" customWidth="1"/>
    <col min="8" max="8" width="10.54296875" bestFit="1" customWidth="1"/>
  </cols>
  <sheetData>
    <row r="3" spans="2:11" x14ac:dyDescent="0.35">
      <c r="J3">
        <v>1</v>
      </c>
      <c r="K3">
        <v>2</v>
      </c>
    </row>
    <row r="4" spans="2:11" x14ac:dyDescent="0.35">
      <c r="B4" s="57"/>
      <c r="C4" s="57" t="s">
        <v>12</v>
      </c>
      <c r="D4" s="58" t="s">
        <v>176</v>
      </c>
      <c r="E4" s="58" t="s">
        <v>186</v>
      </c>
      <c r="F4" s="58" t="s">
        <v>168</v>
      </c>
      <c r="G4" s="58" t="s">
        <v>191</v>
      </c>
      <c r="H4" s="58" t="s">
        <v>209</v>
      </c>
      <c r="J4" t="s">
        <v>191</v>
      </c>
      <c r="K4" t="s">
        <v>207</v>
      </c>
    </row>
    <row r="5" spans="2:11" x14ac:dyDescent="0.35">
      <c r="B5" s="57"/>
      <c r="C5" s="57"/>
      <c r="D5" s="58" t="s">
        <v>177</v>
      </c>
      <c r="E5" s="58" t="s">
        <v>184</v>
      </c>
      <c r="F5" s="58" t="s">
        <v>206</v>
      </c>
      <c r="G5" s="58" t="s">
        <v>192</v>
      </c>
      <c r="H5" s="58" t="s">
        <v>210</v>
      </c>
    </row>
    <row r="6" spans="2:11" x14ac:dyDescent="0.35">
      <c r="B6" s="57"/>
      <c r="C6" s="57"/>
      <c r="D6" s="58" t="s">
        <v>178</v>
      </c>
      <c r="E6" s="58" t="s">
        <v>185</v>
      </c>
      <c r="F6" s="58" t="s">
        <v>207</v>
      </c>
      <c r="G6" s="58" t="s">
        <v>193</v>
      </c>
      <c r="H6" s="58" t="s">
        <v>223</v>
      </c>
    </row>
    <row r="7" spans="2:11" x14ac:dyDescent="0.35">
      <c r="B7" s="57"/>
      <c r="C7" s="57"/>
      <c r="D7" s="58" t="s">
        <v>179</v>
      </c>
      <c r="E7" s="58" t="s">
        <v>187</v>
      </c>
      <c r="F7" s="58" t="s">
        <v>208</v>
      </c>
      <c r="G7" s="58" t="s">
        <v>194</v>
      </c>
      <c r="H7" s="58" t="s">
        <v>211</v>
      </c>
    </row>
    <row r="8" spans="2:11" x14ac:dyDescent="0.35">
      <c r="B8" s="57"/>
      <c r="C8" s="57"/>
      <c r="D8" s="58" t="s">
        <v>180</v>
      </c>
      <c r="E8" s="58" t="s">
        <v>188</v>
      </c>
      <c r="F8" s="58"/>
      <c r="G8" s="58" t="s">
        <v>195</v>
      </c>
      <c r="H8" s="58" t="s">
        <v>212</v>
      </c>
    </row>
    <row r="9" spans="2:11" x14ac:dyDescent="0.35">
      <c r="B9" s="57"/>
      <c r="C9" s="57"/>
      <c r="D9" s="58" t="s">
        <v>181</v>
      </c>
      <c r="E9" s="58" t="s">
        <v>186</v>
      </c>
      <c r="F9" s="58"/>
      <c r="G9" s="58" t="s">
        <v>196</v>
      </c>
      <c r="H9" s="58" t="s">
        <v>213</v>
      </c>
    </row>
    <row r="10" spans="2:11" x14ac:dyDescent="0.35">
      <c r="B10" s="57"/>
      <c r="C10" s="57"/>
      <c r="D10" s="58" t="s">
        <v>182</v>
      </c>
      <c r="E10" s="58" t="s">
        <v>189</v>
      </c>
      <c r="F10" s="58"/>
      <c r="G10" s="58" t="s">
        <v>197</v>
      </c>
      <c r="H10" s="58" t="s">
        <v>214</v>
      </c>
    </row>
    <row r="11" spans="2:11" x14ac:dyDescent="0.35">
      <c r="B11" s="57"/>
      <c r="C11" s="57"/>
      <c r="D11" s="58" t="s">
        <v>183</v>
      </c>
      <c r="E11" s="58" t="s">
        <v>190</v>
      </c>
      <c r="F11" s="58"/>
      <c r="G11" s="58" t="s">
        <v>198</v>
      </c>
      <c r="H11" s="58" t="s">
        <v>215</v>
      </c>
    </row>
    <row r="12" spans="2:11" x14ac:dyDescent="0.35">
      <c r="B12" s="57"/>
      <c r="C12" s="57"/>
      <c r="D12" s="58"/>
      <c r="E12" s="58"/>
      <c r="F12" s="58"/>
      <c r="G12" s="58" t="s">
        <v>199</v>
      </c>
      <c r="H12" s="58" t="s">
        <v>216</v>
      </c>
    </row>
    <row r="13" spans="2:11" x14ac:dyDescent="0.35">
      <c r="B13" s="57"/>
      <c r="C13" s="57"/>
      <c r="D13" s="58"/>
      <c r="E13" s="58"/>
      <c r="F13" s="58"/>
      <c r="G13" s="58" t="s">
        <v>200</v>
      </c>
      <c r="H13" s="58" t="s">
        <v>217</v>
      </c>
    </row>
    <row r="14" spans="2:11" x14ac:dyDescent="0.35">
      <c r="B14" s="57"/>
      <c r="C14" s="57"/>
      <c r="D14" s="58"/>
      <c r="E14" s="58"/>
      <c r="F14" s="58"/>
      <c r="G14" s="58" t="s">
        <v>201</v>
      </c>
      <c r="H14" s="58" t="s">
        <v>218</v>
      </c>
    </row>
    <row r="15" spans="2:11" x14ac:dyDescent="0.35">
      <c r="B15" s="57"/>
      <c r="C15" s="57"/>
      <c r="D15" s="58"/>
      <c r="E15" s="58"/>
      <c r="F15" s="58"/>
      <c r="G15" s="58" t="s">
        <v>202</v>
      </c>
      <c r="H15" s="58" t="s">
        <v>219</v>
      </c>
    </row>
    <row r="16" spans="2:11" x14ac:dyDescent="0.35">
      <c r="B16" s="57"/>
      <c r="C16" s="57"/>
      <c r="D16" s="58"/>
      <c r="E16" s="58"/>
      <c r="F16" s="58"/>
      <c r="G16" s="58" t="s">
        <v>203</v>
      </c>
      <c r="H16" s="58" t="s">
        <v>220</v>
      </c>
    </row>
    <row r="17" spans="2:8" x14ac:dyDescent="0.35">
      <c r="B17" s="57"/>
      <c r="C17" s="57"/>
      <c r="D17" s="58"/>
      <c r="E17" s="58"/>
      <c r="F17" s="58"/>
      <c r="G17" s="58" t="s">
        <v>204</v>
      </c>
      <c r="H17" s="58" t="s">
        <v>221</v>
      </c>
    </row>
    <row r="18" spans="2:8" x14ac:dyDescent="0.35">
      <c r="B18" s="57"/>
      <c r="C18" s="57"/>
      <c r="D18" s="58"/>
      <c r="E18" s="58"/>
      <c r="F18" s="58"/>
      <c r="G18" s="58" t="s">
        <v>205</v>
      </c>
      <c r="H18" s="58" t="s">
        <v>222</v>
      </c>
    </row>
    <row r="24" spans="2:8" x14ac:dyDescent="0.35">
      <c r="C24" t="s">
        <v>165</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165</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2025-07-17T06:47:44Z</cp:lastPrinted>
  <dcterms:created xsi:type="dcterms:W3CDTF">2019-07-16T09:29:46Z</dcterms:created>
  <dcterms:modified xsi:type="dcterms:W3CDTF">2025-07-17T06:48:57Z</dcterms:modified>
</cp:coreProperties>
</file>