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Sheet1" sheetId="1" r:id="rId1"/>
    <sheet name="Wing A" sheetId="11" r:id="rId2"/>
    <sheet name="Construction % of 7" sheetId="14" r:id="rId3"/>
    <sheet name="Construction % of 13" sheetId="15" r:id="rId4"/>
    <sheet name="Construction % of 16" sheetId="16" r:id="rId5"/>
    <sheet name="VALUATIOn" sheetId="17" r:id="rId6"/>
  </sheets>
  <definedNames>
    <definedName name="_xlnm.Print_Area" localSheetId="0">Sheet1!$A$1:$J$321</definedName>
  </definedNames>
  <calcPr calcId="152511"/>
</workbook>
</file>

<file path=xl/calcChain.xml><?xml version="1.0" encoding="utf-8"?>
<calcChain xmlns="http://schemas.openxmlformats.org/spreadsheetml/2006/main">
  <c r="F3" i="1" l="1"/>
  <c r="D110" i="1"/>
  <c r="M109" i="1"/>
  <c r="C102" i="1" s="1"/>
  <c r="D102" i="1" s="1"/>
  <c r="D109" i="1"/>
  <c r="M108" i="1"/>
  <c r="D108" i="1"/>
  <c r="M107" i="1"/>
  <c r="D107" i="1"/>
  <c r="M106" i="1"/>
  <c r="D106" i="1"/>
  <c r="D105" i="1"/>
  <c r="M104" i="1"/>
  <c r="D104" i="1"/>
  <c r="M103" i="1"/>
  <c r="D103" i="1"/>
  <c r="C101" i="1"/>
  <c r="H101" i="1" l="1"/>
  <c r="D101" i="1"/>
  <c r="K97" i="1" s="1"/>
  <c r="C99" i="1" s="1"/>
  <c r="F101" i="1" s="1"/>
  <c r="D89" i="1"/>
  <c r="D96" i="1"/>
  <c r="M95" i="1"/>
  <c r="C88" i="1" s="1"/>
  <c r="D88" i="1" s="1"/>
  <c r="D95" i="1"/>
  <c r="M94" i="1"/>
  <c r="D94" i="1"/>
  <c r="M93" i="1"/>
  <c r="D93" i="1"/>
  <c r="M92" i="1"/>
  <c r="D92" i="1"/>
  <c r="D91" i="1"/>
  <c r="M90" i="1"/>
  <c r="C87" i="1" s="1"/>
  <c r="D90" i="1"/>
  <c r="M89" i="1"/>
  <c r="D82" i="1"/>
  <c r="M81" i="1"/>
  <c r="C74" i="1" s="1"/>
  <c r="D81" i="1"/>
  <c r="M80" i="1"/>
  <c r="D80" i="1"/>
  <c r="M79" i="1"/>
  <c r="D79" i="1"/>
  <c r="M78" i="1"/>
  <c r="D78" i="1"/>
  <c r="D77" i="1"/>
  <c r="M76" i="1"/>
  <c r="D76" i="1"/>
  <c r="M75" i="1"/>
  <c r="D75" i="1"/>
  <c r="C73" i="1"/>
  <c r="D73" i="1" s="1"/>
  <c r="D68" i="1"/>
  <c r="M67" i="1"/>
  <c r="D67" i="1"/>
  <c r="M66" i="1"/>
  <c r="D66" i="1"/>
  <c r="M65" i="1"/>
  <c r="D65" i="1"/>
  <c r="M64" i="1"/>
  <c r="D64" i="1"/>
  <c r="D63" i="1"/>
  <c r="M62" i="1"/>
  <c r="D62" i="1"/>
  <c r="M61" i="1"/>
  <c r="D61" i="1"/>
  <c r="D60" i="1"/>
  <c r="H59" i="1"/>
  <c r="D59" i="1"/>
  <c r="C10" i="16"/>
  <c r="F6" i="17"/>
  <c r="G6" i="17" s="1"/>
  <c r="F5" i="17"/>
  <c r="G5" i="17"/>
  <c r="D202" i="1"/>
  <c r="G202" i="1" s="1"/>
  <c r="D201" i="1"/>
  <c r="G201" i="1" s="1"/>
  <c r="D194" i="1"/>
  <c r="G194" i="1" s="1"/>
  <c r="D193" i="1"/>
  <c r="G193" i="1" s="1"/>
  <c r="D199" i="1"/>
  <c r="G199" i="1" s="1"/>
  <c r="D198" i="1"/>
  <c r="G198" i="1" s="1"/>
  <c r="D197" i="1"/>
  <c r="G197" i="1" s="1"/>
  <c r="D196" i="1"/>
  <c r="G196" i="1" s="1"/>
  <c r="D188" i="1"/>
  <c r="G188" i="1" s="1"/>
  <c r="D187" i="1"/>
  <c r="G187" i="1" s="1"/>
  <c r="D180" i="1"/>
  <c r="G180" i="1" s="1"/>
  <c r="D185" i="1"/>
  <c r="G185" i="1" s="1"/>
  <c r="D184" i="1"/>
  <c r="G184" i="1" s="1"/>
  <c r="D183" i="1"/>
  <c r="G183" i="1" s="1"/>
  <c r="D182" i="1"/>
  <c r="G182" i="1" s="1"/>
  <c r="D179" i="1"/>
  <c r="G179" i="1" s="1"/>
  <c r="D216" i="1"/>
  <c r="G216" i="1" s="1"/>
  <c r="D215" i="1"/>
  <c r="G215" i="1" s="1"/>
  <c r="D213" i="1"/>
  <c r="G213" i="1" s="1"/>
  <c r="D212" i="1"/>
  <c r="G212" i="1" s="1"/>
  <c r="D211" i="1"/>
  <c r="G211" i="1" s="1"/>
  <c r="D210" i="1"/>
  <c r="G210" i="1" s="1"/>
  <c r="D208" i="1"/>
  <c r="G208" i="1" s="1"/>
  <c r="D207" i="1"/>
  <c r="G207" i="1" s="1"/>
  <c r="D174" i="1"/>
  <c r="G174" i="1" s="1"/>
  <c r="K174" i="1" s="1"/>
  <c r="D173" i="1"/>
  <c r="G173" i="1" s="1"/>
  <c r="D171" i="1"/>
  <c r="G171" i="1" s="1"/>
  <c r="D169" i="1"/>
  <c r="G169" i="1" s="1"/>
  <c r="D170" i="1"/>
  <c r="G170" i="1" s="1"/>
  <c r="M137" i="1" s="1"/>
  <c r="D168" i="1"/>
  <c r="G168" i="1" s="1"/>
  <c r="D166" i="1"/>
  <c r="G166" i="1" s="1"/>
  <c r="D165" i="1"/>
  <c r="G165" i="1" s="1"/>
  <c r="D161" i="1"/>
  <c r="G161" i="1" s="1"/>
  <c r="D160" i="1"/>
  <c r="G160" i="1" s="1"/>
  <c r="D159" i="1"/>
  <c r="G159" i="1" s="1"/>
  <c r="D158" i="1"/>
  <c r="G158" i="1" s="1"/>
  <c r="D157" i="1"/>
  <c r="G157" i="1" s="1"/>
  <c r="D156" i="1"/>
  <c r="G156" i="1" s="1"/>
  <c r="D154" i="1"/>
  <c r="G154" i="1" s="1"/>
  <c r="D153" i="1"/>
  <c r="G153" i="1" s="1"/>
  <c r="D152" i="1"/>
  <c r="G152" i="1" s="1"/>
  <c r="D150" i="1"/>
  <c r="G150" i="1" s="1"/>
  <c r="D148" i="1"/>
  <c r="G148" i="1" s="1"/>
  <c r="D147" i="1"/>
  <c r="G147" i="1" s="1"/>
  <c r="D146" i="1"/>
  <c r="G146" i="1" s="1"/>
  <c r="D145" i="1"/>
  <c r="G145" i="1" s="1"/>
  <c r="D144" i="1"/>
  <c r="G144" i="1" s="1"/>
  <c r="D143" i="1"/>
  <c r="G143" i="1" s="1"/>
  <c r="D151" i="1"/>
  <c r="G151" i="1" s="1"/>
  <c r="D149" i="1"/>
  <c r="G149" i="1" s="1"/>
  <c r="D142" i="1"/>
  <c r="G142" i="1" s="1"/>
  <c r="D141" i="1"/>
  <c r="G141" i="1" s="1"/>
  <c r="M141" i="1" s="1"/>
  <c r="D138" i="1"/>
  <c r="G138" i="1" s="1"/>
  <c r="D137" i="1"/>
  <c r="G137" i="1" s="1"/>
  <c r="D136" i="1"/>
  <c r="G136" i="1" s="1"/>
  <c r="D135" i="1"/>
  <c r="G135" i="1" s="1"/>
  <c r="D133" i="1"/>
  <c r="G133" i="1" s="1"/>
  <c r="D132" i="1"/>
  <c r="G132" i="1" s="1"/>
  <c r="D131" i="1"/>
  <c r="G131" i="1" s="1"/>
  <c r="D130" i="1"/>
  <c r="G130" i="1" s="1"/>
  <c r="B16" i="16"/>
  <c r="O7" i="16" s="1"/>
  <c r="K19" i="16" s="1"/>
  <c r="B14" i="16"/>
  <c r="E9" i="16" s="1"/>
  <c r="B12" i="16"/>
  <c r="M6" i="16" s="1"/>
  <c r="J17" i="16" s="1"/>
  <c r="B10" i="16"/>
  <c r="L6" i="16" s="1"/>
  <c r="J16" i="16" s="1"/>
  <c r="B8" i="16"/>
  <c r="K7" i="16" s="1"/>
  <c r="K15" i="16" s="1"/>
  <c r="I6" i="16"/>
  <c r="J13" i="16" s="1"/>
  <c r="B6" i="16"/>
  <c r="E5" i="16" s="1"/>
  <c r="J7" i="16"/>
  <c r="K14" i="16" s="1"/>
  <c r="E4" i="16"/>
  <c r="B6" i="14"/>
  <c r="J6" i="14" s="1"/>
  <c r="J14" i="14" s="1"/>
  <c r="B6" i="15"/>
  <c r="J7" i="15" s="1"/>
  <c r="K14" i="15" s="1"/>
  <c r="D230" i="1"/>
  <c r="E4" i="14"/>
  <c r="I6" i="14"/>
  <c r="J13" i="14" s="1"/>
  <c r="I6" i="15"/>
  <c r="I7" i="15" s="1"/>
  <c r="K13" i="15" s="1"/>
  <c r="B8" i="15"/>
  <c r="K7" i="15" s="1"/>
  <c r="K15" i="15" s="1"/>
  <c r="B10" i="15"/>
  <c r="L7" i="15" s="1"/>
  <c r="K16" i="15" s="1"/>
  <c r="B12" i="15"/>
  <c r="M7" i="15" s="1"/>
  <c r="K17" i="15" s="1"/>
  <c r="B14" i="15"/>
  <c r="N7" i="15" s="1"/>
  <c r="K18" i="15" s="1"/>
  <c r="B16" i="15"/>
  <c r="O6" i="15" s="1"/>
  <c r="J19" i="15" s="1"/>
  <c r="E4" i="15"/>
  <c r="B8" i="14"/>
  <c r="K6" i="14" s="1"/>
  <c r="J15" i="14" s="1"/>
  <c r="B10" i="14"/>
  <c r="L6" i="14" s="1"/>
  <c r="J16" i="14" s="1"/>
  <c r="B12" i="14"/>
  <c r="M7" i="14" s="1"/>
  <c r="K17" i="14" s="1"/>
  <c r="B14" i="14"/>
  <c r="N6" i="14" s="1"/>
  <c r="J18" i="14" s="1"/>
  <c r="B16" i="14"/>
  <c r="O7" i="14" s="1"/>
  <c r="K19" i="14" s="1"/>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8" i="1"/>
  <c r="C44" i="1"/>
  <c r="H44" i="1"/>
  <c r="G124" i="1"/>
  <c r="E9" i="14"/>
  <c r="J6" i="16"/>
  <c r="J14" i="16" s="1"/>
  <c r="M6" i="14"/>
  <c r="J17" i="14" s="1"/>
  <c r="E8" i="15"/>
  <c r="O7" i="15"/>
  <c r="K19" i="15"/>
  <c r="E10" i="14"/>
  <c r="K55" i="1" l="1"/>
  <c r="C57" i="1" s="1"/>
  <c r="F59" i="1" s="1"/>
  <c r="E5" i="15"/>
  <c r="O6" i="14"/>
  <c r="J19" i="14" s="1"/>
  <c r="L7" i="16"/>
  <c r="K16" i="16" s="1"/>
  <c r="M6" i="15"/>
  <c r="J17" i="15" s="1"/>
  <c r="I7" i="14"/>
  <c r="K13" i="14" s="1"/>
  <c r="K20" i="14" s="1"/>
  <c r="O6" i="16"/>
  <c r="J19" i="16" s="1"/>
  <c r="E6" i="15"/>
  <c r="J13" i="15"/>
  <c r="E7" i="14"/>
  <c r="E7" i="16"/>
  <c r="J7" i="14"/>
  <c r="K14" i="14" s="1"/>
  <c r="L7" i="14"/>
  <c r="K16" i="14" s="1"/>
  <c r="K6" i="15"/>
  <c r="J15" i="15" s="1"/>
  <c r="E5" i="14"/>
  <c r="G7" i="17"/>
  <c r="J34" i="11"/>
  <c r="I34" i="11" s="1"/>
  <c r="M34" i="11"/>
  <c r="L34" i="11" s="1"/>
  <c r="N6" i="16"/>
  <c r="J18" i="16" s="1"/>
  <c r="K6" i="16"/>
  <c r="J15" i="16" s="1"/>
  <c r="F34" i="11"/>
  <c r="E34" i="11" s="1"/>
  <c r="E10" i="15"/>
  <c r="E6" i="16"/>
  <c r="E7" i="15"/>
  <c r="K7" i="14"/>
  <c r="K15" i="14" s="1"/>
  <c r="L6" i="15"/>
  <c r="J16" i="15" s="1"/>
  <c r="N7" i="16"/>
  <c r="K18" i="16" s="1"/>
  <c r="J6" i="15"/>
  <c r="J14" i="15" s="1"/>
  <c r="E8" i="16"/>
  <c r="N7" i="14"/>
  <c r="K18" i="14" s="1"/>
  <c r="E6" i="14"/>
  <c r="M7" i="16"/>
  <c r="K17" i="16" s="1"/>
  <c r="J20" i="14"/>
  <c r="K20" i="15"/>
  <c r="J20" i="16"/>
  <c r="E9" i="15"/>
  <c r="E8" i="14"/>
  <c r="E10" i="16"/>
  <c r="I7" i="16"/>
  <c r="K13" i="16" s="1"/>
  <c r="K20" i="16" s="1"/>
  <c r="N6" i="15"/>
  <c r="J18" i="15" s="1"/>
  <c r="H87" i="1"/>
  <c r="D87" i="1"/>
  <c r="K83" i="1" s="1"/>
  <c r="C85" i="1" s="1"/>
  <c r="F87" i="1" s="1"/>
  <c r="D74" i="1"/>
  <c r="K69" i="1" s="1"/>
  <c r="C71" i="1" s="1"/>
  <c r="F73" i="1" s="1"/>
  <c r="H73" i="1"/>
  <c r="J20" i="15" l="1"/>
</calcChain>
</file>

<file path=xl/sharedStrings.xml><?xml version="1.0" encoding="utf-8"?>
<sst xmlns="http://schemas.openxmlformats.org/spreadsheetml/2006/main" count="639" uniqueCount="241">
  <si>
    <t>Date:</t>
  </si>
  <si>
    <t>CPC Name:</t>
  </si>
  <si>
    <t>Date Of Property Visit</t>
  </si>
  <si>
    <t>Name of the builder group</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</si>
  <si>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</si>
  <si>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</si>
  <si>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</si>
  <si>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</si>
  <si>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</si>
  <si>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</si>
  <si>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</si>
  <si>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</si>
  <si>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</si>
  <si>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</si>
  <si>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</si>
  <si>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</si>
  <si>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</si>
  <si>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</si>
  <si>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</si>
  <si>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</si>
  <si>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</si>
  <si>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</si>
  <si>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</si>
  <si>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</si>
  <si>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</si>
  <si>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</si>
  <si>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</si>
  <si>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</si>
  <si>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</si>
  <si>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</si>
  <si>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</si>
  <si>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</si>
  <si>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</si>
  <si>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</si>
  <si>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</si>
  <si>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</si>
  <si>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</si>
  <si>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</si>
  <si>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</si>
  <si>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</si>
  <si>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</si>
  <si>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</si>
  <si>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</si>
  <si>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</si>
  <si>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Violations Observed if any : NA</t>
  </si>
  <si>
    <t>NA</t>
  </si>
  <si>
    <t>South</t>
  </si>
  <si>
    <t xml:space="preserve">Distance from city centre: </t>
  </si>
  <si>
    <t>Plane</t>
  </si>
  <si>
    <t>Expiry date: NA</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</si>
  <si>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</si>
  <si>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</si>
  <si>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</si>
  <si>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</si>
  <si>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</si>
  <si>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</si>
  <si>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</si>
  <si>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</si>
  <si>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</si>
  <si>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</si>
  <si>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</si>
  <si>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</si>
  <si>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</si>
  <si>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</si>
  <si>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</si>
  <si>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</si>
  <si>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</si>
  <si>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</si>
  <si>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</si>
  <si>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</si>
  <si>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</si>
  <si>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</si>
  <si>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</si>
  <si>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</si>
  <si>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</si>
  <si>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</si>
  <si>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</si>
  <si>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</si>
  <si>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</si>
  <si>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</si>
  <si>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</si>
  <si>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</si>
  <si>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</si>
  <si>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</si>
  <si>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</si>
  <si>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</si>
  <si>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</si>
  <si>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</si>
  <si>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</si>
  <si>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</si>
  <si>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</si>
  <si>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</si>
  <si>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</si>
  <si>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</si>
  <si>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Date of approval: </t>
  </si>
  <si>
    <t>Name / no of the Building</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</si>
  <si>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</si>
  <si>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</si>
  <si>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</si>
  <si>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</si>
  <si>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</si>
  <si>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</si>
  <si>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</si>
  <si>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</si>
  <si>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</si>
  <si>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</si>
  <si>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</si>
  <si>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</si>
  <si>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</si>
  <si>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</si>
  <si>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</si>
  <si>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</si>
  <si>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</si>
  <si>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</si>
  <si>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</si>
  <si>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</si>
  <si>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</si>
  <si>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</si>
  <si>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</si>
  <si>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</si>
  <si>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</si>
  <si>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RERA no.</t>
  </si>
  <si>
    <t>Developing</t>
  </si>
  <si>
    <t>Type of Structure : RCC Framed structure</t>
  </si>
  <si>
    <t>O. Certificate No.:  Under construction</t>
  </si>
  <si>
    <t>N</t>
  </si>
  <si>
    <t>Google Map :</t>
  </si>
  <si>
    <t>Saleable area</t>
  </si>
  <si>
    <t>Gross Carpet area</t>
  </si>
  <si>
    <t>Contect Details ( Name &amp; Contact No.)</t>
  </si>
  <si>
    <t>Middle Class</t>
  </si>
  <si>
    <t>Open</t>
  </si>
  <si>
    <t xml:space="preserve">Approved usage of the Property: Residential + Commercial
(Restrictive Covenants in regard to Land Use, if any) : No                                                                                                                                              </t>
  </si>
  <si>
    <t>Approved no of units</t>
  </si>
  <si>
    <t>Recommended rate of the flat Per Sq. Ft. ( on Saleable area)</t>
  </si>
  <si>
    <t>Ground</t>
  </si>
  <si>
    <t>1 BHK</t>
  </si>
  <si>
    <t>Axis Goregaon.</t>
  </si>
  <si>
    <t>M/s.Supertech Housing Infra Builders &amp; Developers</t>
  </si>
  <si>
    <t>Flower Valley</t>
  </si>
  <si>
    <t>P99000017544</t>
  </si>
  <si>
    <t>Gut No</t>
  </si>
  <si>
    <t>Birwadi</t>
  </si>
  <si>
    <t>Jammu Pada Road</t>
  </si>
  <si>
    <t>Umroli</t>
  </si>
  <si>
    <t>Palghar</t>
  </si>
  <si>
    <t>Near Raj mandir Garden</t>
  </si>
  <si>
    <t>31/03/2017.</t>
  </si>
  <si>
    <t>23/05/2017.</t>
  </si>
  <si>
    <t>50,000/-</t>
  </si>
  <si>
    <t>75,000/-</t>
  </si>
  <si>
    <t>Building no.7 - Type B</t>
  </si>
  <si>
    <t>Ground Floor For Parking &amp; Residential</t>
  </si>
  <si>
    <t>1 RK</t>
  </si>
  <si>
    <t>1st &amp; 2nd Floor</t>
  </si>
  <si>
    <t>1st &amp; 2nd</t>
  </si>
  <si>
    <t>Building no.13 - Type E</t>
  </si>
  <si>
    <t>Shop</t>
  </si>
  <si>
    <t>Building no.16</t>
  </si>
  <si>
    <t>2 BHK</t>
  </si>
  <si>
    <t>3rd Floor</t>
  </si>
  <si>
    <t>3rd</t>
  </si>
  <si>
    <t xml:space="preserve"> Type F (A Wing)</t>
  </si>
  <si>
    <t xml:space="preserve"> Type G (B Wing)</t>
  </si>
  <si>
    <t xml:space="preserve"> Type G (C Wing)</t>
  </si>
  <si>
    <t xml:space="preserve"> Type G-1 (D Wing)</t>
  </si>
  <si>
    <t>NA Order cum Commencement Construction</t>
  </si>
  <si>
    <t xml:space="preserve">PHOTOGRAPHS OF PROPERTY : 
</t>
  </si>
  <si>
    <t>100000/-</t>
  </si>
  <si>
    <r>
      <t>Proposed Amenities :</t>
    </r>
    <r>
      <rPr>
        <sz val="11"/>
        <rFont val="Times New Roman"/>
        <family val="1"/>
      </rPr>
      <t xml:space="preserve"> 1.  Vitrified tiles flooring 2. Granite Kitchen Platform  3. Decorative Enternace  etc. </t>
    </r>
    <r>
      <rPr>
        <b/>
        <sz val="11"/>
        <rFont val="Times New Roman"/>
        <family val="1"/>
      </rPr>
      <t xml:space="preserve">                                                                                                                                                                                                                                </t>
    </r>
    <r>
      <rPr>
        <sz val="11"/>
        <rFont val="Times New Roman"/>
        <family val="1"/>
      </rPr>
      <t xml:space="preserve">   </t>
    </r>
    <r>
      <rPr>
        <b/>
        <sz val="11"/>
        <rFont val="Times New Roman"/>
        <family val="1"/>
      </rPr>
      <t xml:space="preserve">                                               </t>
    </r>
  </si>
  <si>
    <t>Accessibility to the Project from the City:
(Proximity to civic amenities like school, hospital, market)</t>
  </si>
  <si>
    <t>4) Legal title of the property is not verified by us.</t>
  </si>
  <si>
    <t>5) Gross carpet area =  Net Carpet area + Fungible area.</t>
  </si>
  <si>
    <t>6) Fungible Area= Enclosed Balcony + Flower Bed + Covered Balcony + Service Slab + Duct + Chajja + Wheather Shed area.</t>
  </si>
  <si>
    <t>Excavation in process</t>
  </si>
  <si>
    <t>Excavation Completed</t>
  </si>
  <si>
    <t>Footing in Process</t>
  </si>
  <si>
    <t>Footing Completed</t>
  </si>
  <si>
    <t>Plinth in process</t>
  </si>
  <si>
    <t>Plinth completed</t>
  </si>
  <si>
    <t>Approved Layout, Approved Building Plan, Costsheet</t>
  </si>
  <si>
    <t>Market Research Data</t>
  </si>
  <si>
    <t>Source</t>
  </si>
  <si>
    <t>Distance from proposed property</t>
  </si>
  <si>
    <t>Net Carpet</t>
  </si>
  <si>
    <t>Saleable Area</t>
  </si>
  <si>
    <t>Rate on Saleable</t>
  </si>
  <si>
    <t>Market Value</t>
  </si>
  <si>
    <t>Average</t>
  </si>
  <si>
    <t xml:space="preserve">Valuation Adopted </t>
  </si>
  <si>
    <t>magicabode</t>
  </si>
  <si>
    <t>1BHK</t>
  </si>
  <si>
    <t>1RK</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</si>
  <si>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</si>
  <si>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</si>
  <si>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</si>
  <si>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</si>
  <si>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</si>
  <si>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</si>
  <si>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</si>
  <si>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</si>
  <si>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</si>
  <si>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</si>
  <si>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</si>
  <si>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</si>
  <si>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</si>
  <si>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</si>
  <si>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</si>
  <si>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</si>
  <si>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</si>
  <si>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</si>
  <si>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</si>
  <si>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</si>
  <si>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</si>
  <si>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 xml:space="preserve">Construction details: Building no.7 =  G + 1st to 2nd Floor </t>
  </si>
  <si>
    <t xml:space="preserve">Construction details: Building no.13 =  G + 1st to 2nd Floor </t>
  </si>
  <si>
    <t>Mr. Sheru Shamsher Khan</t>
  </si>
  <si>
    <t>Building no.7 (G + 1st to 2nd Floor)  - Type B  
Building no.13 (G + 1st to 2nd Floor) - Type E
Building no.16 (G + 1st to 3rd Floor) - Type F, G, G &amp; G1</t>
  </si>
  <si>
    <t>Development charges Per</t>
  </si>
  <si>
    <t>Building no.7 (G + 2nd Floors)  - Type B  
Building no.13 (G + 2nd Floors) - Type E
Building no.16 (G + 3rd Floors) - Type F   (A Wing)
                                                 Type G   (B Wing)
                                                 Type G   (C Wing)
                                                 Type G1 (D Wing)</t>
  </si>
  <si>
    <t>1.5 Km from Umroli Railway Station</t>
  </si>
  <si>
    <t>6 Wings</t>
  </si>
  <si>
    <t xml:space="preserve">Construction details: Building no.16 (D Wing) =  G + 1st to 3rd Floor </t>
  </si>
  <si>
    <t xml:space="preserve">Construction details: Building no.16 (A, B, C Wing) =  G + 1st to 3rd Floor </t>
  </si>
  <si>
    <t>Recommended rate of the Shop Per Sq. Ft. ( on Saleable area)</t>
  </si>
  <si>
    <t>https://goo.gl/maps/tNvCM4xV5XbNBt42A</t>
  </si>
  <si>
    <t>Office No. 1031, Wing J, Akshar Business Park, Plot No. 03 Sector 25, Near APMC Market, Vashi, 
Navi Mumbai, Maharashtra 400703 TEL: 022-46090378/79/80                                                                       
E mail : vsjcapf@gmail.com. Web site : www.vsjadon.com</t>
  </si>
  <si>
    <t>Flats = 75, Shops = 11</t>
  </si>
  <si>
    <t xml:space="preserve">Quality of construction: </t>
  </si>
  <si>
    <t xml:space="preserve">Projected life of the structure: </t>
  </si>
  <si>
    <t>60 Years After Completion</t>
  </si>
  <si>
    <t>Material laying at Site: :</t>
  </si>
  <si>
    <t>Bricks, Cement &amp; Steel etc.</t>
  </si>
  <si>
    <t>P.NO.BS/BP/Birwadi/Palghar/
S.S.N.R./437</t>
  </si>
  <si>
    <t>MHSL/CLASS.1/T.1/NAP/SR-128/2016</t>
  </si>
  <si>
    <t>102, 103, 104, 105</t>
  </si>
  <si>
    <t>Flower Valley, Gut no.102,103,104,105 , Village- Birwadi, Jammu Pada Road, Umroli west, Palghar 401404</t>
  </si>
  <si>
    <t>19.7628106,72.7576129</t>
  </si>
  <si>
    <t>Location</t>
  </si>
  <si>
    <t>Flower Valley Complex</t>
  </si>
  <si>
    <r>
      <t xml:space="preserve">Remarks:  
1. We considered carpet area as per Approved plan.
2. Building No.7- Construction work is same as last visit. (dtd.16/01/2025) 
   Building No.13 - Work is same as last visit.(dtd.12/10/2023).
   Building No. 16 - Construction work is the same as last visit (dtd.07/10/2024).
3. Saleable area as per our calculation.
4. We have considered rate by verifying it from market inquire.
5. We have considered Other charges from cost sheet.
6. We can't identify the building name as per broucher.
7. Car parking is subjected to authentic documentation.
8. Recommended rate should be considered as all inclusive rate if other charges are not mentioned. (Excluding GST &amp; other government Taxes).
9. The project has received first CC on 23/05/2017, But construction work is not yet Completed. 
10. On site we met Mr. Arun : 9272571432.
11. As checked on RERA portal on date 18/07/2025, we have observed that the project name is changed from "Flower Valley" to "Flower Valley Complex".
9. </t>
    </r>
    <r>
      <rPr>
        <b/>
        <sz val="11"/>
        <color rgb="FFFF0000"/>
        <rFont val="Times New Roman"/>
        <family val="1"/>
      </rPr>
      <t>As per RERA, Completion period of project Flower Valley is expired on Date. 30/12/2022 but still project is under construction.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</si>
</sst>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00_);_(* \(#,##0.00\);_(* &quot;-&quot;??_);_(@_)"/>
    <numFmt numFmtId="166" formatCode="_(* #,##0_);_(* \(#,##0\);_(* &quot;-&quot;??_);_(@_)"/>
    <numFmt numFmtId="167" formatCode="_-* #,##0_-;\-* #,##0_-;_-* &quot;-&quot;??_-;_-@_-"/>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9.5"/>
      <color indexed="8"/>
      <name val="Times New Roman"/>
      <family val="1"/>
    </font>
    <font>
      <b/>
      <sz val="12"/>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Times New Roman"/>
      <family val="1"/>
    </font>
    <font>
      <sz val="11"/>
      <color rgb="FF000000"/>
      <name val="Times New Roman"/>
      <family val="1"/>
    </font>
    <font>
      <sz val="11"/>
      <color rgb="FFFF0000"/>
      <name val="Calibri"/>
      <family val="2"/>
    </font>
    <font>
      <b/>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8">
    <xf numFmtId="0" fontId="0" fillId="0" borderId="0"/>
    <xf numFmtId="165" fontId="1" fillId="0" borderId="0" applyFont="0" applyFill="0" applyBorder="0" applyAlignment="0" applyProtection="0"/>
    <xf numFmtId="0" fontId="2" fillId="0" borderId="0"/>
    <xf numFmtId="0" fontId="1" fillId="0" borderId="0"/>
    <xf numFmtId="0" fontId="16" fillId="0" borderId="0"/>
    <xf numFmtId="0" fontId="16" fillId="0" borderId="0"/>
    <xf numFmtId="164" fontId="16" fillId="0" borderId="0" applyFont="0" applyFill="0" applyBorder="0" applyAlignment="0" applyProtection="0"/>
    <xf numFmtId="0" fontId="23" fillId="0" borderId="0" applyNumberFormat="0" applyFill="0" applyBorder="0" applyAlignment="0" applyProtection="0"/>
  </cellStyleXfs>
  <cellXfs count="205">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0" fillId="0" borderId="0" xfId="0" applyAlignment="1">
      <alignment horizontal="center"/>
    </xf>
    <xf numFmtId="1" fontId="0" fillId="0" borderId="2" xfId="0" applyNumberFormat="1" applyBorder="1"/>
    <xf numFmtId="1" fontId="0" fillId="0" borderId="0" xfId="0" applyNumberFormat="1" applyAlignment="1">
      <alignment horizontal="center"/>
    </xf>
    <xf numFmtId="1" fontId="10" fillId="0" borderId="4" xfId="0" applyNumberFormat="1" applyFont="1" applyBorder="1" applyAlignment="1">
      <alignment horizontal="center" vertical="center" wrapText="1"/>
    </xf>
    <xf numFmtId="0" fontId="19" fillId="0" borderId="5" xfId="4" applyFont="1" applyBorder="1"/>
    <xf numFmtId="0" fontId="19" fillId="0" borderId="0" xfId="4" applyFont="1"/>
    <xf numFmtId="0" fontId="19" fillId="0" borderId="6" xfId="4" applyFont="1" applyBorder="1"/>
    <xf numFmtId="0" fontId="20" fillId="0" borderId="5" xfId="0" applyFont="1" applyBorder="1" applyProtection="1">
      <protection hidden="1"/>
    </xf>
    <xf numFmtId="9" fontId="20" fillId="0" borderId="0" xfId="0" applyNumberFormat="1" applyFont="1" applyProtection="1">
      <protection hidden="1"/>
    </xf>
    <xf numFmtId="9" fontId="20" fillId="0" borderId="6" xfId="0" applyNumberFormat="1" applyFont="1" applyBorder="1" applyProtection="1">
      <protection hidden="1"/>
    </xf>
    <xf numFmtId="0" fontId="20" fillId="0" borderId="7" xfId="0" applyFont="1" applyBorder="1" applyProtection="1">
      <protection hidden="1"/>
    </xf>
    <xf numFmtId="9" fontId="20" fillId="0" borderId="8" xfId="0" applyNumberFormat="1" applyFont="1" applyBorder="1" applyProtection="1">
      <protection hidden="1"/>
    </xf>
    <xf numFmtId="9" fontId="20" fillId="0" borderId="9" xfId="0" applyNumberFormat="1" applyFont="1" applyBorder="1" applyProtection="1">
      <protection hidden="1"/>
    </xf>
    <xf numFmtId="0" fontId="1" fillId="0" borderId="0" xfId="3"/>
    <xf numFmtId="0" fontId="16" fillId="0" borderId="0" xfId="5"/>
    <xf numFmtId="0" fontId="17" fillId="0" borderId="2" xfId="5" applyFont="1" applyBorder="1" applyAlignment="1">
      <alignment horizontal="center" vertical="top" wrapText="1"/>
    </xf>
    <xf numFmtId="0" fontId="16" fillId="0" borderId="2" xfId="5" applyBorder="1" applyAlignment="1">
      <alignment horizontal="center" vertical="center"/>
    </xf>
    <xf numFmtId="1" fontId="16" fillId="0" borderId="2" xfId="5" applyNumberFormat="1" applyBorder="1" applyAlignment="1">
      <alignment horizontal="center" vertical="center"/>
    </xf>
    <xf numFmtId="166" fontId="16" fillId="0" borderId="2" xfId="1" applyNumberFormat="1" applyFont="1" applyBorder="1" applyAlignment="1">
      <alignment horizontal="right" vertical="center"/>
    </xf>
    <xf numFmtId="0" fontId="17" fillId="0" borderId="2" xfId="5" applyFont="1" applyBorder="1" applyAlignment="1">
      <alignment horizontal="center" vertical="center"/>
    </xf>
    <xf numFmtId="1" fontId="18" fillId="0" borderId="2" xfId="5" applyNumberFormat="1" applyFont="1" applyBorder="1" applyAlignment="1">
      <alignment horizontal="center" vertical="center"/>
    </xf>
    <xf numFmtId="0" fontId="1" fillId="0" borderId="2" xfId="3" applyBorder="1" applyAlignment="1">
      <alignment horizontal="center" vertical="center"/>
    </xf>
    <xf numFmtId="0" fontId="21" fillId="0" borderId="0" xfId="3" applyFont="1"/>
    <xf numFmtId="0" fontId="16" fillId="0" borderId="2" xfId="5" applyBorder="1" applyAlignment="1">
      <alignment horizontal="left" vertical="center"/>
    </xf>
    <xf numFmtId="0" fontId="19" fillId="0" borderId="10" xfId="4" applyFont="1" applyBorder="1" applyProtection="1">
      <protection hidden="1"/>
    </xf>
    <xf numFmtId="0" fontId="19" fillId="0" borderId="0" xfId="4" applyFont="1" applyProtection="1">
      <protection hidden="1"/>
    </xf>
    <xf numFmtId="0" fontId="20" fillId="0" borderId="0" xfId="0" applyFont="1" applyProtection="1">
      <protection hidden="1"/>
    </xf>
    <xf numFmtId="0" fontId="15" fillId="0" borderId="2" xfId="4" applyFont="1" applyBorder="1" applyAlignment="1" applyProtection="1">
      <alignment horizontal="center" vertical="top"/>
      <protection locked="0"/>
    </xf>
    <xf numFmtId="0" fontId="15" fillId="0" borderId="2" xfId="4" applyFont="1" applyBorder="1" applyAlignment="1" applyProtection="1">
      <alignment horizontal="center" vertical="top" wrapText="1"/>
      <protection locked="0"/>
    </xf>
    <xf numFmtId="0" fontId="19" fillId="0" borderId="11" xfId="4" applyFont="1" applyBorder="1" applyProtection="1">
      <protection hidden="1"/>
    </xf>
    <xf numFmtId="0" fontId="19" fillId="0" borderId="6" xfId="4" applyFont="1" applyBorder="1" applyProtection="1">
      <protection hidden="1"/>
    </xf>
    <xf numFmtId="0" fontId="15" fillId="0" borderId="2" xfId="4" applyFont="1" applyBorder="1" applyAlignment="1" applyProtection="1">
      <alignment horizontal="center" wrapText="1"/>
      <protection locked="0"/>
    </xf>
    <xf numFmtId="1" fontId="15" fillId="0" borderId="2" xfId="4" applyNumberFormat="1" applyFont="1" applyBorder="1" applyAlignment="1" applyProtection="1">
      <alignment horizontal="center" wrapText="1"/>
      <protection locked="0"/>
    </xf>
    <xf numFmtId="0" fontId="20" fillId="0" borderId="6" xfId="0" applyFont="1" applyBorder="1" applyProtection="1">
      <protection hidden="1"/>
    </xf>
    <xf numFmtId="0" fontId="15" fillId="0" borderId="12" xfId="4" applyFont="1" applyBorder="1" applyAlignment="1" applyProtection="1">
      <alignment horizontal="center" wrapText="1"/>
      <protection locked="0"/>
    </xf>
    <xf numFmtId="0" fontId="0" fillId="0" borderId="8" xfId="0" applyBorder="1"/>
    <xf numFmtId="0" fontId="0" fillId="0" borderId="9" xfId="0" applyBorder="1"/>
    <xf numFmtId="0" fontId="2" fillId="0" borderId="0" xfId="2"/>
    <xf numFmtId="167" fontId="0" fillId="0" borderId="0" xfId="6" applyNumberFormat="1" applyFont="1" applyFill="1"/>
    <xf numFmtId="0" fontId="3" fillId="0" borderId="0" xfId="0" applyFont="1" applyAlignment="1">
      <alignment vertical="top" wrapText="1"/>
    </xf>
    <xf numFmtId="0" fontId="13" fillId="0" borderId="0" xfId="0" applyFont="1" applyAlignment="1">
      <alignment vertical="top"/>
    </xf>
    <xf numFmtId="0" fontId="3" fillId="0" borderId="0" xfId="0" applyFont="1" applyAlignment="1">
      <alignment vertical="top"/>
    </xf>
    <xf numFmtId="0" fontId="17" fillId="0" borderId="0" xfId="0" applyFont="1"/>
    <xf numFmtId="0" fontId="3" fillId="0" borderId="2" xfId="0" applyFont="1" applyBorder="1" applyAlignment="1">
      <alignment vertical="top"/>
    </xf>
    <xf numFmtId="0" fontId="4" fillId="0" borderId="1" xfId="0" applyFont="1" applyBorder="1" applyAlignment="1">
      <alignment horizontal="left" vertical="top"/>
    </xf>
    <xf numFmtId="0" fontId="5" fillId="0" borderId="17" xfId="0" applyFont="1" applyBorder="1" applyAlignment="1">
      <alignment horizontal="left" vertical="top"/>
    </xf>
    <xf numFmtId="0" fontId="5" fillId="0" borderId="28" xfId="0" applyFont="1" applyBorder="1" applyAlignment="1">
      <alignment horizontal="left" vertical="top"/>
    </xf>
    <xf numFmtId="0" fontId="9" fillId="0" borderId="1" xfId="0" applyFont="1" applyBorder="1" applyAlignment="1">
      <alignment horizontal="left" vertical="top"/>
    </xf>
    <xf numFmtId="0" fontId="9" fillId="0" borderId="17" xfId="0" applyFont="1" applyBorder="1" applyAlignment="1">
      <alignment horizontal="left" vertical="top"/>
    </xf>
    <xf numFmtId="0" fontId="9" fillId="0" borderId="28" xfId="0" applyFont="1" applyBorder="1" applyAlignment="1">
      <alignment horizontal="left" vertical="top"/>
    </xf>
    <xf numFmtId="0" fontId="15" fillId="0" borderId="13" xfId="4" applyFont="1" applyBorder="1" applyAlignment="1" applyProtection="1">
      <alignment horizontal="center" vertical="top"/>
      <protection locked="0"/>
    </xf>
    <xf numFmtId="0" fontId="15" fillId="0" borderId="2" xfId="4" applyFont="1" applyBorder="1" applyAlignment="1" applyProtection="1">
      <alignment horizontal="center" vertical="top"/>
      <protection locked="0"/>
    </xf>
    <xf numFmtId="9" fontId="15" fillId="0" borderId="2" xfId="4" applyNumberFormat="1" applyFont="1" applyBorder="1" applyAlignment="1" applyProtection="1">
      <alignment horizontal="center" vertical="center" wrapText="1"/>
      <protection hidden="1"/>
    </xf>
    <xf numFmtId="9" fontId="15" fillId="0" borderId="12" xfId="4" applyNumberFormat="1" applyFont="1" applyBorder="1" applyAlignment="1" applyProtection="1">
      <alignment horizontal="center" vertical="center" wrapText="1"/>
      <protection hidden="1"/>
    </xf>
    <xf numFmtId="9" fontId="15" fillId="0" borderId="15" xfId="4" applyNumberFormat="1" applyFont="1" applyBorder="1" applyAlignment="1" applyProtection="1">
      <alignment horizontal="center" vertical="center" wrapText="1"/>
      <protection hidden="1"/>
    </xf>
    <xf numFmtId="9" fontId="15" fillId="0" borderId="16" xfId="4" applyNumberFormat="1" applyFont="1" applyBorder="1" applyAlignment="1" applyProtection="1">
      <alignment horizontal="center" vertical="center" wrapText="1"/>
      <protection hidden="1"/>
    </xf>
    <xf numFmtId="0" fontId="15" fillId="0" borderId="13" xfId="4" applyFont="1" applyBorder="1" applyAlignment="1" applyProtection="1">
      <alignment horizontal="center" vertical="top" wrapText="1"/>
      <protection locked="0"/>
    </xf>
    <xf numFmtId="0" fontId="15" fillId="0" borderId="2" xfId="4" applyFont="1" applyBorder="1" applyAlignment="1" applyProtection="1">
      <alignment horizontal="center" vertical="top" wrapText="1"/>
      <protection locked="0"/>
    </xf>
    <xf numFmtId="0" fontId="15" fillId="0" borderId="14" xfId="4" applyFont="1" applyBorder="1" applyAlignment="1" applyProtection="1">
      <alignment horizontal="center" vertical="top"/>
      <protection locked="0"/>
    </xf>
    <xf numFmtId="0" fontId="15" fillId="0" borderId="12" xfId="4" applyFont="1" applyBorder="1" applyAlignment="1" applyProtection="1">
      <alignment horizontal="center" vertical="top"/>
      <protection locked="0"/>
    </xf>
    <xf numFmtId="0" fontId="14" fillId="0" borderId="19" xfId="4" applyFont="1" applyBorder="1" applyAlignment="1" applyProtection="1">
      <alignment horizontal="left" vertical="top" wrapText="1"/>
      <protection locked="0"/>
    </xf>
    <xf numFmtId="0" fontId="14" fillId="0" borderId="20" xfId="4" applyFont="1" applyBorder="1" applyAlignment="1" applyProtection="1">
      <alignment horizontal="left" vertical="top" wrapText="1"/>
      <protection locked="0"/>
    </xf>
    <xf numFmtId="0" fontId="14" fillId="0" borderId="21" xfId="4" applyFont="1" applyBorder="1" applyAlignment="1" applyProtection="1">
      <alignment horizontal="left" vertical="top" wrapText="1"/>
      <protection locked="0"/>
    </xf>
    <xf numFmtId="0" fontId="15" fillId="0" borderId="15" xfId="4" applyFont="1" applyBorder="1" applyAlignment="1" applyProtection="1">
      <alignment horizontal="center" vertical="top"/>
      <protection locked="0"/>
    </xf>
    <xf numFmtId="0" fontId="14" fillId="0" borderId="13" xfId="4" applyFont="1" applyBorder="1" applyAlignment="1" applyProtection="1">
      <alignment horizontal="left" vertical="top"/>
      <protection locked="0"/>
    </xf>
    <xf numFmtId="0" fontId="14" fillId="0" borderId="2" xfId="4" applyFont="1" applyBorder="1" applyAlignment="1" applyProtection="1">
      <alignment horizontal="left" vertical="top"/>
      <protection locked="0"/>
    </xf>
    <xf numFmtId="0" fontId="14" fillId="0" borderId="1" xfId="4" applyFont="1" applyBorder="1" applyAlignment="1" applyProtection="1">
      <alignment horizontal="left" vertical="top" wrapText="1"/>
      <protection locked="0"/>
    </xf>
    <xf numFmtId="0" fontId="14" fillId="0" borderId="17" xfId="4" applyFont="1" applyBorder="1" applyAlignment="1" applyProtection="1">
      <alignment horizontal="left" vertical="top" wrapText="1"/>
      <protection locked="0"/>
    </xf>
    <xf numFmtId="0" fontId="14" fillId="0" borderId="18" xfId="4" applyFont="1" applyBorder="1" applyAlignment="1" applyProtection="1">
      <alignment horizontal="left" vertical="top" wrapText="1"/>
      <protection locked="0"/>
    </xf>
    <xf numFmtId="0" fontId="15" fillId="0" borderId="15" xfId="4" applyFont="1" applyBorder="1" applyAlignment="1" applyProtection="1">
      <alignment horizontal="center" vertical="top" wrapText="1"/>
      <protection locked="0"/>
    </xf>
    <xf numFmtId="0" fontId="5" fillId="0" borderId="1" xfId="0" applyFont="1" applyBorder="1" applyAlignment="1">
      <alignment horizontal="left" vertical="top"/>
    </xf>
    <xf numFmtId="0" fontId="4" fillId="0" borderId="28" xfId="0" applyFont="1" applyBorder="1" applyAlignment="1">
      <alignment horizontal="left" vertical="top"/>
    </xf>
    <xf numFmtId="0" fontId="4" fillId="0" borderId="17" xfId="0" applyFont="1" applyBorder="1" applyAlignment="1">
      <alignment horizontal="left" vertical="top"/>
    </xf>
    <xf numFmtId="0" fontId="3" fillId="0" borderId="1" xfId="0" applyFont="1" applyBorder="1" applyAlignment="1">
      <alignment horizontal="left" vertical="top" wrapText="1"/>
    </xf>
    <xf numFmtId="0" fontId="3" fillId="0" borderId="28" xfId="0" applyFont="1" applyBorder="1" applyAlignment="1">
      <alignment horizontal="left" vertical="top" wrapText="1"/>
    </xf>
    <xf numFmtId="0" fontId="3" fillId="0" borderId="1" xfId="0" applyFont="1" applyBorder="1" applyAlignment="1">
      <alignment horizontal="center" vertical="top"/>
    </xf>
    <xf numFmtId="0" fontId="3" fillId="0" borderId="17" xfId="0" applyFont="1" applyBorder="1" applyAlignment="1">
      <alignment horizontal="center" vertical="top"/>
    </xf>
    <xf numFmtId="0" fontId="3" fillId="0" borderId="28" xfId="0" applyFont="1" applyBorder="1" applyAlignment="1">
      <alignment horizontal="center" vertical="top"/>
    </xf>
    <xf numFmtId="14" fontId="4" fillId="0" borderId="1" xfId="0" applyNumberFormat="1" applyFont="1" applyBorder="1" applyAlignment="1">
      <alignment horizontal="left" vertical="top"/>
    </xf>
    <xf numFmtId="14" fontId="4" fillId="0" borderId="17" xfId="0" applyNumberFormat="1" applyFont="1" applyBorder="1" applyAlignment="1">
      <alignment horizontal="left" vertical="top"/>
    </xf>
    <xf numFmtId="14" fontId="4" fillId="0" borderId="28" xfId="0" applyNumberFormat="1" applyFont="1" applyBorder="1" applyAlignment="1">
      <alignment horizontal="left" vertical="top"/>
    </xf>
    <xf numFmtId="0" fontId="4" fillId="0" borderId="22" xfId="0" applyFont="1" applyBorder="1" applyAlignment="1">
      <alignment horizontal="left" vertical="top" wrapText="1"/>
    </xf>
    <xf numFmtId="0" fontId="4" fillId="0" borderId="29" xfId="0" applyFont="1" applyBorder="1" applyAlignment="1">
      <alignment horizontal="left" vertical="top" wrapText="1"/>
    </xf>
    <xf numFmtId="0" fontId="4" fillId="0" borderId="23" xfId="0" applyFont="1" applyBorder="1" applyAlignment="1">
      <alignment horizontal="left" vertical="top" wrapText="1"/>
    </xf>
    <xf numFmtId="0" fontId="4" fillId="0" borderId="26" xfId="0" applyFont="1" applyBorder="1" applyAlignment="1">
      <alignment horizontal="left" vertical="top" wrapText="1"/>
    </xf>
    <xf numFmtId="0" fontId="4" fillId="0" borderId="3" xfId="0" applyFont="1" applyBorder="1" applyAlignment="1">
      <alignment horizontal="left" vertical="top" wrapText="1"/>
    </xf>
    <xf numFmtId="0" fontId="4" fillId="0" borderId="27" xfId="0" applyFont="1" applyBorder="1" applyAlignment="1">
      <alignment horizontal="left" vertical="top" wrapText="1"/>
    </xf>
    <xf numFmtId="0" fontId="5" fillId="0" borderId="1" xfId="0" applyFont="1" applyBorder="1" applyAlignment="1">
      <alignment horizontal="center" vertical="top"/>
    </xf>
    <xf numFmtId="0" fontId="5" fillId="0" borderId="28" xfId="0" applyFont="1" applyBorder="1" applyAlignment="1">
      <alignment horizontal="center" vertical="top"/>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center" vertical="top"/>
    </xf>
    <xf numFmtId="0" fontId="4" fillId="0" borderId="28" xfId="0" applyFont="1" applyBorder="1" applyAlignment="1">
      <alignment horizontal="center" vertical="top"/>
    </xf>
    <xf numFmtId="0" fontId="4" fillId="0" borderId="1" xfId="0" applyFont="1" applyBorder="1" applyAlignment="1">
      <alignment vertical="top"/>
    </xf>
    <xf numFmtId="0" fontId="5" fillId="0" borderId="17" xfId="0" applyFont="1" applyBorder="1" applyAlignment="1">
      <alignment vertical="top"/>
    </xf>
    <xf numFmtId="0" fontId="5" fillId="0" borderId="28" xfId="0" applyFont="1" applyBorder="1" applyAlignment="1">
      <alignment vertical="top"/>
    </xf>
    <xf numFmtId="0" fontId="4" fillId="0" borderId="22" xfId="0" applyFont="1" applyBorder="1" applyAlignment="1">
      <alignment horizontal="left" vertical="top"/>
    </xf>
    <xf numFmtId="0" fontId="4" fillId="0" borderId="29" xfId="0" applyFont="1" applyBorder="1" applyAlignment="1">
      <alignment horizontal="left" vertical="top"/>
    </xf>
    <xf numFmtId="0" fontId="4" fillId="0" borderId="23" xfId="0" applyFont="1" applyBorder="1" applyAlignment="1">
      <alignment horizontal="left" vertical="top"/>
    </xf>
    <xf numFmtId="0" fontId="4" fillId="0" borderId="26" xfId="0" applyFont="1" applyBorder="1" applyAlignment="1">
      <alignment horizontal="left" vertical="top"/>
    </xf>
    <xf numFmtId="0" fontId="4" fillId="0" borderId="3" xfId="0" applyFont="1" applyBorder="1" applyAlignment="1">
      <alignment horizontal="left" vertical="top"/>
    </xf>
    <xf numFmtId="0" fontId="4" fillId="0" borderId="27" xfId="0" applyFont="1" applyBorder="1" applyAlignment="1">
      <alignment horizontal="left" vertical="top"/>
    </xf>
    <xf numFmtId="0" fontId="4" fillId="0" borderId="17" xfId="0" applyFont="1" applyBorder="1" applyAlignment="1">
      <alignment vertical="top"/>
    </xf>
    <xf numFmtId="0" fontId="4" fillId="0" borderId="28" xfId="0" applyFont="1" applyBorder="1" applyAlignment="1">
      <alignment vertical="top"/>
    </xf>
    <xf numFmtId="0" fontId="3" fillId="0" borderId="1" xfId="0" applyFont="1" applyBorder="1" applyAlignment="1">
      <alignment horizontal="left" vertical="top"/>
    </xf>
    <xf numFmtId="0" fontId="4" fillId="0" borderId="2" xfId="0" applyFont="1" applyBorder="1" applyAlignment="1">
      <alignment horizontal="left" vertical="top"/>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26" xfId="0" applyFont="1" applyBorder="1" applyAlignment="1">
      <alignment horizontal="left" vertical="top" wrapText="1"/>
    </xf>
    <xf numFmtId="0" fontId="5" fillId="0" borderId="3" xfId="0" applyFont="1" applyBorder="1" applyAlignment="1">
      <alignment horizontal="left" vertical="top" wrapText="1"/>
    </xf>
    <xf numFmtId="0" fontId="5" fillId="0" borderId="27" xfId="0" applyFont="1" applyBorder="1" applyAlignment="1">
      <alignment horizontal="left" vertical="top" wrapText="1"/>
    </xf>
    <xf numFmtId="0" fontId="9" fillId="0" borderId="17" xfId="0" applyFont="1" applyBorder="1" applyAlignment="1">
      <alignment horizontal="left" vertical="top" wrapText="1"/>
    </xf>
    <xf numFmtId="0" fontId="9" fillId="0" borderId="28" xfId="0" applyFont="1" applyBorder="1" applyAlignment="1">
      <alignment horizontal="left" vertical="top" wrapText="1"/>
    </xf>
    <xf numFmtId="0" fontId="4" fillId="0" borderId="1" xfId="0" applyFont="1" applyBorder="1" applyAlignment="1">
      <alignment vertical="top" wrapText="1"/>
    </xf>
    <xf numFmtId="0" fontId="4" fillId="0" borderId="17" xfId="0" applyFont="1" applyBorder="1" applyAlignment="1">
      <alignment vertical="top" wrapText="1"/>
    </xf>
    <xf numFmtId="0" fontId="4" fillId="0" borderId="28" xfId="0" applyFont="1" applyBorder="1" applyAlignment="1">
      <alignment vertical="top" wrapText="1"/>
    </xf>
    <xf numFmtId="0" fontId="4" fillId="0" borderId="2" xfId="0" applyFont="1" applyBorder="1" applyAlignment="1">
      <alignment horizontal="left" vertical="top" wrapText="1"/>
    </xf>
    <xf numFmtId="0" fontId="4" fillId="0" borderId="1" xfId="0" applyFont="1" applyBorder="1" applyAlignment="1">
      <alignment horizontal="center" vertical="top" wrapText="1"/>
    </xf>
    <xf numFmtId="0" fontId="4" fillId="0" borderId="28" xfId="0" applyFont="1" applyBorder="1" applyAlignment="1">
      <alignment horizontal="center" vertical="top" wrapText="1"/>
    </xf>
    <xf numFmtId="0" fontId="9" fillId="0" borderId="1" xfId="0" applyFont="1" applyBorder="1" applyAlignment="1">
      <alignment horizontal="center" vertical="top"/>
    </xf>
    <xf numFmtId="0" fontId="9" fillId="0" borderId="28" xfId="0" applyFont="1" applyBorder="1" applyAlignment="1">
      <alignment horizontal="center" vertical="top"/>
    </xf>
    <xf numFmtId="1" fontId="6" fillId="0" borderId="1" xfId="0" applyNumberFormat="1" applyFont="1" applyBorder="1" applyAlignment="1">
      <alignment horizontal="center" vertical="top" wrapText="1"/>
    </xf>
    <xf numFmtId="1" fontId="6" fillId="0" borderId="28" xfId="0" applyNumberFormat="1" applyFont="1" applyBorder="1" applyAlignment="1">
      <alignment horizontal="center" vertical="top" wrapText="1"/>
    </xf>
    <xf numFmtId="1" fontId="10" fillId="0" borderId="1" xfId="0" applyNumberFormat="1" applyFont="1" applyBorder="1" applyAlignment="1">
      <alignment horizontal="center" vertical="center" wrapText="1"/>
    </xf>
    <xf numFmtId="1" fontId="10" fillId="0" borderId="28" xfId="0" applyNumberFormat="1" applyFont="1" applyBorder="1" applyAlignment="1">
      <alignment horizontal="center" vertical="center" wrapText="1"/>
    </xf>
    <xf numFmtId="0" fontId="5" fillId="0" borderId="1" xfId="0" applyFont="1" applyBorder="1" applyAlignment="1">
      <alignment vertical="top"/>
    </xf>
    <xf numFmtId="0" fontId="3" fillId="0" borderId="22" xfId="2" applyFont="1" applyBorder="1" applyAlignment="1">
      <alignment horizontal="left" vertical="top" wrapText="1"/>
    </xf>
    <xf numFmtId="0" fontId="3" fillId="0" borderId="29" xfId="2" applyFont="1" applyBorder="1" applyAlignment="1">
      <alignment horizontal="left" vertical="top" wrapText="1"/>
    </xf>
    <xf numFmtId="0" fontId="3" fillId="0" borderId="23" xfId="2" applyFont="1" applyBorder="1" applyAlignment="1">
      <alignment horizontal="left" vertical="top" wrapText="1"/>
    </xf>
    <xf numFmtId="1" fontId="10" fillId="0" borderId="22" xfId="0" applyNumberFormat="1" applyFont="1" applyBorder="1" applyAlignment="1">
      <alignment horizontal="center" vertical="center" wrapText="1"/>
    </xf>
    <xf numFmtId="1" fontId="10" fillId="0" borderId="23" xfId="0" applyNumberFormat="1" applyFont="1" applyBorder="1" applyAlignment="1">
      <alignment horizontal="center" vertical="center" wrapText="1"/>
    </xf>
    <xf numFmtId="0" fontId="7" fillId="0" borderId="1" xfId="0" applyFont="1" applyBorder="1" applyAlignment="1">
      <alignment horizontal="left" vertical="top"/>
    </xf>
    <xf numFmtId="0" fontId="7" fillId="0" borderId="17" xfId="0" applyFont="1" applyBorder="1" applyAlignment="1">
      <alignment horizontal="left" vertical="top"/>
    </xf>
    <xf numFmtId="0" fontId="7" fillId="0" borderId="28" xfId="0" applyFont="1" applyBorder="1" applyAlignment="1">
      <alignment horizontal="left" vertical="top"/>
    </xf>
    <xf numFmtId="0" fontId="3" fillId="0" borderId="1" xfId="0" applyFont="1" applyBorder="1" applyAlignment="1">
      <alignment horizontal="center" vertical="top" wrapText="1"/>
    </xf>
    <xf numFmtId="0" fontId="3" fillId="0" borderId="17" xfId="0" applyFont="1" applyBorder="1" applyAlignment="1">
      <alignment horizontal="center" vertical="top" wrapText="1"/>
    </xf>
    <xf numFmtId="0" fontId="3" fillId="0" borderId="28" xfId="0" applyFont="1" applyBorder="1" applyAlignment="1">
      <alignment horizontal="center" vertical="top" wrapText="1"/>
    </xf>
    <xf numFmtId="0" fontId="8" fillId="0" borderId="22" xfId="0" applyFont="1" applyBorder="1" applyAlignment="1">
      <alignment vertical="top" wrapText="1"/>
    </xf>
    <xf numFmtId="0" fontId="8" fillId="0" borderId="29" xfId="0" applyFont="1" applyBorder="1" applyAlignment="1">
      <alignment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0" xfId="0" applyFont="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3" xfId="0" applyFont="1" applyBorder="1" applyAlignment="1">
      <alignment vertical="top" wrapText="1"/>
    </xf>
    <xf numFmtId="0" fontId="8" fillId="0" borderId="27" xfId="0" applyFont="1" applyBorder="1" applyAlignment="1">
      <alignment vertical="top" wrapText="1"/>
    </xf>
    <xf numFmtId="0" fontId="9"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horizontal="left" vertical="top"/>
    </xf>
    <xf numFmtId="0" fontId="3" fillId="0" borderId="28" xfId="0" applyFont="1" applyBorder="1" applyAlignment="1">
      <alignment horizontal="left" vertical="top"/>
    </xf>
    <xf numFmtId="0" fontId="3" fillId="0" borderId="1" xfId="0" applyFont="1" applyBorder="1" applyAlignment="1">
      <alignment vertical="top"/>
    </xf>
    <xf numFmtId="0" fontId="3" fillId="0" borderId="17" xfId="0" applyFont="1" applyBorder="1" applyAlignment="1">
      <alignment vertical="top"/>
    </xf>
    <xf numFmtId="0" fontId="3" fillId="0" borderId="28" xfId="0" applyFont="1" applyBorder="1" applyAlignment="1">
      <alignment vertical="top"/>
    </xf>
    <xf numFmtId="1" fontId="6" fillId="0" borderId="22" xfId="0" applyNumberFormat="1" applyFont="1" applyBorder="1" applyAlignment="1">
      <alignment horizontal="center" vertical="center" wrapText="1"/>
    </xf>
    <xf numFmtId="1" fontId="6" fillId="0" borderId="29"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0" fontId="11" fillId="0" borderId="1" xfId="0" applyFont="1" applyBorder="1" applyAlignment="1">
      <alignment horizontal="center" vertical="top"/>
    </xf>
    <xf numFmtId="0" fontId="11" fillId="0" borderId="17" xfId="0" applyFont="1" applyBorder="1" applyAlignment="1">
      <alignment horizontal="center" vertical="top"/>
    </xf>
    <xf numFmtId="0" fontId="11" fillId="0" borderId="28" xfId="0" applyFont="1" applyBorder="1" applyAlignment="1">
      <alignment horizontal="center" vertical="top"/>
    </xf>
    <xf numFmtId="1" fontId="3" fillId="0" borderId="1" xfId="0" applyNumberFormat="1" applyFont="1" applyBorder="1" applyAlignment="1">
      <alignment horizontal="center" vertical="top" wrapText="1"/>
    </xf>
    <xf numFmtId="1" fontId="3" fillId="0" borderId="28" xfId="0" applyNumberFormat="1" applyFont="1" applyBorder="1" applyAlignment="1">
      <alignment horizontal="center" vertical="top" wrapText="1"/>
    </xf>
    <xf numFmtId="1" fontId="10" fillId="0" borderId="24" xfId="0" applyNumberFormat="1" applyFont="1" applyBorder="1" applyAlignment="1">
      <alignment horizontal="center" vertical="center" wrapText="1"/>
    </xf>
    <xf numFmtId="1" fontId="10" fillId="0" borderId="25"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28" xfId="0" applyNumberFormat="1" applyFont="1" applyBorder="1" applyAlignment="1">
      <alignment horizontal="center" vertical="center" wrapText="1"/>
    </xf>
    <xf numFmtId="1" fontId="10" fillId="0" borderId="26" xfId="0" applyNumberFormat="1" applyFont="1" applyBorder="1" applyAlignment="1">
      <alignment horizontal="center" vertical="center" wrapText="1"/>
    </xf>
    <xf numFmtId="1" fontId="10" fillId="0" borderId="27"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8"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14" fontId="4" fillId="0" borderId="1" xfId="0" applyNumberFormat="1" applyFont="1" applyBorder="1" applyAlignment="1">
      <alignment horizontal="left" vertical="top" wrapText="1"/>
    </xf>
    <xf numFmtId="0" fontId="0" fillId="0" borderId="0" xfId="0" applyAlignment="1">
      <alignment horizontal="center"/>
    </xf>
    <xf numFmtId="0" fontId="3" fillId="0" borderId="22" xfId="0" applyFont="1" applyBorder="1" applyAlignment="1">
      <alignment horizontal="center" vertical="top" wrapText="1"/>
    </xf>
    <xf numFmtId="0" fontId="3" fillId="0" borderId="29"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3" fillId="0" borderId="3" xfId="0" applyFont="1" applyBorder="1" applyAlignment="1">
      <alignment horizontal="center" vertical="top" wrapText="1"/>
    </xf>
    <xf numFmtId="0" fontId="3" fillId="0" borderId="27" xfId="0" applyFont="1" applyBorder="1" applyAlignment="1">
      <alignment horizontal="center" vertical="top" wrapText="1"/>
    </xf>
    <xf numFmtId="2" fontId="4" fillId="0" borderId="1" xfId="0" applyNumberFormat="1" applyFont="1" applyBorder="1" applyAlignment="1">
      <alignment horizontal="left" vertical="top"/>
    </xf>
    <xf numFmtId="2" fontId="4" fillId="0" borderId="17" xfId="0" applyNumberFormat="1" applyFont="1" applyBorder="1" applyAlignment="1">
      <alignment horizontal="left" vertical="top"/>
    </xf>
    <xf numFmtId="2" fontId="4" fillId="0" borderId="28" xfId="0" applyNumberFormat="1" applyFont="1" applyBorder="1" applyAlignment="1">
      <alignment horizontal="left" vertical="top"/>
    </xf>
    <xf numFmtId="0" fontId="23" fillId="0" borderId="1" xfId="7" applyBorder="1" applyAlignment="1">
      <alignment horizontal="left" vertical="top"/>
    </xf>
    <xf numFmtId="0" fontId="0" fillId="2" borderId="2" xfId="0" applyFill="1" applyBorder="1" applyAlignment="1">
      <alignment horizontal="center" wrapText="1"/>
    </xf>
    <xf numFmtId="0" fontId="17" fillId="0" borderId="2" xfId="0" applyFont="1" applyBorder="1" applyAlignment="1">
      <alignment horizontal="center"/>
    </xf>
    <xf numFmtId="0" fontId="17" fillId="0" borderId="2" xfId="5" applyFont="1" applyBorder="1" applyAlignment="1">
      <alignment horizontal="left"/>
    </xf>
  </cellXfs>
  <cellStyles count="8">
    <cellStyle name="Comma" xfId="6" builtinId="3"/>
    <cellStyle name="Comma 2" xfId="1"/>
    <cellStyle name="Excel Built-in Normal" xfId="2"/>
    <cellStyle name="Excel Built-in Normal 2" xfId="3"/>
    <cellStyle name="Hyperlink" xfId="7" builtinId="8"/>
    <cellStyle name="Normal" xfId="0" builtinId="0"/>
    <cellStyle name="Normal 3"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319271</xdr:colOff>
      <xdr:row>277</xdr:row>
      <xdr:rowOff>33131</xdr:rowOff>
    </xdr:from>
    <xdr:to>
      <xdr:col>8</xdr:col>
      <xdr:colOff>69270</xdr:colOff>
      <xdr:row>293</xdr:row>
      <xdr:rowOff>14944</xdr:rowOff>
    </xdr:to>
    <xdr:pic>
      <xdr:nvPicPr>
        <xdr:cNvPr id="33" name="Picture 32">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72988" y="59990935"/>
          <a:ext cx="4272304" cy="3029813"/>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273326</xdr:colOff>
      <xdr:row>294</xdr:row>
      <xdr:rowOff>28026</xdr:rowOff>
    </xdr:from>
    <xdr:to>
      <xdr:col>8</xdr:col>
      <xdr:colOff>70853</xdr:colOff>
      <xdr:row>310</xdr:row>
      <xdr:rowOff>9839</xdr:rowOff>
    </xdr:to>
    <xdr:pic>
      <xdr:nvPicPr>
        <xdr:cNvPr id="34" name="Picture 33">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27043" y="63224330"/>
          <a:ext cx="4319832" cy="3029813"/>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426310</xdr:colOff>
      <xdr:row>230</xdr:row>
      <xdr:rowOff>109135</xdr:rowOff>
    </xdr:from>
    <xdr:to>
      <xdr:col>12</xdr:col>
      <xdr:colOff>626039</xdr:colOff>
      <xdr:row>232</xdr:row>
      <xdr:rowOff>1914</xdr:rowOff>
    </xdr:to>
    <xdr:sp macro="" textlink="">
      <xdr:nvSpPr>
        <xdr:cNvPr id="57" name="TextBox 56"/>
        <xdr:cNvSpPr txBox="1"/>
      </xdr:nvSpPr>
      <xdr:spPr>
        <a:xfrm>
          <a:off x="7516223" y="51419896"/>
          <a:ext cx="812642" cy="2737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Bldg No. 16</a:t>
          </a:r>
        </a:p>
      </xdr:txBody>
    </xdr:sp>
    <xdr:clientData/>
  </xdr:twoCellAnchor>
  <xdr:twoCellAnchor>
    <xdr:from>
      <xdr:col>0</xdr:col>
      <xdr:colOff>119862</xdr:colOff>
      <xdr:row>230</xdr:row>
      <xdr:rowOff>44903</xdr:rowOff>
    </xdr:from>
    <xdr:to>
      <xdr:col>9</xdr:col>
      <xdr:colOff>376750</xdr:colOff>
      <xdr:row>274</xdr:row>
      <xdr:rowOff>74025</xdr:rowOff>
    </xdr:to>
    <xdr:grpSp>
      <xdr:nvGrpSpPr>
        <xdr:cNvPr id="2" name="Group 1"/>
        <xdr:cNvGrpSpPr/>
      </xdr:nvGrpSpPr>
      <xdr:grpSpPr>
        <a:xfrm>
          <a:off x="119862" y="51769794"/>
          <a:ext cx="6278345" cy="8411122"/>
          <a:chOff x="119862" y="51556103"/>
          <a:chExt cx="6267163" cy="8411122"/>
        </a:xfrm>
      </xdr:grpSpPr>
      <xdr:pic>
        <xdr:nvPicPr>
          <xdr:cNvPr id="14" name="Picture 13" descr="https://vsjcllp.vsjadon.com/upload/insp-23986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257550" y="58247417"/>
            <a:ext cx="1285875" cy="17198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39867-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76250" y="56292749"/>
            <a:ext cx="2482864" cy="1864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39867-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772025" y="51568350"/>
            <a:ext cx="1615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39867-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324099" y="53816249"/>
            <a:ext cx="1787547" cy="2390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39867-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47674" y="53816249"/>
            <a:ext cx="1787547" cy="2390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9867-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33900" y="56292749"/>
            <a:ext cx="1394227" cy="1864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39867-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08808" y="53816249"/>
            <a:ext cx="1788922" cy="2390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9867-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052203" y="56294110"/>
            <a:ext cx="1402602" cy="1864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9867-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890151" y="58241972"/>
            <a:ext cx="1291433" cy="17198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9867-87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19862" y="51556103"/>
            <a:ext cx="1624701"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9867-88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824717" y="51558826"/>
            <a:ext cx="287448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21</xdr:row>
      <xdr:rowOff>0</xdr:rowOff>
    </xdr:from>
    <xdr:to>
      <xdr:col>10</xdr:col>
      <xdr:colOff>400050</xdr:colOff>
      <xdr:row>32</xdr:row>
      <xdr:rowOff>66675</xdr:rowOff>
    </xdr:to>
    <xdr:pic>
      <xdr:nvPicPr>
        <xdr:cNvPr id="3134" name="Picture 1">
          <a:extLst>
            <a:ext uri="{FF2B5EF4-FFF2-40B4-BE49-F238E27FC236}">
              <a16:creationId xmlns="" xmlns:a16="http://schemas.microsoft.com/office/drawing/2014/main" id="{00000000-0008-0000-0200-00003E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4381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352425</xdr:colOff>
      <xdr:row>27</xdr:row>
      <xdr:rowOff>171450</xdr:rowOff>
    </xdr:to>
    <xdr:pic>
      <xdr:nvPicPr>
        <xdr:cNvPr id="4153" name="Picture 1">
          <a:extLst>
            <a:ext uri="{FF2B5EF4-FFF2-40B4-BE49-F238E27FC236}">
              <a16:creationId xmlns="" xmlns:a16="http://schemas.microsoft.com/office/drawing/2014/main" id="{00000000-0008-0000-0500-00003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724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NvCM4xV5XbNBt42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6"/>
  <sheetViews>
    <sheetView tabSelected="1" showWhiteSpace="0" view="pageBreakPreview" zoomScale="115" zoomScaleNormal="100" zoomScaleSheetLayoutView="115" zoomScalePageLayoutView="85" workbookViewId="0">
      <selection activeCell="F4" sqref="F4:J4"/>
    </sheetView>
  </sheetViews>
  <sheetFormatPr defaultRowHeight="15" x14ac:dyDescent="0.25"/>
  <cols>
    <col min="1" max="1" width="11.28515625" customWidth="1"/>
    <col min="2" max="2" width="12.140625" customWidth="1"/>
    <col min="3" max="3" width="12.5703125" customWidth="1"/>
    <col min="4" max="4" width="7.28515625" customWidth="1"/>
    <col min="5" max="5" width="5.5703125" customWidth="1"/>
    <col min="6" max="6" width="11.140625" customWidth="1"/>
    <col min="7" max="7" width="9.85546875" customWidth="1"/>
    <col min="8" max="8" width="9.140625" customWidth="1"/>
    <col min="9" max="9" width="11.140625" customWidth="1"/>
    <col min="10" max="10" width="6.85546875" customWidth="1"/>
    <col min="13" max="13" width="14.28515625" bestFit="1" customWidth="1"/>
  </cols>
  <sheetData>
    <row r="1" spans="1:10" ht="43.9" customHeight="1" x14ac:dyDescent="0.25">
      <c r="A1" s="149" t="s">
        <v>226</v>
      </c>
      <c r="B1" s="150"/>
      <c r="C1" s="150"/>
      <c r="D1" s="150"/>
      <c r="E1" s="150"/>
      <c r="F1" s="150"/>
      <c r="G1" s="150"/>
      <c r="H1" s="150"/>
      <c r="I1" s="150"/>
      <c r="J1" s="151"/>
    </row>
    <row r="2" spans="1:10" x14ac:dyDescent="0.25">
      <c r="A2" s="89" t="s">
        <v>41</v>
      </c>
      <c r="B2" s="90"/>
      <c r="C2" s="90"/>
      <c r="D2" s="90"/>
      <c r="E2" s="90"/>
      <c r="F2" s="90"/>
      <c r="G2" s="90"/>
      <c r="H2" s="90"/>
      <c r="I2" s="90"/>
      <c r="J2" s="91"/>
    </row>
    <row r="3" spans="1:10" x14ac:dyDescent="0.25">
      <c r="A3" s="84" t="s">
        <v>0</v>
      </c>
      <c r="B3" s="59"/>
      <c r="C3" s="59"/>
      <c r="D3" s="59"/>
      <c r="E3" s="60"/>
      <c r="F3" s="92" t="str">
        <f ca="1">TEXT(TODAY(),"DD/MM/YYYY")</f>
        <v>18/07/2025</v>
      </c>
      <c r="G3" s="93"/>
      <c r="H3" s="93"/>
      <c r="I3" s="93"/>
      <c r="J3" s="94"/>
    </row>
    <row r="4" spans="1:10" x14ac:dyDescent="0.25">
      <c r="A4" s="84" t="s">
        <v>1</v>
      </c>
      <c r="B4" s="59"/>
      <c r="C4" s="59"/>
      <c r="D4" s="59"/>
      <c r="E4" s="60"/>
      <c r="F4" s="58" t="s">
        <v>137</v>
      </c>
      <c r="G4" s="86"/>
      <c r="H4" s="86"/>
      <c r="I4" s="86"/>
      <c r="J4" s="85"/>
    </row>
    <row r="5" spans="1:10" x14ac:dyDescent="0.25">
      <c r="A5" s="84" t="s">
        <v>2</v>
      </c>
      <c r="B5" s="59"/>
      <c r="C5" s="59"/>
      <c r="D5" s="59"/>
      <c r="E5" s="60"/>
      <c r="F5" s="92">
        <v>45848</v>
      </c>
      <c r="G5" s="93"/>
      <c r="H5" s="93"/>
      <c r="I5" s="93"/>
      <c r="J5" s="94"/>
    </row>
    <row r="6" spans="1:10" ht="16.5" customHeight="1" x14ac:dyDescent="0.25">
      <c r="A6" s="84" t="s">
        <v>3</v>
      </c>
      <c r="B6" s="59"/>
      <c r="C6" s="59"/>
      <c r="D6" s="59"/>
      <c r="E6" s="60"/>
      <c r="F6" s="103" t="s">
        <v>138</v>
      </c>
      <c r="G6" s="104"/>
      <c r="H6" s="104"/>
      <c r="I6" s="104"/>
      <c r="J6" s="105"/>
    </row>
    <row r="7" spans="1:10" ht="15" customHeight="1" x14ac:dyDescent="0.25">
      <c r="A7" s="58" t="s">
        <v>3</v>
      </c>
      <c r="B7" s="59"/>
      <c r="C7" s="59"/>
      <c r="D7" s="59"/>
      <c r="E7" s="60"/>
      <c r="F7" s="103" t="s">
        <v>216</v>
      </c>
      <c r="G7" s="104"/>
      <c r="H7" s="104"/>
      <c r="I7" s="104"/>
      <c r="J7" s="105"/>
    </row>
    <row r="8" spans="1:10" x14ac:dyDescent="0.25">
      <c r="A8" s="84" t="s">
        <v>4</v>
      </c>
      <c r="B8" s="59"/>
      <c r="C8" s="59"/>
      <c r="D8" s="59"/>
      <c r="E8" s="60"/>
      <c r="F8" s="119" t="s">
        <v>239</v>
      </c>
      <c r="G8" s="86"/>
      <c r="H8" s="86"/>
      <c r="I8" s="86"/>
      <c r="J8" s="85"/>
    </row>
    <row r="9" spans="1:10" x14ac:dyDescent="0.25">
      <c r="A9" s="58" t="s">
        <v>129</v>
      </c>
      <c r="B9" s="59"/>
      <c r="C9" s="59"/>
      <c r="D9" s="59"/>
      <c r="E9" s="60"/>
      <c r="F9" s="58">
        <v>9167008394</v>
      </c>
      <c r="G9" s="86"/>
      <c r="H9" s="86"/>
      <c r="I9" s="86"/>
      <c r="J9" s="85"/>
    </row>
    <row r="10" spans="1:10" ht="98.25" customHeight="1" x14ac:dyDescent="0.25">
      <c r="A10" s="58" t="s">
        <v>95</v>
      </c>
      <c r="B10" s="86"/>
      <c r="C10" s="86"/>
      <c r="D10" s="86"/>
      <c r="E10" s="85"/>
      <c r="F10" s="161" t="s">
        <v>219</v>
      </c>
      <c r="G10" s="62"/>
      <c r="H10" s="62"/>
      <c r="I10" s="62"/>
      <c r="J10" s="63"/>
    </row>
    <row r="11" spans="1:10" x14ac:dyDescent="0.25">
      <c r="A11" s="84" t="s">
        <v>5</v>
      </c>
      <c r="B11" s="59"/>
      <c r="C11" s="59"/>
      <c r="D11" s="59"/>
      <c r="E11" s="60"/>
      <c r="F11" s="103" t="s">
        <v>180</v>
      </c>
      <c r="G11" s="104"/>
      <c r="H11" s="104"/>
      <c r="I11" s="104"/>
      <c r="J11" s="105"/>
    </row>
    <row r="12" spans="1:10" x14ac:dyDescent="0.25">
      <c r="A12" s="58" t="s">
        <v>121</v>
      </c>
      <c r="B12" s="59"/>
      <c r="C12" s="59"/>
      <c r="D12" s="59"/>
      <c r="E12" s="60"/>
      <c r="F12" s="103" t="s">
        <v>140</v>
      </c>
      <c r="G12" s="104"/>
      <c r="H12" s="104"/>
      <c r="I12" s="104"/>
      <c r="J12" s="105"/>
    </row>
    <row r="13" spans="1:10" ht="30.75" customHeight="1" x14ac:dyDescent="0.25">
      <c r="A13" s="120" t="s">
        <v>54</v>
      </c>
      <c r="B13" s="120"/>
      <c r="C13" s="103" t="s">
        <v>236</v>
      </c>
      <c r="D13" s="104"/>
      <c r="E13" s="104"/>
      <c r="F13" s="104"/>
      <c r="G13" s="104"/>
      <c r="H13" s="104"/>
      <c r="I13" s="104"/>
      <c r="J13" s="105"/>
    </row>
    <row r="14" spans="1:10" ht="15" customHeight="1" x14ac:dyDescent="0.25">
      <c r="A14" s="120" t="s">
        <v>141</v>
      </c>
      <c r="B14" s="120"/>
      <c r="C14" s="120" t="s">
        <v>235</v>
      </c>
      <c r="D14" s="120"/>
      <c r="E14" s="120"/>
      <c r="F14" s="131" t="s">
        <v>55</v>
      </c>
      <c r="G14" s="131"/>
      <c r="H14" s="126" t="s">
        <v>142</v>
      </c>
      <c r="I14" s="126"/>
      <c r="J14" s="127"/>
    </row>
    <row r="15" spans="1:10" x14ac:dyDescent="0.25">
      <c r="A15" s="120" t="s">
        <v>6</v>
      </c>
      <c r="B15" s="120"/>
      <c r="C15" s="120" t="s">
        <v>143</v>
      </c>
      <c r="D15" s="120"/>
      <c r="E15" s="120"/>
      <c r="F15" s="131" t="s">
        <v>56</v>
      </c>
      <c r="G15" s="131"/>
      <c r="H15" s="126" t="s">
        <v>145</v>
      </c>
      <c r="I15" s="126"/>
      <c r="J15" s="127"/>
    </row>
    <row r="16" spans="1:10" x14ac:dyDescent="0.25">
      <c r="A16" s="120" t="s">
        <v>7</v>
      </c>
      <c r="B16" s="120"/>
      <c r="C16" s="120" t="s">
        <v>144</v>
      </c>
      <c r="D16" s="120"/>
      <c r="E16" s="120"/>
      <c r="F16" s="131" t="s">
        <v>57</v>
      </c>
      <c r="G16" s="131"/>
      <c r="H16" s="126">
        <v>401404</v>
      </c>
      <c r="I16" s="126"/>
      <c r="J16" s="127"/>
    </row>
    <row r="17" spans="1:10" ht="32.25" customHeight="1" x14ac:dyDescent="0.25">
      <c r="A17" s="120" t="s">
        <v>58</v>
      </c>
      <c r="B17" s="120"/>
      <c r="C17" s="120" t="s">
        <v>146</v>
      </c>
      <c r="D17" s="120"/>
      <c r="E17" s="120"/>
      <c r="F17" s="131" t="s">
        <v>47</v>
      </c>
      <c r="G17" s="131"/>
      <c r="H17" s="126" t="s">
        <v>220</v>
      </c>
      <c r="I17" s="126"/>
      <c r="J17" s="127"/>
    </row>
    <row r="18" spans="1:10" ht="15" customHeight="1" x14ac:dyDescent="0.25">
      <c r="A18" s="95" t="s">
        <v>170</v>
      </c>
      <c r="B18" s="96"/>
      <c r="C18" s="96"/>
      <c r="D18" s="96"/>
      <c r="E18" s="97"/>
      <c r="F18" s="111" t="s">
        <v>52</v>
      </c>
      <c r="G18" s="112"/>
      <c r="H18" s="112"/>
      <c r="I18" s="112"/>
      <c r="J18" s="113"/>
    </row>
    <row r="19" spans="1:10" x14ac:dyDescent="0.25">
      <c r="A19" s="98"/>
      <c r="B19" s="99"/>
      <c r="C19" s="99"/>
      <c r="D19" s="99"/>
      <c r="E19" s="100"/>
      <c r="F19" s="114"/>
      <c r="G19" s="115"/>
      <c r="H19" s="115"/>
      <c r="I19" s="115"/>
      <c r="J19" s="116"/>
    </row>
    <row r="20" spans="1:10" ht="15" customHeight="1" x14ac:dyDescent="0.25">
      <c r="A20" s="95" t="s">
        <v>96</v>
      </c>
      <c r="B20" s="121"/>
      <c r="C20" s="121"/>
      <c r="D20" s="121"/>
      <c r="E20" s="122"/>
      <c r="F20" s="95" t="s">
        <v>43</v>
      </c>
      <c r="G20" s="96"/>
      <c r="H20" s="96"/>
      <c r="I20" s="96"/>
      <c r="J20" s="97"/>
    </row>
    <row r="21" spans="1:10" x14ac:dyDescent="0.25">
      <c r="A21" s="123"/>
      <c r="B21" s="124"/>
      <c r="C21" s="124"/>
      <c r="D21" s="124"/>
      <c r="E21" s="125"/>
      <c r="F21" s="98"/>
      <c r="G21" s="99"/>
      <c r="H21" s="99"/>
      <c r="I21" s="99"/>
      <c r="J21" s="100"/>
    </row>
    <row r="22" spans="1:10" x14ac:dyDescent="0.25">
      <c r="A22" s="84" t="s">
        <v>8</v>
      </c>
      <c r="B22" s="59"/>
      <c r="C22" s="59"/>
      <c r="D22" s="59"/>
      <c r="E22" s="60"/>
      <c r="F22" s="128" t="s">
        <v>130</v>
      </c>
      <c r="G22" s="129"/>
      <c r="H22" s="129"/>
      <c r="I22" s="129"/>
      <c r="J22" s="130"/>
    </row>
    <row r="23" spans="1:10" x14ac:dyDescent="0.25">
      <c r="A23" s="84" t="s">
        <v>9</v>
      </c>
      <c r="B23" s="59"/>
      <c r="C23" s="59"/>
      <c r="D23" s="59"/>
      <c r="E23" s="60"/>
      <c r="F23" s="108" t="s">
        <v>48</v>
      </c>
      <c r="G23" s="117"/>
      <c r="H23" s="117"/>
      <c r="I23" s="117"/>
      <c r="J23" s="118"/>
    </row>
    <row r="24" spans="1:10" x14ac:dyDescent="0.25">
      <c r="A24" s="84" t="s">
        <v>10</v>
      </c>
      <c r="B24" s="59"/>
      <c r="C24" s="59"/>
      <c r="D24" s="59"/>
      <c r="E24" s="60"/>
      <c r="F24" s="128" t="s">
        <v>122</v>
      </c>
      <c r="G24" s="129"/>
      <c r="H24" s="129"/>
      <c r="I24" s="129"/>
      <c r="J24" s="130"/>
    </row>
    <row r="25" spans="1:10" x14ac:dyDescent="0.25">
      <c r="A25" s="84" t="s">
        <v>27</v>
      </c>
      <c r="B25" s="59"/>
      <c r="C25" s="59"/>
      <c r="D25" s="59"/>
      <c r="E25" s="60"/>
      <c r="F25" s="108" t="s">
        <v>59</v>
      </c>
      <c r="G25" s="109"/>
      <c r="H25" s="109"/>
      <c r="I25" s="109"/>
      <c r="J25" s="110"/>
    </row>
    <row r="26" spans="1:10" x14ac:dyDescent="0.25">
      <c r="A26" s="101" t="s">
        <v>11</v>
      </c>
      <c r="B26" s="102"/>
      <c r="C26" s="101" t="s">
        <v>12</v>
      </c>
      <c r="D26" s="102"/>
      <c r="E26" s="106" t="s">
        <v>13</v>
      </c>
      <c r="F26" s="102"/>
      <c r="G26" s="106" t="s">
        <v>46</v>
      </c>
      <c r="H26" s="107"/>
      <c r="I26" s="101" t="s">
        <v>14</v>
      </c>
      <c r="J26" s="102"/>
    </row>
    <row r="27" spans="1:10" x14ac:dyDescent="0.25">
      <c r="A27" s="106" t="s">
        <v>15</v>
      </c>
      <c r="B27" s="107"/>
      <c r="C27" s="106" t="s">
        <v>45</v>
      </c>
      <c r="D27" s="107"/>
      <c r="E27" s="106" t="s">
        <v>45</v>
      </c>
      <c r="F27" s="107"/>
      <c r="G27" s="106" t="s">
        <v>45</v>
      </c>
      <c r="H27" s="107"/>
      <c r="I27" s="106" t="s">
        <v>45</v>
      </c>
      <c r="J27" s="107"/>
    </row>
    <row r="28" spans="1:10" x14ac:dyDescent="0.25">
      <c r="A28" s="134" t="s">
        <v>16</v>
      </c>
      <c r="B28" s="135"/>
      <c r="C28" s="106" t="s">
        <v>6</v>
      </c>
      <c r="D28" s="107"/>
      <c r="E28" s="106" t="s">
        <v>131</v>
      </c>
      <c r="F28" s="107"/>
      <c r="G28" s="106" t="s">
        <v>131</v>
      </c>
      <c r="H28" s="107"/>
      <c r="I28" s="132" t="s">
        <v>6</v>
      </c>
      <c r="J28" s="133"/>
    </row>
    <row r="29" spans="1:10" x14ac:dyDescent="0.25">
      <c r="A29" s="58" t="s">
        <v>51</v>
      </c>
      <c r="B29" s="86"/>
      <c r="C29" s="86"/>
      <c r="D29" s="86"/>
      <c r="E29" s="86"/>
      <c r="F29" s="86"/>
      <c r="G29" s="86"/>
      <c r="H29" s="86"/>
      <c r="I29" s="86"/>
      <c r="J29" s="85"/>
    </row>
    <row r="30" spans="1:10" x14ac:dyDescent="0.25">
      <c r="A30" s="58" t="s">
        <v>123</v>
      </c>
      <c r="B30" s="86"/>
      <c r="C30" s="86"/>
      <c r="D30" s="86"/>
      <c r="E30" s="86"/>
      <c r="F30" s="86"/>
      <c r="G30" s="86"/>
      <c r="H30" s="86"/>
      <c r="I30" s="86"/>
      <c r="J30" s="85"/>
    </row>
    <row r="31" spans="1:10" x14ac:dyDescent="0.25">
      <c r="A31" s="58" t="s">
        <v>38</v>
      </c>
      <c r="B31" s="85"/>
      <c r="C31" s="119" t="s">
        <v>237</v>
      </c>
      <c r="D31" s="163"/>
      <c r="E31" s="163"/>
      <c r="F31" s="163"/>
      <c r="G31" s="163"/>
      <c r="H31" s="163"/>
      <c r="I31" s="163"/>
      <c r="J31" s="164"/>
    </row>
    <row r="32" spans="1:10" x14ac:dyDescent="0.25">
      <c r="A32" s="58" t="s">
        <v>238</v>
      </c>
      <c r="B32" s="85"/>
      <c r="C32" s="201" t="s">
        <v>225</v>
      </c>
      <c r="D32" s="86"/>
      <c r="E32" s="86"/>
      <c r="F32" s="86"/>
      <c r="G32" s="86"/>
      <c r="H32" s="86"/>
      <c r="I32" s="86"/>
      <c r="J32" s="85"/>
    </row>
    <row r="33" spans="1:10" x14ac:dyDescent="0.25">
      <c r="A33" s="119" t="s">
        <v>17</v>
      </c>
      <c r="B33" s="163"/>
      <c r="C33" s="163"/>
      <c r="D33" s="163"/>
      <c r="E33" s="163"/>
      <c r="F33" s="163"/>
      <c r="G33" s="163"/>
      <c r="H33" s="163"/>
      <c r="I33" s="163"/>
      <c r="J33" s="164"/>
    </row>
    <row r="34" spans="1:10" ht="15" customHeight="1" x14ac:dyDescent="0.25">
      <c r="A34" s="95" t="s">
        <v>132</v>
      </c>
      <c r="B34" s="96"/>
      <c r="C34" s="96"/>
      <c r="D34" s="96"/>
      <c r="E34" s="96"/>
      <c r="F34" s="96"/>
      <c r="G34" s="96"/>
      <c r="H34" s="96"/>
      <c r="I34" s="96"/>
      <c r="J34" s="97"/>
    </row>
    <row r="35" spans="1:10" x14ac:dyDescent="0.25">
      <c r="A35" s="98"/>
      <c r="B35" s="99"/>
      <c r="C35" s="99"/>
      <c r="D35" s="99"/>
      <c r="E35" s="99"/>
      <c r="F35" s="99"/>
      <c r="G35" s="99"/>
      <c r="H35" s="99"/>
      <c r="I35" s="99"/>
      <c r="J35" s="100"/>
    </row>
    <row r="36" spans="1:10" ht="16.5" customHeight="1" x14ac:dyDescent="0.25">
      <c r="A36" s="58" t="s">
        <v>60</v>
      </c>
      <c r="B36" s="59"/>
      <c r="C36" s="59"/>
      <c r="D36" s="59"/>
      <c r="E36" s="60"/>
      <c r="F36" s="103">
        <v>15180</v>
      </c>
      <c r="G36" s="104"/>
      <c r="H36" s="104"/>
      <c r="I36" s="104"/>
      <c r="J36" s="105"/>
    </row>
    <row r="37" spans="1:10" x14ac:dyDescent="0.25">
      <c r="A37" s="140" t="s">
        <v>18</v>
      </c>
      <c r="B37" s="109"/>
      <c r="C37" s="109"/>
      <c r="D37" s="109"/>
      <c r="E37" s="110"/>
      <c r="F37" s="58">
        <v>0.75</v>
      </c>
      <c r="G37" s="86"/>
      <c r="H37" s="86"/>
      <c r="I37" s="86"/>
      <c r="J37" s="85"/>
    </row>
    <row r="38" spans="1:10" x14ac:dyDescent="0.25">
      <c r="A38" s="84" t="s">
        <v>19</v>
      </c>
      <c r="B38" s="59"/>
      <c r="C38" s="59"/>
      <c r="D38" s="59"/>
      <c r="E38" s="60"/>
      <c r="F38" s="58">
        <v>0</v>
      </c>
      <c r="G38" s="86"/>
      <c r="H38" s="86"/>
      <c r="I38" s="86"/>
      <c r="J38" s="85"/>
    </row>
    <row r="39" spans="1:10" x14ac:dyDescent="0.25">
      <c r="A39" s="84" t="s">
        <v>20</v>
      </c>
      <c r="B39" s="59"/>
      <c r="C39" s="59"/>
      <c r="D39" s="59"/>
      <c r="E39" s="60"/>
      <c r="F39" s="58">
        <v>0.75</v>
      </c>
      <c r="G39" s="86"/>
      <c r="H39" s="86"/>
      <c r="I39" s="86"/>
      <c r="J39" s="85"/>
    </row>
    <row r="40" spans="1:10" x14ac:dyDescent="0.25">
      <c r="A40" s="58" t="s">
        <v>61</v>
      </c>
      <c r="B40" s="59"/>
      <c r="C40" s="59"/>
      <c r="D40" s="59"/>
      <c r="E40" s="60"/>
      <c r="F40" s="198">
        <v>11385</v>
      </c>
      <c r="G40" s="199"/>
      <c r="H40" s="199"/>
      <c r="I40" s="199"/>
      <c r="J40" s="200"/>
    </row>
    <row r="41" spans="1:10" x14ac:dyDescent="0.25">
      <c r="A41" s="84" t="s">
        <v>21</v>
      </c>
      <c r="B41" s="59"/>
      <c r="C41" s="59"/>
      <c r="D41" s="59"/>
      <c r="E41" s="60"/>
      <c r="F41" s="61" t="s">
        <v>221</v>
      </c>
      <c r="G41" s="62"/>
      <c r="H41" s="62"/>
      <c r="I41" s="62"/>
      <c r="J41" s="63"/>
    </row>
    <row r="42" spans="1:10" x14ac:dyDescent="0.25">
      <c r="A42" s="119" t="s">
        <v>63</v>
      </c>
      <c r="B42" s="163"/>
      <c r="C42" s="163"/>
      <c r="D42" s="163"/>
      <c r="E42" s="163"/>
      <c r="F42" s="163"/>
      <c r="G42" s="163"/>
      <c r="H42" s="163"/>
      <c r="I42" s="163"/>
      <c r="J42" s="164"/>
    </row>
    <row r="43" spans="1:10" ht="29.25" customHeight="1" x14ac:dyDescent="0.25">
      <c r="A43" s="103" t="s">
        <v>62</v>
      </c>
      <c r="B43" s="105"/>
      <c r="C43" s="103" t="s">
        <v>233</v>
      </c>
      <c r="D43" s="104"/>
      <c r="E43" s="104"/>
      <c r="F43" s="105"/>
      <c r="G43" s="1" t="s">
        <v>53</v>
      </c>
      <c r="H43" s="58" t="s">
        <v>147</v>
      </c>
      <c r="I43" s="86"/>
      <c r="J43" s="85"/>
    </row>
    <row r="44" spans="1:10" ht="31.5" customHeight="1" x14ac:dyDescent="0.25">
      <c r="A44" s="103" t="s">
        <v>64</v>
      </c>
      <c r="B44" s="105"/>
      <c r="C44" s="103" t="str">
        <f>C43</f>
        <v>P.NO.BS/BP/Birwadi/Palghar/
S.S.N.R./437</v>
      </c>
      <c r="D44" s="104"/>
      <c r="E44" s="104"/>
      <c r="F44" s="105"/>
      <c r="G44" s="1" t="s">
        <v>53</v>
      </c>
      <c r="H44" s="58" t="str">
        <f>H43</f>
        <v>31/03/2017.</v>
      </c>
      <c r="I44" s="86"/>
      <c r="J44" s="85"/>
    </row>
    <row r="45" spans="1:10" ht="47.25" customHeight="1" x14ac:dyDescent="0.25">
      <c r="A45" s="103" t="s">
        <v>166</v>
      </c>
      <c r="B45" s="105"/>
      <c r="C45" s="103" t="s">
        <v>234</v>
      </c>
      <c r="D45" s="104"/>
      <c r="E45" s="104"/>
      <c r="F45" s="105"/>
      <c r="G45" s="1" t="s">
        <v>53</v>
      </c>
      <c r="H45" s="58" t="s">
        <v>148</v>
      </c>
      <c r="I45" s="86"/>
      <c r="J45" s="85"/>
    </row>
    <row r="46" spans="1:10" x14ac:dyDescent="0.25">
      <c r="A46" s="87" t="s">
        <v>124</v>
      </c>
      <c r="B46" s="88"/>
      <c r="C46" s="87" t="s">
        <v>45</v>
      </c>
      <c r="D46" s="162"/>
      <c r="E46" s="162"/>
      <c r="F46" s="88" t="s">
        <v>94</v>
      </c>
      <c r="G46" s="57" t="s">
        <v>53</v>
      </c>
      <c r="H46" s="119" t="s">
        <v>45</v>
      </c>
      <c r="I46" s="163" t="s">
        <v>49</v>
      </c>
      <c r="J46" s="164"/>
    </row>
    <row r="47" spans="1:10" x14ac:dyDescent="0.25">
      <c r="A47" s="165" t="s">
        <v>22</v>
      </c>
      <c r="B47" s="166"/>
      <c r="C47" s="166"/>
      <c r="D47" s="166"/>
      <c r="E47" s="166"/>
      <c r="F47" s="166"/>
      <c r="G47" s="166"/>
      <c r="H47" s="166"/>
      <c r="I47" s="166"/>
      <c r="J47" s="167"/>
    </row>
    <row r="48" spans="1:10" x14ac:dyDescent="0.25">
      <c r="A48" s="58" t="s">
        <v>93</v>
      </c>
      <c r="B48" s="86"/>
      <c r="C48" s="85"/>
      <c r="D48" s="58">
        <f>F40</f>
        <v>11385</v>
      </c>
      <c r="E48" s="86"/>
      <c r="F48" s="86"/>
      <c r="G48" s="86"/>
      <c r="H48" s="86"/>
      <c r="I48" s="86"/>
      <c r="J48" s="85"/>
    </row>
    <row r="49" spans="1:13" x14ac:dyDescent="0.25">
      <c r="A49" s="58" t="s">
        <v>133</v>
      </c>
      <c r="B49" s="86"/>
      <c r="C49" s="85"/>
      <c r="D49" s="58" t="s">
        <v>227</v>
      </c>
      <c r="E49" s="86"/>
      <c r="F49" s="86"/>
      <c r="G49" s="86"/>
      <c r="H49" s="86"/>
      <c r="I49" s="86"/>
      <c r="J49" s="85"/>
    </row>
    <row r="50" spans="1:13" ht="45.75" customHeight="1" x14ac:dyDescent="0.25">
      <c r="A50" s="58" t="s">
        <v>66</v>
      </c>
      <c r="B50" s="86"/>
      <c r="C50" s="85"/>
      <c r="D50" s="103" t="s">
        <v>217</v>
      </c>
      <c r="E50" s="104"/>
      <c r="F50" s="104"/>
      <c r="G50" s="104"/>
      <c r="H50" s="104"/>
      <c r="I50" s="104"/>
      <c r="J50" s="105"/>
    </row>
    <row r="51" spans="1:13" x14ac:dyDescent="0.25">
      <c r="A51" s="58" t="s">
        <v>65</v>
      </c>
      <c r="B51" s="86"/>
      <c r="C51" s="85"/>
      <c r="D51" s="187">
        <v>46021</v>
      </c>
      <c r="E51" s="104"/>
      <c r="F51" s="104"/>
      <c r="G51" s="104"/>
      <c r="H51" s="104"/>
      <c r="I51" s="104"/>
      <c r="J51" s="105"/>
    </row>
    <row r="52" spans="1:13" x14ac:dyDescent="0.25">
      <c r="A52" s="58" t="s">
        <v>228</v>
      </c>
      <c r="B52" s="86"/>
      <c r="C52" s="85"/>
      <c r="D52" s="58" t="s">
        <v>59</v>
      </c>
      <c r="E52" s="86"/>
      <c r="F52" s="86"/>
      <c r="G52" s="86"/>
      <c r="H52" s="86"/>
      <c r="I52" s="86"/>
      <c r="J52" s="85"/>
    </row>
    <row r="53" spans="1:13" x14ac:dyDescent="0.25">
      <c r="A53" s="58" t="s">
        <v>229</v>
      </c>
      <c r="B53" s="86"/>
      <c r="C53" s="85"/>
      <c r="D53" s="58" t="s">
        <v>230</v>
      </c>
      <c r="E53" s="86"/>
      <c r="F53" s="86"/>
      <c r="G53" s="86"/>
      <c r="H53" s="86"/>
      <c r="I53" s="86"/>
      <c r="J53" s="85"/>
    </row>
    <row r="54" spans="1:13" ht="15.75" thickBot="1" x14ac:dyDescent="0.3">
      <c r="A54" s="58" t="s">
        <v>231</v>
      </c>
      <c r="B54" s="86"/>
      <c r="C54" s="85"/>
      <c r="D54" s="58" t="s">
        <v>232</v>
      </c>
      <c r="E54" s="86"/>
      <c r="F54" s="86"/>
      <c r="G54" s="86"/>
      <c r="H54" s="86"/>
      <c r="I54" s="86"/>
      <c r="J54" s="85"/>
    </row>
    <row r="55" spans="1:13" ht="15.75" x14ac:dyDescent="0.25">
      <c r="A55" s="74" t="s">
        <v>214</v>
      </c>
      <c r="B55" s="75"/>
      <c r="C55" s="75"/>
      <c r="D55" s="75"/>
      <c r="E55" s="75"/>
      <c r="F55" s="75"/>
      <c r="G55" s="75"/>
      <c r="H55" s="75"/>
      <c r="I55" s="75"/>
      <c r="J55" s="76"/>
      <c r="K55" s="38" t="str">
        <f>(IF(C59=0,"Work not yet Started.",IF(D59=50%,"Excavation work in process",IF(D59=100%,"Excavation work completed, ","0")))&amp;(IF(C60=0%,"",IF(D60=25%,"Footing work is process",IF(D60=50%,"Footing work Completed",IF(D60=75%,"Plinth work is process",IF(D60=100%,"Plinth work completed","0"))))))&amp;(IF(C61&gt;0,", RCC upto "&amp;C61&amp;" Slab completed",""))&amp;(IF(C62&gt;0,", Brickwork upto "&amp;C62&amp;" Floor completed"," "))&amp;(IF(C63&gt;0,", Internal Plaster upto "&amp;C63&amp;" Floor completed"," "))&amp;(IF(C64&gt;0,", External Plaster upto "&amp;C64&amp;" Floor completed"," "))&amp;(IF(C65&gt;0,", Flooring upto "&amp;C65&amp;" Floor completed"," "))&amp;(IF(C66&gt;0,", Painting upto "&amp;C66&amp;" Floor completed"," "))&amp;(IF(C67&gt;0,", Finishing upto "&amp;C67&amp;" Floor completed"," ")))</f>
        <v xml:space="preserve">Excavation work completed, Plinth work completed, RCC upto 1 Slab completed      </v>
      </c>
      <c r="L55" s="38"/>
      <c r="M55" s="43"/>
    </row>
    <row r="56" spans="1:13" ht="15.75" x14ac:dyDescent="0.25">
      <c r="A56" s="64" t="s">
        <v>135</v>
      </c>
      <c r="B56" s="65"/>
      <c r="C56" s="41">
        <v>1</v>
      </c>
      <c r="D56" s="65" t="s">
        <v>193</v>
      </c>
      <c r="E56" s="65"/>
      <c r="F56" s="65">
        <v>0</v>
      </c>
      <c r="G56" s="65"/>
      <c r="H56" s="41" t="s">
        <v>194</v>
      </c>
      <c r="I56" s="65">
        <v>2</v>
      </c>
      <c r="J56" s="77"/>
      <c r="K56" s="39" t="s">
        <v>195</v>
      </c>
      <c r="L56" s="39"/>
      <c r="M56" s="44"/>
    </row>
    <row r="57" spans="1:13" ht="15.75" x14ac:dyDescent="0.25">
      <c r="A57" s="78" t="s">
        <v>196</v>
      </c>
      <c r="B57" s="79"/>
      <c r="C57" s="80" t="str">
        <f>K55</f>
        <v xml:space="preserve">Excavation work completed, Plinth work completed, RCC upto 1 Slab completed      </v>
      </c>
      <c r="D57" s="81"/>
      <c r="E57" s="81"/>
      <c r="F57" s="81"/>
      <c r="G57" s="81"/>
      <c r="H57" s="81"/>
      <c r="I57" s="81"/>
      <c r="J57" s="82"/>
      <c r="K57" s="39" t="s">
        <v>197</v>
      </c>
      <c r="L57" s="39"/>
      <c r="M57" s="44"/>
    </row>
    <row r="58" spans="1:13" ht="15.75" x14ac:dyDescent="0.25">
      <c r="A58" s="64" t="s">
        <v>33</v>
      </c>
      <c r="B58" s="65"/>
      <c r="C58" s="42" t="s">
        <v>198</v>
      </c>
      <c r="D58" s="71" t="s">
        <v>199</v>
      </c>
      <c r="E58" s="71"/>
      <c r="F58" s="71" t="s">
        <v>200</v>
      </c>
      <c r="G58" s="71"/>
      <c r="H58" s="71" t="s">
        <v>201</v>
      </c>
      <c r="I58" s="71"/>
      <c r="J58" s="83"/>
      <c r="K58" s="39" t="s">
        <v>202</v>
      </c>
      <c r="L58" s="19"/>
      <c r="M58" s="20"/>
    </row>
    <row r="59" spans="1:13" ht="15.75" x14ac:dyDescent="0.25">
      <c r="A59" s="64" t="s">
        <v>203</v>
      </c>
      <c r="B59" s="65"/>
      <c r="C59" s="45">
        <v>2</v>
      </c>
      <c r="D59" s="66">
        <f>((100/I56)*C59)/100</f>
        <v>1</v>
      </c>
      <c r="E59" s="66"/>
      <c r="F59" s="66">
        <f>(IF(C57=K57,"100%",IF(C57=K58,"100%",(((C60/I56*10)+(40/(C56+F56+I56)*C61)+(7.5/(I56)*C62)+(7.5/(I56)*C63)+(10/I56*C64)+(10/I56*C65)+(5/I56*C66)+(5/I56*C67)+(5/I56*C68))/100))))</f>
        <v>0.23333333333333336</v>
      </c>
      <c r="G59" s="66"/>
      <c r="H59" s="66">
        <f>((((C59/I56)*20)+((C60/I56)*25)+(30/(I56+F56+C56)*C61)+(5/I56*C62)+(5/I56*C63)+(5/I56*C64)+(5/I56*C65)+(0/I56*C66)+(0/I56*C67)+(5/I56*C68))/100)</f>
        <v>0.55000000000000004</v>
      </c>
      <c r="I59" s="66"/>
      <c r="J59" s="68"/>
      <c r="K59" s="39"/>
      <c r="L59" s="19"/>
      <c r="M59" s="20"/>
    </row>
    <row r="60" spans="1:13" ht="15.75" x14ac:dyDescent="0.25">
      <c r="A60" s="64" t="s">
        <v>34</v>
      </c>
      <c r="B60" s="65"/>
      <c r="C60" s="45">
        <v>2</v>
      </c>
      <c r="D60" s="66">
        <f>((100/I56)*C60)/100</f>
        <v>1</v>
      </c>
      <c r="E60" s="66"/>
      <c r="F60" s="66"/>
      <c r="G60" s="66"/>
      <c r="H60" s="66"/>
      <c r="I60" s="66"/>
      <c r="J60" s="68"/>
      <c r="K60" s="19"/>
      <c r="L60" s="19"/>
      <c r="M60" s="20"/>
    </row>
    <row r="61" spans="1:13" ht="15.75" x14ac:dyDescent="0.25">
      <c r="A61" s="64" t="s">
        <v>213</v>
      </c>
      <c r="B61" s="65"/>
      <c r="C61" s="46">
        <v>1</v>
      </c>
      <c r="D61" s="66">
        <f>((100/(C56+F56+I56))*C61)/100</f>
        <v>0.33333333333333337</v>
      </c>
      <c r="E61" s="66"/>
      <c r="F61" s="66"/>
      <c r="G61" s="66"/>
      <c r="H61" s="66"/>
      <c r="I61" s="66"/>
      <c r="J61" s="68"/>
      <c r="K61" s="40" t="s">
        <v>174</v>
      </c>
      <c r="L61" s="22"/>
      <c r="M61" s="47">
        <f>I56*50%</f>
        <v>1</v>
      </c>
    </row>
    <row r="62" spans="1:13" ht="15.75" x14ac:dyDescent="0.25">
      <c r="A62" s="64" t="s">
        <v>204</v>
      </c>
      <c r="B62" s="65" t="s">
        <v>205</v>
      </c>
      <c r="C62" s="45">
        <v>0</v>
      </c>
      <c r="D62" s="66">
        <f>((100/I56)*C62)/100</f>
        <v>0</v>
      </c>
      <c r="E62" s="66"/>
      <c r="F62" s="66"/>
      <c r="G62" s="66"/>
      <c r="H62" s="66"/>
      <c r="I62" s="66"/>
      <c r="J62" s="68"/>
      <c r="K62" s="40" t="s">
        <v>175</v>
      </c>
      <c r="L62" s="22"/>
      <c r="M62" s="47">
        <f>I56</f>
        <v>2</v>
      </c>
    </row>
    <row r="63" spans="1:13" ht="15.75" x14ac:dyDescent="0.25">
      <c r="A63" s="64" t="s">
        <v>206</v>
      </c>
      <c r="B63" s="65" t="s">
        <v>205</v>
      </c>
      <c r="C63" s="45">
        <v>0</v>
      </c>
      <c r="D63" s="66">
        <f>((100/I56)*C63)/100</f>
        <v>0</v>
      </c>
      <c r="E63" s="66"/>
      <c r="F63" s="66"/>
      <c r="G63" s="66"/>
      <c r="H63" s="66"/>
      <c r="I63" s="66"/>
      <c r="J63" s="68"/>
      <c r="K63" s="40"/>
      <c r="L63" s="22"/>
      <c r="M63" s="47"/>
    </row>
    <row r="64" spans="1:13" ht="15.75" x14ac:dyDescent="0.25">
      <c r="A64" s="64" t="s">
        <v>207</v>
      </c>
      <c r="B64" s="65" t="s">
        <v>208</v>
      </c>
      <c r="C64" s="45">
        <v>0</v>
      </c>
      <c r="D64" s="66">
        <f>((100/(I56))*C64)/100</f>
        <v>0</v>
      </c>
      <c r="E64" s="66"/>
      <c r="F64" s="66"/>
      <c r="G64" s="66"/>
      <c r="H64" s="66"/>
      <c r="I64" s="66"/>
      <c r="J64" s="68"/>
      <c r="K64" s="40" t="s">
        <v>176</v>
      </c>
      <c r="L64" s="22"/>
      <c r="M64" s="47">
        <f>I56*25%</f>
        <v>0.5</v>
      </c>
    </row>
    <row r="65" spans="1:13" ht="15.75" x14ac:dyDescent="0.25">
      <c r="A65" s="64" t="s">
        <v>209</v>
      </c>
      <c r="B65" s="65" t="s">
        <v>209</v>
      </c>
      <c r="C65" s="45">
        <v>0</v>
      </c>
      <c r="D65" s="66">
        <f>((100/I56)*C65)/100</f>
        <v>0</v>
      </c>
      <c r="E65" s="66"/>
      <c r="F65" s="66"/>
      <c r="G65" s="66"/>
      <c r="H65" s="66"/>
      <c r="I65" s="66"/>
      <c r="J65" s="68"/>
      <c r="K65" s="40" t="s">
        <v>177</v>
      </c>
      <c r="L65" s="22"/>
      <c r="M65" s="47">
        <f>I56*50%</f>
        <v>1</v>
      </c>
    </row>
    <row r="66" spans="1:13" ht="15.75" x14ac:dyDescent="0.25">
      <c r="A66" s="64" t="s">
        <v>210</v>
      </c>
      <c r="B66" s="65"/>
      <c r="C66" s="45">
        <v>0</v>
      </c>
      <c r="D66" s="66">
        <f>((100/I56)*C66)/100</f>
        <v>0</v>
      </c>
      <c r="E66" s="66"/>
      <c r="F66" s="66"/>
      <c r="G66" s="66"/>
      <c r="H66" s="66"/>
      <c r="I66" s="66"/>
      <c r="J66" s="68"/>
      <c r="K66" s="40" t="s">
        <v>178</v>
      </c>
      <c r="L66" s="22"/>
      <c r="M66" s="47">
        <f>I56*75%</f>
        <v>1.5</v>
      </c>
    </row>
    <row r="67" spans="1:13" ht="15.75" x14ac:dyDescent="0.25">
      <c r="A67" s="70" t="s">
        <v>211</v>
      </c>
      <c r="B67" s="71" t="s">
        <v>211</v>
      </c>
      <c r="C67" s="45">
        <v>0</v>
      </c>
      <c r="D67" s="66">
        <f>((100/(I56))*C67)/100</f>
        <v>0</v>
      </c>
      <c r="E67" s="66"/>
      <c r="F67" s="66"/>
      <c r="G67" s="66"/>
      <c r="H67" s="66"/>
      <c r="I67" s="66"/>
      <c r="J67" s="68"/>
      <c r="K67" s="40" t="s">
        <v>179</v>
      </c>
      <c r="L67" s="22"/>
      <c r="M67" s="47">
        <f>I56</f>
        <v>2</v>
      </c>
    </row>
    <row r="68" spans="1:13" ht="16.5" thickBot="1" x14ac:dyDescent="0.3">
      <c r="A68" s="72" t="s">
        <v>212</v>
      </c>
      <c r="B68" s="73"/>
      <c r="C68" s="48">
        <v>0</v>
      </c>
      <c r="D68" s="67">
        <f>((100/(I56))*C68)/100</f>
        <v>0</v>
      </c>
      <c r="E68" s="67"/>
      <c r="F68" s="67"/>
      <c r="G68" s="67"/>
      <c r="H68" s="67"/>
      <c r="I68" s="67"/>
      <c r="J68" s="69"/>
      <c r="K68" s="49"/>
      <c r="L68" s="49"/>
      <c r="M68" s="50"/>
    </row>
    <row r="69" spans="1:13" ht="15.75" x14ac:dyDescent="0.25">
      <c r="A69" s="74" t="s">
        <v>215</v>
      </c>
      <c r="B69" s="75"/>
      <c r="C69" s="75"/>
      <c r="D69" s="75"/>
      <c r="E69" s="75"/>
      <c r="F69" s="75"/>
      <c r="G69" s="75"/>
      <c r="H69" s="75"/>
      <c r="I69" s="75"/>
      <c r="J69" s="76"/>
      <c r="K69" s="38" t="str">
        <f>(IF(C73=0,"Work not yet Started.",IF(D73=50%,"Excavation work in process",IF(D73=100%,"Excavation work completed, ","0")))&amp;(IF(C74=0%,"",IF(D74=25%,"Footing work is process",IF(D74=50%,"Footing work Completed",IF(D74=75%,"Plinth work is process",IF(D74=100%,"Plinth work completed","0"))))))&amp;(IF(C75&gt;0,", RCC upto "&amp;C75&amp;" Slab completed",""))&amp;(IF(C76&gt;0,", Brickwork upto "&amp;C76&amp;" Floor completed"," "))&amp;(IF(C77&gt;0,", Internal Plaster upto "&amp;C77&amp;" Floor completed"," "))&amp;(IF(C78&gt;0,", External Plaster upto "&amp;C78&amp;" Floor completed"," "))&amp;(IF(C79&gt;0,", Flooring upto "&amp;C79&amp;" Floor completed"," "))&amp;(IF(C80&gt;0,", Painting upto "&amp;C80&amp;" Floor completed"," "))&amp;(IF(C81&gt;0,", Finishing upto "&amp;C81&amp;" Floor completed"," ")))</f>
        <v xml:space="preserve">Excavation work completed, Plinth work completed, RCC upto 3 Slab completed, Brickwork upto 2 Floor completed, Internal Plaster upto 2 Floor completed, External Plaster upto 2 Floor completed, Flooring upto 1.5 Floor completed, Painting upto 1.5 Floor completed </v>
      </c>
      <c r="L69" s="38"/>
      <c r="M69" s="43"/>
    </row>
    <row r="70" spans="1:13" ht="15.75" x14ac:dyDescent="0.25">
      <c r="A70" s="64" t="s">
        <v>135</v>
      </c>
      <c r="B70" s="65"/>
      <c r="C70" s="41">
        <v>1</v>
      </c>
      <c r="D70" s="65" t="s">
        <v>193</v>
      </c>
      <c r="E70" s="65"/>
      <c r="F70" s="65">
        <v>0</v>
      </c>
      <c r="G70" s="65"/>
      <c r="H70" s="41" t="s">
        <v>194</v>
      </c>
      <c r="I70" s="65">
        <v>2</v>
      </c>
      <c r="J70" s="77"/>
      <c r="K70" s="39" t="s">
        <v>195</v>
      </c>
      <c r="L70" s="39"/>
      <c r="M70" s="44"/>
    </row>
    <row r="71" spans="1:13" ht="66.75" customHeight="1" x14ac:dyDescent="0.25">
      <c r="A71" s="78" t="s">
        <v>196</v>
      </c>
      <c r="B71" s="79"/>
      <c r="C71" s="80" t="str">
        <f>K69</f>
        <v xml:space="preserve">Excavation work completed, Plinth work completed, RCC upto 3 Slab completed, Brickwork upto 2 Floor completed, Internal Plaster upto 2 Floor completed, External Plaster upto 2 Floor completed, Flooring upto 1.5 Floor completed, Painting upto 1.5 Floor completed </v>
      </c>
      <c r="D71" s="81"/>
      <c r="E71" s="81"/>
      <c r="F71" s="81"/>
      <c r="G71" s="81"/>
      <c r="H71" s="81"/>
      <c r="I71" s="81"/>
      <c r="J71" s="82"/>
      <c r="K71" s="39" t="s">
        <v>197</v>
      </c>
      <c r="L71" s="39"/>
      <c r="M71" s="44"/>
    </row>
    <row r="72" spans="1:13" ht="15.75" x14ac:dyDescent="0.25">
      <c r="A72" s="64" t="s">
        <v>33</v>
      </c>
      <c r="B72" s="65"/>
      <c r="C72" s="42" t="s">
        <v>198</v>
      </c>
      <c r="D72" s="71" t="s">
        <v>199</v>
      </c>
      <c r="E72" s="71"/>
      <c r="F72" s="71" t="s">
        <v>200</v>
      </c>
      <c r="G72" s="71"/>
      <c r="H72" s="71" t="s">
        <v>201</v>
      </c>
      <c r="I72" s="71"/>
      <c r="J72" s="83"/>
      <c r="K72" s="39" t="s">
        <v>202</v>
      </c>
      <c r="L72" s="19"/>
      <c r="M72" s="20"/>
    </row>
    <row r="73" spans="1:13" ht="15.75" x14ac:dyDescent="0.25">
      <c r="A73" s="64" t="s">
        <v>203</v>
      </c>
      <c r="B73" s="65"/>
      <c r="C73" s="45">
        <f>M76</f>
        <v>2</v>
      </c>
      <c r="D73" s="66">
        <f>((100/I70)*C73)/100</f>
        <v>1</v>
      </c>
      <c r="E73" s="66"/>
      <c r="F73" s="66">
        <f>(IF(C71=K71,"100%",IF(C71=K72,"100%",(((C74/I70*10)+(40/(C70+F70+I70)*C75)+(7.5/(I70)*C76)+(7.5/(I70)*C77)+(10/I70*C78)+(10/I70*C79)+(5/I70*C80)+(5/I70*C81)+(5/I70*C82))/100))))</f>
        <v>0.86250000000000004</v>
      </c>
      <c r="G73" s="66"/>
      <c r="H73" s="66">
        <f>((((C73/I70)*20)+((C74/I70)*25)+(30/(I70+F70+C70)*C75)+(5/I70*C76)+(5/I70*C77)+(5/I70*C78)+(5/I70*C79)+(0/I70*C80)+(0/I70*C81)+(5/I70*C82))/100)</f>
        <v>0.9375</v>
      </c>
      <c r="I73" s="66"/>
      <c r="J73" s="68"/>
      <c r="K73" s="39"/>
      <c r="L73" s="19"/>
      <c r="M73" s="20"/>
    </row>
    <row r="74" spans="1:13" ht="15.75" x14ac:dyDescent="0.25">
      <c r="A74" s="64" t="s">
        <v>34</v>
      </c>
      <c r="B74" s="65"/>
      <c r="C74" s="45">
        <f>M81</f>
        <v>2</v>
      </c>
      <c r="D74" s="66">
        <f>((100/I70)*C74)/100</f>
        <v>1</v>
      </c>
      <c r="E74" s="66"/>
      <c r="F74" s="66"/>
      <c r="G74" s="66"/>
      <c r="H74" s="66"/>
      <c r="I74" s="66"/>
      <c r="J74" s="68"/>
      <c r="K74" s="19"/>
      <c r="L74" s="19"/>
      <c r="M74" s="20"/>
    </row>
    <row r="75" spans="1:13" ht="15.75" x14ac:dyDescent="0.25">
      <c r="A75" s="64" t="s">
        <v>35</v>
      </c>
      <c r="B75" s="65"/>
      <c r="C75" s="46">
        <v>3</v>
      </c>
      <c r="D75" s="66">
        <f>((100/(C70+F70+I70))*C75)/100</f>
        <v>1</v>
      </c>
      <c r="E75" s="66"/>
      <c r="F75" s="66"/>
      <c r="G75" s="66"/>
      <c r="H75" s="66"/>
      <c r="I75" s="66"/>
      <c r="J75" s="68"/>
      <c r="K75" s="40" t="s">
        <v>174</v>
      </c>
      <c r="L75" s="22"/>
      <c r="M75" s="47">
        <f>I70*50%</f>
        <v>1</v>
      </c>
    </row>
    <row r="76" spans="1:13" ht="15.75" x14ac:dyDescent="0.25">
      <c r="A76" s="64" t="s">
        <v>204</v>
      </c>
      <c r="B76" s="65" t="s">
        <v>205</v>
      </c>
      <c r="C76" s="45">
        <v>2</v>
      </c>
      <c r="D76" s="66">
        <f>((100/I70)*C76)/100</f>
        <v>1</v>
      </c>
      <c r="E76" s="66"/>
      <c r="F76" s="66"/>
      <c r="G76" s="66"/>
      <c r="H76" s="66"/>
      <c r="I76" s="66"/>
      <c r="J76" s="68"/>
      <c r="K76" s="40" t="s">
        <v>175</v>
      </c>
      <c r="L76" s="22"/>
      <c r="M76" s="47">
        <f>I70</f>
        <v>2</v>
      </c>
    </row>
    <row r="77" spans="1:13" ht="15.75" x14ac:dyDescent="0.25">
      <c r="A77" s="64" t="s">
        <v>206</v>
      </c>
      <c r="B77" s="65" t="s">
        <v>205</v>
      </c>
      <c r="C77" s="45">
        <v>2</v>
      </c>
      <c r="D77" s="66">
        <f>((100/I70)*C77)/100</f>
        <v>1</v>
      </c>
      <c r="E77" s="66"/>
      <c r="F77" s="66"/>
      <c r="G77" s="66"/>
      <c r="H77" s="66"/>
      <c r="I77" s="66"/>
      <c r="J77" s="68"/>
      <c r="K77" s="40"/>
      <c r="L77" s="22"/>
      <c r="M77" s="47"/>
    </row>
    <row r="78" spans="1:13" ht="15.75" x14ac:dyDescent="0.25">
      <c r="A78" s="64" t="s">
        <v>207</v>
      </c>
      <c r="B78" s="65" t="s">
        <v>208</v>
      </c>
      <c r="C78" s="45">
        <v>2</v>
      </c>
      <c r="D78" s="66">
        <f>((100/(I70))*C78)/100</f>
        <v>1</v>
      </c>
      <c r="E78" s="66"/>
      <c r="F78" s="66"/>
      <c r="G78" s="66"/>
      <c r="H78" s="66"/>
      <c r="I78" s="66"/>
      <c r="J78" s="68"/>
      <c r="K78" s="40" t="s">
        <v>176</v>
      </c>
      <c r="L78" s="22"/>
      <c r="M78" s="47">
        <f>I70*25%</f>
        <v>0.5</v>
      </c>
    </row>
    <row r="79" spans="1:13" ht="15.75" x14ac:dyDescent="0.25">
      <c r="A79" s="64" t="s">
        <v>209</v>
      </c>
      <c r="B79" s="65" t="s">
        <v>209</v>
      </c>
      <c r="C79" s="45">
        <v>1.5</v>
      </c>
      <c r="D79" s="66">
        <f>((100/I70)*C79)/100</f>
        <v>0.75</v>
      </c>
      <c r="E79" s="66"/>
      <c r="F79" s="66"/>
      <c r="G79" s="66"/>
      <c r="H79" s="66"/>
      <c r="I79" s="66"/>
      <c r="J79" s="68"/>
      <c r="K79" s="40" t="s">
        <v>177</v>
      </c>
      <c r="L79" s="22"/>
      <c r="M79" s="47">
        <f>I70*50%</f>
        <v>1</v>
      </c>
    </row>
    <row r="80" spans="1:13" ht="15.75" x14ac:dyDescent="0.25">
      <c r="A80" s="64" t="s">
        <v>210</v>
      </c>
      <c r="B80" s="65"/>
      <c r="C80" s="45">
        <v>1.5</v>
      </c>
      <c r="D80" s="66">
        <f>((100/I70)*C80)/100</f>
        <v>0.75</v>
      </c>
      <c r="E80" s="66"/>
      <c r="F80" s="66"/>
      <c r="G80" s="66"/>
      <c r="H80" s="66"/>
      <c r="I80" s="66"/>
      <c r="J80" s="68"/>
      <c r="K80" s="40" t="s">
        <v>178</v>
      </c>
      <c r="L80" s="22"/>
      <c r="M80" s="47">
        <f>I70*75%</f>
        <v>1.5</v>
      </c>
    </row>
    <row r="81" spans="1:13" ht="15.75" x14ac:dyDescent="0.25">
      <c r="A81" s="70" t="s">
        <v>211</v>
      </c>
      <c r="B81" s="71" t="s">
        <v>211</v>
      </c>
      <c r="C81" s="45">
        <v>0</v>
      </c>
      <c r="D81" s="66">
        <f>((100/(I70))*C81)/100</f>
        <v>0</v>
      </c>
      <c r="E81" s="66"/>
      <c r="F81" s="66"/>
      <c r="G81" s="66"/>
      <c r="H81" s="66"/>
      <c r="I81" s="66"/>
      <c r="J81" s="68"/>
      <c r="K81" s="40" t="s">
        <v>179</v>
      </c>
      <c r="L81" s="22"/>
      <c r="M81" s="47">
        <f>I70</f>
        <v>2</v>
      </c>
    </row>
    <row r="82" spans="1:13" ht="16.5" thickBot="1" x14ac:dyDescent="0.3">
      <c r="A82" s="72" t="s">
        <v>212</v>
      </c>
      <c r="B82" s="73"/>
      <c r="C82" s="48">
        <v>0</v>
      </c>
      <c r="D82" s="67">
        <f>((100/(I70))*C82)/100</f>
        <v>0</v>
      </c>
      <c r="E82" s="67"/>
      <c r="F82" s="67"/>
      <c r="G82" s="67"/>
      <c r="H82" s="67"/>
      <c r="I82" s="67"/>
      <c r="J82" s="69"/>
      <c r="K82" s="49"/>
      <c r="L82" s="49"/>
      <c r="M82" s="50"/>
    </row>
    <row r="83" spans="1:13" ht="15.75" x14ac:dyDescent="0.25">
      <c r="A83" s="74" t="s">
        <v>223</v>
      </c>
      <c r="B83" s="75"/>
      <c r="C83" s="75"/>
      <c r="D83" s="75"/>
      <c r="E83" s="75"/>
      <c r="F83" s="75"/>
      <c r="G83" s="75"/>
      <c r="H83" s="75"/>
      <c r="I83" s="75"/>
      <c r="J83" s="76"/>
      <c r="K83" s="38" t="str">
        <f>(IF(C87=0,"Work not yet Started.",IF(D87=50%,"Excavation work in process",IF(D87=100%,"Excavation work completed, ","0")))&amp;(IF(C88=0%,"",IF(D88=25%,"Footing work is process",IF(D88=50%,"Footing work Completed",IF(D88=75%,"Plinth work is process",IF(D88=100%,"Plinth work completed","0"))))))&amp;(IF(C89&gt;0,", RCC upto "&amp;C89&amp;" Slab completed",""))&amp;(IF(C90&gt;0,", Brickwork upto "&amp;C90&amp;" Floor completed"," "))&amp;(IF(C91&gt;0,", Internal Plaster upto "&amp;C91&amp;" Floor completed"," "))&amp;(IF(C92&gt;0,", External Plaster upto "&amp;C92&amp;" Floor completed"," "))&amp;(IF(C93&gt;0,", Flooring upto "&amp;C93&amp;" Floor completed"," "))&amp;(IF(C94&gt;0,", Painting upto "&amp;C94&amp;" Floor completed"," "))&amp;(IF(C95&gt;0,", Finishing upto "&amp;C95&amp;" Floor completed"," ")))</f>
        <v>Excavation work completed, Plinth work completed, RCC upto 4 Slab completed, Brickwork upto 3 Floor completed, Internal Plaster upto 3 Floor completed, External Plaster upto 3 Floor completed, Flooring upto 3 Floor completed, Painting upto 3 Floor completed, Finishing upto 1.5 Floor completed</v>
      </c>
      <c r="L83" s="38"/>
      <c r="M83" s="43"/>
    </row>
    <row r="84" spans="1:13" ht="15.75" x14ac:dyDescent="0.25">
      <c r="A84" s="64" t="s">
        <v>135</v>
      </c>
      <c r="B84" s="65"/>
      <c r="C84" s="41">
        <v>1</v>
      </c>
      <c r="D84" s="65" t="s">
        <v>193</v>
      </c>
      <c r="E84" s="65"/>
      <c r="F84" s="65">
        <v>0</v>
      </c>
      <c r="G84" s="65"/>
      <c r="H84" s="41" t="s">
        <v>194</v>
      </c>
      <c r="I84" s="65">
        <v>3</v>
      </c>
      <c r="J84" s="77"/>
      <c r="K84" s="39" t="s">
        <v>195</v>
      </c>
      <c r="L84" s="39"/>
      <c r="M84" s="44"/>
    </row>
    <row r="85" spans="1:13" ht="66.75" customHeight="1" x14ac:dyDescent="0.25">
      <c r="A85" s="78" t="s">
        <v>196</v>
      </c>
      <c r="B85" s="79"/>
      <c r="C85" s="80" t="str">
        <f>K83</f>
        <v>Excavation work completed, Plinth work completed, RCC upto 4 Slab completed, Brickwork upto 3 Floor completed, Internal Plaster upto 3 Floor completed, External Plaster upto 3 Floor completed, Flooring upto 3 Floor completed, Painting upto 3 Floor completed, Finishing upto 1.5 Floor completed</v>
      </c>
      <c r="D85" s="81"/>
      <c r="E85" s="81"/>
      <c r="F85" s="81"/>
      <c r="G85" s="81"/>
      <c r="H85" s="81"/>
      <c r="I85" s="81"/>
      <c r="J85" s="82"/>
      <c r="K85" s="39" t="s">
        <v>197</v>
      </c>
      <c r="L85" s="39"/>
      <c r="M85" s="44"/>
    </row>
    <row r="86" spans="1:13" ht="15.75" x14ac:dyDescent="0.25">
      <c r="A86" s="64" t="s">
        <v>33</v>
      </c>
      <c r="B86" s="65"/>
      <c r="C86" s="42" t="s">
        <v>198</v>
      </c>
      <c r="D86" s="71" t="s">
        <v>199</v>
      </c>
      <c r="E86" s="71"/>
      <c r="F86" s="71" t="s">
        <v>200</v>
      </c>
      <c r="G86" s="71"/>
      <c r="H86" s="71" t="s">
        <v>201</v>
      </c>
      <c r="I86" s="71"/>
      <c r="J86" s="83"/>
      <c r="K86" s="39" t="s">
        <v>202</v>
      </c>
      <c r="L86" s="19"/>
      <c r="M86" s="20"/>
    </row>
    <row r="87" spans="1:13" ht="15.75" x14ac:dyDescent="0.25">
      <c r="A87" s="64" t="s">
        <v>203</v>
      </c>
      <c r="B87" s="65"/>
      <c r="C87" s="45">
        <f>M90</f>
        <v>3</v>
      </c>
      <c r="D87" s="66">
        <f>((100/I84)*C87)/100</f>
        <v>1</v>
      </c>
      <c r="E87" s="66"/>
      <c r="F87" s="66">
        <f>(IF(C85=K85,"100%",IF(C85=K86,"100%",(((C88/I84*10)+(40/(C84+F84+I84)*C89)+(7.5/(I84)*C90)+(7.5/(I84)*C91)+(10/I84*C92)+(10/I84*C93)+(5/I84*C94)+(5/I84*C95)+(5/I84*C96))/100))))</f>
        <v>0.92500000000000004</v>
      </c>
      <c r="G87" s="66"/>
      <c r="H87" s="66">
        <f>((((C87/I84)*20)+((C88/I84)*25)+(30/(I84+F84+C84)*C89)+(5/I84*C90)+(5/I84*C91)+(5/I84*C92)+(5/I84*C93)+(0/I84*C94)+(0/I84*C95)+(5/I84*C96))/100)</f>
        <v>0.95</v>
      </c>
      <c r="I87" s="66"/>
      <c r="J87" s="68"/>
      <c r="K87" s="39"/>
      <c r="L87" s="19"/>
      <c r="M87" s="20"/>
    </row>
    <row r="88" spans="1:13" ht="15.75" x14ac:dyDescent="0.25">
      <c r="A88" s="64" t="s">
        <v>34</v>
      </c>
      <c r="B88" s="65"/>
      <c r="C88" s="45">
        <f>M95</f>
        <v>3</v>
      </c>
      <c r="D88" s="66">
        <f>((100/I84)*C88)/100</f>
        <v>1</v>
      </c>
      <c r="E88" s="66"/>
      <c r="F88" s="66"/>
      <c r="G88" s="66"/>
      <c r="H88" s="66"/>
      <c r="I88" s="66"/>
      <c r="J88" s="68"/>
      <c r="K88" s="19"/>
      <c r="L88" s="19"/>
      <c r="M88" s="20"/>
    </row>
    <row r="89" spans="1:13" ht="15.75" x14ac:dyDescent="0.25">
      <c r="A89" s="64" t="s">
        <v>35</v>
      </c>
      <c r="B89" s="65"/>
      <c r="C89" s="46">
        <v>4</v>
      </c>
      <c r="D89" s="66">
        <f>((100/(C84+F84+I84))*C89)/100</f>
        <v>1</v>
      </c>
      <c r="E89" s="66"/>
      <c r="F89" s="66"/>
      <c r="G89" s="66"/>
      <c r="H89" s="66"/>
      <c r="I89" s="66"/>
      <c r="J89" s="68"/>
      <c r="K89" s="40" t="s">
        <v>174</v>
      </c>
      <c r="L89" s="22"/>
      <c r="M89" s="47">
        <f>I84*50%</f>
        <v>1.5</v>
      </c>
    </row>
    <row r="90" spans="1:13" ht="15.75" x14ac:dyDescent="0.25">
      <c r="A90" s="64" t="s">
        <v>204</v>
      </c>
      <c r="B90" s="65" t="s">
        <v>205</v>
      </c>
      <c r="C90" s="45">
        <v>3</v>
      </c>
      <c r="D90" s="66">
        <f>((100/I84)*C90)/100</f>
        <v>1</v>
      </c>
      <c r="E90" s="66"/>
      <c r="F90" s="66"/>
      <c r="G90" s="66"/>
      <c r="H90" s="66"/>
      <c r="I90" s="66"/>
      <c r="J90" s="68"/>
      <c r="K90" s="40" t="s">
        <v>175</v>
      </c>
      <c r="L90" s="22"/>
      <c r="M90" s="47">
        <f>I84</f>
        <v>3</v>
      </c>
    </row>
    <row r="91" spans="1:13" ht="15.75" x14ac:dyDescent="0.25">
      <c r="A91" s="64" t="s">
        <v>206</v>
      </c>
      <c r="B91" s="65" t="s">
        <v>205</v>
      </c>
      <c r="C91" s="46">
        <v>3</v>
      </c>
      <c r="D91" s="66">
        <f>((100/I84)*C91)/100</f>
        <v>1</v>
      </c>
      <c r="E91" s="66"/>
      <c r="F91" s="66"/>
      <c r="G91" s="66"/>
      <c r="H91" s="66"/>
      <c r="I91" s="66"/>
      <c r="J91" s="68"/>
      <c r="K91" s="40"/>
      <c r="L91" s="22"/>
      <c r="M91" s="47"/>
    </row>
    <row r="92" spans="1:13" ht="15.75" x14ac:dyDescent="0.25">
      <c r="A92" s="64" t="s">
        <v>207</v>
      </c>
      <c r="B92" s="65" t="s">
        <v>208</v>
      </c>
      <c r="C92" s="46">
        <v>3</v>
      </c>
      <c r="D92" s="66">
        <f>((100/(I84))*C92)/100</f>
        <v>1</v>
      </c>
      <c r="E92" s="66"/>
      <c r="F92" s="66"/>
      <c r="G92" s="66"/>
      <c r="H92" s="66"/>
      <c r="I92" s="66"/>
      <c r="J92" s="68"/>
      <c r="K92" s="40" t="s">
        <v>176</v>
      </c>
      <c r="L92" s="22"/>
      <c r="M92" s="47">
        <f>I84*25%</f>
        <v>0.75</v>
      </c>
    </row>
    <row r="93" spans="1:13" ht="15.75" x14ac:dyDescent="0.25">
      <c r="A93" s="64" t="s">
        <v>209</v>
      </c>
      <c r="B93" s="65" t="s">
        <v>209</v>
      </c>
      <c r="C93" s="45">
        <v>3</v>
      </c>
      <c r="D93" s="66">
        <f>((100/I84)*C93)/100</f>
        <v>1</v>
      </c>
      <c r="E93" s="66"/>
      <c r="F93" s="66"/>
      <c r="G93" s="66"/>
      <c r="H93" s="66"/>
      <c r="I93" s="66"/>
      <c r="J93" s="68"/>
      <c r="K93" s="40" t="s">
        <v>177</v>
      </c>
      <c r="L93" s="22"/>
      <c r="M93" s="47">
        <f>I84*50%</f>
        <v>1.5</v>
      </c>
    </row>
    <row r="94" spans="1:13" ht="15.75" x14ac:dyDescent="0.25">
      <c r="A94" s="64" t="s">
        <v>210</v>
      </c>
      <c r="B94" s="65"/>
      <c r="C94" s="45">
        <v>3</v>
      </c>
      <c r="D94" s="66">
        <f>((100/I84)*C94)/100</f>
        <v>1</v>
      </c>
      <c r="E94" s="66"/>
      <c r="F94" s="66"/>
      <c r="G94" s="66"/>
      <c r="H94" s="66"/>
      <c r="I94" s="66"/>
      <c r="J94" s="68"/>
      <c r="K94" s="40" t="s">
        <v>178</v>
      </c>
      <c r="L94" s="22"/>
      <c r="M94" s="47">
        <f>I84*75%</f>
        <v>2.25</v>
      </c>
    </row>
    <row r="95" spans="1:13" ht="15.75" x14ac:dyDescent="0.25">
      <c r="A95" s="70" t="s">
        <v>211</v>
      </c>
      <c r="B95" s="71" t="s">
        <v>211</v>
      </c>
      <c r="C95" s="45">
        <v>1.5</v>
      </c>
      <c r="D95" s="66">
        <f>((100/(I84))*C95)/100</f>
        <v>0.5</v>
      </c>
      <c r="E95" s="66"/>
      <c r="F95" s="66"/>
      <c r="G95" s="66"/>
      <c r="H95" s="66"/>
      <c r="I95" s="66"/>
      <c r="J95" s="68"/>
      <c r="K95" s="40" t="s">
        <v>179</v>
      </c>
      <c r="L95" s="22"/>
      <c r="M95" s="47">
        <f>I84</f>
        <v>3</v>
      </c>
    </row>
    <row r="96" spans="1:13" ht="16.5" thickBot="1" x14ac:dyDescent="0.3">
      <c r="A96" s="72" t="s">
        <v>212</v>
      </c>
      <c r="B96" s="73"/>
      <c r="C96" s="48">
        <v>0</v>
      </c>
      <c r="D96" s="67">
        <f>((100/(I84))*C96)/100</f>
        <v>0</v>
      </c>
      <c r="E96" s="67"/>
      <c r="F96" s="67"/>
      <c r="G96" s="67"/>
      <c r="H96" s="67"/>
      <c r="I96" s="67"/>
      <c r="J96" s="69"/>
      <c r="K96" s="49"/>
      <c r="L96" s="49"/>
      <c r="M96" s="50"/>
    </row>
    <row r="97" spans="1:13" ht="15.75" x14ac:dyDescent="0.25">
      <c r="A97" s="74" t="s">
        <v>222</v>
      </c>
      <c r="B97" s="75"/>
      <c r="C97" s="75"/>
      <c r="D97" s="75"/>
      <c r="E97" s="75"/>
      <c r="F97" s="75"/>
      <c r="G97" s="75"/>
      <c r="H97" s="75"/>
      <c r="I97" s="75"/>
      <c r="J97" s="76"/>
      <c r="K97" s="38" t="str">
        <f>(IF(C101=0,"Work not yet Started.",IF(D101=50%,"Excavation work in process",IF(D101=100%,"Excavation work completed, ","0")))&amp;(IF(C102=0%,"",IF(D102=25%,"Footing work is process",IF(D102=50%,"Footing work Completed",IF(D102=75%,"Plinth work is process",IF(D102=100%,"Plinth work completed","0"))))))&amp;(IF(C103&gt;0,", RCC upto "&amp;C103&amp;" Slab completed",""))&amp;(IF(C104&gt;0,", Brickwork upto "&amp;C104&amp;" Floor completed"," "))&amp;(IF(C105&gt;0,", Internal Plaster upto "&amp;C105&amp;" Floor completed"," "))&amp;(IF(C106&gt;0,", External Plaster upto "&amp;C106&amp;" Floor completed"," "))&amp;(IF(C107&gt;0,", Flooring upto "&amp;C107&amp;" Floor completed"," "))&amp;(IF(C108&gt;0,", Painting upto "&amp;C108&amp;" Floor completed"," "))&amp;(IF(C109&gt;0,", Finishing upto "&amp;C109&amp;" Floor completed"," ")))</f>
        <v>Excavation work completed, Plinth work completed, RCC upto 4 Slab completed, Brickwork upto 3 Floor completed, Internal Plaster upto 3 Floor completed, External Plaster upto 3 Floor completed, Flooring upto 3 Floor completed, Painting upto 2 Floor completed, Finishing upto 0.5 Floor completed</v>
      </c>
      <c r="L97" s="38"/>
      <c r="M97" s="43"/>
    </row>
    <row r="98" spans="1:13" ht="15.75" x14ac:dyDescent="0.25">
      <c r="A98" s="64" t="s">
        <v>135</v>
      </c>
      <c r="B98" s="65"/>
      <c r="C98" s="41">
        <v>1</v>
      </c>
      <c r="D98" s="65" t="s">
        <v>193</v>
      </c>
      <c r="E98" s="65"/>
      <c r="F98" s="65">
        <v>0</v>
      </c>
      <c r="G98" s="65"/>
      <c r="H98" s="41" t="s">
        <v>194</v>
      </c>
      <c r="I98" s="65">
        <v>3</v>
      </c>
      <c r="J98" s="77"/>
      <c r="K98" s="39" t="s">
        <v>195</v>
      </c>
      <c r="L98" s="39"/>
      <c r="M98" s="44"/>
    </row>
    <row r="99" spans="1:13" ht="64.5" customHeight="1" x14ac:dyDescent="0.25">
      <c r="A99" s="78" t="s">
        <v>196</v>
      </c>
      <c r="B99" s="79"/>
      <c r="C99" s="80" t="str">
        <f>K97</f>
        <v>Excavation work completed, Plinth work completed, RCC upto 4 Slab completed, Brickwork upto 3 Floor completed, Internal Plaster upto 3 Floor completed, External Plaster upto 3 Floor completed, Flooring upto 3 Floor completed, Painting upto 2 Floor completed, Finishing upto 0.5 Floor completed</v>
      </c>
      <c r="D99" s="81"/>
      <c r="E99" s="81"/>
      <c r="F99" s="81"/>
      <c r="G99" s="81"/>
      <c r="H99" s="81"/>
      <c r="I99" s="81"/>
      <c r="J99" s="82"/>
      <c r="K99" s="39" t="s">
        <v>197</v>
      </c>
      <c r="L99" s="39"/>
      <c r="M99" s="44"/>
    </row>
    <row r="100" spans="1:13" ht="15.75" x14ac:dyDescent="0.25">
      <c r="A100" s="64" t="s">
        <v>33</v>
      </c>
      <c r="B100" s="65"/>
      <c r="C100" s="42" t="s">
        <v>198</v>
      </c>
      <c r="D100" s="71" t="s">
        <v>199</v>
      </c>
      <c r="E100" s="71"/>
      <c r="F100" s="71" t="s">
        <v>200</v>
      </c>
      <c r="G100" s="71"/>
      <c r="H100" s="71" t="s">
        <v>201</v>
      </c>
      <c r="I100" s="71"/>
      <c r="J100" s="83"/>
      <c r="K100" s="39" t="s">
        <v>202</v>
      </c>
      <c r="L100" s="19"/>
      <c r="M100" s="20"/>
    </row>
    <row r="101" spans="1:13" ht="15.75" x14ac:dyDescent="0.25">
      <c r="A101" s="64" t="s">
        <v>203</v>
      </c>
      <c r="B101" s="65"/>
      <c r="C101" s="45">
        <f>M104</f>
        <v>3</v>
      </c>
      <c r="D101" s="66">
        <f>((100/I98)*C101)/100</f>
        <v>1</v>
      </c>
      <c r="E101" s="66"/>
      <c r="F101" s="66">
        <f>(IF(C99=K99,"100%",IF(C99=K100,"100%",(((C102/I98*10)+(40/(C98+F98+I98)*C103)+(7.5/(I98)*C104)+(7.5/(I98)*C105)+(10/I98*C106)+(10/I98*C107)+(5/I98*C108)+(5/I98*C109)+(5/I98*C110))/100))))</f>
        <v>0.89166666666666661</v>
      </c>
      <c r="G101" s="66"/>
      <c r="H101" s="66">
        <f>((((C101/I98)*20)+((C102/I98)*25)+(30/(I98+F98+C98)*C103)+(5/I98*C104)+(5/I98*C105)+(5/I98*C106)+(5/I98*C107)+(0/I98*C108)+(0/I98*C109)+(5/I98*C110))/100)</f>
        <v>0.95</v>
      </c>
      <c r="I101" s="66"/>
      <c r="J101" s="68"/>
      <c r="K101" s="39"/>
      <c r="L101" s="19"/>
      <c r="M101" s="20"/>
    </row>
    <row r="102" spans="1:13" ht="15.75" x14ac:dyDescent="0.25">
      <c r="A102" s="64" t="s">
        <v>34</v>
      </c>
      <c r="B102" s="65"/>
      <c r="C102" s="45">
        <f>M109</f>
        <v>3</v>
      </c>
      <c r="D102" s="66">
        <f>((100/I98)*C102)/100</f>
        <v>1</v>
      </c>
      <c r="E102" s="66"/>
      <c r="F102" s="66"/>
      <c r="G102" s="66"/>
      <c r="H102" s="66"/>
      <c r="I102" s="66"/>
      <c r="J102" s="68"/>
      <c r="K102" s="19"/>
      <c r="L102" s="19"/>
      <c r="M102" s="20"/>
    </row>
    <row r="103" spans="1:13" ht="15.75" x14ac:dyDescent="0.25">
      <c r="A103" s="64" t="s">
        <v>35</v>
      </c>
      <c r="B103" s="65"/>
      <c r="C103" s="46">
        <v>4</v>
      </c>
      <c r="D103" s="66">
        <f>((100/(C98+F98+I98))*C103)/100</f>
        <v>1</v>
      </c>
      <c r="E103" s="66"/>
      <c r="F103" s="66"/>
      <c r="G103" s="66"/>
      <c r="H103" s="66"/>
      <c r="I103" s="66"/>
      <c r="J103" s="68"/>
      <c r="K103" s="40" t="s">
        <v>174</v>
      </c>
      <c r="L103" s="22"/>
      <c r="M103" s="47">
        <f>I98*50%</f>
        <v>1.5</v>
      </c>
    </row>
    <row r="104" spans="1:13" ht="15.75" x14ac:dyDescent="0.25">
      <c r="A104" s="64" t="s">
        <v>204</v>
      </c>
      <c r="B104" s="65" t="s">
        <v>205</v>
      </c>
      <c r="C104" s="45">
        <v>3</v>
      </c>
      <c r="D104" s="66">
        <f>((100/I98)*C104)/100</f>
        <v>1</v>
      </c>
      <c r="E104" s="66"/>
      <c r="F104" s="66"/>
      <c r="G104" s="66"/>
      <c r="H104" s="66"/>
      <c r="I104" s="66"/>
      <c r="J104" s="68"/>
      <c r="K104" s="40" t="s">
        <v>175</v>
      </c>
      <c r="L104" s="22"/>
      <c r="M104" s="47">
        <f>I98</f>
        <v>3</v>
      </c>
    </row>
    <row r="105" spans="1:13" ht="15.75" x14ac:dyDescent="0.25">
      <c r="A105" s="64" t="s">
        <v>206</v>
      </c>
      <c r="B105" s="65" t="s">
        <v>205</v>
      </c>
      <c r="C105" s="46">
        <v>3</v>
      </c>
      <c r="D105" s="66">
        <f>((100/I98)*C105)/100</f>
        <v>1</v>
      </c>
      <c r="E105" s="66"/>
      <c r="F105" s="66"/>
      <c r="G105" s="66"/>
      <c r="H105" s="66"/>
      <c r="I105" s="66"/>
      <c r="J105" s="68"/>
      <c r="K105" s="40"/>
      <c r="L105" s="22"/>
      <c r="M105" s="47"/>
    </row>
    <row r="106" spans="1:13" ht="15.75" x14ac:dyDescent="0.25">
      <c r="A106" s="64" t="s">
        <v>207</v>
      </c>
      <c r="B106" s="65" t="s">
        <v>208</v>
      </c>
      <c r="C106" s="46">
        <v>3</v>
      </c>
      <c r="D106" s="66">
        <f>((100/(I98))*C106)/100</f>
        <v>1</v>
      </c>
      <c r="E106" s="66"/>
      <c r="F106" s="66"/>
      <c r="G106" s="66"/>
      <c r="H106" s="66"/>
      <c r="I106" s="66"/>
      <c r="J106" s="68"/>
      <c r="K106" s="40" t="s">
        <v>176</v>
      </c>
      <c r="L106" s="22"/>
      <c r="M106" s="47">
        <f>I98*25%</f>
        <v>0.75</v>
      </c>
    </row>
    <row r="107" spans="1:13" ht="15.75" x14ac:dyDescent="0.25">
      <c r="A107" s="64" t="s">
        <v>209</v>
      </c>
      <c r="B107" s="65" t="s">
        <v>209</v>
      </c>
      <c r="C107" s="45">
        <v>3</v>
      </c>
      <c r="D107" s="66">
        <f>((100/I98)*C107)/100</f>
        <v>1</v>
      </c>
      <c r="E107" s="66"/>
      <c r="F107" s="66"/>
      <c r="G107" s="66"/>
      <c r="H107" s="66"/>
      <c r="I107" s="66"/>
      <c r="J107" s="68"/>
      <c r="K107" s="40" t="s">
        <v>177</v>
      </c>
      <c r="L107" s="22"/>
      <c r="M107" s="47">
        <f>I98*50%</f>
        <v>1.5</v>
      </c>
    </row>
    <row r="108" spans="1:13" ht="15.75" x14ac:dyDescent="0.25">
      <c r="A108" s="64" t="s">
        <v>210</v>
      </c>
      <c r="B108" s="65"/>
      <c r="C108" s="45">
        <v>2</v>
      </c>
      <c r="D108" s="66">
        <f>((100/I98)*C108)/100</f>
        <v>0.66666666666666674</v>
      </c>
      <c r="E108" s="66"/>
      <c r="F108" s="66"/>
      <c r="G108" s="66"/>
      <c r="H108" s="66"/>
      <c r="I108" s="66"/>
      <c r="J108" s="68"/>
      <c r="K108" s="40" t="s">
        <v>178</v>
      </c>
      <c r="L108" s="22"/>
      <c r="M108" s="47">
        <f>I98*75%</f>
        <v>2.25</v>
      </c>
    </row>
    <row r="109" spans="1:13" ht="15.75" x14ac:dyDescent="0.25">
      <c r="A109" s="70" t="s">
        <v>211</v>
      </c>
      <c r="B109" s="71" t="s">
        <v>211</v>
      </c>
      <c r="C109" s="45">
        <v>0.5</v>
      </c>
      <c r="D109" s="66">
        <f>((100/(I98))*C109)/100</f>
        <v>0.16666666666666669</v>
      </c>
      <c r="E109" s="66"/>
      <c r="F109" s="66"/>
      <c r="G109" s="66"/>
      <c r="H109" s="66"/>
      <c r="I109" s="66"/>
      <c r="J109" s="68"/>
      <c r="K109" s="40" t="s">
        <v>179</v>
      </c>
      <c r="L109" s="22"/>
      <c r="M109" s="47">
        <f>I98</f>
        <v>3</v>
      </c>
    </row>
    <row r="110" spans="1:13" ht="16.5" thickBot="1" x14ac:dyDescent="0.3">
      <c r="A110" s="72" t="s">
        <v>212</v>
      </c>
      <c r="B110" s="73"/>
      <c r="C110" s="48">
        <v>0</v>
      </c>
      <c r="D110" s="67">
        <f>((100/(I98))*C110)/100</f>
        <v>0</v>
      </c>
      <c r="E110" s="67"/>
      <c r="F110" s="67"/>
      <c r="G110" s="67"/>
      <c r="H110" s="67"/>
      <c r="I110" s="67"/>
      <c r="J110" s="69"/>
      <c r="K110" s="49"/>
      <c r="L110" s="49"/>
      <c r="M110" s="50"/>
    </row>
    <row r="111" spans="1:13" x14ac:dyDescent="0.25">
      <c r="A111" s="58" t="s">
        <v>50</v>
      </c>
      <c r="B111" s="86"/>
      <c r="C111" s="86"/>
      <c r="D111" s="86"/>
      <c r="E111" s="86"/>
      <c r="F111" s="86"/>
      <c r="G111" s="86"/>
      <c r="H111" s="86"/>
      <c r="I111" s="86"/>
      <c r="J111" s="85"/>
    </row>
    <row r="112" spans="1:13" x14ac:dyDescent="0.25">
      <c r="A112" s="58" t="s">
        <v>44</v>
      </c>
      <c r="B112" s="86"/>
      <c r="C112" s="86"/>
      <c r="D112" s="86"/>
      <c r="E112" s="86"/>
      <c r="F112" s="86"/>
      <c r="G112" s="86"/>
      <c r="H112" s="86"/>
      <c r="I112" s="86"/>
      <c r="J112" s="85"/>
    </row>
    <row r="113" spans="1:10" ht="15" hidden="1" customHeight="1" x14ac:dyDescent="0.25">
      <c r="A113" s="152" t="s">
        <v>169</v>
      </c>
      <c r="B113" s="153"/>
      <c r="C113" s="153"/>
      <c r="D113" s="153"/>
      <c r="E113" s="153"/>
      <c r="F113" s="153"/>
      <c r="G113" s="153"/>
      <c r="H113" s="153"/>
      <c r="I113" s="153"/>
      <c r="J113" s="154"/>
    </row>
    <row r="114" spans="1:10" ht="15" hidden="1" customHeight="1" x14ac:dyDescent="0.25">
      <c r="A114" s="155"/>
      <c r="B114" s="156"/>
      <c r="C114" s="156"/>
      <c r="D114" s="156"/>
      <c r="E114" s="156"/>
      <c r="F114" s="156"/>
      <c r="G114" s="156"/>
      <c r="H114" s="156"/>
      <c r="I114" s="156"/>
      <c r="J114" s="157"/>
    </row>
    <row r="115" spans="1:10" ht="15" hidden="1" customHeight="1" x14ac:dyDescent="0.25">
      <c r="A115" s="155"/>
      <c r="B115" s="156"/>
      <c r="C115" s="156"/>
      <c r="D115" s="156"/>
      <c r="E115" s="156"/>
      <c r="F115" s="156"/>
      <c r="G115" s="156"/>
      <c r="H115" s="156"/>
      <c r="I115" s="156"/>
      <c r="J115" s="157"/>
    </row>
    <row r="116" spans="1:10" ht="15" hidden="1" customHeight="1" x14ac:dyDescent="0.25">
      <c r="A116" s="155"/>
      <c r="B116" s="156"/>
      <c r="C116" s="156"/>
      <c r="D116" s="156"/>
      <c r="E116" s="156"/>
      <c r="F116" s="156"/>
      <c r="G116" s="156"/>
      <c r="H116" s="156"/>
      <c r="I116" s="156"/>
      <c r="J116" s="157"/>
    </row>
    <row r="117" spans="1:10" ht="15" hidden="1" customHeight="1" x14ac:dyDescent="0.25">
      <c r="A117" s="158"/>
      <c r="B117" s="159"/>
      <c r="C117" s="159"/>
      <c r="D117" s="159"/>
      <c r="E117" s="159"/>
      <c r="F117" s="159"/>
      <c r="G117" s="159"/>
      <c r="H117" s="159"/>
      <c r="I117" s="159"/>
      <c r="J117" s="160"/>
    </row>
    <row r="118" spans="1:10" x14ac:dyDescent="0.25">
      <c r="A118" s="146" t="s">
        <v>23</v>
      </c>
      <c r="B118" s="147"/>
      <c r="C118" s="147"/>
      <c r="D118" s="147"/>
      <c r="E118" s="147"/>
      <c r="F118" s="147"/>
      <c r="G118" s="147"/>
      <c r="H118" s="147"/>
      <c r="I118" s="147"/>
      <c r="J118" s="148"/>
    </row>
    <row r="119" spans="1:10" x14ac:dyDescent="0.25">
      <c r="A119" s="58" t="s">
        <v>134</v>
      </c>
      <c r="B119" s="59"/>
      <c r="C119" s="59"/>
      <c r="D119" s="59"/>
      <c r="E119" s="59"/>
      <c r="F119" s="60"/>
      <c r="G119" s="61">
        <v>3500</v>
      </c>
      <c r="H119" s="62"/>
      <c r="I119" s="62"/>
      <c r="J119" s="63"/>
    </row>
    <row r="120" spans="1:10" x14ac:dyDescent="0.25">
      <c r="A120" s="58" t="s">
        <v>224</v>
      </c>
      <c r="B120" s="59"/>
      <c r="C120" s="59"/>
      <c r="D120" s="59"/>
      <c r="E120" s="59"/>
      <c r="F120" s="60"/>
      <c r="G120" s="61">
        <v>6500</v>
      </c>
      <c r="H120" s="62"/>
      <c r="I120" s="62"/>
      <c r="J120" s="63"/>
    </row>
    <row r="121" spans="1:10" x14ac:dyDescent="0.25">
      <c r="A121" s="58" t="s">
        <v>67</v>
      </c>
      <c r="B121" s="86"/>
      <c r="C121" s="86"/>
      <c r="D121" s="86"/>
      <c r="E121" s="86"/>
      <c r="F121" s="85"/>
      <c r="G121" s="103" t="s">
        <v>150</v>
      </c>
      <c r="H121" s="104"/>
      <c r="I121" s="104"/>
      <c r="J121" s="105"/>
    </row>
    <row r="122" spans="1:10" x14ac:dyDescent="0.25">
      <c r="A122" s="58" t="s">
        <v>89</v>
      </c>
      <c r="B122" s="59"/>
      <c r="C122" s="59"/>
      <c r="D122" s="59"/>
      <c r="E122" s="59"/>
      <c r="F122" s="60"/>
      <c r="G122" s="103" t="s">
        <v>168</v>
      </c>
      <c r="H122" s="104"/>
      <c r="I122" s="104"/>
      <c r="J122" s="105"/>
    </row>
    <row r="123" spans="1:10" ht="15" customHeight="1" x14ac:dyDescent="0.25">
      <c r="A123" s="58" t="s">
        <v>218</v>
      </c>
      <c r="B123" s="86"/>
      <c r="C123" s="86"/>
      <c r="D123" s="86"/>
      <c r="E123" s="86"/>
      <c r="F123" s="85"/>
      <c r="G123" s="103" t="s">
        <v>149</v>
      </c>
      <c r="H123" s="104"/>
      <c r="I123" s="104"/>
      <c r="J123" s="105"/>
    </row>
    <row r="124" spans="1:10" s="51" customFormat="1" ht="14.45" customHeight="1" x14ac:dyDescent="0.25">
      <c r="A124" s="119" t="s">
        <v>97</v>
      </c>
      <c r="B124" s="147"/>
      <c r="C124" s="147"/>
      <c r="D124" s="147"/>
      <c r="E124" s="147"/>
      <c r="F124" s="148"/>
      <c r="G124" s="58">
        <f>G119*0.8</f>
        <v>2800</v>
      </c>
      <c r="H124" s="86"/>
      <c r="I124" s="86"/>
      <c r="J124" s="85"/>
    </row>
    <row r="125" spans="1:10" s="51" customFormat="1" ht="21" customHeight="1" x14ac:dyDescent="0.25">
      <c r="A125" s="171" t="s">
        <v>98</v>
      </c>
      <c r="B125" s="172"/>
      <c r="C125" s="172"/>
      <c r="D125" s="172"/>
      <c r="E125" s="172"/>
      <c r="F125" s="172"/>
      <c r="G125" s="172"/>
      <c r="H125" s="172"/>
      <c r="I125" s="172"/>
      <c r="J125" s="173"/>
    </row>
    <row r="126" spans="1:10" x14ac:dyDescent="0.25">
      <c r="A126" s="89" t="s">
        <v>42</v>
      </c>
      <c r="B126" s="90"/>
      <c r="C126" s="90"/>
      <c r="D126" s="90"/>
      <c r="E126" s="90"/>
      <c r="F126" s="90"/>
      <c r="G126" s="90"/>
      <c r="H126" s="90"/>
      <c r="I126" s="90"/>
      <c r="J126" s="91"/>
    </row>
    <row r="127" spans="1:10" ht="31.5" x14ac:dyDescent="0.25">
      <c r="A127" s="136" t="s">
        <v>31</v>
      </c>
      <c r="B127" s="137"/>
      <c r="C127" s="2" t="s">
        <v>28</v>
      </c>
      <c r="D127" s="174" t="s">
        <v>128</v>
      </c>
      <c r="E127" s="175"/>
      <c r="F127" s="9" t="s">
        <v>29</v>
      </c>
      <c r="G127" s="2" t="s">
        <v>127</v>
      </c>
      <c r="H127" s="2" t="s">
        <v>30</v>
      </c>
      <c r="I127" s="136" t="s">
        <v>99</v>
      </c>
      <c r="J127" s="137"/>
    </row>
    <row r="128" spans="1:10" ht="15.75" x14ac:dyDescent="0.25">
      <c r="A128" s="168" t="s">
        <v>151</v>
      </c>
      <c r="B128" s="169"/>
      <c r="C128" s="169"/>
      <c r="D128" s="169"/>
      <c r="E128" s="169"/>
      <c r="F128" s="169"/>
      <c r="G128" s="169"/>
      <c r="H128" s="169"/>
      <c r="I128" s="169"/>
      <c r="J128" s="170"/>
    </row>
    <row r="129" spans="1:13" ht="15.75" x14ac:dyDescent="0.25">
      <c r="A129" s="168" t="s">
        <v>152</v>
      </c>
      <c r="B129" s="169"/>
      <c r="C129" s="169"/>
      <c r="D129" s="169"/>
      <c r="E129" s="169"/>
      <c r="F129" s="169"/>
      <c r="G129" s="169"/>
      <c r="H129" s="169"/>
      <c r="I129" s="169"/>
      <c r="J129" s="170"/>
    </row>
    <row r="130" spans="1:13" ht="15.75" x14ac:dyDescent="0.25">
      <c r="A130" s="138">
        <v>1</v>
      </c>
      <c r="B130" s="139"/>
      <c r="C130" s="8" t="s">
        <v>136</v>
      </c>
      <c r="D130" s="138">
        <f>(29.08)*10.764</f>
        <v>313.01711999999998</v>
      </c>
      <c r="E130" s="139"/>
      <c r="F130" s="8">
        <v>0</v>
      </c>
      <c r="G130" s="8">
        <f>D130*1.45+F130</f>
        <v>453.87482399999993</v>
      </c>
      <c r="H130" s="8" t="s">
        <v>125</v>
      </c>
      <c r="I130" s="144" t="s">
        <v>135</v>
      </c>
      <c r="J130" s="145"/>
    </row>
    <row r="131" spans="1:13" ht="15.75" x14ac:dyDescent="0.25">
      <c r="A131" s="138">
        <v>2</v>
      </c>
      <c r="B131" s="139"/>
      <c r="C131" s="8" t="s">
        <v>136</v>
      </c>
      <c r="D131" s="138">
        <f>(29.08)*10.764</f>
        <v>313.01711999999998</v>
      </c>
      <c r="E131" s="139"/>
      <c r="F131" s="8">
        <v>0</v>
      </c>
      <c r="G131" s="8">
        <f>D131*1.45+F131</f>
        <v>453.87482399999993</v>
      </c>
      <c r="H131" s="8" t="s">
        <v>125</v>
      </c>
      <c r="I131" s="176"/>
      <c r="J131" s="177"/>
    </row>
    <row r="132" spans="1:13" ht="15.75" x14ac:dyDescent="0.25">
      <c r="A132" s="138">
        <v>3</v>
      </c>
      <c r="B132" s="139"/>
      <c r="C132" s="8" t="s">
        <v>153</v>
      </c>
      <c r="D132" s="138">
        <f>(26.33)*10.764</f>
        <v>283.41611999999998</v>
      </c>
      <c r="E132" s="139"/>
      <c r="F132" s="8">
        <v>0</v>
      </c>
      <c r="G132" s="8">
        <f>D132*1.45+F132</f>
        <v>410.95337399999994</v>
      </c>
      <c r="H132" s="8" t="s">
        <v>125</v>
      </c>
      <c r="I132" s="176"/>
      <c r="J132" s="177"/>
    </row>
    <row r="133" spans="1:13" ht="15.75" x14ac:dyDescent="0.25">
      <c r="A133" s="144">
        <v>4</v>
      </c>
      <c r="B133" s="145"/>
      <c r="C133" s="17" t="s">
        <v>153</v>
      </c>
      <c r="D133" s="144">
        <f>(19.51)*10.764</f>
        <v>210.00564</v>
      </c>
      <c r="E133" s="145"/>
      <c r="F133" s="17">
        <v>0</v>
      </c>
      <c r="G133" s="17">
        <f>D133*1.45+F133</f>
        <v>304.50817799999999</v>
      </c>
      <c r="H133" s="17" t="s">
        <v>125</v>
      </c>
      <c r="I133" s="176"/>
      <c r="J133" s="177"/>
    </row>
    <row r="134" spans="1:13" ht="15.75" x14ac:dyDescent="0.25">
      <c r="A134" s="178" t="s">
        <v>154</v>
      </c>
      <c r="B134" s="179"/>
      <c r="C134" s="179"/>
      <c r="D134" s="179"/>
      <c r="E134" s="179"/>
      <c r="F134" s="179"/>
      <c r="G134" s="179"/>
      <c r="H134" s="179"/>
      <c r="I134" s="179"/>
      <c r="J134" s="180"/>
    </row>
    <row r="135" spans="1:13" ht="15.75" x14ac:dyDescent="0.25">
      <c r="A135" s="138">
        <v>1</v>
      </c>
      <c r="B135" s="139"/>
      <c r="C135" s="8" t="s">
        <v>136</v>
      </c>
      <c r="D135" s="138">
        <f>(29.38)*10.764</f>
        <v>316.24631999999997</v>
      </c>
      <c r="E135" s="139"/>
      <c r="F135" s="8">
        <v>0</v>
      </c>
      <c r="G135" s="8">
        <f>D135*1.45+F135</f>
        <v>458.55716399999994</v>
      </c>
      <c r="H135" s="8" t="s">
        <v>125</v>
      </c>
      <c r="I135" s="144" t="s">
        <v>155</v>
      </c>
      <c r="J135" s="145"/>
    </row>
    <row r="136" spans="1:13" ht="15.75" x14ac:dyDescent="0.25">
      <c r="A136" s="138">
        <v>2</v>
      </c>
      <c r="B136" s="139"/>
      <c r="C136" s="8" t="s">
        <v>136</v>
      </c>
      <c r="D136" s="138">
        <f>(29.38)*10.764</f>
        <v>316.24631999999997</v>
      </c>
      <c r="E136" s="139"/>
      <c r="F136" s="8">
        <v>0</v>
      </c>
      <c r="G136" s="8">
        <f>D136*1.45+F136</f>
        <v>458.55716399999994</v>
      </c>
      <c r="H136" s="8" t="s">
        <v>125</v>
      </c>
      <c r="I136" s="176"/>
      <c r="J136" s="177"/>
    </row>
    <row r="137" spans="1:13" ht="15.75" x14ac:dyDescent="0.25">
      <c r="A137" s="138">
        <v>3</v>
      </c>
      <c r="B137" s="139"/>
      <c r="C137" s="8" t="s">
        <v>153</v>
      </c>
      <c r="D137" s="138">
        <f>(26.48)*10.764</f>
        <v>285.03071999999997</v>
      </c>
      <c r="E137" s="139"/>
      <c r="F137" s="8">
        <v>0</v>
      </c>
      <c r="G137" s="8">
        <f>D137*1.45+F137</f>
        <v>413.29454399999997</v>
      </c>
      <c r="H137" s="8" t="s">
        <v>125</v>
      </c>
      <c r="I137" s="176"/>
      <c r="J137" s="177"/>
      <c r="M137" s="52">
        <f>50000*G170</f>
        <v>32752968.299999997</v>
      </c>
    </row>
    <row r="138" spans="1:13" ht="15.75" x14ac:dyDescent="0.25">
      <c r="A138" s="138">
        <v>4</v>
      </c>
      <c r="B138" s="139"/>
      <c r="C138" s="8" t="s">
        <v>153</v>
      </c>
      <c r="D138" s="138">
        <f>(19.88)*10.764</f>
        <v>213.98831999999999</v>
      </c>
      <c r="E138" s="139"/>
      <c r="F138" s="8">
        <v>0</v>
      </c>
      <c r="G138" s="8">
        <f>D138*1.45+F138</f>
        <v>310.28306399999997</v>
      </c>
      <c r="H138" s="8" t="s">
        <v>125</v>
      </c>
      <c r="I138" s="181"/>
      <c r="J138" s="182"/>
    </row>
    <row r="139" spans="1:13" ht="15.75" x14ac:dyDescent="0.25">
      <c r="A139" s="168" t="s">
        <v>156</v>
      </c>
      <c r="B139" s="169"/>
      <c r="C139" s="169"/>
      <c r="D139" s="169"/>
      <c r="E139" s="169"/>
      <c r="F139" s="169"/>
      <c r="G139" s="169"/>
      <c r="H139" s="169"/>
      <c r="I139" s="169"/>
      <c r="J139" s="170"/>
    </row>
    <row r="140" spans="1:13" ht="15.75" x14ac:dyDescent="0.25">
      <c r="A140" s="168" t="s">
        <v>152</v>
      </c>
      <c r="B140" s="169"/>
      <c r="C140" s="169"/>
      <c r="D140" s="169"/>
      <c r="E140" s="169"/>
      <c r="F140" s="169"/>
      <c r="G140" s="169"/>
      <c r="H140" s="169"/>
      <c r="I140" s="169"/>
      <c r="J140" s="170"/>
    </row>
    <row r="141" spans="1:13" ht="15.75" x14ac:dyDescent="0.25">
      <c r="A141" s="138">
        <v>1</v>
      </c>
      <c r="B141" s="139"/>
      <c r="C141" s="8" t="s">
        <v>157</v>
      </c>
      <c r="D141" s="138">
        <f>8.36*10.764</f>
        <v>89.987039999999993</v>
      </c>
      <c r="E141" s="139"/>
      <c r="F141" s="8">
        <v>0</v>
      </c>
      <c r="G141" s="8">
        <f>D141*1.5+F141</f>
        <v>134.98056</v>
      </c>
      <c r="H141" s="8" t="s">
        <v>125</v>
      </c>
      <c r="I141" s="144" t="s">
        <v>135</v>
      </c>
      <c r="J141" s="145"/>
      <c r="M141">
        <f>G141/D141</f>
        <v>1.5</v>
      </c>
    </row>
    <row r="142" spans="1:13" ht="15.75" x14ac:dyDescent="0.25">
      <c r="A142" s="138">
        <v>2</v>
      </c>
      <c r="B142" s="139"/>
      <c r="C142" s="8" t="s">
        <v>157</v>
      </c>
      <c r="D142" s="138">
        <f>8.8*10.764</f>
        <v>94.723200000000006</v>
      </c>
      <c r="E142" s="139"/>
      <c r="F142" s="8">
        <v>0</v>
      </c>
      <c r="G142" s="8">
        <f t="shared" ref="G142:G151" si="0">D142*1.5+F142</f>
        <v>142.0848</v>
      </c>
      <c r="H142" s="8" t="s">
        <v>125</v>
      </c>
      <c r="I142" s="176"/>
      <c r="J142" s="177"/>
    </row>
    <row r="143" spans="1:13" ht="15.75" x14ac:dyDescent="0.25">
      <c r="A143" s="138">
        <v>3</v>
      </c>
      <c r="B143" s="139"/>
      <c r="C143" s="8" t="s">
        <v>157</v>
      </c>
      <c r="D143" s="138">
        <f>8.58*10.764</f>
        <v>92.355119999999999</v>
      </c>
      <c r="E143" s="139"/>
      <c r="F143" s="8">
        <v>0</v>
      </c>
      <c r="G143" s="8">
        <f t="shared" si="0"/>
        <v>138.53268</v>
      </c>
      <c r="H143" s="8" t="s">
        <v>125</v>
      </c>
      <c r="I143" s="176"/>
      <c r="J143" s="177"/>
    </row>
    <row r="144" spans="1:13" ht="15.75" x14ac:dyDescent="0.25">
      <c r="A144" s="144">
        <v>4</v>
      </c>
      <c r="B144" s="145"/>
      <c r="C144" s="8" t="s">
        <v>157</v>
      </c>
      <c r="D144" s="138">
        <f>8.36*10.764</f>
        <v>89.987039999999993</v>
      </c>
      <c r="E144" s="139"/>
      <c r="F144" s="17">
        <v>0</v>
      </c>
      <c r="G144" s="8">
        <f t="shared" si="0"/>
        <v>134.98056</v>
      </c>
      <c r="H144" s="17" t="s">
        <v>125</v>
      </c>
      <c r="I144" s="176"/>
      <c r="J144" s="177"/>
    </row>
    <row r="145" spans="1:10" ht="15.75" x14ac:dyDescent="0.25">
      <c r="A145" s="138">
        <v>5</v>
      </c>
      <c r="B145" s="139"/>
      <c r="C145" s="8" t="s">
        <v>157</v>
      </c>
      <c r="D145" s="138">
        <f>8.8*10.764</f>
        <v>94.723200000000006</v>
      </c>
      <c r="E145" s="139"/>
      <c r="F145" s="8">
        <v>0</v>
      </c>
      <c r="G145" s="8">
        <f t="shared" si="0"/>
        <v>142.0848</v>
      </c>
      <c r="H145" s="8" t="s">
        <v>125</v>
      </c>
      <c r="I145" s="176"/>
      <c r="J145" s="177"/>
    </row>
    <row r="146" spans="1:10" ht="15.75" x14ac:dyDescent="0.25">
      <c r="A146" s="138">
        <v>6</v>
      </c>
      <c r="B146" s="139"/>
      <c r="C146" s="8" t="s">
        <v>157</v>
      </c>
      <c r="D146" s="138">
        <f>8.58*10.764</f>
        <v>92.355119999999999</v>
      </c>
      <c r="E146" s="139"/>
      <c r="F146" s="8">
        <v>0</v>
      </c>
      <c r="G146" s="8">
        <f t="shared" si="0"/>
        <v>138.53268</v>
      </c>
      <c r="H146" s="8" t="s">
        <v>125</v>
      </c>
      <c r="I146" s="176"/>
      <c r="J146" s="177"/>
    </row>
    <row r="147" spans="1:10" ht="15.75" x14ac:dyDescent="0.25">
      <c r="A147" s="138">
        <v>7</v>
      </c>
      <c r="B147" s="139"/>
      <c r="C147" s="8" t="s">
        <v>157</v>
      </c>
      <c r="D147" s="138">
        <f>7.34*10.764</f>
        <v>79.00775999999999</v>
      </c>
      <c r="E147" s="139"/>
      <c r="F147" s="8">
        <v>0</v>
      </c>
      <c r="G147" s="8">
        <f t="shared" si="0"/>
        <v>118.51163999999999</v>
      </c>
      <c r="H147" s="8" t="s">
        <v>125</v>
      </c>
      <c r="I147" s="176"/>
      <c r="J147" s="177"/>
    </row>
    <row r="148" spans="1:10" ht="15.75" x14ac:dyDescent="0.25">
      <c r="A148" s="144">
        <v>8</v>
      </c>
      <c r="B148" s="145"/>
      <c r="C148" s="8" t="s">
        <v>157</v>
      </c>
      <c r="D148" s="138">
        <f>9.53*10.764</f>
        <v>102.58091999999999</v>
      </c>
      <c r="E148" s="139"/>
      <c r="F148" s="17">
        <v>0</v>
      </c>
      <c r="G148" s="8">
        <f t="shared" si="0"/>
        <v>153.87137999999999</v>
      </c>
      <c r="H148" s="17" t="s">
        <v>125</v>
      </c>
      <c r="I148" s="176"/>
      <c r="J148" s="177"/>
    </row>
    <row r="149" spans="1:10" ht="15.75" x14ac:dyDescent="0.25">
      <c r="A149" s="138">
        <v>9</v>
      </c>
      <c r="B149" s="139"/>
      <c r="C149" s="8" t="s">
        <v>157</v>
      </c>
      <c r="D149" s="138">
        <f>9.53*10.764</f>
        <v>102.58091999999999</v>
      </c>
      <c r="E149" s="139"/>
      <c r="F149" s="8">
        <v>0</v>
      </c>
      <c r="G149" s="8">
        <f t="shared" si="0"/>
        <v>153.87137999999999</v>
      </c>
      <c r="H149" s="8" t="s">
        <v>125</v>
      </c>
      <c r="I149" s="176"/>
      <c r="J149" s="177"/>
    </row>
    <row r="150" spans="1:10" ht="15.75" x14ac:dyDescent="0.25">
      <c r="A150" s="144">
        <v>10</v>
      </c>
      <c r="B150" s="145"/>
      <c r="C150" s="8" t="s">
        <v>157</v>
      </c>
      <c r="D150" s="138">
        <f>9.53*10.764</f>
        <v>102.58091999999999</v>
      </c>
      <c r="E150" s="139"/>
      <c r="F150" s="8">
        <v>0</v>
      </c>
      <c r="G150" s="8">
        <f t="shared" si="0"/>
        <v>153.87137999999999</v>
      </c>
      <c r="H150" s="8" t="s">
        <v>125</v>
      </c>
      <c r="I150" s="176"/>
      <c r="J150" s="177"/>
    </row>
    <row r="151" spans="1:10" ht="15.75" x14ac:dyDescent="0.25">
      <c r="A151" s="138">
        <v>11</v>
      </c>
      <c r="B151" s="139"/>
      <c r="C151" s="8" t="s">
        <v>157</v>
      </c>
      <c r="D151" s="138">
        <f>6.97*10.764</f>
        <v>75.025079999999988</v>
      </c>
      <c r="E151" s="139"/>
      <c r="F151" s="8">
        <v>0</v>
      </c>
      <c r="G151" s="8">
        <f t="shared" si="0"/>
        <v>112.53761999999998</v>
      </c>
      <c r="H151" s="8" t="s">
        <v>125</v>
      </c>
      <c r="I151" s="176"/>
      <c r="J151" s="177"/>
    </row>
    <row r="152" spans="1:10" ht="15.75" x14ac:dyDescent="0.25">
      <c r="A152" s="138">
        <v>1</v>
      </c>
      <c r="B152" s="139"/>
      <c r="C152" s="8" t="s">
        <v>136</v>
      </c>
      <c r="D152" s="138">
        <f>(29.96)*10.764</f>
        <v>322.48944</v>
      </c>
      <c r="E152" s="139"/>
      <c r="F152" s="8">
        <v>0</v>
      </c>
      <c r="G152" s="8">
        <f>D152*1.45+F152</f>
        <v>467.60968800000001</v>
      </c>
      <c r="H152" s="8" t="s">
        <v>125</v>
      </c>
      <c r="I152" s="176"/>
      <c r="J152" s="177"/>
    </row>
    <row r="153" spans="1:10" ht="15.75" x14ac:dyDescent="0.25">
      <c r="A153" s="138">
        <v>2</v>
      </c>
      <c r="B153" s="139"/>
      <c r="C153" s="8" t="s">
        <v>153</v>
      </c>
      <c r="D153" s="138">
        <f>(19.48)*10.764</f>
        <v>209.68271999999999</v>
      </c>
      <c r="E153" s="139"/>
      <c r="F153" s="8">
        <v>0</v>
      </c>
      <c r="G153" s="8">
        <f>D153*1.45+F153</f>
        <v>304.03994399999999</v>
      </c>
      <c r="H153" s="8" t="s">
        <v>125</v>
      </c>
      <c r="I153" s="176"/>
      <c r="J153" s="177"/>
    </row>
    <row r="154" spans="1:10" ht="15.75" x14ac:dyDescent="0.25">
      <c r="A154" s="138">
        <v>3</v>
      </c>
      <c r="B154" s="139"/>
      <c r="C154" s="17" t="s">
        <v>153</v>
      </c>
      <c r="D154" s="138">
        <f>(19.48)*10.764</f>
        <v>209.68271999999999</v>
      </c>
      <c r="E154" s="139"/>
      <c r="F154" s="8">
        <v>0</v>
      </c>
      <c r="G154" s="8">
        <f>D154*1.45+F154</f>
        <v>304.03994399999999</v>
      </c>
      <c r="H154" s="8" t="s">
        <v>125</v>
      </c>
      <c r="I154" s="181"/>
      <c r="J154" s="182"/>
    </row>
    <row r="155" spans="1:10" ht="15.75" x14ac:dyDescent="0.25">
      <c r="A155" s="178" t="s">
        <v>154</v>
      </c>
      <c r="B155" s="179"/>
      <c r="C155" s="179"/>
      <c r="D155" s="179"/>
      <c r="E155" s="179"/>
      <c r="F155" s="179"/>
      <c r="G155" s="179"/>
      <c r="H155" s="179"/>
      <c r="I155" s="179"/>
      <c r="J155" s="180"/>
    </row>
    <row r="156" spans="1:10" ht="15.75" x14ac:dyDescent="0.25">
      <c r="A156" s="138">
        <v>1</v>
      </c>
      <c r="B156" s="139"/>
      <c r="C156" s="8" t="s">
        <v>136</v>
      </c>
      <c r="D156" s="138">
        <f>(23.2+6.03)*10.764</f>
        <v>314.63171999999997</v>
      </c>
      <c r="E156" s="139"/>
      <c r="F156" s="8">
        <v>0</v>
      </c>
      <c r="G156" s="8">
        <f t="shared" ref="G156:G161" si="1">D156*1.45+F156</f>
        <v>456.21599399999997</v>
      </c>
      <c r="H156" s="8" t="s">
        <v>125</v>
      </c>
      <c r="I156" s="144" t="s">
        <v>155</v>
      </c>
      <c r="J156" s="145"/>
    </row>
    <row r="157" spans="1:10" ht="15.75" x14ac:dyDescent="0.25">
      <c r="A157" s="138">
        <v>2</v>
      </c>
      <c r="B157" s="139"/>
      <c r="C157" s="8" t="s">
        <v>136</v>
      </c>
      <c r="D157" s="138">
        <f>(23.21+6.17)*10.764</f>
        <v>316.24632000000003</v>
      </c>
      <c r="E157" s="139"/>
      <c r="F157" s="8">
        <v>0</v>
      </c>
      <c r="G157" s="8">
        <f t="shared" si="1"/>
        <v>458.557164</v>
      </c>
      <c r="H157" s="8" t="s">
        <v>125</v>
      </c>
      <c r="I157" s="176"/>
      <c r="J157" s="177"/>
    </row>
    <row r="158" spans="1:10" ht="15.75" x14ac:dyDescent="0.25">
      <c r="A158" s="138">
        <v>3</v>
      </c>
      <c r="B158" s="139"/>
      <c r="C158" s="8" t="s">
        <v>136</v>
      </c>
      <c r="D158" s="138">
        <f>(23.21+3.43)*10.764</f>
        <v>286.75295999999997</v>
      </c>
      <c r="E158" s="139"/>
      <c r="F158" s="8">
        <v>0</v>
      </c>
      <c r="G158" s="8">
        <f t="shared" si="1"/>
        <v>415.79179199999993</v>
      </c>
      <c r="H158" s="8" t="s">
        <v>125</v>
      </c>
      <c r="I158" s="176"/>
      <c r="J158" s="177"/>
    </row>
    <row r="159" spans="1:10" ht="15.75" x14ac:dyDescent="0.25">
      <c r="A159" s="138">
        <v>4</v>
      </c>
      <c r="B159" s="139"/>
      <c r="C159" s="8" t="s">
        <v>153</v>
      </c>
      <c r="D159" s="138">
        <f>18.82*10.764</f>
        <v>202.57847999999998</v>
      </c>
      <c r="E159" s="139"/>
      <c r="F159" s="8">
        <v>0</v>
      </c>
      <c r="G159" s="8">
        <f t="shared" si="1"/>
        <v>293.73879599999998</v>
      </c>
      <c r="H159" s="8" t="s">
        <v>125</v>
      </c>
      <c r="I159" s="176"/>
      <c r="J159" s="177"/>
    </row>
    <row r="160" spans="1:10" ht="15.75" x14ac:dyDescent="0.25">
      <c r="A160" s="138">
        <v>5</v>
      </c>
      <c r="B160" s="139"/>
      <c r="C160" s="8" t="s">
        <v>153</v>
      </c>
      <c r="D160" s="138">
        <f>18.82*10.764</f>
        <v>202.57847999999998</v>
      </c>
      <c r="E160" s="139"/>
      <c r="F160" s="8">
        <v>0</v>
      </c>
      <c r="G160" s="8">
        <f t="shared" si="1"/>
        <v>293.73879599999998</v>
      </c>
      <c r="H160" s="8" t="s">
        <v>125</v>
      </c>
      <c r="I160" s="176"/>
      <c r="J160" s="177"/>
    </row>
    <row r="161" spans="1:11" ht="15.75" x14ac:dyDescent="0.25">
      <c r="A161" s="138">
        <v>6</v>
      </c>
      <c r="B161" s="139"/>
      <c r="C161" s="8" t="s">
        <v>153</v>
      </c>
      <c r="D161" s="138">
        <f>19.68*10.764</f>
        <v>211.83551999999997</v>
      </c>
      <c r="E161" s="139"/>
      <c r="F161" s="8">
        <v>0</v>
      </c>
      <c r="G161" s="8">
        <f t="shared" si="1"/>
        <v>307.16150399999998</v>
      </c>
      <c r="H161" s="8" t="s">
        <v>125</v>
      </c>
      <c r="I161" s="181"/>
      <c r="J161" s="182"/>
    </row>
    <row r="162" spans="1:11" ht="15.75" x14ac:dyDescent="0.25">
      <c r="A162" s="183" t="s">
        <v>158</v>
      </c>
      <c r="B162" s="184"/>
      <c r="C162" s="184"/>
      <c r="D162" s="184"/>
      <c r="E162" s="184"/>
      <c r="F162" s="184"/>
      <c r="G162" s="184"/>
      <c r="H162" s="184"/>
      <c r="I162" s="184"/>
      <c r="J162" s="185"/>
    </row>
    <row r="163" spans="1:11" ht="15.75" x14ac:dyDescent="0.25">
      <c r="A163" s="183" t="s">
        <v>162</v>
      </c>
      <c r="B163" s="184"/>
      <c r="C163" s="184"/>
      <c r="D163" s="184"/>
      <c r="E163" s="184"/>
      <c r="F163" s="184"/>
      <c r="G163" s="184"/>
      <c r="H163" s="184"/>
      <c r="I163" s="184"/>
      <c r="J163" s="185"/>
    </row>
    <row r="164" spans="1:11" ht="15.75" x14ac:dyDescent="0.25">
      <c r="A164" s="168" t="s">
        <v>152</v>
      </c>
      <c r="B164" s="169"/>
      <c r="C164" s="169"/>
      <c r="D164" s="169"/>
      <c r="E164" s="169"/>
      <c r="F164" s="169"/>
      <c r="G164" s="169"/>
      <c r="H164" s="169"/>
      <c r="I164" s="169"/>
      <c r="J164" s="170"/>
    </row>
    <row r="165" spans="1:11" ht="15.75" x14ac:dyDescent="0.25">
      <c r="A165" s="138">
        <v>1</v>
      </c>
      <c r="B165" s="139"/>
      <c r="C165" s="8" t="s">
        <v>159</v>
      </c>
      <c r="D165" s="138">
        <f>36.18*10.764</f>
        <v>389.44151999999997</v>
      </c>
      <c r="E165" s="139"/>
      <c r="F165" s="8">
        <v>0</v>
      </c>
      <c r="G165" s="8">
        <f>D165*1.45+F165</f>
        <v>564.69020399999988</v>
      </c>
      <c r="H165" s="8" t="s">
        <v>125</v>
      </c>
      <c r="I165" s="144" t="s">
        <v>135</v>
      </c>
      <c r="J165" s="145"/>
    </row>
    <row r="166" spans="1:11" ht="15.75" x14ac:dyDescent="0.25">
      <c r="A166" s="138">
        <v>2</v>
      </c>
      <c r="B166" s="139"/>
      <c r="C166" s="8" t="s">
        <v>136</v>
      </c>
      <c r="D166" s="138">
        <f>26.66*10.764</f>
        <v>286.96823999999998</v>
      </c>
      <c r="E166" s="139"/>
      <c r="F166" s="8">
        <v>0</v>
      </c>
      <c r="G166" s="8">
        <f>D166*1.45+F166</f>
        <v>416.10394799999995</v>
      </c>
      <c r="H166" s="8" t="s">
        <v>125</v>
      </c>
      <c r="I166" s="176"/>
      <c r="J166" s="177"/>
    </row>
    <row r="167" spans="1:11" ht="15.75" x14ac:dyDescent="0.25">
      <c r="A167" s="178" t="s">
        <v>154</v>
      </c>
      <c r="B167" s="179"/>
      <c r="C167" s="179"/>
      <c r="D167" s="179"/>
      <c r="E167" s="179"/>
      <c r="F167" s="179"/>
      <c r="G167" s="179"/>
      <c r="H167" s="179"/>
      <c r="I167" s="179"/>
      <c r="J167" s="180"/>
    </row>
    <row r="168" spans="1:11" ht="15.75" x14ac:dyDescent="0.25">
      <c r="A168" s="138">
        <v>1</v>
      </c>
      <c r="B168" s="139"/>
      <c r="C168" s="8" t="s">
        <v>136</v>
      </c>
      <c r="D168" s="138">
        <f>32.6*10.764</f>
        <v>350.90640000000002</v>
      </c>
      <c r="E168" s="139"/>
      <c r="F168" s="8">
        <v>0</v>
      </c>
      <c r="G168" s="8">
        <f>D168*1.45+F168</f>
        <v>508.81428</v>
      </c>
      <c r="H168" s="8" t="s">
        <v>125</v>
      </c>
      <c r="I168" s="144" t="s">
        <v>155</v>
      </c>
      <c r="J168" s="145"/>
    </row>
    <row r="169" spans="1:11" ht="15.75" x14ac:dyDescent="0.25">
      <c r="A169" s="138">
        <v>2</v>
      </c>
      <c r="B169" s="139"/>
      <c r="C169" s="8" t="s">
        <v>136</v>
      </c>
      <c r="D169" s="138">
        <f>34.91*10.764</f>
        <v>375.77123999999992</v>
      </c>
      <c r="E169" s="139"/>
      <c r="F169" s="8">
        <v>0</v>
      </c>
      <c r="G169" s="8">
        <f>D169*1.45+F169</f>
        <v>544.86829799999987</v>
      </c>
      <c r="H169" s="8" t="s">
        <v>125</v>
      </c>
      <c r="I169" s="176"/>
      <c r="J169" s="177"/>
    </row>
    <row r="170" spans="1:11" ht="15.75" x14ac:dyDescent="0.25">
      <c r="A170" s="138">
        <v>3</v>
      </c>
      <c r="B170" s="139"/>
      <c r="C170" s="8" t="s">
        <v>153</v>
      </c>
      <c r="D170" s="138">
        <f>41.97*10.764</f>
        <v>451.76507999999995</v>
      </c>
      <c r="E170" s="139"/>
      <c r="F170" s="8">
        <v>0</v>
      </c>
      <c r="G170" s="8">
        <f>D170*1.45+F170</f>
        <v>655.05936599999995</v>
      </c>
      <c r="H170" s="8" t="s">
        <v>125</v>
      </c>
      <c r="I170" s="176"/>
      <c r="J170" s="177"/>
    </row>
    <row r="171" spans="1:11" ht="15.75" x14ac:dyDescent="0.25">
      <c r="A171" s="144">
        <v>4</v>
      </c>
      <c r="B171" s="145"/>
      <c r="C171" s="17" t="s">
        <v>153</v>
      </c>
      <c r="D171" s="138">
        <f>32.6*10.764</f>
        <v>350.90640000000002</v>
      </c>
      <c r="E171" s="139"/>
      <c r="F171" s="17">
        <v>0</v>
      </c>
      <c r="G171" s="17">
        <f>D171*1.45+F171</f>
        <v>508.81428</v>
      </c>
      <c r="H171" s="17" t="s">
        <v>125</v>
      </c>
      <c r="I171" s="176"/>
      <c r="J171" s="177"/>
    </row>
    <row r="172" spans="1:11" ht="15.75" x14ac:dyDescent="0.25">
      <c r="A172" s="178" t="s">
        <v>160</v>
      </c>
      <c r="B172" s="179"/>
      <c r="C172" s="179"/>
      <c r="D172" s="179"/>
      <c r="E172" s="179"/>
      <c r="F172" s="179"/>
      <c r="G172" s="179"/>
      <c r="H172" s="179"/>
      <c r="I172" s="179"/>
      <c r="J172" s="180"/>
    </row>
    <row r="173" spans="1:11" ht="15.75" x14ac:dyDescent="0.25">
      <c r="A173" s="138">
        <v>1</v>
      </c>
      <c r="B173" s="139"/>
      <c r="C173" s="8" t="s">
        <v>136</v>
      </c>
      <c r="D173" s="138">
        <f>32.6*10.764</f>
        <v>350.90640000000002</v>
      </c>
      <c r="E173" s="139"/>
      <c r="F173" s="8">
        <v>0</v>
      </c>
      <c r="G173" s="8">
        <f>D173*1.45+F173</f>
        <v>508.81428</v>
      </c>
      <c r="H173" s="8" t="s">
        <v>125</v>
      </c>
      <c r="I173" s="144" t="s">
        <v>161</v>
      </c>
      <c r="J173" s="145"/>
    </row>
    <row r="174" spans="1:11" ht="15.75" x14ac:dyDescent="0.25">
      <c r="A174" s="138">
        <v>2</v>
      </c>
      <c r="B174" s="139"/>
      <c r="C174" s="8" t="s">
        <v>136</v>
      </c>
      <c r="D174" s="138">
        <f>34.91*10.764</f>
        <v>375.77123999999992</v>
      </c>
      <c r="E174" s="139"/>
      <c r="F174" s="8">
        <v>0</v>
      </c>
      <c r="G174" s="8">
        <f>D174*1.45+F174</f>
        <v>544.86829799999987</v>
      </c>
      <c r="H174" s="8" t="s">
        <v>125</v>
      </c>
      <c r="I174" s="176"/>
      <c r="J174" s="177"/>
      <c r="K174">
        <f>1400000/G174</f>
        <v>2569.4282547523076</v>
      </c>
    </row>
    <row r="175" spans="1:11" ht="15.75" x14ac:dyDescent="0.25">
      <c r="A175" s="138">
        <v>3</v>
      </c>
      <c r="B175" s="139"/>
      <c r="C175" s="138" t="s">
        <v>71</v>
      </c>
      <c r="D175" s="186"/>
      <c r="E175" s="186"/>
      <c r="F175" s="186"/>
      <c r="G175" s="186"/>
      <c r="H175" s="139"/>
      <c r="I175" s="176"/>
      <c r="J175" s="177"/>
    </row>
    <row r="176" spans="1:11" ht="15.75" x14ac:dyDescent="0.25">
      <c r="A176" s="138">
        <v>4</v>
      </c>
      <c r="B176" s="139"/>
      <c r="C176" s="138" t="s">
        <v>71</v>
      </c>
      <c r="D176" s="186"/>
      <c r="E176" s="186"/>
      <c r="F176" s="186"/>
      <c r="G176" s="186"/>
      <c r="H176" s="139"/>
      <c r="I176" s="181"/>
      <c r="J176" s="182"/>
    </row>
    <row r="177" spans="1:10" ht="15.75" x14ac:dyDescent="0.25">
      <c r="A177" s="183" t="s">
        <v>163</v>
      </c>
      <c r="B177" s="184"/>
      <c r="C177" s="184"/>
      <c r="D177" s="184"/>
      <c r="E177" s="184"/>
      <c r="F177" s="184"/>
      <c r="G177" s="184"/>
      <c r="H177" s="184"/>
      <c r="I177" s="184"/>
      <c r="J177" s="185"/>
    </row>
    <row r="178" spans="1:10" ht="15.75" x14ac:dyDescent="0.25">
      <c r="A178" s="168" t="s">
        <v>152</v>
      </c>
      <c r="B178" s="169"/>
      <c r="C178" s="169"/>
      <c r="D178" s="169"/>
      <c r="E178" s="169"/>
      <c r="F178" s="169"/>
      <c r="G178" s="169"/>
      <c r="H178" s="169"/>
      <c r="I178" s="169"/>
      <c r="J178" s="170"/>
    </row>
    <row r="179" spans="1:10" ht="15.75" x14ac:dyDescent="0.25">
      <c r="A179" s="138">
        <v>1</v>
      </c>
      <c r="B179" s="139"/>
      <c r="C179" s="8" t="s">
        <v>136</v>
      </c>
      <c r="D179" s="138">
        <f>26.6*10.764</f>
        <v>286.32240000000002</v>
      </c>
      <c r="E179" s="139"/>
      <c r="F179" s="8">
        <v>0</v>
      </c>
      <c r="G179" s="8">
        <f>D179*1.45+F179</f>
        <v>415.16748000000001</v>
      </c>
      <c r="H179" s="8" t="s">
        <v>125</v>
      </c>
      <c r="I179" s="144" t="s">
        <v>135</v>
      </c>
      <c r="J179" s="145"/>
    </row>
    <row r="180" spans="1:10" ht="15.75" x14ac:dyDescent="0.25">
      <c r="A180" s="138">
        <v>2</v>
      </c>
      <c r="B180" s="139"/>
      <c r="C180" s="8" t="s">
        <v>136</v>
      </c>
      <c r="D180" s="138">
        <f>26.6*10.764</f>
        <v>286.32240000000002</v>
      </c>
      <c r="E180" s="139"/>
      <c r="F180" s="8">
        <v>0</v>
      </c>
      <c r="G180" s="8">
        <f>D180*1.45+F180</f>
        <v>415.16748000000001</v>
      </c>
      <c r="H180" s="8" t="s">
        <v>125</v>
      </c>
      <c r="I180" s="176"/>
      <c r="J180" s="177"/>
    </row>
    <row r="181" spans="1:10" ht="15.75" x14ac:dyDescent="0.25">
      <c r="A181" s="178" t="s">
        <v>154</v>
      </c>
      <c r="B181" s="179"/>
      <c r="C181" s="179"/>
      <c r="D181" s="179"/>
      <c r="E181" s="179"/>
      <c r="F181" s="179"/>
      <c r="G181" s="179"/>
      <c r="H181" s="179"/>
      <c r="I181" s="179"/>
      <c r="J181" s="180"/>
    </row>
    <row r="182" spans="1:10" ht="15.75" x14ac:dyDescent="0.25">
      <c r="A182" s="138">
        <v>1</v>
      </c>
      <c r="B182" s="139"/>
      <c r="C182" s="8" t="s">
        <v>136</v>
      </c>
      <c r="D182" s="138">
        <f>32.39*10.764</f>
        <v>348.64596</v>
      </c>
      <c r="E182" s="139"/>
      <c r="F182" s="8">
        <v>0</v>
      </c>
      <c r="G182" s="8">
        <f>D182*1.45+F182</f>
        <v>505.53664199999997</v>
      </c>
      <c r="H182" s="8" t="s">
        <v>125</v>
      </c>
      <c r="I182" s="144" t="s">
        <v>155</v>
      </c>
      <c r="J182" s="145"/>
    </row>
    <row r="183" spans="1:10" ht="15.75" x14ac:dyDescent="0.25">
      <c r="A183" s="138">
        <v>2</v>
      </c>
      <c r="B183" s="139"/>
      <c r="C183" s="8" t="s">
        <v>136</v>
      </c>
      <c r="D183" s="138">
        <f>32.54*10.764</f>
        <v>350.26055999999994</v>
      </c>
      <c r="E183" s="139"/>
      <c r="F183" s="8">
        <v>0</v>
      </c>
      <c r="G183" s="8">
        <f>D183*1.45+F183</f>
        <v>507.87781199999989</v>
      </c>
      <c r="H183" s="8" t="s">
        <v>125</v>
      </c>
      <c r="I183" s="176"/>
      <c r="J183" s="177"/>
    </row>
    <row r="184" spans="1:10" ht="15.75" x14ac:dyDescent="0.25">
      <c r="A184" s="138">
        <v>3</v>
      </c>
      <c r="B184" s="139"/>
      <c r="C184" s="8" t="s">
        <v>136</v>
      </c>
      <c r="D184" s="138">
        <f>31.82*10.764</f>
        <v>342.51047999999997</v>
      </c>
      <c r="E184" s="139"/>
      <c r="F184" s="8">
        <v>0</v>
      </c>
      <c r="G184" s="8">
        <f>D184*1.45+F184</f>
        <v>496.64019599999995</v>
      </c>
      <c r="H184" s="8" t="s">
        <v>125</v>
      </c>
      <c r="I184" s="176"/>
      <c r="J184" s="177"/>
    </row>
    <row r="185" spans="1:10" ht="15.75" x14ac:dyDescent="0.25">
      <c r="A185" s="144">
        <v>4</v>
      </c>
      <c r="B185" s="145"/>
      <c r="C185" s="8" t="s">
        <v>136</v>
      </c>
      <c r="D185" s="138">
        <f>31.67*10.764</f>
        <v>340.89587999999998</v>
      </c>
      <c r="E185" s="139"/>
      <c r="F185" s="17">
        <v>0</v>
      </c>
      <c r="G185" s="17">
        <f>D185*1.45+F185</f>
        <v>494.29902599999997</v>
      </c>
      <c r="H185" s="17" t="s">
        <v>125</v>
      </c>
      <c r="I185" s="176"/>
      <c r="J185" s="177"/>
    </row>
    <row r="186" spans="1:10" ht="15.75" x14ac:dyDescent="0.25">
      <c r="A186" s="178" t="s">
        <v>160</v>
      </c>
      <c r="B186" s="179"/>
      <c r="C186" s="179"/>
      <c r="D186" s="179"/>
      <c r="E186" s="179"/>
      <c r="F186" s="179"/>
      <c r="G186" s="179"/>
      <c r="H186" s="179"/>
      <c r="I186" s="179"/>
      <c r="J186" s="180"/>
    </row>
    <row r="187" spans="1:10" ht="15.75" x14ac:dyDescent="0.25">
      <c r="A187" s="138">
        <v>1</v>
      </c>
      <c r="B187" s="139"/>
      <c r="C187" s="8" t="s">
        <v>136</v>
      </c>
      <c r="D187" s="138">
        <f>32.39*10.764</f>
        <v>348.64596</v>
      </c>
      <c r="E187" s="139"/>
      <c r="F187" s="8">
        <v>0</v>
      </c>
      <c r="G187" s="8">
        <f>D187*1.45+F187</f>
        <v>505.53664199999997</v>
      </c>
      <c r="H187" s="8" t="s">
        <v>125</v>
      </c>
      <c r="I187" s="144" t="s">
        <v>161</v>
      </c>
      <c r="J187" s="145"/>
    </row>
    <row r="188" spans="1:10" ht="15.75" x14ac:dyDescent="0.25">
      <c r="A188" s="138">
        <v>2</v>
      </c>
      <c r="B188" s="139"/>
      <c r="C188" s="8" t="s">
        <v>136</v>
      </c>
      <c r="D188" s="138">
        <f>32.54*10.764</f>
        <v>350.26055999999994</v>
      </c>
      <c r="E188" s="139"/>
      <c r="F188" s="8">
        <v>0</v>
      </c>
      <c r="G188" s="8">
        <f>D188*1.45+F188</f>
        <v>507.87781199999989</v>
      </c>
      <c r="H188" s="8" t="s">
        <v>125</v>
      </c>
      <c r="I188" s="176"/>
      <c r="J188" s="177"/>
    </row>
    <row r="189" spans="1:10" ht="15.75" x14ac:dyDescent="0.25">
      <c r="A189" s="138">
        <v>3</v>
      </c>
      <c r="B189" s="139"/>
      <c r="C189" s="138" t="s">
        <v>71</v>
      </c>
      <c r="D189" s="186"/>
      <c r="E189" s="186"/>
      <c r="F189" s="186"/>
      <c r="G189" s="186"/>
      <c r="H189" s="139"/>
      <c r="I189" s="176"/>
      <c r="J189" s="177"/>
    </row>
    <row r="190" spans="1:10" ht="15.75" x14ac:dyDescent="0.25">
      <c r="A190" s="138">
        <v>4</v>
      </c>
      <c r="B190" s="139"/>
      <c r="C190" s="138" t="s">
        <v>71</v>
      </c>
      <c r="D190" s="186"/>
      <c r="E190" s="186"/>
      <c r="F190" s="186"/>
      <c r="G190" s="186"/>
      <c r="H190" s="139"/>
      <c r="I190" s="181"/>
      <c r="J190" s="182"/>
    </row>
    <row r="191" spans="1:10" ht="15.75" x14ac:dyDescent="0.25">
      <c r="A191" s="183" t="s">
        <v>164</v>
      </c>
      <c r="B191" s="184"/>
      <c r="C191" s="184"/>
      <c r="D191" s="184"/>
      <c r="E191" s="184"/>
      <c r="F191" s="184"/>
      <c r="G191" s="184"/>
      <c r="H191" s="184"/>
      <c r="I191" s="184"/>
      <c r="J191" s="185"/>
    </row>
    <row r="192" spans="1:10" ht="15.75" x14ac:dyDescent="0.25">
      <c r="A192" s="168" t="s">
        <v>152</v>
      </c>
      <c r="B192" s="169"/>
      <c r="C192" s="169"/>
      <c r="D192" s="169"/>
      <c r="E192" s="169"/>
      <c r="F192" s="169"/>
      <c r="G192" s="169"/>
      <c r="H192" s="169"/>
      <c r="I192" s="169"/>
      <c r="J192" s="170"/>
    </row>
    <row r="193" spans="1:10" ht="15.75" x14ac:dyDescent="0.25">
      <c r="A193" s="138">
        <v>1</v>
      </c>
      <c r="B193" s="139"/>
      <c r="C193" s="8" t="s">
        <v>136</v>
      </c>
      <c r="D193" s="138">
        <f>26.6*10.764</f>
        <v>286.32240000000002</v>
      </c>
      <c r="E193" s="139"/>
      <c r="F193" s="8">
        <v>0</v>
      </c>
      <c r="G193" s="8">
        <f>D193*1.45+F193</f>
        <v>415.16748000000001</v>
      </c>
      <c r="H193" s="8" t="s">
        <v>125</v>
      </c>
      <c r="I193" s="144" t="s">
        <v>135</v>
      </c>
      <c r="J193" s="145"/>
    </row>
    <row r="194" spans="1:10" ht="15.75" x14ac:dyDescent="0.25">
      <c r="A194" s="138">
        <v>2</v>
      </c>
      <c r="B194" s="139"/>
      <c r="C194" s="8" t="s">
        <v>136</v>
      </c>
      <c r="D194" s="138">
        <f>26.6*10.764</f>
        <v>286.32240000000002</v>
      </c>
      <c r="E194" s="139"/>
      <c r="F194" s="8">
        <v>0</v>
      </c>
      <c r="G194" s="8">
        <f>D194*1.45+F194</f>
        <v>415.16748000000001</v>
      </c>
      <c r="H194" s="8" t="s">
        <v>125</v>
      </c>
      <c r="I194" s="176"/>
      <c r="J194" s="177"/>
    </row>
    <row r="195" spans="1:10" ht="15.75" x14ac:dyDescent="0.25">
      <c r="A195" s="178" t="s">
        <v>154</v>
      </c>
      <c r="B195" s="179"/>
      <c r="C195" s="179"/>
      <c r="D195" s="179"/>
      <c r="E195" s="179"/>
      <c r="F195" s="179"/>
      <c r="G195" s="179"/>
      <c r="H195" s="179"/>
      <c r="I195" s="179"/>
      <c r="J195" s="180"/>
    </row>
    <row r="196" spans="1:10" ht="15.75" x14ac:dyDescent="0.25">
      <c r="A196" s="138">
        <v>1</v>
      </c>
      <c r="B196" s="139"/>
      <c r="C196" s="8" t="s">
        <v>136</v>
      </c>
      <c r="D196" s="138">
        <f>32.39*10.764</f>
        <v>348.64596</v>
      </c>
      <c r="E196" s="139"/>
      <c r="F196" s="8">
        <v>0</v>
      </c>
      <c r="G196" s="8">
        <f>D196*1.45+F196</f>
        <v>505.53664199999997</v>
      </c>
      <c r="H196" s="8" t="s">
        <v>125</v>
      </c>
      <c r="I196" s="144" t="s">
        <v>155</v>
      </c>
      <c r="J196" s="145"/>
    </row>
    <row r="197" spans="1:10" ht="15.75" x14ac:dyDescent="0.25">
      <c r="A197" s="138">
        <v>2</v>
      </c>
      <c r="B197" s="139"/>
      <c r="C197" s="8" t="s">
        <v>136</v>
      </c>
      <c r="D197" s="138">
        <f>32.54*10.764</f>
        <v>350.26055999999994</v>
      </c>
      <c r="E197" s="139"/>
      <c r="F197" s="8">
        <v>0</v>
      </c>
      <c r="G197" s="8">
        <f>D197*1.45+F197</f>
        <v>507.87781199999989</v>
      </c>
      <c r="H197" s="8" t="s">
        <v>125</v>
      </c>
      <c r="I197" s="176"/>
      <c r="J197" s="177"/>
    </row>
    <row r="198" spans="1:10" ht="15.75" x14ac:dyDescent="0.25">
      <c r="A198" s="138">
        <v>3</v>
      </c>
      <c r="B198" s="139"/>
      <c r="C198" s="8" t="s">
        <v>136</v>
      </c>
      <c r="D198" s="138">
        <f>31.82*10.764</f>
        <v>342.51047999999997</v>
      </c>
      <c r="E198" s="139"/>
      <c r="F198" s="8">
        <v>0</v>
      </c>
      <c r="G198" s="8">
        <f>D198*1.45+F198</f>
        <v>496.64019599999995</v>
      </c>
      <c r="H198" s="8" t="s">
        <v>125</v>
      </c>
      <c r="I198" s="176"/>
      <c r="J198" s="177"/>
    </row>
    <row r="199" spans="1:10" ht="15.75" x14ac:dyDescent="0.25">
      <c r="A199" s="144">
        <v>4</v>
      </c>
      <c r="B199" s="145"/>
      <c r="C199" s="8" t="s">
        <v>136</v>
      </c>
      <c r="D199" s="138">
        <f>31.67*10.764</f>
        <v>340.89587999999998</v>
      </c>
      <c r="E199" s="139"/>
      <c r="F199" s="17">
        <v>0</v>
      </c>
      <c r="G199" s="17">
        <f>D199*1.45+F199</f>
        <v>494.29902599999997</v>
      </c>
      <c r="H199" s="17" t="s">
        <v>125</v>
      </c>
      <c r="I199" s="176"/>
      <c r="J199" s="177"/>
    </row>
    <row r="200" spans="1:10" ht="15.75" x14ac:dyDescent="0.25">
      <c r="A200" s="178" t="s">
        <v>160</v>
      </c>
      <c r="B200" s="179"/>
      <c r="C200" s="179"/>
      <c r="D200" s="179"/>
      <c r="E200" s="179"/>
      <c r="F200" s="179"/>
      <c r="G200" s="179"/>
      <c r="H200" s="179"/>
      <c r="I200" s="179"/>
      <c r="J200" s="180"/>
    </row>
    <row r="201" spans="1:10" ht="15.75" x14ac:dyDescent="0.25">
      <c r="A201" s="138">
        <v>1</v>
      </c>
      <c r="B201" s="139"/>
      <c r="C201" s="8" t="s">
        <v>136</v>
      </c>
      <c r="D201" s="138">
        <f>32.39*10.764</f>
        <v>348.64596</v>
      </c>
      <c r="E201" s="139"/>
      <c r="F201" s="8">
        <v>0</v>
      </c>
      <c r="G201" s="8">
        <f>D201*1.45+F201</f>
        <v>505.53664199999997</v>
      </c>
      <c r="H201" s="8" t="s">
        <v>125</v>
      </c>
      <c r="I201" s="144" t="s">
        <v>161</v>
      </c>
      <c r="J201" s="145"/>
    </row>
    <row r="202" spans="1:10" ht="15.75" x14ac:dyDescent="0.25">
      <c r="A202" s="138">
        <v>2</v>
      </c>
      <c r="B202" s="139"/>
      <c r="C202" s="8" t="s">
        <v>136</v>
      </c>
      <c r="D202" s="138">
        <f>32.54*10.764</f>
        <v>350.26055999999994</v>
      </c>
      <c r="E202" s="139"/>
      <c r="F202" s="8">
        <v>0</v>
      </c>
      <c r="G202" s="8">
        <f>D202*1.45+F202</f>
        <v>507.87781199999989</v>
      </c>
      <c r="H202" s="8" t="s">
        <v>125</v>
      </c>
      <c r="I202" s="176"/>
      <c r="J202" s="177"/>
    </row>
    <row r="203" spans="1:10" ht="15.75" x14ac:dyDescent="0.25">
      <c r="A203" s="138">
        <v>3</v>
      </c>
      <c r="B203" s="139"/>
      <c r="C203" s="138" t="s">
        <v>71</v>
      </c>
      <c r="D203" s="186"/>
      <c r="E203" s="186"/>
      <c r="F203" s="186"/>
      <c r="G203" s="186"/>
      <c r="H203" s="139"/>
      <c r="I203" s="176"/>
      <c r="J203" s="177"/>
    </row>
    <row r="204" spans="1:10" ht="15.75" x14ac:dyDescent="0.25">
      <c r="A204" s="138">
        <v>4</v>
      </c>
      <c r="B204" s="139"/>
      <c r="C204" s="138" t="s">
        <v>71</v>
      </c>
      <c r="D204" s="186"/>
      <c r="E204" s="186"/>
      <c r="F204" s="186"/>
      <c r="G204" s="186"/>
      <c r="H204" s="139"/>
      <c r="I204" s="181"/>
      <c r="J204" s="182"/>
    </row>
    <row r="205" spans="1:10" ht="15.75" x14ac:dyDescent="0.25">
      <c r="A205" s="183" t="s">
        <v>165</v>
      </c>
      <c r="B205" s="184"/>
      <c r="C205" s="184"/>
      <c r="D205" s="184"/>
      <c r="E205" s="184"/>
      <c r="F205" s="184"/>
      <c r="G205" s="184"/>
      <c r="H205" s="184"/>
      <c r="I205" s="184"/>
      <c r="J205" s="185"/>
    </row>
    <row r="206" spans="1:10" ht="15.75" x14ac:dyDescent="0.25">
      <c r="A206" s="168" t="s">
        <v>152</v>
      </c>
      <c r="B206" s="169"/>
      <c r="C206" s="169"/>
      <c r="D206" s="169"/>
      <c r="E206" s="169"/>
      <c r="F206" s="169"/>
      <c r="G206" s="169"/>
      <c r="H206" s="169"/>
      <c r="I206" s="169"/>
      <c r="J206" s="170"/>
    </row>
    <row r="207" spans="1:10" ht="15.75" x14ac:dyDescent="0.25">
      <c r="A207" s="138">
        <v>1</v>
      </c>
      <c r="B207" s="139"/>
      <c r="C207" s="8" t="s">
        <v>136</v>
      </c>
      <c r="D207" s="138">
        <f>26.6*10.764</f>
        <v>286.32240000000002</v>
      </c>
      <c r="E207" s="139"/>
      <c r="F207" s="8">
        <v>0</v>
      </c>
      <c r="G207" s="8">
        <f>D207*1.45+F207</f>
        <v>415.16748000000001</v>
      </c>
      <c r="H207" s="8" t="s">
        <v>125</v>
      </c>
      <c r="I207" s="144" t="s">
        <v>135</v>
      </c>
      <c r="J207" s="145"/>
    </row>
    <row r="208" spans="1:10" ht="15.75" x14ac:dyDescent="0.25">
      <c r="A208" s="138">
        <v>2</v>
      </c>
      <c r="B208" s="139"/>
      <c r="C208" s="8" t="s">
        <v>136</v>
      </c>
      <c r="D208" s="138">
        <f>26.6*10.764</f>
        <v>286.32240000000002</v>
      </c>
      <c r="E208" s="139"/>
      <c r="F208" s="8">
        <v>0</v>
      </c>
      <c r="G208" s="8">
        <f>D208*1.45+F208</f>
        <v>415.16748000000001</v>
      </c>
      <c r="H208" s="8" t="s">
        <v>125</v>
      </c>
      <c r="I208" s="176"/>
      <c r="J208" s="177"/>
    </row>
    <row r="209" spans="1:10" ht="15.75" x14ac:dyDescent="0.25">
      <c r="A209" s="178" t="s">
        <v>154</v>
      </c>
      <c r="B209" s="179"/>
      <c r="C209" s="179"/>
      <c r="D209" s="179"/>
      <c r="E209" s="179"/>
      <c r="F209" s="179"/>
      <c r="G209" s="179"/>
      <c r="H209" s="179"/>
      <c r="I209" s="179"/>
      <c r="J209" s="180"/>
    </row>
    <row r="210" spans="1:10" ht="15.75" x14ac:dyDescent="0.25">
      <c r="A210" s="138">
        <v>1</v>
      </c>
      <c r="B210" s="139"/>
      <c r="C210" s="8" t="s">
        <v>136</v>
      </c>
      <c r="D210" s="138">
        <f>31.67*10.764</f>
        <v>340.89587999999998</v>
      </c>
      <c r="E210" s="139"/>
      <c r="F210" s="8">
        <v>0</v>
      </c>
      <c r="G210" s="8">
        <f>D210*1.45+F210</f>
        <v>494.29902599999997</v>
      </c>
      <c r="H210" s="8" t="s">
        <v>125</v>
      </c>
      <c r="I210" s="144" t="s">
        <v>155</v>
      </c>
      <c r="J210" s="145"/>
    </row>
    <row r="211" spans="1:10" ht="15.75" x14ac:dyDescent="0.25">
      <c r="A211" s="138">
        <v>2</v>
      </c>
      <c r="B211" s="139"/>
      <c r="C211" s="8" t="s">
        <v>136</v>
      </c>
      <c r="D211" s="138">
        <f>31.82*10.764</f>
        <v>342.51047999999997</v>
      </c>
      <c r="E211" s="139"/>
      <c r="F211" s="8">
        <v>0</v>
      </c>
      <c r="G211" s="8">
        <f>D211*1.45+F211</f>
        <v>496.64019599999995</v>
      </c>
      <c r="H211" s="8" t="s">
        <v>125</v>
      </c>
      <c r="I211" s="176"/>
      <c r="J211" s="177"/>
    </row>
    <row r="212" spans="1:10" ht="15.75" x14ac:dyDescent="0.25">
      <c r="A212" s="138">
        <v>3</v>
      </c>
      <c r="B212" s="139"/>
      <c r="C212" s="8" t="s">
        <v>136</v>
      </c>
      <c r="D212" s="138">
        <f>32.54*10.764</f>
        <v>350.26055999999994</v>
      </c>
      <c r="E212" s="139"/>
      <c r="F212" s="8">
        <v>0</v>
      </c>
      <c r="G212" s="8">
        <f>D212*1.45+F212</f>
        <v>507.87781199999989</v>
      </c>
      <c r="H212" s="8" t="s">
        <v>125</v>
      </c>
      <c r="I212" s="176"/>
      <c r="J212" s="177"/>
    </row>
    <row r="213" spans="1:10" ht="15.75" x14ac:dyDescent="0.25">
      <c r="A213" s="138">
        <v>4</v>
      </c>
      <c r="B213" s="139"/>
      <c r="C213" s="8" t="s">
        <v>136</v>
      </c>
      <c r="D213" s="138">
        <f>32.39*10.764</f>
        <v>348.64596</v>
      </c>
      <c r="E213" s="139"/>
      <c r="F213" s="8">
        <v>0</v>
      </c>
      <c r="G213" s="8">
        <f>D213*1.45+F213</f>
        <v>505.53664199999997</v>
      </c>
      <c r="H213" s="8" t="s">
        <v>125</v>
      </c>
      <c r="I213" s="181"/>
      <c r="J213" s="182"/>
    </row>
    <row r="214" spans="1:10" ht="15.75" x14ac:dyDescent="0.25">
      <c r="A214" s="178" t="s">
        <v>160</v>
      </c>
      <c r="B214" s="179"/>
      <c r="C214" s="179"/>
      <c r="D214" s="179"/>
      <c r="E214" s="179"/>
      <c r="F214" s="179"/>
      <c r="G214" s="179"/>
      <c r="H214" s="179"/>
      <c r="I214" s="179"/>
      <c r="J214" s="180"/>
    </row>
    <row r="215" spans="1:10" ht="15.75" x14ac:dyDescent="0.25">
      <c r="A215" s="138">
        <v>1</v>
      </c>
      <c r="B215" s="139"/>
      <c r="C215" s="8" t="s">
        <v>136</v>
      </c>
      <c r="D215" s="138">
        <f>31.67*10.764</f>
        <v>340.89587999999998</v>
      </c>
      <c r="E215" s="139"/>
      <c r="F215" s="8">
        <v>0</v>
      </c>
      <c r="G215" s="8">
        <f>D215*1.45+F215</f>
        <v>494.29902599999997</v>
      </c>
      <c r="H215" s="8" t="s">
        <v>125</v>
      </c>
      <c r="I215" s="144" t="s">
        <v>161</v>
      </c>
      <c r="J215" s="145"/>
    </row>
    <row r="216" spans="1:10" ht="15.75" x14ac:dyDescent="0.25">
      <c r="A216" s="138">
        <v>2</v>
      </c>
      <c r="B216" s="139"/>
      <c r="C216" s="8" t="s">
        <v>136</v>
      </c>
      <c r="D216" s="138">
        <f>31.82*10.764</f>
        <v>342.51047999999997</v>
      </c>
      <c r="E216" s="139"/>
      <c r="F216" s="8">
        <v>0</v>
      </c>
      <c r="G216" s="8">
        <f>D216*1.45+F216</f>
        <v>496.64019599999995</v>
      </c>
      <c r="H216" s="8" t="s">
        <v>125</v>
      </c>
      <c r="I216" s="176"/>
      <c r="J216" s="177"/>
    </row>
    <row r="217" spans="1:10" ht="15.75" x14ac:dyDescent="0.25">
      <c r="A217" s="138">
        <v>3</v>
      </c>
      <c r="B217" s="139"/>
      <c r="C217" s="138" t="s">
        <v>71</v>
      </c>
      <c r="D217" s="186"/>
      <c r="E217" s="186"/>
      <c r="F217" s="186"/>
      <c r="G217" s="186"/>
      <c r="H217" s="139"/>
      <c r="I217" s="176"/>
      <c r="J217" s="177"/>
    </row>
    <row r="218" spans="1:10" ht="15.75" x14ac:dyDescent="0.25">
      <c r="A218" s="138">
        <v>4</v>
      </c>
      <c r="B218" s="139"/>
      <c r="C218" s="138" t="s">
        <v>71</v>
      </c>
      <c r="D218" s="186"/>
      <c r="E218" s="186"/>
      <c r="F218" s="186"/>
      <c r="G218" s="186"/>
      <c r="H218" s="139"/>
      <c r="I218" s="181"/>
      <c r="J218" s="182"/>
    </row>
    <row r="219" spans="1:10" ht="231" customHeight="1" x14ac:dyDescent="0.25">
      <c r="A219" s="141" t="s">
        <v>240</v>
      </c>
      <c r="B219" s="142"/>
      <c r="C219" s="142"/>
      <c r="D219" s="142"/>
      <c r="E219" s="142"/>
      <c r="F219" s="142"/>
      <c r="G219" s="142"/>
      <c r="H219" s="142"/>
      <c r="I219" s="142"/>
      <c r="J219" s="143"/>
    </row>
    <row r="220" spans="1:10" x14ac:dyDescent="0.25">
      <c r="A220" s="140" t="s">
        <v>24</v>
      </c>
      <c r="B220" s="109"/>
      <c r="C220" s="109"/>
      <c r="D220" s="109"/>
      <c r="E220" s="109"/>
      <c r="F220" s="109"/>
      <c r="G220" s="109"/>
      <c r="H220" s="109"/>
      <c r="I220" s="109"/>
      <c r="J220" s="110"/>
    </row>
    <row r="221" spans="1:10" x14ac:dyDescent="0.25">
      <c r="A221" s="84" t="s">
        <v>32</v>
      </c>
      <c r="B221" s="59"/>
      <c r="C221" s="59"/>
      <c r="D221" s="59"/>
      <c r="E221" s="59"/>
      <c r="F221" s="59"/>
      <c r="G221" s="59"/>
      <c r="H221" s="59"/>
      <c r="I221" s="59"/>
      <c r="J221" s="60"/>
    </row>
    <row r="222" spans="1:10" x14ac:dyDescent="0.25">
      <c r="A222" s="140" t="s">
        <v>26</v>
      </c>
      <c r="B222" s="109"/>
      <c r="C222" s="109"/>
      <c r="D222" s="109"/>
      <c r="E222" s="109"/>
      <c r="F222" s="109"/>
      <c r="G222" s="109"/>
      <c r="H222" s="109"/>
      <c r="I222" s="109"/>
      <c r="J222" s="110"/>
    </row>
    <row r="223" spans="1:10" x14ac:dyDescent="0.25">
      <c r="A223" s="58" t="s">
        <v>37</v>
      </c>
      <c r="B223" s="86"/>
      <c r="C223" s="86"/>
      <c r="D223" s="86"/>
      <c r="E223" s="86"/>
      <c r="F223" s="86"/>
      <c r="G223" s="86"/>
      <c r="H223" s="86"/>
      <c r="I223" s="86"/>
      <c r="J223" s="85"/>
    </row>
    <row r="224" spans="1:10" x14ac:dyDescent="0.25">
      <c r="A224" s="58" t="s">
        <v>171</v>
      </c>
      <c r="B224" s="86"/>
      <c r="C224" s="86"/>
      <c r="D224" s="86"/>
      <c r="E224" s="86"/>
      <c r="F224" s="86"/>
      <c r="G224" s="86"/>
      <c r="H224" s="86"/>
      <c r="I224" s="86"/>
      <c r="J224" s="85"/>
    </row>
    <row r="225" spans="1:10" hidden="1" x14ac:dyDescent="0.25">
      <c r="A225" s="58" t="s">
        <v>172</v>
      </c>
      <c r="B225" s="86"/>
      <c r="C225" s="86"/>
      <c r="D225" s="86"/>
      <c r="E225" s="86"/>
      <c r="F225" s="86"/>
      <c r="G225" s="86"/>
      <c r="H225" s="86"/>
      <c r="I225" s="86"/>
      <c r="J225" s="85"/>
    </row>
    <row r="226" spans="1:10" hidden="1" x14ac:dyDescent="0.25">
      <c r="A226" s="103" t="s">
        <v>173</v>
      </c>
      <c r="B226" s="104"/>
      <c r="C226" s="104"/>
      <c r="D226" s="104"/>
      <c r="E226" s="104"/>
      <c r="F226" s="104"/>
      <c r="G226" s="104"/>
      <c r="H226" s="104"/>
      <c r="I226" s="104"/>
      <c r="J226" s="105"/>
    </row>
    <row r="227" spans="1:10" ht="15" customHeight="1" x14ac:dyDescent="0.25">
      <c r="A227" s="189" t="s">
        <v>25</v>
      </c>
      <c r="B227" s="190"/>
      <c r="C227" s="190"/>
      <c r="D227" s="190"/>
      <c r="E227" s="190"/>
      <c r="F227" s="190"/>
      <c r="G227" s="190"/>
      <c r="H227" s="190"/>
      <c r="I227" s="190"/>
      <c r="J227" s="191"/>
    </row>
    <row r="228" spans="1:10" x14ac:dyDescent="0.25">
      <c r="A228" s="192"/>
      <c r="B228" s="193"/>
      <c r="C228" s="193"/>
      <c r="D228" s="193"/>
      <c r="E228" s="193"/>
      <c r="F228" s="193"/>
      <c r="G228" s="193"/>
      <c r="H228" s="193"/>
      <c r="I228" s="193"/>
      <c r="J228" s="194"/>
    </row>
    <row r="229" spans="1:10" x14ac:dyDescent="0.25">
      <c r="A229" s="195"/>
      <c r="B229" s="196"/>
      <c r="C229" s="196"/>
      <c r="D229" s="196"/>
      <c r="E229" s="196"/>
      <c r="F229" s="196"/>
      <c r="G229" s="196"/>
      <c r="H229" s="196"/>
      <c r="I229" s="196"/>
      <c r="J229" s="197"/>
    </row>
    <row r="230" spans="1:10" ht="15" customHeight="1" x14ac:dyDescent="0.25">
      <c r="A230" s="54" t="s">
        <v>167</v>
      </c>
      <c r="B230" s="53"/>
      <c r="C230" s="53"/>
      <c r="D230" s="55" t="str">
        <f>F8</f>
        <v>Flower Valley Complex</v>
      </c>
      <c r="F230" s="53"/>
      <c r="G230" s="53"/>
      <c r="H230" s="53"/>
      <c r="I230" s="53"/>
      <c r="J230" s="53"/>
    </row>
    <row r="231" spans="1:10" x14ac:dyDescent="0.25">
      <c r="G231" s="53"/>
      <c r="H231" s="53"/>
      <c r="I231" s="53"/>
      <c r="J231" s="53"/>
    </row>
    <row r="232" spans="1:10" x14ac:dyDescent="0.25">
      <c r="A232" s="53"/>
      <c r="B232" s="53"/>
      <c r="C232" s="53"/>
      <c r="D232" s="53"/>
      <c r="E232" s="53"/>
      <c r="F232" s="53"/>
      <c r="G232" s="53"/>
      <c r="H232" s="53"/>
      <c r="I232" s="53"/>
      <c r="J232" s="53"/>
    </row>
    <row r="233" spans="1:10" x14ac:dyDescent="0.25">
      <c r="A233" s="53"/>
      <c r="B233" s="53"/>
      <c r="C233" s="53"/>
      <c r="D233" s="53"/>
      <c r="E233" s="53"/>
      <c r="F233" s="53"/>
      <c r="G233" s="53"/>
      <c r="H233" s="53"/>
      <c r="I233" s="53"/>
      <c r="J233" s="53"/>
    </row>
    <row r="250" spans="2:8" x14ac:dyDescent="0.25">
      <c r="B250" s="188"/>
      <c r="C250" s="188"/>
      <c r="G250" s="188"/>
      <c r="H250" s="188"/>
    </row>
    <row r="276" spans="1:1" x14ac:dyDescent="0.25">
      <c r="A276" s="56" t="s">
        <v>126</v>
      </c>
    </row>
  </sheetData>
  <mergeCells count="454">
    <mergeCell ref="F16:G16"/>
    <mergeCell ref="H16:J16"/>
    <mergeCell ref="C31:J31"/>
    <mergeCell ref="A50:C50"/>
    <mergeCell ref="D50:J50"/>
    <mergeCell ref="A53:C53"/>
    <mergeCell ref="D53:J53"/>
    <mergeCell ref="A40:E40"/>
    <mergeCell ref="A41:E41"/>
    <mergeCell ref="A44:B44"/>
    <mergeCell ref="F40:J40"/>
    <mergeCell ref="H45:J45"/>
    <mergeCell ref="A52:C52"/>
    <mergeCell ref="D52:J52"/>
    <mergeCell ref="A49:C49"/>
    <mergeCell ref="D48:J48"/>
    <mergeCell ref="D49:J49"/>
    <mergeCell ref="C32:J32"/>
    <mergeCell ref="G28:H28"/>
    <mergeCell ref="A39:E39"/>
    <mergeCell ref="E28:F28"/>
    <mergeCell ref="A36:E36"/>
    <mergeCell ref="F36:J36"/>
    <mergeCell ref="A30:J30"/>
    <mergeCell ref="D54:J54"/>
    <mergeCell ref="A51:C51"/>
    <mergeCell ref="D51:J51"/>
    <mergeCell ref="B250:C250"/>
    <mergeCell ref="G250:H250"/>
    <mergeCell ref="A214:J214"/>
    <mergeCell ref="A215:B215"/>
    <mergeCell ref="D215:E215"/>
    <mergeCell ref="I215:J218"/>
    <mergeCell ref="A216:B216"/>
    <mergeCell ref="D216:E216"/>
    <mergeCell ref="A217:B217"/>
    <mergeCell ref="C217:H217"/>
    <mergeCell ref="A218:B218"/>
    <mergeCell ref="C218:H218"/>
    <mergeCell ref="A227:J229"/>
    <mergeCell ref="A213:B213"/>
    <mergeCell ref="D213:E213"/>
    <mergeCell ref="A205:J205"/>
    <mergeCell ref="A206:J206"/>
    <mergeCell ref="A207:B207"/>
    <mergeCell ref="D207:E207"/>
    <mergeCell ref="I207:J208"/>
    <mergeCell ref="A208:B208"/>
    <mergeCell ref="D208:E208"/>
    <mergeCell ref="I210:J213"/>
    <mergeCell ref="A209:J209"/>
    <mergeCell ref="A210:B210"/>
    <mergeCell ref="D210:E210"/>
    <mergeCell ref="A211:B211"/>
    <mergeCell ref="D211:E211"/>
    <mergeCell ref="A212:B212"/>
    <mergeCell ref="D212:E212"/>
    <mergeCell ref="A200:J200"/>
    <mergeCell ref="A201:B201"/>
    <mergeCell ref="D201:E201"/>
    <mergeCell ref="I201:J204"/>
    <mergeCell ref="A202:B202"/>
    <mergeCell ref="D202:E202"/>
    <mergeCell ref="A203:B203"/>
    <mergeCell ref="C203:H203"/>
    <mergeCell ref="A204:B204"/>
    <mergeCell ref="C204:H204"/>
    <mergeCell ref="A192:J192"/>
    <mergeCell ref="A193:B193"/>
    <mergeCell ref="D193:E193"/>
    <mergeCell ref="I193:J194"/>
    <mergeCell ref="A194:B194"/>
    <mergeCell ref="D194:E194"/>
    <mergeCell ref="A195:J195"/>
    <mergeCell ref="A196:B196"/>
    <mergeCell ref="D196:E196"/>
    <mergeCell ref="I196:J199"/>
    <mergeCell ref="A197:B197"/>
    <mergeCell ref="D197:E197"/>
    <mergeCell ref="A198:B198"/>
    <mergeCell ref="D198:E198"/>
    <mergeCell ref="A199:B199"/>
    <mergeCell ref="D199:E199"/>
    <mergeCell ref="A186:J186"/>
    <mergeCell ref="A187:B187"/>
    <mergeCell ref="D187:E187"/>
    <mergeCell ref="I187:J190"/>
    <mergeCell ref="A188:B188"/>
    <mergeCell ref="D188:E188"/>
    <mergeCell ref="A189:B189"/>
    <mergeCell ref="C189:H189"/>
    <mergeCell ref="A190:B190"/>
    <mergeCell ref="C190:H190"/>
    <mergeCell ref="A181:J181"/>
    <mergeCell ref="A182:B182"/>
    <mergeCell ref="D182:E182"/>
    <mergeCell ref="I182:J185"/>
    <mergeCell ref="A183:B183"/>
    <mergeCell ref="D183:E183"/>
    <mergeCell ref="A184:B184"/>
    <mergeCell ref="D184:E184"/>
    <mergeCell ref="A185:B185"/>
    <mergeCell ref="D185:E185"/>
    <mergeCell ref="C175:H175"/>
    <mergeCell ref="C176:H176"/>
    <mergeCell ref="A177:J177"/>
    <mergeCell ref="A178:J178"/>
    <mergeCell ref="A179:B179"/>
    <mergeCell ref="D179:E179"/>
    <mergeCell ref="I179:J180"/>
    <mergeCell ref="A180:B180"/>
    <mergeCell ref="D180:E180"/>
    <mergeCell ref="A176:B176"/>
    <mergeCell ref="D158:E158"/>
    <mergeCell ref="A165:B165"/>
    <mergeCell ref="D165:E165"/>
    <mergeCell ref="I165:J166"/>
    <mergeCell ref="A166:B166"/>
    <mergeCell ref="D166:E166"/>
    <mergeCell ref="A191:J191"/>
    <mergeCell ref="I173:J176"/>
    <mergeCell ref="A167:J167"/>
    <mergeCell ref="A168:B168"/>
    <mergeCell ref="D168:E168"/>
    <mergeCell ref="I168:J171"/>
    <mergeCell ref="A169:B169"/>
    <mergeCell ref="D169:E169"/>
    <mergeCell ref="A170:B170"/>
    <mergeCell ref="D170:E170"/>
    <mergeCell ref="A171:B171"/>
    <mergeCell ref="D171:E171"/>
    <mergeCell ref="A172:J172"/>
    <mergeCell ref="A173:B173"/>
    <mergeCell ref="D173:E173"/>
    <mergeCell ref="A174:B174"/>
    <mergeCell ref="D174:E174"/>
    <mergeCell ref="A175:B175"/>
    <mergeCell ref="A164:J164"/>
    <mergeCell ref="A163:J163"/>
    <mergeCell ref="A149:B149"/>
    <mergeCell ref="D149:E149"/>
    <mergeCell ref="A150:B150"/>
    <mergeCell ref="D150:E150"/>
    <mergeCell ref="A151:B151"/>
    <mergeCell ref="D151:E151"/>
    <mergeCell ref="A154:B154"/>
    <mergeCell ref="D153:E153"/>
    <mergeCell ref="A159:B159"/>
    <mergeCell ref="D159:E159"/>
    <mergeCell ref="A155:J155"/>
    <mergeCell ref="A156:B156"/>
    <mergeCell ref="D156:E156"/>
    <mergeCell ref="A160:B160"/>
    <mergeCell ref="D160:E160"/>
    <mergeCell ref="A161:B161"/>
    <mergeCell ref="D161:E161"/>
    <mergeCell ref="I156:J161"/>
    <mergeCell ref="A162:J162"/>
    <mergeCell ref="A157:B157"/>
    <mergeCell ref="D157:E157"/>
    <mergeCell ref="A158:B158"/>
    <mergeCell ref="A148:B148"/>
    <mergeCell ref="D148:E148"/>
    <mergeCell ref="A134:J134"/>
    <mergeCell ref="I135:J138"/>
    <mergeCell ref="A139:J139"/>
    <mergeCell ref="A140:J140"/>
    <mergeCell ref="A142:B142"/>
    <mergeCell ref="D135:E135"/>
    <mergeCell ref="A135:B135"/>
    <mergeCell ref="A145:B145"/>
    <mergeCell ref="D145:E145"/>
    <mergeCell ref="A146:B146"/>
    <mergeCell ref="D146:E146"/>
    <mergeCell ref="A147:B147"/>
    <mergeCell ref="D147:E147"/>
    <mergeCell ref="I141:J154"/>
    <mergeCell ref="G123:J123"/>
    <mergeCell ref="A132:B132"/>
    <mergeCell ref="A133:B133"/>
    <mergeCell ref="A130:B130"/>
    <mergeCell ref="A129:J129"/>
    <mergeCell ref="A131:B131"/>
    <mergeCell ref="D142:E142"/>
    <mergeCell ref="A143:B143"/>
    <mergeCell ref="D143:E143"/>
    <mergeCell ref="A136:B136"/>
    <mergeCell ref="D133:E133"/>
    <mergeCell ref="D136:E136"/>
    <mergeCell ref="D137:E137"/>
    <mergeCell ref="A124:F124"/>
    <mergeCell ref="G124:J124"/>
    <mergeCell ref="A125:J125"/>
    <mergeCell ref="A126:J126"/>
    <mergeCell ref="D130:E130"/>
    <mergeCell ref="D131:E131"/>
    <mergeCell ref="A123:F123"/>
    <mergeCell ref="D127:E127"/>
    <mergeCell ref="A128:J128"/>
    <mergeCell ref="I130:J133"/>
    <mergeCell ref="D132:E132"/>
    <mergeCell ref="A1:J1"/>
    <mergeCell ref="A113:J117"/>
    <mergeCell ref="A77:B77"/>
    <mergeCell ref="D77:E77"/>
    <mergeCell ref="A13:B13"/>
    <mergeCell ref="D65:E65"/>
    <mergeCell ref="A48:C48"/>
    <mergeCell ref="A10:E10"/>
    <mergeCell ref="F10:J10"/>
    <mergeCell ref="F39:J39"/>
    <mergeCell ref="C46:F46"/>
    <mergeCell ref="H46:J46"/>
    <mergeCell ref="C43:F43"/>
    <mergeCell ref="A33:J33"/>
    <mergeCell ref="C44:F44"/>
    <mergeCell ref="D76:E76"/>
    <mergeCell ref="A42:J42"/>
    <mergeCell ref="A45:B45"/>
    <mergeCell ref="A43:B43"/>
    <mergeCell ref="A47:J47"/>
    <mergeCell ref="A37:E37"/>
    <mergeCell ref="F37:J37"/>
    <mergeCell ref="C45:F45"/>
    <mergeCell ref="F41:J41"/>
    <mergeCell ref="G119:J119"/>
    <mergeCell ref="A121:F121"/>
    <mergeCell ref="A119:F119"/>
    <mergeCell ref="H73:J82"/>
    <mergeCell ref="A74:B74"/>
    <mergeCell ref="D74:E74"/>
    <mergeCell ref="A75:B75"/>
    <mergeCell ref="D75:E75"/>
    <mergeCell ref="A76:B76"/>
    <mergeCell ref="A118:J118"/>
    <mergeCell ref="A111:J111"/>
    <mergeCell ref="A112:J112"/>
    <mergeCell ref="A73:B73"/>
    <mergeCell ref="D73:E73"/>
    <mergeCell ref="A80:B80"/>
    <mergeCell ref="D80:E80"/>
    <mergeCell ref="A87:B87"/>
    <mergeCell ref="D87:E87"/>
    <mergeCell ref="F87:G96"/>
    <mergeCell ref="H87:J96"/>
    <mergeCell ref="A88:B88"/>
    <mergeCell ref="D88:E88"/>
    <mergeCell ref="A89:B89"/>
    <mergeCell ref="D89:E89"/>
    <mergeCell ref="A122:F122"/>
    <mergeCell ref="G122:J122"/>
    <mergeCell ref="G121:J121"/>
    <mergeCell ref="A127:B127"/>
    <mergeCell ref="A224:J224"/>
    <mergeCell ref="A225:J225"/>
    <mergeCell ref="A226:J226"/>
    <mergeCell ref="I127:J127"/>
    <mergeCell ref="A137:B137"/>
    <mergeCell ref="A221:J221"/>
    <mergeCell ref="A222:J222"/>
    <mergeCell ref="A219:J219"/>
    <mergeCell ref="A223:J223"/>
    <mergeCell ref="A220:J220"/>
    <mergeCell ref="D154:E154"/>
    <mergeCell ref="D144:E144"/>
    <mergeCell ref="D152:E152"/>
    <mergeCell ref="A152:B152"/>
    <mergeCell ref="A153:B153"/>
    <mergeCell ref="A138:B138"/>
    <mergeCell ref="D138:E138"/>
    <mergeCell ref="A141:B141"/>
    <mergeCell ref="D141:E141"/>
    <mergeCell ref="A144:B144"/>
    <mergeCell ref="I28:J28"/>
    <mergeCell ref="A29:J29"/>
    <mergeCell ref="A28:B28"/>
    <mergeCell ref="C28:D28"/>
    <mergeCell ref="A38:E38"/>
    <mergeCell ref="A31:B31"/>
    <mergeCell ref="A24:E24"/>
    <mergeCell ref="A25:E25"/>
    <mergeCell ref="F24:J24"/>
    <mergeCell ref="E27:F27"/>
    <mergeCell ref="C26:D26"/>
    <mergeCell ref="G26:H26"/>
    <mergeCell ref="E26:F26"/>
    <mergeCell ref="A26:B26"/>
    <mergeCell ref="C27:D27"/>
    <mergeCell ref="A27:B27"/>
    <mergeCell ref="F8:J8"/>
    <mergeCell ref="F11:J11"/>
    <mergeCell ref="A8:E8"/>
    <mergeCell ref="A17:B17"/>
    <mergeCell ref="A22:E22"/>
    <mergeCell ref="F9:J9"/>
    <mergeCell ref="A20:E21"/>
    <mergeCell ref="H17:J17"/>
    <mergeCell ref="F22:J22"/>
    <mergeCell ref="C13:J13"/>
    <mergeCell ref="A11:E11"/>
    <mergeCell ref="F17:G17"/>
    <mergeCell ref="A9:E9"/>
    <mergeCell ref="C17:E17"/>
    <mergeCell ref="A14:B14"/>
    <mergeCell ref="C14:E14"/>
    <mergeCell ref="A15:B15"/>
    <mergeCell ref="C15:E15"/>
    <mergeCell ref="A16:B16"/>
    <mergeCell ref="C16:E16"/>
    <mergeCell ref="F14:G14"/>
    <mergeCell ref="H14:J14"/>
    <mergeCell ref="F15:G15"/>
    <mergeCell ref="H15:J15"/>
    <mergeCell ref="A2:J2"/>
    <mergeCell ref="A3:E3"/>
    <mergeCell ref="F3:J3"/>
    <mergeCell ref="A4:E4"/>
    <mergeCell ref="F4:J4"/>
    <mergeCell ref="A6:E6"/>
    <mergeCell ref="H44:J44"/>
    <mergeCell ref="A34:J35"/>
    <mergeCell ref="I26:J26"/>
    <mergeCell ref="A12:E12"/>
    <mergeCell ref="F12:J12"/>
    <mergeCell ref="G27:H27"/>
    <mergeCell ref="F20:J21"/>
    <mergeCell ref="I27:J27"/>
    <mergeCell ref="F25:J25"/>
    <mergeCell ref="A18:E19"/>
    <mergeCell ref="F6:J6"/>
    <mergeCell ref="A5:E5"/>
    <mergeCell ref="F5:J5"/>
    <mergeCell ref="F18:J19"/>
    <mergeCell ref="A7:E7"/>
    <mergeCell ref="F7:J7"/>
    <mergeCell ref="F23:J23"/>
    <mergeCell ref="F38:J38"/>
    <mergeCell ref="H43:J43"/>
    <mergeCell ref="A72:B72"/>
    <mergeCell ref="A46:B46"/>
    <mergeCell ref="A55:J55"/>
    <mergeCell ref="D72:E72"/>
    <mergeCell ref="F72:G72"/>
    <mergeCell ref="H72:J72"/>
    <mergeCell ref="F58:G58"/>
    <mergeCell ref="A69:J69"/>
    <mergeCell ref="A70:B70"/>
    <mergeCell ref="D70:E70"/>
    <mergeCell ref="D66:E66"/>
    <mergeCell ref="A67:B67"/>
    <mergeCell ref="D67:E67"/>
    <mergeCell ref="A68:B68"/>
    <mergeCell ref="D68:E68"/>
    <mergeCell ref="D61:E61"/>
    <mergeCell ref="A62:B62"/>
    <mergeCell ref="D62:E62"/>
    <mergeCell ref="A63:B63"/>
    <mergeCell ref="D63:E63"/>
    <mergeCell ref="A64:B64"/>
    <mergeCell ref="D64:E64"/>
    <mergeCell ref="A54:C54"/>
    <mergeCell ref="A23:E23"/>
    <mergeCell ref="A32:B32"/>
    <mergeCell ref="F70:G70"/>
    <mergeCell ref="I70:J70"/>
    <mergeCell ref="A71:B71"/>
    <mergeCell ref="C71:J71"/>
    <mergeCell ref="A56:B56"/>
    <mergeCell ref="D56:E56"/>
    <mergeCell ref="F56:G56"/>
    <mergeCell ref="I56:J56"/>
    <mergeCell ref="A57:B57"/>
    <mergeCell ref="C57:J57"/>
    <mergeCell ref="A58:B58"/>
    <mergeCell ref="D58:E58"/>
    <mergeCell ref="H58:J58"/>
    <mergeCell ref="A59:B59"/>
    <mergeCell ref="D59:E59"/>
    <mergeCell ref="F59:G68"/>
    <mergeCell ref="H59:J68"/>
    <mergeCell ref="A60:B60"/>
    <mergeCell ref="D60:E60"/>
    <mergeCell ref="A61:B61"/>
    <mergeCell ref="A65:B65"/>
    <mergeCell ref="A66:B66"/>
    <mergeCell ref="A85:B85"/>
    <mergeCell ref="C85:J85"/>
    <mergeCell ref="A86:B86"/>
    <mergeCell ref="D86:E86"/>
    <mergeCell ref="F86:G86"/>
    <mergeCell ref="H86:J86"/>
    <mergeCell ref="A81:B81"/>
    <mergeCell ref="D81:E81"/>
    <mergeCell ref="A82:B82"/>
    <mergeCell ref="D82:E82"/>
    <mergeCell ref="A83:J83"/>
    <mergeCell ref="A84:B84"/>
    <mergeCell ref="D84:E84"/>
    <mergeCell ref="F84:G84"/>
    <mergeCell ref="I84:J84"/>
    <mergeCell ref="F73:G82"/>
    <mergeCell ref="A78:B78"/>
    <mergeCell ref="D78:E78"/>
    <mergeCell ref="A79:B79"/>
    <mergeCell ref="D79:E79"/>
    <mergeCell ref="A90:B90"/>
    <mergeCell ref="D90:E90"/>
    <mergeCell ref="A94:B94"/>
    <mergeCell ref="D94:E94"/>
    <mergeCell ref="A95:B95"/>
    <mergeCell ref="D95:E95"/>
    <mergeCell ref="A96:B96"/>
    <mergeCell ref="D96:E96"/>
    <mergeCell ref="A91:B91"/>
    <mergeCell ref="D91:E91"/>
    <mergeCell ref="A92:B92"/>
    <mergeCell ref="D92:E92"/>
    <mergeCell ref="A93:B93"/>
    <mergeCell ref="D93:E93"/>
    <mergeCell ref="A97:J97"/>
    <mergeCell ref="A98:B98"/>
    <mergeCell ref="D98:E98"/>
    <mergeCell ref="F98:G98"/>
    <mergeCell ref="I98:J98"/>
    <mergeCell ref="A99:B99"/>
    <mergeCell ref="C99:J99"/>
    <mergeCell ref="A100:B100"/>
    <mergeCell ref="D100:E100"/>
    <mergeCell ref="F100:G100"/>
    <mergeCell ref="H100:J100"/>
    <mergeCell ref="A120:F120"/>
    <mergeCell ref="G120:J120"/>
    <mergeCell ref="A101:B101"/>
    <mergeCell ref="D101:E101"/>
    <mergeCell ref="F101:G110"/>
    <mergeCell ref="H101:J110"/>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s>
  <phoneticPr fontId="0" type="noConversion"/>
  <hyperlinks>
    <hyperlink ref="C32" r:id="rId1"/>
  </hyperlinks>
  <pageMargins left="0.39370078740157483" right="0.39370078740157483" top="0.94488188976377963" bottom="0.74803149606299213" header="0.31496062992125984" footer="0.31496062992125984"/>
  <pageSetup fitToHeight="0" orientation="portrait" r:id="rId2"/>
  <headerFooter>
    <oddHeader>&amp;C&amp;G</oddHeader>
    <oddFooter>&amp;L&amp;"Times New Roman,Bold"Ref No: &amp;F&amp;C&amp;G&amp;R&amp;P</oddFooter>
  </headerFooter>
  <rowBreaks count="4" manualBreakCount="4">
    <brk id="68" max="16383" man="1"/>
    <brk id="96" max="16383" man="1"/>
    <brk id="229" max="16383" man="1"/>
    <brk id="27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x14ac:dyDescent="0.25">
      <c r="C2" s="6" t="s">
        <v>87</v>
      </c>
      <c r="D2" s="202"/>
      <c r="E2" s="202"/>
    </row>
    <row r="3" spans="2:13" x14ac:dyDescent="0.25">
      <c r="E3" s="5"/>
      <c r="F3" s="5"/>
      <c r="G3" s="5"/>
      <c r="H3" s="5"/>
      <c r="I3" s="5"/>
      <c r="J3" s="5"/>
    </row>
    <row r="4" spans="2:13" x14ac:dyDescent="0.25">
      <c r="B4" s="6" t="s">
        <v>88</v>
      </c>
      <c r="C4" s="4" t="s">
        <v>68</v>
      </c>
      <c r="D4" s="203" t="s">
        <v>69</v>
      </c>
      <c r="E4" s="203"/>
      <c r="F4" s="203"/>
      <c r="G4" s="7"/>
      <c r="H4" s="203" t="s">
        <v>70</v>
      </c>
      <c r="I4" s="203"/>
      <c r="J4" s="203"/>
      <c r="K4" s="203" t="s">
        <v>71</v>
      </c>
      <c r="L4" s="203"/>
      <c r="M4" s="203"/>
    </row>
    <row r="5" spans="2:13" x14ac:dyDescent="0.25">
      <c r="B5" s="6">
        <v>1</v>
      </c>
      <c r="C5" s="4"/>
      <c r="D5" s="4" t="s">
        <v>72</v>
      </c>
      <c r="E5" s="4" t="s">
        <v>73</v>
      </c>
      <c r="F5" s="4" t="s">
        <v>74</v>
      </c>
      <c r="G5" s="4"/>
      <c r="H5" s="4" t="s">
        <v>72</v>
      </c>
      <c r="I5" s="4" t="s">
        <v>73</v>
      </c>
      <c r="J5" s="4" t="s">
        <v>74</v>
      </c>
      <c r="K5" s="4" t="s">
        <v>72</v>
      </c>
      <c r="L5" s="4" t="s">
        <v>73</v>
      </c>
      <c r="M5" s="4" t="s">
        <v>74</v>
      </c>
    </row>
    <row r="6" spans="2:13" x14ac:dyDescent="0.25">
      <c r="C6" s="3" t="s">
        <v>75</v>
      </c>
      <c r="D6" s="3"/>
      <c r="E6" s="3"/>
      <c r="F6" s="3">
        <f>D6*E6</f>
        <v>0</v>
      </c>
      <c r="G6" s="3" t="s">
        <v>90</v>
      </c>
      <c r="H6" s="3"/>
      <c r="I6" s="3"/>
      <c r="J6" s="3">
        <f>H6*I6</f>
        <v>0</v>
      </c>
      <c r="K6" s="3"/>
      <c r="L6" s="3"/>
      <c r="M6" s="3">
        <f>K6*L6</f>
        <v>0</v>
      </c>
    </row>
    <row r="7" spans="2:13" x14ac:dyDescent="0.25">
      <c r="C7" s="3"/>
      <c r="D7" s="3"/>
      <c r="E7" s="3"/>
      <c r="F7" s="3">
        <f t="shared" ref="F7:F33" si="0">D7*E7</f>
        <v>0</v>
      </c>
      <c r="G7" s="3" t="s">
        <v>91</v>
      </c>
      <c r="H7" s="3"/>
      <c r="I7" s="3"/>
      <c r="J7" s="3">
        <f t="shared" ref="J7:J29" si="1">H7*I7</f>
        <v>0</v>
      </c>
      <c r="K7" s="3"/>
      <c r="L7" s="3"/>
      <c r="M7" s="3">
        <f t="shared" ref="M7:M29" si="2">K7*L7</f>
        <v>0</v>
      </c>
    </row>
    <row r="8" spans="2:13" x14ac:dyDescent="0.25">
      <c r="C8" s="3"/>
      <c r="D8" s="3"/>
      <c r="E8" s="3"/>
      <c r="F8" s="3">
        <f t="shared" si="0"/>
        <v>0</v>
      </c>
      <c r="G8" s="3"/>
      <c r="H8" s="3"/>
      <c r="I8" s="3"/>
      <c r="J8" s="3">
        <f t="shared" si="1"/>
        <v>0</v>
      </c>
      <c r="K8" s="3"/>
      <c r="L8" s="3"/>
      <c r="M8" s="3">
        <f t="shared" si="2"/>
        <v>0</v>
      </c>
    </row>
    <row r="9" spans="2:13" x14ac:dyDescent="0.25">
      <c r="C9" s="3" t="s">
        <v>78</v>
      </c>
      <c r="D9" s="3"/>
      <c r="E9" s="3"/>
      <c r="F9" s="3">
        <f t="shared" si="0"/>
        <v>0</v>
      </c>
      <c r="G9" s="3" t="s">
        <v>90</v>
      </c>
      <c r="H9" s="3"/>
      <c r="I9" s="3"/>
      <c r="J9" s="3">
        <f t="shared" si="1"/>
        <v>0</v>
      </c>
      <c r="K9" s="3"/>
      <c r="L9" s="3"/>
      <c r="M9" s="3">
        <f t="shared" si="2"/>
        <v>0</v>
      </c>
    </row>
    <row r="10" spans="2:13" x14ac:dyDescent="0.25">
      <c r="C10" s="3"/>
      <c r="D10" s="3"/>
      <c r="E10" s="3"/>
      <c r="F10" s="3">
        <f t="shared" si="0"/>
        <v>0</v>
      </c>
      <c r="G10" s="3" t="s">
        <v>91</v>
      </c>
      <c r="H10" s="3"/>
      <c r="I10" s="3"/>
      <c r="J10" s="3">
        <f t="shared" si="1"/>
        <v>0</v>
      </c>
      <c r="K10" s="3"/>
      <c r="L10" s="3"/>
      <c r="M10" s="3">
        <f t="shared" si="2"/>
        <v>0</v>
      </c>
    </row>
    <row r="11" spans="2:13" x14ac:dyDescent="0.25">
      <c r="C11" s="3"/>
      <c r="D11" s="3"/>
      <c r="E11" s="3"/>
      <c r="F11" s="3">
        <f t="shared" si="0"/>
        <v>0</v>
      </c>
      <c r="G11" s="3"/>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t="s">
        <v>76</v>
      </c>
      <c r="D13" s="3"/>
      <c r="E13" s="3"/>
      <c r="F13" s="3">
        <f t="shared" si="0"/>
        <v>0</v>
      </c>
      <c r="G13" s="3" t="s">
        <v>90</v>
      </c>
      <c r="H13" s="3"/>
      <c r="I13" s="3"/>
      <c r="J13" s="3">
        <f t="shared" si="1"/>
        <v>0</v>
      </c>
      <c r="K13" s="3"/>
      <c r="L13" s="3"/>
      <c r="M13" s="3">
        <f t="shared" si="2"/>
        <v>0</v>
      </c>
    </row>
    <row r="14" spans="2:13" x14ac:dyDescent="0.25">
      <c r="C14" s="3"/>
      <c r="D14" s="3"/>
      <c r="E14" s="3"/>
      <c r="F14" s="3">
        <f t="shared" si="0"/>
        <v>0</v>
      </c>
      <c r="G14" s="3" t="s">
        <v>91</v>
      </c>
      <c r="H14" s="3"/>
      <c r="I14" s="3"/>
      <c r="J14" s="3">
        <f t="shared" si="1"/>
        <v>0</v>
      </c>
      <c r="K14" s="3"/>
      <c r="L14" s="3"/>
      <c r="M14" s="3">
        <f t="shared" si="2"/>
        <v>0</v>
      </c>
    </row>
    <row r="15" spans="2:13" x14ac:dyDescent="0.25">
      <c r="C15" s="3"/>
      <c r="D15" s="3"/>
      <c r="E15" s="3"/>
      <c r="F15" s="3">
        <f t="shared" si="0"/>
        <v>0</v>
      </c>
      <c r="G15" s="3"/>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t="s">
        <v>77</v>
      </c>
      <c r="D17" s="3"/>
      <c r="E17" s="3"/>
      <c r="F17" s="3">
        <f t="shared" si="0"/>
        <v>0</v>
      </c>
      <c r="G17" s="3" t="s">
        <v>90</v>
      </c>
      <c r="H17" s="3"/>
      <c r="I17" s="3"/>
      <c r="J17" s="3">
        <f t="shared" si="1"/>
        <v>0</v>
      </c>
      <c r="K17" s="3"/>
      <c r="L17" s="3"/>
      <c r="M17" s="3">
        <f t="shared" si="2"/>
        <v>0</v>
      </c>
    </row>
    <row r="18" spans="3:13" x14ac:dyDescent="0.25">
      <c r="C18" s="3"/>
      <c r="D18" s="3"/>
      <c r="E18" s="3"/>
      <c r="F18" s="3">
        <f t="shared" si="0"/>
        <v>0</v>
      </c>
      <c r="G18" s="3" t="s">
        <v>91</v>
      </c>
      <c r="H18" s="3"/>
      <c r="I18" s="3"/>
      <c r="J18" s="3">
        <f t="shared" si="1"/>
        <v>0</v>
      </c>
      <c r="K18" s="3"/>
      <c r="L18" s="3"/>
      <c r="M18" s="3">
        <f t="shared" si="2"/>
        <v>0</v>
      </c>
    </row>
    <row r="19" spans="3:13" x14ac:dyDescent="0.25">
      <c r="C19" s="3"/>
      <c r="D19" s="3"/>
      <c r="E19" s="3"/>
      <c r="F19" s="3">
        <f t="shared" si="0"/>
        <v>0</v>
      </c>
      <c r="G19" s="3"/>
      <c r="H19" s="3"/>
      <c r="I19" s="3"/>
      <c r="J19" s="3">
        <f t="shared" si="1"/>
        <v>0</v>
      </c>
      <c r="K19" s="3"/>
      <c r="L19" s="3"/>
      <c r="M19" s="3">
        <f t="shared" si="2"/>
        <v>0</v>
      </c>
    </row>
    <row r="20" spans="3:13" x14ac:dyDescent="0.25">
      <c r="C20" s="3" t="s">
        <v>77</v>
      </c>
      <c r="D20" s="3"/>
      <c r="E20" s="3"/>
      <c r="F20" s="3">
        <f t="shared" si="0"/>
        <v>0</v>
      </c>
      <c r="G20" s="3" t="s">
        <v>90</v>
      </c>
      <c r="H20" s="3"/>
      <c r="I20" s="3"/>
      <c r="J20" s="3">
        <f t="shared" si="1"/>
        <v>0</v>
      </c>
      <c r="K20" s="3"/>
      <c r="L20" s="3"/>
      <c r="M20" s="3">
        <f t="shared" si="2"/>
        <v>0</v>
      </c>
    </row>
    <row r="21" spans="3:13" x14ac:dyDescent="0.25">
      <c r="C21" s="3"/>
      <c r="D21" s="3"/>
      <c r="E21" s="3"/>
      <c r="F21" s="3">
        <f t="shared" si="0"/>
        <v>0</v>
      </c>
      <c r="G21" s="3" t="s">
        <v>91</v>
      </c>
      <c r="H21" s="3"/>
      <c r="I21" s="3"/>
      <c r="J21" s="3">
        <f t="shared" si="1"/>
        <v>0</v>
      </c>
      <c r="K21" s="3"/>
      <c r="L21" s="3"/>
      <c r="M21" s="3">
        <f t="shared" si="2"/>
        <v>0</v>
      </c>
    </row>
    <row r="22" spans="3:13" x14ac:dyDescent="0.25">
      <c r="C22" s="3"/>
      <c r="D22" s="3"/>
      <c r="E22" s="3"/>
      <c r="F22" s="3">
        <f t="shared" si="0"/>
        <v>0</v>
      </c>
      <c r="G22" s="3"/>
      <c r="H22" s="3"/>
      <c r="I22" s="3"/>
      <c r="J22" s="3">
        <f t="shared" si="1"/>
        <v>0</v>
      </c>
      <c r="K22" s="3"/>
      <c r="L22" s="3"/>
      <c r="M22" s="3">
        <f t="shared" si="2"/>
        <v>0</v>
      </c>
    </row>
    <row r="23" spans="3:13" x14ac:dyDescent="0.25">
      <c r="C23" s="3" t="s">
        <v>83</v>
      </c>
      <c r="D23" s="3"/>
      <c r="E23" s="3"/>
      <c r="F23" s="3">
        <f t="shared" si="0"/>
        <v>0</v>
      </c>
      <c r="G23" s="3" t="s">
        <v>92</v>
      </c>
      <c r="H23" s="3"/>
      <c r="I23" s="3"/>
      <c r="J23" s="3">
        <f t="shared" si="1"/>
        <v>0</v>
      </c>
      <c r="K23" s="3"/>
      <c r="L23" s="3"/>
      <c r="M23" s="3">
        <f t="shared" si="2"/>
        <v>0</v>
      </c>
    </row>
    <row r="24" spans="3:13" x14ac:dyDescent="0.25">
      <c r="C24" s="3" t="s">
        <v>84</v>
      </c>
      <c r="D24" s="3"/>
      <c r="E24" s="3"/>
      <c r="F24" s="3">
        <f t="shared" si="0"/>
        <v>0</v>
      </c>
      <c r="G24" s="3" t="s">
        <v>92</v>
      </c>
      <c r="H24" s="3"/>
      <c r="I24" s="3"/>
      <c r="J24" s="3">
        <f t="shared" si="1"/>
        <v>0</v>
      </c>
      <c r="K24" s="3"/>
      <c r="L24" s="3"/>
      <c r="M24" s="3">
        <f t="shared" si="2"/>
        <v>0</v>
      </c>
    </row>
    <row r="25" spans="3:13" x14ac:dyDescent="0.25">
      <c r="C25" s="3" t="s">
        <v>85</v>
      </c>
      <c r="D25" s="3"/>
      <c r="E25" s="3"/>
      <c r="F25" s="3">
        <f t="shared" si="0"/>
        <v>0</v>
      </c>
      <c r="G25" s="3" t="s">
        <v>92</v>
      </c>
      <c r="H25" s="3"/>
      <c r="I25" s="3"/>
      <c r="J25" s="3">
        <f t="shared" si="1"/>
        <v>0</v>
      </c>
      <c r="K25" s="3"/>
      <c r="L25" s="3"/>
      <c r="M25" s="3">
        <f t="shared" si="2"/>
        <v>0</v>
      </c>
    </row>
    <row r="26" spans="3:13" x14ac:dyDescent="0.25">
      <c r="C26" s="3"/>
      <c r="D26" s="3"/>
      <c r="E26" s="3"/>
      <c r="F26" s="3">
        <f t="shared" si="0"/>
        <v>0</v>
      </c>
      <c r="G26" s="3"/>
      <c r="H26" s="3"/>
      <c r="I26" s="3"/>
      <c r="J26" s="3">
        <f t="shared" si="1"/>
        <v>0</v>
      </c>
      <c r="K26" s="3"/>
      <c r="L26" s="3"/>
      <c r="M26" s="3">
        <f t="shared" si="2"/>
        <v>0</v>
      </c>
    </row>
    <row r="27" spans="3:13" x14ac:dyDescent="0.25">
      <c r="C27" s="3" t="s">
        <v>79</v>
      </c>
      <c r="D27" s="3"/>
      <c r="E27" s="3"/>
      <c r="F27" s="3">
        <f t="shared" si="0"/>
        <v>0</v>
      </c>
      <c r="G27" s="3"/>
      <c r="H27" s="3"/>
      <c r="I27" s="3"/>
      <c r="J27" s="3">
        <f t="shared" si="1"/>
        <v>0</v>
      </c>
      <c r="K27" s="3"/>
      <c r="L27" s="3"/>
      <c r="M27" s="3">
        <f t="shared" si="2"/>
        <v>0</v>
      </c>
    </row>
    <row r="28" spans="3:13" x14ac:dyDescent="0.25">
      <c r="C28" s="3" t="s">
        <v>80</v>
      </c>
      <c r="D28" s="3"/>
      <c r="E28" s="3"/>
      <c r="F28" s="3">
        <f t="shared" si="0"/>
        <v>0</v>
      </c>
      <c r="G28" s="3"/>
      <c r="H28" s="3"/>
      <c r="I28" s="3"/>
      <c r="J28" s="3">
        <f t="shared" si="1"/>
        <v>0</v>
      </c>
      <c r="K28" s="3"/>
      <c r="L28" s="3"/>
      <c r="M28" s="3">
        <f t="shared" si="2"/>
        <v>0</v>
      </c>
    </row>
    <row r="29" spans="3:13" x14ac:dyDescent="0.25">
      <c r="C29" s="3" t="s">
        <v>81</v>
      </c>
      <c r="D29" s="3"/>
      <c r="E29" s="3"/>
      <c r="F29" s="3">
        <f t="shared" si="0"/>
        <v>0</v>
      </c>
      <c r="G29" s="3"/>
      <c r="H29" s="3"/>
      <c r="I29" s="3"/>
      <c r="J29" s="3">
        <f t="shared" si="1"/>
        <v>0</v>
      </c>
      <c r="K29" s="3"/>
      <c r="L29" s="3"/>
      <c r="M29" s="3">
        <f t="shared" si="2"/>
        <v>0</v>
      </c>
    </row>
    <row r="30" spans="3:13" x14ac:dyDescent="0.25">
      <c r="C30" s="3" t="s">
        <v>82</v>
      </c>
      <c r="D30" s="3"/>
      <c r="E30" s="3"/>
      <c r="F30" s="3">
        <f t="shared" si="0"/>
        <v>0</v>
      </c>
      <c r="G30" s="3"/>
      <c r="H30" s="3"/>
      <c r="I30" s="3"/>
      <c r="J30" s="3">
        <f>H30*I30</f>
        <v>0</v>
      </c>
      <c r="K30" s="3"/>
      <c r="L30" s="3"/>
      <c r="M30" s="3">
        <f>K30*L30</f>
        <v>0</v>
      </c>
    </row>
    <row r="31" spans="3:13" x14ac:dyDescent="0.25">
      <c r="C31" s="3"/>
      <c r="D31" s="3"/>
      <c r="E31" s="3"/>
      <c r="F31" s="3">
        <f t="shared" si="0"/>
        <v>0</v>
      </c>
      <c r="G31" s="3"/>
      <c r="H31" s="3"/>
      <c r="I31" s="3"/>
      <c r="J31" s="3">
        <f>H31*I31</f>
        <v>0</v>
      </c>
      <c r="K31" s="3"/>
      <c r="L31" s="3"/>
      <c r="M31" s="3">
        <f>K31*L31</f>
        <v>0</v>
      </c>
    </row>
    <row r="32" spans="3:13" x14ac:dyDescent="0.25">
      <c r="C32" s="3"/>
      <c r="D32" s="3"/>
      <c r="E32" s="3"/>
      <c r="F32" s="3">
        <f t="shared" si="0"/>
        <v>0</v>
      </c>
      <c r="G32" s="3"/>
      <c r="H32" s="3"/>
      <c r="I32" s="3"/>
      <c r="J32" s="3">
        <f>H32*I32</f>
        <v>0</v>
      </c>
      <c r="K32" s="3"/>
      <c r="L32" s="3"/>
      <c r="M32" s="3">
        <f>K32*L32</f>
        <v>0</v>
      </c>
    </row>
    <row r="33" spans="3:13" x14ac:dyDescent="0.25">
      <c r="C33" s="3"/>
      <c r="D33" s="3"/>
      <c r="E33" s="3"/>
      <c r="F33" s="3">
        <f t="shared" si="0"/>
        <v>0</v>
      </c>
      <c r="G33" s="3"/>
      <c r="H33" s="3"/>
      <c r="I33" s="3"/>
      <c r="J33" s="3">
        <f>H33*I33</f>
        <v>0</v>
      </c>
      <c r="K33" s="3"/>
      <c r="L33" s="3"/>
      <c r="M33" s="3">
        <f>K33*L33</f>
        <v>0</v>
      </c>
    </row>
    <row r="34" spans="3:13" x14ac:dyDescent="0.25">
      <c r="C34" s="3" t="s">
        <v>86</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9" workbookViewId="0">
      <selection activeCell="E24" sqref="E24"/>
    </sheetView>
  </sheetViews>
  <sheetFormatPr defaultRowHeight="15" x14ac:dyDescent="0.25"/>
  <cols>
    <col min="2" max="2" width="11.7109375" customWidth="1"/>
  </cols>
  <sheetData>
    <row r="2" spans="1:15" x14ac:dyDescent="0.25">
      <c r="A2" t="s">
        <v>100</v>
      </c>
      <c r="B2" s="10" t="s">
        <v>120</v>
      </c>
      <c r="C2" s="10">
        <v>2</v>
      </c>
    </row>
    <row r="3" spans="1:15" x14ac:dyDescent="0.25">
      <c r="B3" t="s">
        <v>101</v>
      </c>
      <c r="C3" t="s">
        <v>102</v>
      </c>
    </row>
    <row r="4" spans="1:15" x14ac:dyDescent="0.25">
      <c r="A4" t="s">
        <v>103</v>
      </c>
      <c r="B4" s="3">
        <v>10</v>
      </c>
      <c r="C4" s="3">
        <v>5</v>
      </c>
      <c r="E4" s="14">
        <f>(100/B4)*C4</f>
        <v>50</v>
      </c>
    </row>
    <row r="5" spans="1:15" x14ac:dyDescent="0.25">
      <c r="A5" t="s">
        <v>104</v>
      </c>
      <c r="B5" t="s">
        <v>105</v>
      </c>
      <c r="C5" t="s">
        <v>106</v>
      </c>
      <c r="E5" s="16">
        <f>(100/B6)*C6</f>
        <v>0</v>
      </c>
      <c r="I5" s="3" t="s">
        <v>107</v>
      </c>
      <c r="J5" s="3" t="s">
        <v>108</v>
      </c>
      <c r="K5" s="3" t="s">
        <v>109</v>
      </c>
      <c r="L5" s="3" t="s">
        <v>36</v>
      </c>
      <c r="M5" s="3" t="s">
        <v>39</v>
      </c>
      <c r="N5" s="3" t="s">
        <v>110</v>
      </c>
      <c r="O5" s="3" t="s">
        <v>40</v>
      </c>
    </row>
    <row r="6" spans="1:15" x14ac:dyDescent="0.25">
      <c r="B6" s="3">
        <f>C2+1</f>
        <v>3</v>
      </c>
      <c r="C6" s="3">
        <v>0</v>
      </c>
      <c r="E6" s="16">
        <f>(100/B8)*C8</f>
        <v>0</v>
      </c>
      <c r="F6" s="11" t="s">
        <v>111</v>
      </c>
      <c r="I6" s="11">
        <f>C4</f>
        <v>5</v>
      </c>
      <c r="J6" s="11">
        <f>40/B6*C6</f>
        <v>0</v>
      </c>
      <c r="K6" s="11">
        <f>15/B8*C8</f>
        <v>0</v>
      </c>
      <c r="L6" s="11">
        <f>10/B10*C10</f>
        <v>0</v>
      </c>
      <c r="M6" s="11">
        <f>10/B12*C12</f>
        <v>0</v>
      </c>
      <c r="N6" s="11">
        <f>5/B14*C14</f>
        <v>0</v>
      </c>
      <c r="O6" s="11">
        <f>5/B16*C16</f>
        <v>0</v>
      </c>
    </row>
    <row r="7" spans="1:15" x14ac:dyDescent="0.25">
      <c r="A7" t="s">
        <v>112</v>
      </c>
      <c r="B7" t="s">
        <v>113</v>
      </c>
      <c r="C7" t="s">
        <v>114</v>
      </c>
      <c r="E7" s="16">
        <f>(100/B10)*C10</f>
        <v>0</v>
      </c>
      <c r="F7" s="3" t="s">
        <v>115</v>
      </c>
      <c r="G7" s="3"/>
      <c r="H7" s="3"/>
      <c r="I7" s="3">
        <f>I6+20</f>
        <v>25</v>
      </c>
      <c r="J7" s="3">
        <f>30/B6*C6</f>
        <v>0</v>
      </c>
      <c r="K7" s="3">
        <f>15/B8*C8</f>
        <v>0</v>
      </c>
      <c r="L7" s="3">
        <f>10/B10*C10</f>
        <v>0</v>
      </c>
      <c r="M7" s="3">
        <f>5/B12*C12</f>
        <v>0</v>
      </c>
      <c r="N7" s="3">
        <f>5/B14*C14</f>
        <v>0</v>
      </c>
      <c r="O7" s="3">
        <f>5/B16*C16</f>
        <v>0</v>
      </c>
    </row>
    <row r="8" spans="1:15" x14ac:dyDescent="0.25">
      <c r="B8" s="3">
        <f>C2</f>
        <v>2</v>
      </c>
      <c r="C8" s="3">
        <v>0</v>
      </c>
      <c r="E8" s="16">
        <f>(100/B12)*C12</f>
        <v>0</v>
      </c>
    </row>
    <row r="9" spans="1:15" x14ac:dyDescent="0.25">
      <c r="A9" t="s">
        <v>116</v>
      </c>
      <c r="B9" t="s">
        <v>113</v>
      </c>
      <c r="C9" t="s">
        <v>114</v>
      </c>
      <c r="E9" s="16">
        <f>(100/B14)*C14</f>
        <v>0</v>
      </c>
    </row>
    <row r="10" spans="1:15" x14ac:dyDescent="0.25">
      <c r="B10" s="3">
        <f>C2</f>
        <v>2</v>
      </c>
      <c r="C10" s="3">
        <v>0</v>
      </c>
      <c r="E10" s="16">
        <f>(100/B16)*C16</f>
        <v>0</v>
      </c>
    </row>
    <row r="11" spans="1:15" x14ac:dyDescent="0.25">
      <c r="A11" t="s">
        <v>39</v>
      </c>
      <c r="B11" t="s">
        <v>113</v>
      </c>
      <c r="C11" t="s">
        <v>114</v>
      </c>
    </row>
    <row r="12" spans="1:15" x14ac:dyDescent="0.25">
      <c r="B12" s="3">
        <f>C2</f>
        <v>2</v>
      </c>
      <c r="C12" s="3">
        <v>0</v>
      </c>
      <c r="I12" s="3"/>
      <c r="J12" s="3" t="s">
        <v>111</v>
      </c>
      <c r="K12" s="3" t="s">
        <v>117</v>
      </c>
      <c r="L12" t="s">
        <v>118</v>
      </c>
    </row>
    <row r="13" spans="1:15" ht="30" x14ac:dyDescent="0.25">
      <c r="A13" s="12" t="s">
        <v>110</v>
      </c>
      <c r="B13" t="s">
        <v>113</v>
      </c>
      <c r="C13" t="s">
        <v>114</v>
      </c>
      <c r="I13" s="3" t="s">
        <v>34</v>
      </c>
      <c r="J13" s="3">
        <f>I6</f>
        <v>5</v>
      </c>
      <c r="K13" s="3">
        <f>I7</f>
        <v>25</v>
      </c>
      <c r="L13" t="s">
        <v>118</v>
      </c>
    </row>
    <row r="14" spans="1:15" x14ac:dyDescent="0.25">
      <c r="B14" s="3">
        <f>C2</f>
        <v>2</v>
      </c>
      <c r="C14" s="3">
        <v>0</v>
      </c>
      <c r="I14" s="3" t="s">
        <v>35</v>
      </c>
      <c r="J14" s="3">
        <f>J6</f>
        <v>0</v>
      </c>
      <c r="K14" s="3">
        <f>J7</f>
        <v>0</v>
      </c>
    </row>
    <row r="15" spans="1:15" x14ac:dyDescent="0.25">
      <c r="A15" t="s">
        <v>40</v>
      </c>
      <c r="B15" t="s">
        <v>113</v>
      </c>
      <c r="C15" t="s">
        <v>114</v>
      </c>
      <c r="I15" s="3" t="s">
        <v>109</v>
      </c>
      <c r="J15" s="3">
        <f>K6</f>
        <v>0</v>
      </c>
      <c r="K15" s="3">
        <f>K7</f>
        <v>0</v>
      </c>
    </row>
    <row r="16" spans="1:15" x14ac:dyDescent="0.25">
      <c r="B16" s="3">
        <f>C2</f>
        <v>2</v>
      </c>
      <c r="C16" s="3">
        <v>0</v>
      </c>
      <c r="I16" s="3" t="s">
        <v>36</v>
      </c>
      <c r="J16" s="3">
        <f>L6</f>
        <v>0</v>
      </c>
      <c r="K16" s="3">
        <f>L7</f>
        <v>0</v>
      </c>
    </row>
    <row r="17" spans="9:11" x14ac:dyDescent="0.25">
      <c r="I17" s="3" t="s">
        <v>39</v>
      </c>
      <c r="J17" s="3">
        <f>M6</f>
        <v>0</v>
      </c>
      <c r="K17" s="3">
        <f>M7</f>
        <v>0</v>
      </c>
    </row>
    <row r="18" spans="9:11" ht="30" x14ac:dyDescent="0.25">
      <c r="I18" s="13" t="s">
        <v>110</v>
      </c>
      <c r="J18" s="3">
        <f>N6</f>
        <v>0</v>
      </c>
      <c r="K18" s="3">
        <f>N7</f>
        <v>0</v>
      </c>
    </row>
    <row r="19" spans="9:11" x14ac:dyDescent="0.25">
      <c r="I19" s="3" t="s">
        <v>40</v>
      </c>
      <c r="J19" s="3">
        <f>O6</f>
        <v>0</v>
      </c>
      <c r="K19" s="3">
        <f>O7</f>
        <v>0</v>
      </c>
    </row>
    <row r="20" spans="9:11" x14ac:dyDescent="0.25">
      <c r="I20" s="3" t="s">
        <v>119</v>
      </c>
      <c r="J20" s="15">
        <f>J13+J14+J15+J16+J17+J18+J19</f>
        <v>5</v>
      </c>
      <c r="K20" s="15">
        <f>K13+K14+K15+K16+K17+K18+K19</f>
        <v>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9"/>
  <sheetViews>
    <sheetView topLeftCell="A2" workbookViewId="0">
      <selection activeCell="C7" sqref="C7"/>
    </sheetView>
  </sheetViews>
  <sheetFormatPr defaultRowHeight="15" x14ac:dyDescent="0.25"/>
  <cols>
    <col min="2" max="2" width="11.7109375" customWidth="1"/>
  </cols>
  <sheetData>
    <row r="2" spans="1:15" x14ac:dyDescent="0.25">
      <c r="A2" t="s">
        <v>100</v>
      </c>
      <c r="B2" s="10" t="s">
        <v>120</v>
      </c>
      <c r="C2" s="10">
        <v>2</v>
      </c>
    </row>
    <row r="3" spans="1:15" x14ac:dyDescent="0.25">
      <c r="B3" t="s">
        <v>101</v>
      </c>
      <c r="C3" t="s">
        <v>102</v>
      </c>
    </row>
    <row r="4" spans="1:15" x14ac:dyDescent="0.25">
      <c r="A4" t="s">
        <v>103</v>
      </c>
      <c r="B4" s="3">
        <v>10</v>
      </c>
      <c r="C4" s="3">
        <v>10</v>
      </c>
      <c r="E4" s="14">
        <f>(100/B4)*C4</f>
        <v>100</v>
      </c>
    </row>
    <row r="5" spans="1:15" x14ac:dyDescent="0.25">
      <c r="A5" t="s">
        <v>104</v>
      </c>
      <c r="B5" t="s">
        <v>105</v>
      </c>
      <c r="C5" t="s">
        <v>106</v>
      </c>
      <c r="E5" s="16">
        <f>(100/B6)*C6</f>
        <v>33.333333333333336</v>
      </c>
      <c r="I5" s="3" t="s">
        <v>107</v>
      </c>
      <c r="J5" s="3" t="s">
        <v>108</v>
      </c>
      <c r="K5" s="3" t="s">
        <v>109</v>
      </c>
      <c r="L5" s="3" t="s">
        <v>36</v>
      </c>
      <c r="M5" s="3" t="s">
        <v>39</v>
      </c>
      <c r="N5" s="3" t="s">
        <v>110</v>
      </c>
      <c r="O5" s="3" t="s">
        <v>40</v>
      </c>
    </row>
    <row r="6" spans="1:15" x14ac:dyDescent="0.25">
      <c r="B6" s="3">
        <f>C2+1</f>
        <v>3</v>
      </c>
      <c r="C6" s="3">
        <v>1</v>
      </c>
      <c r="E6" s="16">
        <f>(100/B8)*C8</f>
        <v>0</v>
      </c>
      <c r="F6" s="11" t="s">
        <v>111</v>
      </c>
      <c r="I6" s="11">
        <f>C4</f>
        <v>10</v>
      </c>
      <c r="J6" s="11">
        <f>40/B6*C6</f>
        <v>13.333333333333334</v>
      </c>
      <c r="K6" s="11">
        <f>15/B8*C8</f>
        <v>0</v>
      </c>
      <c r="L6" s="11">
        <f>10/B10*C10</f>
        <v>0</v>
      </c>
      <c r="M6" s="11">
        <f>10/B12*C12</f>
        <v>0</v>
      </c>
      <c r="N6" s="11">
        <f>5/B14*C14</f>
        <v>0</v>
      </c>
      <c r="O6" s="11">
        <f>5/B16*C16</f>
        <v>0</v>
      </c>
    </row>
    <row r="7" spans="1:15" x14ac:dyDescent="0.25">
      <c r="A7" t="s">
        <v>112</v>
      </c>
      <c r="B7" t="s">
        <v>113</v>
      </c>
      <c r="C7" t="s">
        <v>114</v>
      </c>
      <c r="E7" s="16">
        <f>(100/B10)*C10</f>
        <v>0</v>
      </c>
      <c r="F7" s="3" t="s">
        <v>115</v>
      </c>
      <c r="G7" s="3"/>
      <c r="H7" s="3"/>
      <c r="I7" s="3">
        <f>I6+20</f>
        <v>30</v>
      </c>
      <c r="J7" s="3">
        <f>30/B6*C6</f>
        <v>10</v>
      </c>
      <c r="K7" s="3">
        <f>15/B8*C8</f>
        <v>0</v>
      </c>
      <c r="L7" s="3">
        <f>10/B10*C10</f>
        <v>0</v>
      </c>
      <c r="M7" s="3">
        <f>5/B12*C12</f>
        <v>0</v>
      </c>
      <c r="N7" s="3">
        <f>5/B14*C14</f>
        <v>0</v>
      </c>
      <c r="O7" s="3">
        <f>5/B16*C16</f>
        <v>0</v>
      </c>
    </row>
    <row r="8" spans="1:15" x14ac:dyDescent="0.25">
      <c r="B8" s="3">
        <f>C2</f>
        <v>2</v>
      </c>
      <c r="C8" s="3">
        <v>0</v>
      </c>
      <c r="E8" s="16">
        <f>(100/B12)*C12</f>
        <v>0</v>
      </c>
    </row>
    <row r="9" spans="1:15" x14ac:dyDescent="0.25">
      <c r="A9" t="s">
        <v>116</v>
      </c>
      <c r="B9" t="s">
        <v>113</v>
      </c>
      <c r="C9" t="s">
        <v>114</v>
      </c>
      <c r="E9" s="16">
        <f>(100/B14)*C14</f>
        <v>0</v>
      </c>
    </row>
    <row r="10" spans="1:15" x14ac:dyDescent="0.25">
      <c r="B10" s="3">
        <f>C2</f>
        <v>2</v>
      </c>
      <c r="C10" s="3">
        <v>0</v>
      </c>
      <c r="E10" s="16">
        <f>(100/B16)*C16</f>
        <v>0</v>
      </c>
    </row>
    <row r="11" spans="1:15" x14ac:dyDescent="0.25">
      <c r="A11" t="s">
        <v>39</v>
      </c>
      <c r="B11" t="s">
        <v>113</v>
      </c>
      <c r="C11" t="s">
        <v>114</v>
      </c>
    </row>
    <row r="12" spans="1:15" x14ac:dyDescent="0.25">
      <c r="B12" s="3">
        <f>C2</f>
        <v>2</v>
      </c>
      <c r="C12" s="3">
        <v>0</v>
      </c>
      <c r="I12" s="3"/>
      <c r="J12" s="3" t="s">
        <v>111</v>
      </c>
      <c r="K12" s="3" t="s">
        <v>117</v>
      </c>
      <c r="L12" t="s">
        <v>118</v>
      </c>
    </row>
    <row r="13" spans="1:15" ht="30" x14ac:dyDescent="0.25">
      <c r="A13" s="12" t="s">
        <v>110</v>
      </c>
      <c r="B13" t="s">
        <v>113</v>
      </c>
      <c r="C13" t="s">
        <v>114</v>
      </c>
      <c r="I13" s="3" t="s">
        <v>34</v>
      </c>
      <c r="J13" s="3">
        <f>I6</f>
        <v>10</v>
      </c>
      <c r="K13" s="3">
        <f>I7</f>
        <v>30</v>
      </c>
      <c r="L13" t="s">
        <v>118</v>
      </c>
    </row>
    <row r="14" spans="1:15" x14ac:dyDescent="0.25">
      <c r="B14" s="3">
        <f>C2</f>
        <v>2</v>
      </c>
      <c r="C14" s="3">
        <v>0</v>
      </c>
      <c r="I14" s="3" t="s">
        <v>35</v>
      </c>
      <c r="J14" s="3">
        <f>J6</f>
        <v>13.333333333333334</v>
      </c>
      <c r="K14" s="3">
        <f>J7</f>
        <v>10</v>
      </c>
    </row>
    <row r="15" spans="1:15" x14ac:dyDescent="0.25">
      <c r="A15" t="s">
        <v>40</v>
      </c>
      <c r="B15" t="s">
        <v>113</v>
      </c>
      <c r="C15" t="s">
        <v>114</v>
      </c>
      <c r="I15" s="3" t="s">
        <v>109</v>
      </c>
      <c r="J15" s="3">
        <f>K6</f>
        <v>0</v>
      </c>
      <c r="K15" s="3">
        <f>K7</f>
        <v>0</v>
      </c>
    </row>
    <row r="16" spans="1:15" x14ac:dyDescent="0.25">
      <c r="B16" s="3">
        <f>C2</f>
        <v>2</v>
      </c>
      <c r="C16" s="3">
        <v>0</v>
      </c>
      <c r="I16" s="3" t="s">
        <v>36</v>
      </c>
      <c r="J16" s="3">
        <f>L6</f>
        <v>0</v>
      </c>
      <c r="K16" s="3">
        <f>L7</f>
        <v>0</v>
      </c>
    </row>
    <row r="17" spans="1:11" x14ac:dyDescent="0.25">
      <c r="I17" s="3" t="s">
        <v>39</v>
      </c>
      <c r="J17" s="3">
        <f>M6</f>
        <v>0</v>
      </c>
      <c r="K17" s="3">
        <f>M7</f>
        <v>0</v>
      </c>
    </row>
    <row r="18" spans="1:11" ht="30" x14ac:dyDescent="0.25">
      <c r="I18" s="13" t="s">
        <v>110</v>
      </c>
      <c r="J18" s="3">
        <f>N6</f>
        <v>0</v>
      </c>
      <c r="K18" s="3">
        <f>N7</f>
        <v>0</v>
      </c>
    </row>
    <row r="19" spans="1:11" x14ac:dyDescent="0.25">
      <c r="I19" s="3" t="s">
        <v>40</v>
      </c>
      <c r="J19" s="3">
        <f>O6</f>
        <v>0</v>
      </c>
      <c r="K19" s="3">
        <f>O7</f>
        <v>0</v>
      </c>
    </row>
    <row r="20" spans="1:11" x14ac:dyDescent="0.25">
      <c r="I20" s="3" t="s">
        <v>119</v>
      </c>
      <c r="J20" s="15">
        <f>J13+J14+J15+J16+J17+J18+J19</f>
        <v>23.333333333333336</v>
      </c>
      <c r="K20" s="15">
        <f>K13+K14+K15+K16+K17+K18+K19</f>
        <v>40</v>
      </c>
    </row>
    <row r="23" spans="1:11" ht="15.75" x14ac:dyDescent="0.25">
      <c r="A23" s="18"/>
      <c r="B23" s="19"/>
      <c r="C23" s="20"/>
    </row>
    <row r="24" spans="1:11" x14ac:dyDescent="0.25">
      <c r="A24" s="21" t="s">
        <v>174</v>
      </c>
      <c r="C24" s="22">
        <v>0.01</v>
      </c>
      <c r="D24" s="23">
        <v>0.02</v>
      </c>
    </row>
    <row r="25" spans="1:11" x14ac:dyDescent="0.25">
      <c r="A25" s="21" t="s">
        <v>175</v>
      </c>
      <c r="C25" s="22">
        <v>0.02</v>
      </c>
      <c r="D25" s="23">
        <v>0.04</v>
      </c>
    </row>
    <row r="26" spans="1:11" x14ac:dyDescent="0.25">
      <c r="A26" s="21" t="s">
        <v>176</v>
      </c>
      <c r="C26" s="22">
        <v>0.04</v>
      </c>
      <c r="D26" s="23">
        <v>0.08</v>
      </c>
    </row>
    <row r="27" spans="1:11" x14ac:dyDescent="0.25">
      <c r="A27" s="21" t="s">
        <v>177</v>
      </c>
      <c r="C27" s="22">
        <v>0.05</v>
      </c>
      <c r="D27" s="23">
        <v>0.15</v>
      </c>
    </row>
    <row r="28" spans="1:11" x14ac:dyDescent="0.25">
      <c r="A28" s="21" t="s">
        <v>178</v>
      </c>
      <c r="C28" s="22">
        <v>7.0000000000000007E-2</v>
      </c>
      <c r="D28" s="23">
        <v>0.2</v>
      </c>
    </row>
    <row r="29" spans="1:11" ht="15.75" thickBot="1" x14ac:dyDescent="0.3">
      <c r="A29" s="24" t="s">
        <v>179</v>
      </c>
      <c r="C29" s="25">
        <v>0.1</v>
      </c>
      <c r="D29" s="26">
        <v>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RowHeight="15" x14ac:dyDescent="0.25"/>
  <cols>
    <col min="2" max="2" width="11.7109375" customWidth="1"/>
  </cols>
  <sheetData>
    <row r="2" spans="1:15" x14ac:dyDescent="0.25">
      <c r="A2" t="s">
        <v>100</v>
      </c>
      <c r="B2" s="10" t="s">
        <v>120</v>
      </c>
      <c r="C2" s="10">
        <v>3</v>
      </c>
    </row>
    <row r="3" spans="1:15" x14ac:dyDescent="0.25">
      <c r="B3" t="s">
        <v>101</v>
      </c>
      <c r="C3" t="s">
        <v>102</v>
      </c>
    </row>
    <row r="4" spans="1:15" x14ac:dyDescent="0.25">
      <c r="A4" t="s">
        <v>103</v>
      </c>
      <c r="B4" s="3">
        <v>10</v>
      </c>
      <c r="C4" s="3">
        <v>10</v>
      </c>
      <c r="E4" s="14">
        <f>(100/B4)*C4</f>
        <v>100</v>
      </c>
    </row>
    <row r="5" spans="1:15" x14ac:dyDescent="0.25">
      <c r="A5" t="s">
        <v>104</v>
      </c>
      <c r="B5" t="s">
        <v>105</v>
      </c>
      <c r="C5" t="s">
        <v>106</v>
      </c>
      <c r="E5" s="16">
        <f>(100/B6)*C6</f>
        <v>100</v>
      </c>
      <c r="I5" s="3" t="s">
        <v>107</v>
      </c>
      <c r="J5" s="3" t="s">
        <v>108</v>
      </c>
      <c r="K5" s="3" t="s">
        <v>109</v>
      </c>
      <c r="L5" s="3" t="s">
        <v>36</v>
      </c>
      <c r="M5" s="3" t="s">
        <v>39</v>
      </c>
      <c r="N5" s="3" t="s">
        <v>110</v>
      </c>
      <c r="O5" s="3" t="s">
        <v>40</v>
      </c>
    </row>
    <row r="6" spans="1:15" x14ac:dyDescent="0.25">
      <c r="B6" s="3">
        <f>C2+1</f>
        <v>4</v>
      </c>
      <c r="C6" s="3">
        <v>4</v>
      </c>
      <c r="E6" s="16">
        <f>(100/B8)*C8</f>
        <v>100</v>
      </c>
      <c r="F6" s="11" t="s">
        <v>111</v>
      </c>
      <c r="I6" s="11">
        <f>C4</f>
        <v>10</v>
      </c>
      <c r="J6" s="11">
        <f>40/B6*C6</f>
        <v>40</v>
      </c>
      <c r="K6" s="11">
        <f>15/B8*C8</f>
        <v>15</v>
      </c>
      <c r="L6" s="11">
        <f>10/B10*C10</f>
        <v>3.3333333333333335</v>
      </c>
      <c r="M6" s="11">
        <f>10/B12*C12</f>
        <v>0</v>
      </c>
      <c r="N6" s="11">
        <f>5/B14*C14</f>
        <v>0</v>
      </c>
      <c r="O6" s="11">
        <f>5/B16*C16</f>
        <v>0</v>
      </c>
    </row>
    <row r="7" spans="1:15" x14ac:dyDescent="0.25">
      <c r="A7" t="s">
        <v>112</v>
      </c>
      <c r="B7" t="s">
        <v>113</v>
      </c>
      <c r="C7" t="s">
        <v>114</v>
      </c>
      <c r="E7" s="16">
        <f>(100/B10)*C10</f>
        <v>33.333333333333336</v>
      </c>
      <c r="F7" s="3" t="s">
        <v>115</v>
      </c>
      <c r="G7" s="3"/>
      <c r="H7" s="3"/>
      <c r="I7" s="3">
        <f>I6+20</f>
        <v>30</v>
      </c>
      <c r="J7" s="3">
        <f>30/B6*C6</f>
        <v>30</v>
      </c>
      <c r="K7" s="3">
        <f>15/B8*C8</f>
        <v>15</v>
      </c>
      <c r="L7" s="3">
        <f>10/B10*C10</f>
        <v>3.3333333333333335</v>
      </c>
      <c r="M7" s="3">
        <f>5/B12*C12</f>
        <v>0</v>
      </c>
      <c r="N7" s="3">
        <f>5/B14*C14</f>
        <v>0</v>
      </c>
      <c r="O7" s="3">
        <f>5/B16*C16</f>
        <v>0</v>
      </c>
    </row>
    <row r="8" spans="1:15" x14ac:dyDescent="0.25">
      <c r="B8" s="3">
        <f>C2</f>
        <v>3</v>
      </c>
      <c r="C8" s="3">
        <v>3</v>
      </c>
      <c r="E8" s="16">
        <f>(100/B12)*C12</f>
        <v>0</v>
      </c>
    </row>
    <row r="9" spans="1:15" x14ac:dyDescent="0.25">
      <c r="A9" t="s">
        <v>116</v>
      </c>
      <c r="B9" t="s">
        <v>113</v>
      </c>
      <c r="C9" t="s">
        <v>114</v>
      </c>
      <c r="E9" s="16">
        <f>(100/B14)*C14</f>
        <v>0</v>
      </c>
    </row>
    <row r="10" spans="1:15" x14ac:dyDescent="0.25">
      <c r="B10" s="3">
        <f>C2</f>
        <v>3</v>
      </c>
      <c r="C10" s="3">
        <f>2/2</f>
        <v>1</v>
      </c>
      <c r="E10" s="16">
        <f>(100/B16)*C16</f>
        <v>0</v>
      </c>
    </row>
    <row r="11" spans="1:15" x14ac:dyDescent="0.25">
      <c r="A11" t="s">
        <v>39</v>
      </c>
      <c r="B11" t="s">
        <v>113</v>
      </c>
      <c r="C11" t="s">
        <v>114</v>
      </c>
    </row>
    <row r="12" spans="1:15" x14ac:dyDescent="0.25">
      <c r="B12" s="3">
        <f>C2</f>
        <v>3</v>
      </c>
      <c r="C12" s="3">
        <v>0</v>
      </c>
      <c r="I12" s="3"/>
      <c r="J12" s="3" t="s">
        <v>111</v>
      </c>
      <c r="K12" s="3" t="s">
        <v>117</v>
      </c>
      <c r="L12" t="s">
        <v>118</v>
      </c>
    </row>
    <row r="13" spans="1:15" ht="30" x14ac:dyDescent="0.25">
      <c r="A13" s="12" t="s">
        <v>110</v>
      </c>
      <c r="B13" t="s">
        <v>113</v>
      </c>
      <c r="C13" t="s">
        <v>114</v>
      </c>
      <c r="I13" s="3" t="s">
        <v>34</v>
      </c>
      <c r="J13" s="3">
        <f>I6</f>
        <v>10</v>
      </c>
      <c r="K13" s="3">
        <f>I7</f>
        <v>30</v>
      </c>
      <c r="L13" t="s">
        <v>118</v>
      </c>
    </row>
    <row r="14" spans="1:15" x14ac:dyDescent="0.25">
      <c r="B14" s="3">
        <f>C2</f>
        <v>3</v>
      </c>
      <c r="C14" s="3">
        <v>0</v>
      </c>
      <c r="I14" s="3" t="s">
        <v>35</v>
      </c>
      <c r="J14" s="3">
        <f>J6</f>
        <v>40</v>
      </c>
      <c r="K14" s="3">
        <f>J7</f>
        <v>30</v>
      </c>
    </row>
    <row r="15" spans="1:15" x14ac:dyDescent="0.25">
      <c r="A15" t="s">
        <v>40</v>
      </c>
      <c r="B15" t="s">
        <v>113</v>
      </c>
      <c r="C15" t="s">
        <v>114</v>
      </c>
      <c r="I15" s="3" t="s">
        <v>109</v>
      </c>
      <c r="J15" s="3">
        <f>K6</f>
        <v>15</v>
      </c>
      <c r="K15" s="3">
        <f>K7</f>
        <v>15</v>
      </c>
    </row>
    <row r="16" spans="1:15" x14ac:dyDescent="0.25">
      <c r="B16" s="3">
        <f>C2</f>
        <v>3</v>
      </c>
      <c r="C16" s="3">
        <v>0</v>
      </c>
      <c r="I16" s="3" t="s">
        <v>36</v>
      </c>
      <c r="J16" s="3">
        <f>L6</f>
        <v>3.3333333333333335</v>
      </c>
      <c r="K16" s="3">
        <f>L7</f>
        <v>3.3333333333333335</v>
      </c>
    </row>
    <row r="17" spans="9:11" x14ac:dyDescent="0.25">
      <c r="I17" s="3" t="s">
        <v>39</v>
      </c>
      <c r="J17" s="3">
        <f>M6</f>
        <v>0</v>
      </c>
      <c r="K17" s="3">
        <f>M7</f>
        <v>0</v>
      </c>
    </row>
    <row r="18" spans="9:11" ht="30" x14ac:dyDescent="0.25">
      <c r="I18" s="13" t="s">
        <v>110</v>
      </c>
      <c r="J18" s="3">
        <f>N6</f>
        <v>0</v>
      </c>
      <c r="K18" s="3">
        <f>N7</f>
        <v>0</v>
      </c>
    </row>
    <row r="19" spans="9:11" x14ac:dyDescent="0.25">
      <c r="I19" s="3" t="s">
        <v>40</v>
      </c>
      <c r="J19" s="3">
        <f>O6</f>
        <v>0</v>
      </c>
      <c r="K19" s="3">
        <f>O7</f>
        <v>0</v>
      </c>
    </row>
    <row r="20" spans="9:11" x14ac:dyDescent="0.25">
      <c r="I20" s="3" t="s">
        <v>119</v>
      </c>
      <c r="J20" s="15">
        <f>J13+J14+J15+J16+J17+J18+J19</f>
        <v>68.333333333333329</v>
      </c>
      <c r="K20" s="15">
        <f>K13+K14+K15+K16+K17+K18+K19</f>
        <v>78.333333333333329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9" sqref="G9"/>
    </sheetView>
  </sheetViews>
  <sheetFormatPr defaultColWidth="8.7109375" defaultRowHeight="15" x14ac:dyDescent="0.25"/>
  <cols>
    <col min="1" max="1" width="8.7109375" style="27"/>
    <col min="2" max="2" width="22.140625" style="27" customWidth="1"/>
    <col min="3" max="3" width="37" style="27" customWidth="1"/>
    <col min="4" max="5" width="11.42578125" style="27" customWidth="1"/>
    <col min="6" max="6" width="14" style="27" customWidth="1"/>
    <col min="7" max="7" width="20" style="27" customWidth="1"/>
    <col min="8" max="8" width="16.42578125" style="27" customWidth="1"/>
    <col min="9" max="16384" width="8.7109375" style="27"/>
  </cols>
  <sheetData>
    <row r="1" spans="1:9" ht="15" customHeight="1" x14ac:dyDescent="0.25"/>
    <row r="2" spans="1:9" ht="15" customHeight="1" x14ac:dyDescent="0.25">
      <c r="A2" s="28"/>
      <c r="B2" s="28"/>
      <c r="C2" s="28"/>
      <c r="D2" s="28"/>
      <c r="E2" s="28"/>
      <c r="F2" s="28"/>
      <c r="G2" s="28"/>
      <c r="H2" s="28"/>
    </row>
    <row r="3" spans="1:9" ht="15.75" customHeight="1" x14ac:dyDescent="0.25">
      <c r="A3" s="28"/>
      <c r="B3" s="204" t="s">
        <v>181</v>
      </c>
      <c r="C3" s="204"/>
      <c r="D3" s="204"/>
      <c r="E3" s="204"/>
      <c r="F3" s="204"/>
      <c r="G3" s="204"/>
      <c r="H3" s="204"/>
    </row>
    <row r="4" spans="1:9" x14ac:dyDescent="0.25">
      <c r="A4" s="28"/>
      <c r="B4" s="29" t="s">
        <v>182</v>
      </c>
      <c r="C4" s="29" t="s">
        <v>183</v>
      </c>
      <c r="D4" s="29" t="s">
        <v>88</v>
      </c>
      <c r="E4" s="29" t="s">
        <v>184</v>
      </c>
      <c r="F4" s="29" t="s">
        <v>185</v>
      </c>
      <c r="G4" s="29" t="s">
        <v>186</v>
      </c>
      <c r="H4" s="29" t="s">
        <v>187</v>
      </c>
    </row>
    <row r="5" spans="1:9" ht="15" customHeight="1" x14ac:dyDescent="0.25">
      <c r="A5" s="28"/>
      <c r="B5" s="30" t="s">
        <v>190</v>
      </c>
      <c r="C5" s="37" t="s">
        <v>139</v>
      </c>
      <c r="D5" s="30" t="s">
        <v>191</v>
      </c>
      <c r="E5" s="30">
        <v>348</v>
      </c>
      <c r="F5" s="31">
        <f>E5*1.45</f>
        <v>504.59999999999997</v>
      </c>
      <c r="G5" s="31">
        <f>H5/F5</f>
        <v>2774.4748315497427</v>
      </c>
      <c r="H5" s="32">
        <v>1400000</v>
      </c>
    </row>
    <row r="6" spans="1:9" x14ac:dyDescent="0.25">
      <c r="A6" s="28"/>
      <c r="B6" s="30" t="s">
        <v>190</v>
      </c>
      <c r="C6" s="37" t="s">
        <v>139</v>
      </c>
      <c r="D6" s="30" t="s">
        <v>192</v>
      </c>
      <c r="E6" s="30">
        <v>210</v>
      </c>
      <c r="F6" s="31">
        <f>E6*1.45</f>
        <v>304.5</v>
      </c>
      <c r="G6" s="31">
        <f>H6/F6</f>
        <v>2663.3825944170771</v>
      </c>
      <c r="H6" s="32">
        <v>811000</v>
      </c>
    </row>
    <row r="7" spans="1:9" ht="15" customHeight="1" x14ac:dyDescent="0.25">
      <c r="A7" s="28"/>
      <c r="B7" s="33" t="s">
        <v>188</v>
      </c>
      <c r="C7" s="30"/>
      <c r="D7" s="30"/>
      <c r="E7" s="30"/>
      <c r="F7" s="30"/>
      <c r="G7" s="34">
        <f>AVERAGE(G5:G6)</f>
        <v>2718.9287129834102</v>
      </c>
      <c r="H7" s="30"/>
    </row>
    <row r="8" spans="1:9" ht="15" customHeight="1" x14ac:dyDescent="0.25">
      <c r="B8" s="33" t="s">
        <v>189</v>
      </c>
      <c r="C8" s="30"/>
      <c r="D8" s="30"/>
      <c r="E8" s="30"/>
      <c r="F8" s="35"/>
      <c r="G8" s="33">
        <v>2700</v>
      </c>
      <c r="H8" s="33"/>
      <c r="I8" s="36"/>
    </row>
    <row r="9" spans="1:9" ht="15" customHeight="1" x14ac:dyDescent="0.25"/>
    <row r="10" spans="1:9" ht="15" customHeight="1" x14ac:dyDescent="0.25"/>
    <row r="11" spans="1:9"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Wing A</vt:lpstr>
      <vt:lpstr>Construction % of 7</vt:lpstr>
      <vt:lpstr>Construction % of 13</vt:lpstr>
      <vt:lpstr>Construction % of 16</vt:lpstr>
      <vt:lpstr>VALUATIOn</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2025-07-18T05:52:49Z</cp:lastPrinted>
  <dcterms:created xsi:type="dcterms:W3CDTF">2013-11-23T05:32:33Z</dcterms:created>
  <dcterms:modified xsi:type="dcterms:W3CDTF">2025-07-18T05:52:50Z</dcterms:modified>
</cp:coreProperties>
</file>