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05" yWindow="-105" windowWidth="21840" windowHeight="1245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2" i="1" l="1"/>
  <c r="D140" i="1"/>
  <c r="D139" i="1"/>
  <c r="D138" i="1"/>
  <c r="D136" i="1"/>
  <c r="D135" i="1"/>
  <c r="D134" i="1"/>
  <c r="D133" i="1"/>
  <c r="D131" i="1"/>
  <c r="D128" i="1"/>
  <c r="D127" i="1"/>
  <c r="D126" i="1"/>
  <c r="D125" i="1"/>
  <c r="D124" i="1"/>
  <c r="D121" i="1"/>
  <c r="D120" i="1"/>
  <c r="D119" i="1"/>
  <c r="D118" i="1"/>
  <c r="D117" i="1"/>
  <c r="J125" i="1"/>
  <c r="D110" i="1"/>
  <c r="D106" i="1"/>
  <c r="D109" i="1"/>
  <c r="D108" i="1"/>
  <c r="D107" i="1"/>
  <c r="D105" i="1"/>
  <c r="F140" i="1" l="1"/>
  <c r="F138" i="1"/>
  <c r="F136" i="1"/>
  <c r="F135" i="1"/>
  <c r="F134" i="1"/>
  <c r="F133" i="1"/>
  <c r="F131" i="1"/>
  <c r="D130" i="1"/>
  <c r="F130" i="1" s="1"/>
  <c r="D129" i="1"/>
  <c r="F129" i="1" s="1"/>
  <c r="F128" i="1"/>
  <c r="F127" i="1"/>
  <c r="F126" i="1"/>
  <c r="F125" i="1"/>
  <c r="F124" i="1"/>
  <c r="F122" i="1"/>
  <c r="F121" i="1"/>
  <c r="K121" i="1" s="1"/>
  <c r="I105" i="1"/>
  <c r="F110" i="1"/>
  <c r="F109" i="1"/>
  <c r="F139" i="1"/>
  <c r="A134" i="1"/>
  <c r="A135" i="1" s="1"/>
  <c r="A136" i="1" s="1"/>
  <c r="A137" i="1" s="1"/>
  <c r="A138" i="1" s="1"/>
  <c r="A139" i="1" s="1"/>
  <c r="A140" i="1" s="1"/>
  <c r="G133" i="1"/>
  <c r="A125" i="1"/>
  <c r="A126" i="1" s="1"/>
  <c r="A127" i="1" s="1"/>
  <c r="A128" i="1" s="1"/>
  <c r="A129" i="1" s="1"/>
  <c r="A130" i="1" s="1"/>
  <c r="A131" i="1" s="1"/>
  <c r="G124" i="1"/>
  <c r="C14" i="1"/>
  <c r="E98" i="1" l="1"/>
  <c r="C98" i="1"/>
  <c r="K122" i="1"/>
  <c r="C95" i="1"/>
  <c r="E95" i="1"/>
  <c r="E29" i="1"/>
  <c r="F118" i="1" l="1"/>
  <c r="K118" i="1" s="1"/>
  <c r="F119" i="1"/>
  <c r="K119" i="1" s="1"/>
  <c r="F120" i="1"/>
  <c r="K120" i="1" s="1"/>
  <c r="F117" i="1"/>
  <c r="A118" i="1"/>
  <c r="A119" i="1" s="1"/>
  <c r="A120" i="1" s="1"/>
  <c r="G117" i="1"/>
  <c r="K117" i="1" l="1"/>
  <c r="G98" i="1"/>
  <c r="F92" i="1"/>
  <c r="F106" i="1" l="1"/>
  <c r="F107" i="1"/>
  <c r="F108" i="1"/>
  <c r="F105" i="1"/>
  <c r="G95" i="1" l="1"/>
  <c r="B143" i="1"/>
  <c r="B144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4" i="1"/>
  <c r="A106" i="1"/>
  <c r="A107" i="1" s="1"/>
  <c r="A108" i="1" s="1"/>
  <c r="A109" i="1" s="1"/>
  <c r="A110" i="1" s="1"/>
  <c r="G105" i="1"/>
  <c r="J76" i="1"/>
  <c r="J75" i="1"/>
  <c r="J74" i="1"/>
  <c r="J73" i="1"/>
  <c r="C65" i="1"/>
  <c r="D54" i="1"/>
  <c r="G49" i="1"/>
  <c r="G50" i="1" s="1"/>
  <c r="C49" i="1"/>
  <c r="E42" i="1"/>
  <c r="E43" i="1" s="1"/>
  <c r="E26" i="1"/>
  <c r="E24" i="1"/>
  <c r="E7" i="1"/>
  <c r="E3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l="1"/>
  <c r="C70" i="1" s="1"/>
  <c r="G69" i="1" s="1"/>
  <c r="D63" i="1" s="1"/>
  <c r="D64" i="1" s="1"/>
  <c r="D71" i="1"/>
  <c r="J67" i="1"/>
  <c r="D69" i="1"/>
  <c r="D70" i="1" l="1"/>
  <c r="I66" i="1" s="1"/>
  <c r="E69" i="1"/>
  <c r="J66" i="1"/>
  <c r="F64" i="1"/>
  <c r="I67" i="1" l="1"/>
  <c r="I65" i="1" s="1"/>
  <c r="C67" i="1" s="1"/>
</calcChain>
</file>

<file path=xl/sharedStrings.xml><?xml version="1.0" encoding="utf-8"?>
<sst xmlns="http://schemas.openxmlformats.org/spreadsheetml/2006/main" count="303" uniqueCount="231">
  <si>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</si>
  <si>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</si>
  <si>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</si>
  <si>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</si>
  <si>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</si>
  <si>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</si>
  <si>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</si>
  <si>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</si>
  <si>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</si>
  <si>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</si>
  <si>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</si>
  <si>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</si>
  <si>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</si>
  <si>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</si>
  <si>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</si>
  <si>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</si>
  <si>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</si>
  <si>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</si>
  <si>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</si>
  <si>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</si>
  <si>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</si>
  <si>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</si>
  <si>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</si>
  <si>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</si>
  <si>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</si>
  <si>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</si>
  <si>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</si>
  <si>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</si>
  <si>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</si>
  <si>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</si>
  <si>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</si>
  <si>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</si>
  <si>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</si>
  <si>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</si>
  <si>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</si>
  <si>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</si>
  <si>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</si>
  <si>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</si>
  <si>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</si>
  <si>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</si>
  <si>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</si>
  <si>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</si>
  <si>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</si>
  <si>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</si>
  <si>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</si>
  <si>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</si>
  <si>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</si>
  <si>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</si>
  <si>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</si>
  <si>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</si>
  <si>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</si>
  <si>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</si>
  <si>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</si>
  <si>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</si>
  <si>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</si>
  <si>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</si>
  <si>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</si>
  <si>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</si>
  <si>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</si>
  <si>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</si>
  <si>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</si>
  <si>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</si>
  <si>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</si>
  <si>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</si>
  <si>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</si>
  <si>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</si>
  <si>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</si>
  <si>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</si>
  <si>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</si>
  <si>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</si>
  <si>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</si>
  <si>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</si>
  <si>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</si>
  <si>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</si>
  <si>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</si>
  <si>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</si>
  <si>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</si>
  <si>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</si>
  <si>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</si>
  <si>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</si>
  <si>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</si>
  <si>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</si>
  <si>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</si>
  <si>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</si>
  <si>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</si>
  <si>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</si>
  <si>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</si>
  <si>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</si>
  <si>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</si>
  <si>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</si>
  <si>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</si>
  <si>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</si>
  <si>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</si>
  <si>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</si>
  <si>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</si>
  <si>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</si>
  <si>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</si>
  <si>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</si>
  <si>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</si>
  <si>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</si>
  <si>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</si>
  <si>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</si>
  <si>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</si>
  <si>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</si>
  <si>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</si>
  <si>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</si>
  <si>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</si>
  <si>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</si>
  <si>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</si>
  <si>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</si>
  <si>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</si>
  <si>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</si>
  <si>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</si>
  <si>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</si>
  <si>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</si>
  <si>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</si>
  <si>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</si>
  <si>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</si>
  <si>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</si>
  <si>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</si>
  <si>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</si>
  <si>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</si>
  <si>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</si>
  <si>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</si>
  <si>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</si>
  <si>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</si>
  <si>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</si>
  <si>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</si>
  <si>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</si>
  <si>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</si>
  <si>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</si>
  <si>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</si>
  <si>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</si>
  <si>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</si>
  <si>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</si>
  <si>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</si>
  <si>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</si>
  <si>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</si>
  <si>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</si>
  <si>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</si>
  <si>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</si>
  <si>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</si>
  <si>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</si>
  <si>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</si>
  <si>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</si>
  <si>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</si>
  <si>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</si>
  <si>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</si>
  <si>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</si>
  <si>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</si>
  <si>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</si>
  <si>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</si>
  <si>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</si>
  <si>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</si>
  <si>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</si>
  <si>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</si>
  <si>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</si>
  <si>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</si>
  <si>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</si>
  <si>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</si>
  <si>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</si>
  <si>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</si>
  <si>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</si>
  <si>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</si>
  <si>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</si>
  <si>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</si>
  <si>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</si>
  <si>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</si>
  <si>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</si>
  <si>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</si>
  <si>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</si>
  <si>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</si>
  <si>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</si>
  <si>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Thane</t>
  </si>
  <si>
    <t>https://goo.gl/maps/KGKHVBqsDEhVLZo59</t>
  </si>
  <si>
    <t>Internal Road</t>
  </si>
  <si>
    <t>Ashokanagar society Apartment building</t>
  </si>
  <si>
    <t>Open Plot</t>
  </si>
  <si>
    <t>5.9KM from Thane Railway Station</t>
  </si>
  <si>
    <t>M/s. Shivshakti Engineers</t>
  </si>
  <si>
    <t>Mahavir Bliss</t>
  </si>
  <si>
    <t xml:space="preserve">P51700033859 </t>
  </si>
  <si>
    <t>Survey No</t>
  </si>
  <si>
    <t>Balkum</t>
  </si>
  <si>
    <t>Thane</t>
  </si>
  <si>
    <t>Balkum Road</t>
  </si>
  <si>
    <t>Thane (West)</t>
  </si>
  <si>
    <t>Ashok Nagar</t>
  </si>
  <si>
    <t>Village</t>
  </si>
  <si>
    <t>1 Building</t>
  </si>
  <si>
    <t xml:space="preserve">Building No. A1 = Gr/Stilt + 1st to 23rd Floor </t>
  </si>
  <si>
    <t>As per RERA - 31/12/2025</t>
  </si>
  <si>
    <t>Building No. A1</t>
  </si>
  <si>
    <t>Ground Floor for Commercial &amp; Parking</t>
  </si>
  <si>
    <t>Shop</t>
  </si>
  <si>
    <t>1BHK</t>
  </si>
  <si>
    <t>Refuge Area</t>
  </si>
  <si>
    <t>We considered Gross carpet area = Net carpet + Enclose balcony.</t>
  </si>
  <si>
    <t>Building A1</t>
  </si>
  <si>
    <t>Online</t>
  </si>
  <si>
    <t>MIS</t>
  </si>
  <si>
    <t>Approved Plans, CC, Sale Plans</t>
  </si>
  <si>
    <t>148/10 Sector - V</t>
  </si>
  <si>
    <t xml:space="preserve">Ashok Apartment </t>
  </si>
  <si>
    <t>Thane Municipal Corporation (TMC)</t>
  </si>
  <si>
    <t>rate sheet</t>
  </si>
  <si>
    <t>flat</t>
  </si>
  <si>
    <t>shop</t>
  </si>
  <si>
    <t>builder</t>
  </si>
  <si>
    <t>From 9500 to 9700</t>
  </si>
  <si>
    <t>sanket sir</t>
  </si>
  <si>
    <t>IGR</t>
  </si>
  <si>
    <t>Other Charges</t>
  </si>
  <si>
    <t>Office No. 1031, Wing J, Akshar Business Park, Plot No. 03 Sector 25, Near APMC Market,
Vashi, Navi Mumbai, Maharashtra 400703 TEL: 022-46090378/79/80                                                                                                     E mail : vsjcapf@gmail.com. Web site : www.vsjadon.com</t>
  </si>
  <si>
    <t>Vitrified tiles flooring, Kitchen Platform, Decorative Entrance, etc.</t>
  </si>
  <si>
    <t>S05/0208/21/TMC/TD-DP/TPS/4176/22</t>
  </si>
  <si>
    <t>S05/0208/21/TMC/TDD/4176/22</t>
  </si>
  <si>
    <t>Building No. A1 = Gr/Stilt + 1st to 23rd Floor.</t>
  </si>
  <si>
    <t>1st Floor for Residential &amp; Fitness Center</t>
  </si>
  <si>
    <t>2nd to 7th, 9th to 12th, 14th to 17th &amp; 19th to 22nd Floor</t>
  </si>
  <si>
    <t>8th, 13th, 18th &amp; 23rd Floor (Part Refuge Area)</t>
  </si>
  <si>
    <t>Flats - 178, Shops - 6</t>
  </si>
  <si>
    <t>We have updated revised approved floor plan &amp; C.C (on 27/07/2024)</t>
  </si>
  <si>
    <t>Akash Mote Rate 10650 verbal 03/08/2024</t>
  </si>
  <si>
    <t xml:space="preserve">Recommended Rates of the Property have been revised on 03/08/2024.
</t>
  </si>
  <si>
    <t>Ajay Songare</t>
  </si>
  <si>
    <t>Miss. Jyoti Jagtap 9137852141</t>
  </si>
  <si>
    <t>Construction work is in process at the time of Visit. Internal Visit was not allowed (Slow Speed)</t>
  </si>
  <si>
    <t>Shruti Tathare</t>
  </si>
  <si>
    <t>09/07/2025.</t>
  </si>
  <si>
    <t>12/08/2022.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</si>
</sst>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2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5" fillId="0" borderId="24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0" fontId="24" fillId="2" borderId="25" xfId="0" applyFont="1" applyFill="1" applyBorder="1"/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7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13" fillId="0" borderId="1" xfId="9" applyNumberFormat="1" applyFont="1" applyFill="1" applyBorder="1" applyAlignment="1" applyProtection="1">
      <alignment horizontal="righ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12" fillId="0" borderId="1" xfId="9" applyNumberFormat="1" applyFont="1" applyFill="1" applyBorder="1" applyAlignment="1" applyProtection="1">
      <alignment horizontal="righ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8" fillId="0" borderId="12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7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9" fontId="12" fillId="0" borderId="13" xfId="8" applyFont="1" applyFill="1" applyBorder="1" applyAlignment="1" applyProtection="1">
      <alignment horizontal="center" vertical="center" wrapText="1"/>
      <protection locked="0"/>
    </xf>
    <xf numFmtId="9" fontId="12" fillId="0" borderId="14" xfId="8" applyFont="1" applyFill="1" applyBorder="1" applyAlignment="1" applyProtection="1">
      <alignment horizontal="center" vertical="center" wrapText="1"/>
      <protection locked="0"/>
    </xf>
    <xf numFmtId="9" fontId="12" fillId="0" borderId="19" xfId="8" applyFont="1" applyFill="1" applyBorder="1" applyAlignment="1" applyProtection="1">
      <alignment horizontal="center" vertical="center" wrapText="1"/>
      <protection locked="0"/>
    </xf>
    <xf numFmtId="9" fontId="12" fillId="0" borderId="20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21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26" fillId="0" borderId="1" xfId="10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17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8" fillId="0" borderId="12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0" Type="http://schemas.openxmlformats.org/officeDocument/2006/relationships/image" Target="../media/image10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271</xdr:row>
      <xdr:rowOff>25846</xdr:rowOff>
    </xdr:from>
    <xdr:to>
      <xdr:col>6</xdr:col>
      <xdr:colOff>402547</xdr:colOff>
      <xdr:row>290</xdr:row>
      <xdr:rowOff>185371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66825" y="62967046"/>
          <a:ext cx="4412572" cy="39600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447675</xdr:colOff>
      <xdr:row>250</xdr:row>
      <xdr:rowOff>28575</xdr:rowOff>
    </xdr:from>
    <xdr:to>
      <xdr:col>6</xdr:col>
      <xdr:colOff>402547</xdr:colOff>
      <xdr:row>269</xdr:row>
      <xdr:rowOff>188099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66825" y="58769250"/>
          <a:ext cx="4412572" cy="39600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76200</xdr:colOff>
      <xdr:row>207</xdr:row>
      <xdr:rowOff>133351</xdr:rowOff>
    </xdr:from>
    <xdr:to>
      <xdr:col>7</xdr:col>
      <xdr:colOff>3456</xdr:colOff>
      <xdr:row>247</xdr:row>
      <xdr:rowOff>127001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76300" y="42887901"/>
          <a:ext cx="5102506" cy="7867650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>
    <xdr:from>
      <xdr:col>2</xdr:col>
      <xdr:colOff>95250</xdr:colOff>
      <xdr:row>215</xdr:row>
      <xdr:rowOff>152401</xdr:rowOff>
    </xdr:from>
    <xdr:to>
      <xdr:col>5</xdr:col>
      <xdr:colOff>609600</xdr:colOff>
      <xdr:row>235</xdr:row>
      <xdr:rowOff>9525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1771650" y="48720376"/>
          <a:ext cx="3276600" cy="3857624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oneCellAnchor>
    <xdr:from>
      <xdr:col>5</xdr:col>
      <xdr:colOff>190500</xdr:colOff>
      <xdr:row>210</xdr:row>
      <xdr:rowOff>66675</xdr:rowOff>
    </xdr:from>
    <xdr:ext cx="1371786" cy="56194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4629150" y="50606325"/>
          <a:ext cx="1371786" cy="5619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500" b="1"/>
            <a:t>Building</a:t>
          </a:r>
          <a:r>
            <a:rPr lang="en-US" sz="1500" b="1" baseline="0"/>
            <a:t> A1</a:t>
          </a:r>
        </a:p>
        <a:p>
          <a:r>
            <a:rPr lang="en-US" sz="1500" b="1" baseline="0"/>
            <a:t>(Mahavir Bliss)</a:t>
          </a:r>
          <a:endParaRPr lang="x-none" sz="1500" b="1"/>
        </a:p>
      </xdr:txBody>
    </xdr:sp>
    <xdr:clientData/>
  </xdr:oneCellAnchor>
  <xdr:twoCellAnchor>
    <xdr:from>
      <xdr:col>5</xdr:col>
      <xdr:colOff>523875</xdr:colOff>
      <xdr:row>213</xdr:row>
      <xdr:rowOff>104775</xdr:rowOff>
    </xdr:from>
    <xdr:to>
      <xdr:col>6</xdr:col>
      <xdr:colOff>28576</xdr:colOff>
      <xdr:row>215</xdr:row>
      <xdr:rowOff>28575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CxnSpPr/>
      </xdr:nvCxnSpPr>
      <xdr:spPr>
        <a:xfrm flipH="1">
          <a:off x="4962525" y="51244500"/>
          <a:ext cx="342901" cy="323850"/>
        </a:xfrm>
        <a:prstGeom prst="straightConnector1">
          <a:avLst/>
        </a:prstGeom>
        <a:ln w="571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601980</xdr:colOff>
      <xdr:row>165</xdr:row>
      <xdr:rowOff>146685</xdr:rowOff>
    </xdr:from>
    <xdr:to>
      <xdr:col>16</xdr:col>
      <xdr:colOff>11935</xdr:colOff>
      <xdr:row>196</xdr:row>
      <xdr:rowOff>199134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A668DE11-18C0-A74B-111B-2C3DBF01D774}"/>
            </a:ext>
          </a:extLst>
        </xdr:cNvPr>
        <xdr:cNvGrpSpPr/>
      </xdr:nvGrpSpPr>
      <xdr:grpSpPr>
        <a:xfrm>
          <a:off x="7126605" y="34331910"/>
          <a:ext cx="5810755" cy="6243699"/>
          <a:chOff x="259943" y="150637"/>
          <a:chExt cx="5959345" cy="6186549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xmlns="" id="{CA2BB6DF-2BA7-B849-8DE7-46BBF3647B16}"/>
              </a:ext>
            </a:extLst>
          </xdr:cNvPr>
          <xdr:cNvGrpSpPr/>
        </xdr:nvGrpSpPr>
        <xdr:grpSpPr>
          <a:xfrm>
            <a:off x="890787" y="4177186"/>
            <a:ext cx="4697657" cy="2160000"/>
            <a:chOff x="259943" y="4146706"/>
            <a:chExt cx="4697657" cy="2160000"/>
          </a:xfrm>
        </xdr:grpSpPr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xmlns="" id="{15D252A5-1DC4-1C23-9D9F-6FB528E8D71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39288" y="4146706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xmlns="" id="{EFFF1611-9E9E-6D1B-0588-5841A0D176E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9943" y="4146706"/>
              <a:ext cx="287733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xmlns="" id="{3A64617E-187E-D8B6-E6D2-B18FB73A4EC3}"/>
              </a:ext>
            </a:extLst>
          </xdr:cNvPr>
          <xdr:cNvGrpSpPr/>
        </xdr:nvGrpSpPr>
        <xdr:grpSpPr>
          <a:xfrm>
            <a:off x="259943" y="150637"/>
            <a:ext cx="5959345" cy="3844005"/>
            <a:chOff x="259943" y="150637"/>
            <a:chExt cx="5959345" cy="3844005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xmlns="" id="{3D07E8E0-15DD-9839-9D7A-3887974E2BE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9943" y="150637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xmlns="" id="{4BFEF00F-6FEE-34C1-1EAB-C9C23F8824D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39288" y="150637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428625</xdr:colOff>
      <xdr:row>164</xdr:row>
      <xdr:rowOff>47625</xdr:rowOff>
    </xdr:from>
    <xdr:to>
      <xdr:col>7</xdr:col>
      <xdr:colOff>401911</xdr:colOff>
      <xdr:row>203</xdr:row>
      <xdr:rowOff>20658</xdr:rowOff>
    </xdr:to>
    <xdr:grpSp>
      <xdr:nvGrpSpPr>
        <xdr:cNvPr id="12" name="Group 11"/>
        <xdr:cNvGrpSpPr/>
      </xdr:nvGrpSpPr>
      <xdr:grpSpPr>
        <a:xfrm>
          <a:off x="428625" y="34032825"/>
          <a:ext cx="5669236" cy="6564333"/>
          <a:chOff x="428625" y="33994725"/>
          <a:chExt cx="5669236" cy="6564333"/>
        </a:xfrm>
      </xdr:grpSpPr>
      <xdr:pic>
        <xdr:nvPicPr>
          <xdr:cNvPr id="24" name="Picture 23" descr="https://vsjcllp.vsjadon.com/upload/insp-239871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05175" y="37804724"/>
            <a:ext cx="2056463" cy="27432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39871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8625" y="34004250"/>
            <a:ext cx="2783161" cy="37147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39871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33475" y="37814249"/>
            <a:ext cx="2056463" cy="274480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39871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14700" y="33994725"/>
            <a:ext cx="2783161" cy="37147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8</xdr:col>
      <xdr:colOff>169765</xdr:colOff>
      <xdr:row>38</xdr:row>
      <xdr:rowOff>22488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94"/>
        <a:stretch/>
      </xdr:blipFill>
      <xdr:spPr>
        <a:xfrm>
          <a:off x="582706" y="2678206"/>
          <a:ext cx="9000000" cy="459448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55</xdr:row>
      <xdr:rowOff>185254</xdr:rowOff>
    </xdr:from>
    <xdr:to>
      <xdr:col>4</xdr:col>
      <xdr:colOff>416030</xdr:colOff>
      <xdr:row>71</xdr:row>
      <xdr:rowOff>17254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10673960"/>
          <a:ext cx="512250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416030</xdr:colOff>
      <xdr:row>54</xdr:row>
      <xdr:rowOff>22500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7440706"/>
          <a:ext cx="512250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748300</xdr:colOff>
      <xdr:row>71</xdr:row>
      <xdr:rowOff>17254</xdr:rowOff>
    </xdr:from>
    <xdr:to>
      <xdr:col>10</xdr:col>
      <xdr:colOff>581623</xdr:colOff>
      <xdr:row>86</xdr:row>
      <xdr:rowOff>39754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37476" y="13553960"/>
          <a:ext cx="512250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748300</xdr:colOff>
      <xdr:row>55</xdr:row>
      <xdr:rowOff>8627</xdr:rowOff>
    </xdr:from>
    <xdr:to>
      <xdr:col>10</xdr:col>
      <xdr:colOff>581623</xdr:colOff>
      <xdr:row>70</xdr:row>
      <xdr:rowOff>31127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37476" y="10497333"/>
          <a:ext cx="512250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748300</xdr:colOff>
      <xdr:row>39</xdr:row>
      <xdr:rowOff>0</xdr:rowOff>
    </xdr:from>
    <xdr:to>
      <xdr:col>10</xdr:col>
      <xdr:colOff>581623</xdr:colOff>
      <xdr:row>54</xdr:row>
      <xdr:rowOff>22500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37476" y="7440706"/>
          <a:ext cx="512250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217712</xdr:colOff>
      <xdr:row>1</xdr:row>
      <xdr:rowOff>0</xdr:rowOff>
    </xdr:from>
    <xdr:to>
      <xdr:col>10</xdr:col>
      <xdr:colOff>574498</xdr:colOff>
      <xdr:row>30</xdr:row>
      <xdr:rowOff>120840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7712" y="190500"/>
          <a:ext cx="6480000" cy="564534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31852</xdr:colOff>
      <xdr:row>16</xdr:row>
      <xdr:rowOff>149470</xdr:rowOff>
    </xdr:from>
    <xdr:to>
      <xdr:col>9</xdr:col>
      <xdr:colOff>426249</xdr:colOff>
      <xdr:row>22</xdr:row>
      <xdr:rowOff>184639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644173" y="3197470"/>
          <a:ext cx="5292969" cy="117816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x-non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GKHVBqsDEhVLZo5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50"/>
  <sheetViews>
    <sheetView tabSelected="1" view="pageBreakPreview" topLeftCell="A63" zoomScaleNormal="100" zoomScaleSheetLayoutView="100" workbookViewId="0">
      <selection activeCell="L79" sqref="L79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140625" style="38" customWidth="1"/>
    <col min="5" max="7" width="11.7109375" style="38" customWidth="1"/>
    <col min="8" max="8" width="12.42578125" style="38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8" ht="46.5" customHeight="1" x14ac:dyDescent="0.25">
      <c r="A1" s="129" t="s">
        <v>213</v>
      </c>
      <c r="B1" s="129"/>
      <c r="C1" s="129"/>
      <c r="D1" s="129"/>
      <c r="E1" s="129"/>
      <c r="F1" s="129"/>
      <c r="G1" s="129"/>
      <c r="H1" s="129"/>
    </row>
    <row r="2" spans="1:8" ht="16.5" customHeight="1" x14ac:dyDescent="0.25">
      <c r="A2" s="122" t="s">
        <v>0</v>
      </c>
      <c r="B2" s="122"/>
      <c r="C2" s="122"/>
      <c r="D2" s="122"/>
      <c r="E2" s="122"/>
      <c r="F2" s="122"/>
      <c r="G2" s="122"/>
      <c r="H2" s="122"/>
    </row>
    <row r="3" spans="1:8" x14ac:dyDescent="0.25">
      <c r="A3" s="102" t="s">
        <v>1</v>
      </c>
      <c r="B3" s="102"/>
      <c r="C3" s="102"/>
      <c r="D3" s="102"/>
      <c r="E3" s="102" t="str">
        <f ca="1">TEXT(TODAY(),"DD/MM/YYYY")</f>
        <v>10/07/2025</v>
      </c>
      <c r="F3" s="102"/>
      <c r="G3" s="102"/>
      <c r="H3" s="102"/>
    </row>
    <row r="4" spans="1:8" ht="15" customHeight="1" x14ac:dyDescent="0.25">
      <c r="A4" s="102" t="s">
        <v>2</v>
      </c>
      <c r="B4" s="102"/>
      <c r="C4" s="102"/>
      <c r="D4" s="102"/>
      <c r="E4" s="102" t="s">
        <v>173</v>
      </c>
      <c r="F4" s="102"/>
      <c r="G4" s="102"/>
      <c r="H4" s="102"/>
    </row>
    <row r="5" spans="1:8" x14ac:dyDescent="0.25">
      <c r="A5" s="102" t="s">
        <v>3</v>
      </c>
      <c r="B5" s="102"/>
      <c r="C5" s="102"/>
      <c r="D5" s="102"/>
      <c r="E5" s="131" t="s">
        <v>229</v>
      </c>
      <c r="F5" s="102"/>
      <c r="G5" s="102"/>
      <c r="H5" s="102"/>
    </row>
    <row r="6" spans="1:8" ht="16.5" customHeight="1" x14ac:dyDescent="0.25">
      <c r="A6" s="102" t="s">
        <v>4</v>
      </c>
      <c r="B6" s="102"/>
      <c r="C6" s="102"/>
      <c r="D6" s="102"/>
      <c r="E6" s="102" t="s">
        <v>179</v>
      </c>
      <c r="F6" s="102"/>
      <c r="G6" s="102"/>
      <c r="H6" s="102"/>
    </row>
    <row r="7" spans="1:8" ht="15" customHeight="1" x14ac:dyDescent="0.25">
      <c r="A7" s="102" t="s">
        <v>5</v>
      </c>
      <c r="B7" s="102"/>
      <c r="C7" s="102"/>
      <c r="D7" s="102"/>
      <c r="E7" s="102" t="str">
        <f>E6</f>
        <v>M/s. Shivshakti Engineers</v>
      </c>
      <c r="F7" s="102"/>
      <c r="G7" s="102"/>
      <c r="H7" s="102"/>
    </row>
    <row r="8" spans="1:8" x14ac:dyDescent="0.25">
      <c r="A8" s="102" t="s">
        <v>6</v>
      </c>
      <c r="B8" s="102"/>
      <c r="C8" s="102"/>
      <c r="D8" s="102"/>
      <c r="E8" s="130" t="s">
        <v>180</v>
      </c>
      <c r="F8" s="130"/>
      <c r="G8" s="130"/>
      <c r="H8" s="130"/>
    </row>
    <row r="9" spans="1:8" x14ac:dyDescent="0.25">
      <c r="A9" s="102" t="s">
        <v>170</v>
      </c>
      <c r="B9" s="102"/>
      <c r="C9" s="102"/>
      <c r="D9" s="102"/>
      <c r="E9" s="102" t="s">
        <v>226</v>
      </c>
      <c r="F9" s="102"/>
      <c r="G9" s="102"/>
      <c r="H9" s="102"/>
    </row>
    <row r="10" spans="1:8" x14ac:dyDescent="0.25">
      <c r="A10" s="102" t="s">
        <v>171</v>
      </c>
      <c r="B10" s="102"/>
      <c r="C10" s="102"/>
      <c r="D10" s="102"/>
      <c r="E10" s="102" t="s">
        <v>30</v>
      </c>
      <c r="F10" s="102"/>
      <c r="G10" s="102"/>
      <c r="H10" s="102"/>
    </row>
    <row r="11" spans="1:8" x14ac:dyDescent="0.25">
      <c r="A11" s="102" t="s">
        <v>7</v>
      </c>
      <c r="B11" s="102"/>
      <c r="C11" s="102"/>
      <c r="D11" s="102"/>
      <c r="E11" s="102" t="s">
        <v>192</v>
      </c>
      <c r="F11" s="102"/>
      <c r="G11" s="102"/>
      <c r="H11" s="102"/>
    </row>
    <row r="12" spans="1:8" x14ac:dyDescent="0.25">
      <c r="A12" s="79" t="s">
        <v>8</v>
      </c>
      <c r="B12" s="79"/>
      <c r="C12" s="79"/>
      <c r="D12" s="79"/>
      <c r="E12" s="77" t="s">
        <v>201</v>
      </c>
      <c r="F12" s="132"/>
      <c r="G12" s="132"/>
      <c r="H12" s="132"/>
    </row>
    <row r="13" spans="1:8" x14ac:dyDescent="0.25">
      <c r="A13" s="79" t="s">
        <v>9</v>
      </c>
      <c r="B13" s="79"/>
      <c r="C13" s="79"/>
      <c r="D13" s="79"/>
      <c r="E13" s="77" t="s">
        <v>181</v>
      </c>
      <c r="F13" s="102"/>
      <c r="G13" s="102"/>
      <c r="H13" s="102"/>
    </row>
    <row r="14" spans="1:8" ht="48" customHeight="1" x14ac:dyDescent="0.25">
      <c r="A14" s="107" t="s">
        <v>10</v>
      </c>
      <c r="B14" s="107"/>
      <c r="C14" s="10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Mahavir Bliss, Survey No.148/10 Sector - V, near Ashokanagar society Apartment building, Balkum Road, Ashok Nagar, Balkum, Thane (West), Thane, Thane - 400608.</v>
      </c>
      <c r="D14" s="107"/>
      <c r="E14" s="107"/>
      <c r="F14" s="107"/>
      <c r="G14" s="107"/>
      <c r="H14" s="107"/>
    </row>
    <row r="15" spans="1:8" x14ac:dyDescent="0.25">
      <c r="A15" s="77" t="s">
        <v>182</v>
      </c>
      <c r="B15" s="77"/>
      <c r="C15" s="77" t="s">
        <v>202</v>
      </c>
      <c r="D15" s="77"/>
      <c r="E15" s="77"/>
      <c r="F15" s="77"/>
      <c r="G15" s="77"/>
      <c r="H15" s="77"/>
    </row>
    <row r="16" spans="1:8" ht="15.75" customHeight="1" x14ac:dyDescent="0.25">
      <c r="A16" s="77" t="s">
        <v>169</v>
      </c>
      <c r="B16" s="77"/>
      <c r="C16" s="77" t="s">
        <v>187</v>
      </c>
      <c r="D16" s="77"/>
      <c r="E16" s="77"/>
      <c r="F16" s="77"/>
      <c r="G16" s="77"/>
      <c r="H16" s="77"/>
    </row>
    <row r="17" spans="1:8" ht="15.75" customHeight="1" x14ac:dyDescent="0.25">
      <c r="A17" s="107" t="s">
        <v>11</v>
      </c>
      <c r="B17" s="107"/>
      <c r="C17" s="102" t="s">
        <v>185</v>
      </c>
      <c r="D17" s="102"/>
      <c r="E17" s="107" t="s">
        <v>188</v>
      </c>
      <c r="F17" s="107"/>
      <c r="G17" s="77" t="s">
        <v>183</v>
      </c>
      <c r="H17" s="77"/>
    </row>
    <row r="18" spans="1:8" x14ac:dyDescent="0.25">
      <c r="A18" s="79" t="s">
        <v>13</v>
      </c>
      <c r="B18" s="79"/>
      <c r="C18" s="77" t="s">
        <v>186</v>
      </c>
      <c r="D18" s="77"/>
      <c r="E18" s="107" t="s">
        <v>12</v>
      </c>
      <c r="F18" s="107"/>
      <c r="G18" s="133" t="s">
        <v>184</v>
      </c>
      <c r="H18" s="133"/>
    </row>
    <row r="19" spans="1:8" x14ac:dyDescent="0.25">
      <c r="A19" s="79" t="s">
        <v>77</v>
      </c>
      <c r="B19" s="79"/>
      <c r="C19" s="77" t="s">
        <v>184</v>
      </c>
      <c r="D19" s="77"/>
      <c r="E19" s="107" t="s">
        <v>14</v>
      </c>
      <c r="F19" s="107"/>
      <c r="G19" s="77">
        <v>400608</v>
      </c>
      <c r="H19" s="77"/>
    </row>
    <row r="20" spans="1:8" ht="34.5" customHeight="1" x14ac:dyDescent="0.25">
      <c r="A20" s="79" t="s">
        <v>127</v>
      </c>
      <c r="B20" s="79"/>
      <c r="C20" s="77" t="s">
        <v>176</v>
      </c>
      <c r="D20" s="77"/>
      <c r="E20" s="107" t="s">
        <v>15</v>
      </c>
      <c r="F20" s="107"/>
      <c r="G20" s="77" t="s">
        <v>178</v>
      </c>
      <c r="H20" s="77"/>
    </row>
    <row r="21" spans="1:8" ht="15" customHeight="1" x14ac:dyDescent="0.25">
      <c r="A21" s="107" t="s">
        <v>80</v>
      </c>
      <c r="B21" s="107"/>
      <c r="C21" s="107"/>
      <c r="D21" s="107"/>
      <c r="E21" s="102" t="s">
        <v>16</v>
      </c>
      <c r="F21" s="102"/>
      <c r="G21" s="102"/>
      <c r="H21" s="102"/>
    </row>
    <row r="22" spans="1:8" ht="18.75" customHeight="1" x14ac:dyDescent="0.25">
      <c r="A22" s="107"/>
      <c r="B22" s="107"/>
      <c r="C22" s="107"/>
      <c r="D22" s="107"/>
      <c r="E22" s="102"/>
      <c r="F22" s="102"/>
      <c r="G22" s="102"/>
      <c r="H22" s="102"/>
    </row>
    <row r="23" spans="1:8" ht="15" customHeight="1" x14ac:dyDescent="0.25">
      <c r="A23" s="107" t="s">
        <v>17</v>
      </c>
      <c r="B23" s="107"/>
      <c r="C23" s="107"/>
      <c r="D23" s="107"/>
      <c r="E23" s="77" t="s">
        <v>18</v>
      </c>
      <c r="F23" s="77"/>
      <c r="G23" s="77"/>
      <c r="H23" s="77"/>
    </row>
    <row r="24" spans="1:8" ht="15" customHeight="1" x14ac:dyDescent="0.25">
      <c r="A24" s="79" t="s">
        <v>19</v>
      </c>
      <c r="B24" s="79"/>
      <c r="C24" s="79"/>
      <c r="D24" s="79"/>
      <c r="E24" s="77" t="str">
        <f>IF(AND(G18="Mumbai"),"Upper Class","Middle Class")</f>
        <v>Middle Class</v>
      </c>
      <c r="F24" s="77"/>
      <c r="G24" s="77"/>
      <c r="H24" s="77"/>
    </row>
    <row r="25" spans="1:8" x14ac:dyDescent="0.25">
      <c r="A25" s="79" t="s">
        <v>20</v>
      </c>
      <c r="B25" s="79"/>
      <c r="C25" s="79"/>
      <c r="D25" s="79"/>
      <c r="E25" s="77" t="s">
        <v>21</v>
      </c>
      <c r="F25" s="77"/>
      <c r="G25" s="77"/>
      <c r="H25" s="77"/>
    </row>
    <row r="26" spans="1:8" ht="15.75" customHeight="1" x14ac:dyDescent="0.25">
      <c r="A26" s="79" t="s">
        <v>22</v>
      </c>
      <c r="B26" s="79"/>
      <c r="C26" s="79"/>
      <c r="D26" s="79"/>
      <c r="E26" s="77" t="str">
        <f>IF(AND(G18="Mumbai"),"Developed","Developing")</f>
        <v>Developing</v>
      </c>
      <c r="F26" s="77"/>
      <c r="G26" s="77"/>
      <c r="H26" s="77"/>
    </row>
    <row r="27" spans="1:8" x14ac:dyDescent="0.25">
      <c r="A27" s="79" t="s">
        <v>23</v>
      </c>
      <c r="B27" s="79"/>
      <c r="C27" s="79"/>
      <c r="D27" s="79"/>
      <c r="E27" s="77" t="s">
        <v>24</v>
      </c>
      <c r="F27" s="77"/>
      <c r="G27" s="77"/>
      <c r="H27" s="77"/>
    </row>
    <row r="28" spans="1:8" ht="15.75" customHeight="1" x14ac:dyDescent="0.25">
      <c r="A28" s="79" t="s">
        <v>85</v>
      </c>
      <c r="B28" s="79"/>
      <c r="C28" s="79"/>
      <c r="D28" s="79"/>
      <c r="E28" s="77" t="s">
        <v>86</v>
      </c>
      <c r="F28" s="77"/>
      <c r="G28" s="77"/>
      <c r="H28" s="77"/>
    </row>
    <row r="29" spans="1:8" ht="15" customHeight="1" x14ac:dyDescent="0.25">
      <c r="A29" s="79" t="s">
        <v>35</v>
      </c>
      <c r="B29" s="79"/>
      <c r="C29" s="79"/>
      <c r="D29" s="79"/>
      <c r="E29" s="77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77"/>
      <c r="G29" s="77"/>
      <c r="H29" s="77"/>
    </row>
    <row r="30" spans="1:8" ht="15.75" customHeight="1" x14ac:dyDescent="0.25">
      <c r="A30" s="79" t="s">
        <v>97</v>
      </c>
      <c r="B30" s="79"/>
      <c r="C30" s="79"/>
      <c r="D30" s="79"/>
      <c r="E30" s="77" t="s">
        <v>36</v>
      </c>
      <c r="F30" s="77"/>
      <c r="G30" s="77"/>
      <c r="H30" s="77"/>
    </row>
    <row r="31" spans="1:8" s="20" customFormat="1" x14ac:dyDescent="0.25">
      <c r="A31" s="148" t="s">
        <v>98</v>
      </c>
      <c r="B31" s="148"/>
      <c r="C31" s="136" t="s">
        <v>29</v>
      </c>
      <c r="D31" s="136"/>
      <c r="E31" s="136"/>
      <c r="F31" s="136" t="s">
        <v>31</v>
      </c>
      <c r="G31" s="136"/>
      <c r="H31" s="136"/>
    </row>
    <row r="32" spans="1:8" s="20" customFormat="1" x14ac:dyDescent="0.25">
      <c r="A32" s="134" t="s">
        <v>25</v>
      </c>
      <c r="B32" s="134" t="s">
        <v>30</v>
      </c>
      <c r="C32" s="135" t="s">
        <v>30</v>
      </c>
      <c r="D32" s="135"/>
      <c r="E32" s="135"/>
      <c r="F32" s="135" t="s">
        <v>175</v>
      </c>
      <c r="G32" s="135"/>
      <c r="H32" s="135"/>
    </row>
    <row r="33" spans="1:8" x14ac:dyDescent="0.25">
      <c r="A33" s="134" t="s">
        <v>26</v>
      </c>
      <c r="B33" s="134" t="s">
        <v>30</v>
      </c>
      <c r="C33" s="135" t="s">
        <v>30</v>
      </c>
      <c r="D33" s="135"/>
      <c r="E33" s="135"/>
      <c r="F33" s="135" t="s">
        <v>203</v>
      </c>
      <c r="G33" s="135"/>
      <c r="H33" s="135"/>
    </row>
    <row r="34" spans="1:8" s="20" customFormat="1" x14ac:dyDescent="0.25">
      <c r="A34" s="134" t="s">
        <v>28</v>
      </c>
      <c r="B34" s="134" t="s">
        <v>30</v>
      </c>
      <c r="C34" s="135" t="s">
        <v>30</v>
      </c>
      <c r="D34" s="135"/>
      <c r="E34" s="135"/>
      <c r="F34" s="135" t="s">
        <v>176</v>
      </c>
      <c r="G34" s="135"/>
      <c r="H34" s="135"/>
    </row>
    <row r="35" spans="1:8" x14ac:dyDescent="0.25">
      <c r="A35" s="134" t="s">
        <v>27</v>
      </c>
      <c r="B35" s="134" t="s">
        <v>30</v>
      </c>
      <c r="C35" s="135" t="s">
        <v>30</v>
      </c>
      <c r="D35" s="135"/>
      <c r="E35" s="135"/>
      <c r="F35" s="135" t="s">
        <v>177</v>
      </c>
      <c r="G35" s="135"/>
      <c r="H35" s="135"/>
    </row>
    <row r="36" spans="1:8" x14ac:dyDescent="0.25">
      <c r="A36" s="79" t="s">
        <v>32</v>
      </c>
      <c r="B36" s="79"/>
      <c r="C36" s="79"/>
      <c r="D36" s="79"/>
      <c r="E36" s="79"/>
      <c r="F36" s="79"/>
      <c r="G36" s="79"/>
      <c r="H36" s="79"/>
    </row>
    <row r="37" spans="1:8" ht="15.75" customHeight="1" x14ac:dyDescent="0.25">
      <c r="A37" s="122" t="s">
        <v>33</v>
      </c>
      <c r="B37" s="122"/>
      <c r="C37" s="164">
        <v>19.220382399999998</v>
      </c>
      <c r="D37" s="164"/>
      <c r="E37" s="122" t="s">
        <v>34</v>
      </c>
      <c r="F37" s="122"/>
      <c r="G37" s="147">
        <v>72.994651099999999</v>
      </c>
      <c r="H37" s="147"/>
    </row>
    <row r="38" spans="1:8" x14ac:dyDescent="0.25">
      <c r="A38" s="122" t="s">
        <v>168</v>
      </c>
      <c r="B38" s="122"/>
      <c r="C38" s="165" t="s">
        <v>174</v>
      </c>
      <c r="D38" s="166"/>
      <c r="E38" s="166"/>
      <c r="F38" s="166"/>
      <c r="G38" s="166"/>
      <c r="H38" s="166"/>
    </row>
    <row r="39" spans="1:8" x14ac:dyDescent="0.25">
      <c r="A39" s="127" t="s">
        <v>37</v>
      </c>
      <c r="B39" s="127"/>
      <c r="C39" s="127"/>
      <c r="D39" s="127"/>
      <c r="E39" s="127"/>
      <c r="F39" s="127"/>
      <c r="G39" s="127"/>
      <c r="H39" s="127"/>
    </row>
    <row r="40" spans="1:8" x14ac:dyDescent="0.25">
      <c r="A40" s="79" t="s">
        <v>38</v>
      </c>
      <c r="B40" s="79"/>
      <c r="C40" s="79"/>
      <c r="D40" s="79"/>
      <c r="E40" s="149">
        <v>1655.99</v>
      </c>
      <c r="F40" s="149"/>
      <c r="G40" s="149"/>
      <c r="H40" s="149"/>
    </row>
    <row r="41" spans="1:8" x14ac:dyDescent="0.25">
      <c r="A41" s="79" t="s">
        <v>39</v>
      </c>
      <c r="B41" s="79"/>
      <c r="C41" s="79"/>
      <c r="D41" s="79"/>
      <c r="E41" s="78">
        <v>1.1000000000000001</v>
      </c>
      <c r="F41" s="78"/>
      <c r="G41" s="78"/>
      <c r="H41" s="78"/>
    </row>
    <row r="42" spans="1:8" x14ac:dyDescent="0.25">
      <c r="A42" s="79" t="s">
        <v>40</v>
      </c>
      <c r="B42" s="79"/>
      <c r="C42" s="79"/>
      <c r="D42" s="79"/>
      <c r="E42" s="78">
        <f>E44/E40-E41</f>
        <v>3.4463197241529238</v>
      </c>
      <c r="F42" s="78"/>
      <c r="G42" s="78"/>
      <c r="H42" s="78"/>
    </row>
    <row r="43" spans="1:8" x14ac:dyDescent="0.25">
      <c r="A43" s="79" t="s">
        <v>41</v>
      </c>
      <c r="B43" s="79"/>
      <c r="C43" s="79"/>
      <c r="D43" s="79"/>
      <c r="E43" s="78">
        <f>E41+E42</f>
        <v>4.5463197241529238</v>
      </c>
      <c r="F43" s="78"/>
      <c r="G43" s="78"/>
      <c r="H43" s="78"/>
    </row>
    <row r="44" spans="1:8" x14ac:dyDescent="0.25">
      <c r="A44" s="79" t="s">
        <v>96</v>
      </c>
      <c r="B44" s="79"/>
      <c r="C44" s="79"/>
      <c r="D44" s="79"/>
      <c r="E44" s="163">
        <v>7528.66</v>
      </c>
      <c r="F44" s="163"/>
      <c r="G44" s="163"/>
      <c r="H44" s="163"/>
    </row>
    <row r="45" spans="1:8" x14ac:dyDescent="0.25">
      <c r="A45" s="102" t="s">
        <v>42</v>
      </c>
      <c r="B45" s="102"/>
      <c r="C45" s="102"/>
      <c r="D45" s="102"/>
      <c r="E45" s="102" t="s">
        <v>189</v>
      </c>
      <c r="F45" s="102"/>
      <c r="G45" s="102"/>
      <c r="H45" s="102"/>
    </row>
    <row r="46" spans="1:8" x14ac:dyDescent="0.25">
      <c r="A46" s="127" t="s">
        <v>43</v>
      </c>
      <c r="B46" s="127"/>
      <c r="C46" s="127"/>
      <c r="D46" s="127"/>
      <c r="E46" s="127"/>
      <c r="F46" s="127"/>
      <c r="G46" s="127"/>
      <c r="H46" s="127"/>
    </row>
    <row r="47" spans="1:8" ht="33.75" customHeight="1" x14ac:dyDescent="0.25">
      <c r="A47" s="95" t="s">
        <v>155</v>
      </c>
      <c r="B47" s="96"/>
      <c r="C47" s="167" t="s">
        <v>204</v>
      </c>
      <c r="D47" s="168"/>
      <c r="E47" s="168"/>
      <c r="F47" s="168"/>
      <c r="G47" s="168"/>
      <c r="H47" s="169"/>
    </row>
    <row r="48" spans="1:8" x14ac:dyDescent="0.25">
      <c r="A48" s="95" t="s">
        <v>44</v>
      </c>
      <c r="B48" s="96"/>
      <c r="C48" s="95" t="s">
        <v>215</v>
      </c>
      <c r="D48" s="97"/>
      <c r="E48" s="96"/>
      <c r="F48" s="18" t="s">
        <v>45</v>
      </c>
      <c r="G48" s="98" t="s">
        <v>230</v>
      </c>
      <c r="H48" s="96"/>
    </row>
    <row r="49" spans="1:14" x14ac:dyDescent="0.25">
      <c r="A49" s="95" t="s">
        <v>46</v>
      </c>
      <c r="B49" s="96"/>
      <c r="C49" s="95" t="str">
        <f>C48</f>
        <v>S05/0208/21/TMC/TD-DP/TPS/4176/22</v>
      </c>
      <c r="D49" s="97"/>
      <c r="E49" s="96"/>
      <c r="F49" s="18" t="s">
        <v>45</v>
      </c>
      <c r="G49" s="98" t="str">
        <f>G48</f>
        <v>12/08/2022.</v>
      </c>
      <c r="H49" s="99"/>
    </row>
    <row r="50" spans="1:14" s="21" customFormat="1" ht="15.75" customHeight="1" x14ac:dyDescent="0.25">
      <c r="A50" s="139" t="s">
        <v>159</v>
      </c>
      <c r="B50" s="140"/>
      <c r="C50" s="95" t="s">
        <v>216</v>
      </c>
      <c r="D50" s="97"/>
      <c r="E50" s="96"/>
      <c r="F50" s="18" t="s">
        <v>45</v>
      </c>
      <c r="G50" s="98" t="str">
        <f>G49</f>
        <v>12/08/2022.</v>
      </c>
      <c r="H50" s="99"/>
    </row>
    <row r="51" spans="1:14" s="21" customFormat="1" x14ac:dyDescent="0.25">
      <c r="A51" s="141"/>
      <c r="B51" s="142"/>
      <c r="C51" s="95" t="s">
        <v>217</v>
      </c>
      <c r="D51" s="97"/>
      <c r="E51" s="97"/>
      <c r="F51" s="97"/>
      <c r="G51" s="97"/>
      <c r="H51" s="96"/>
    </row>
    <row r="52" spans="1:14" x14ac:dyDescent="0.25">
      <c r="A52" s="103" t="s">
        <v>47</v>
      </c>
      <c r="B52" s="104"/>
      <c r="C52" s="103" t="s">
        <v>109</v>
      </c>
      <c r="D52" s="105"/>
      <c r="E52" s="104"/>
      <c r="F52" s="42" t="s">
        <v>45</v>
      </c>
      <c r="G52" s="108" t="s">
        <v>30</v>
      </c>
      <c r="H52" s="109"/>
    </row>
    <row r="53" spans="1:14" x14ac:dyDescent="0.25">
      <c r="A53" s="106" t="s">
        <v>49</v>
      </c>
      <c r="B53" s="106"/>
      <c r="C53" s="106"/>
      <c r="D53" s="106"/>
      <c r="E53" s="106"/>
      <c r="F53" s="106"/>
      <c r="G53" s="106"/>
      <c r="H53" s="106"/>
    </row>
    <row r="54" spans="1:14" x14ac:dyDescent="0.25">
      <c r="A54" s="107" t="s">
        <v>95</v>
      </c>
      <c r="B54" s="107"/>
      <c r="C54" s="107"/>
      <c r="D54" s="79">
        <f>E44</f>
        <v>7528.66</v>
      </c>
      <c r="E54" s="79"/>
      <c r="F54" s="79"/>
      <c r="G54" s="79"/>
      <c r="H54" s="79"/>
    </row>
    <row r="55" spans="1:14" x14ac:dyDescent="0.25">
      <c r="A55" s="77" t="s">
        <v>50</v>
      </c>
      <c r="B55" s="102"/>
      <c r="C55" s="102"/>
      <c r="D55" s="102" t="s">
        <v>221</v>
      </c>
      <c r="E55" s="102"/>
      <c r="F55" s="102"/>
      <c r="G55" s="102"/>
      <c r="H55" s="102"/>
      <c r="I55" s="22"/>
    </row>
    <row r="56" spans="1:14" x14ac:dyDescent="0.25">
      <c r="A56" s="100" t="s">
        <v>51</v>
      </c>
      <c r="B56" s="101"/>
      <c r="C56" s="138"/>
      <c r="D56" s="113" t="s">
        <v>190</v>
      </c>
      <c r="E56" s="137"/>
      <c r="F56" s="137"/>
      <c r="G56" s="137"/>
      <c r="H56" s="137"/>
    </row>
    <row r="57" spans="1:14" ht="15.75" customHeight="1" x14ac:dyDescent="0.25">
      <c r="A57" s="100" t="s">
        <v>93</v>
      </c>
      <c r="B57" s="101"/>
      <c r="C57" s="101"/>
      <c r="D57" s="77" t="s">
        <v>190</v>
      </c>
      <c r="E57" s="102"/>
      <c r="F57" s="102"/>
      <c r="G57" s="102"/>
      <c r="H57" s="102"/>
    </row>
    <row r="58" spans="1:14" ht="15.75" customHeight="1" x14ac:dyDescent="0.25">
      <c r="A58" s="79" t="s">
        <v>48</v>
      </c>
      <c r="B58" s="79"/>
      <c r="C58" s="79"/>
      <c r="D58" s="150" t="s">
        <v>191</v>
      </c>
      <c r="E58" s="150"/>
      <c r="F58" s="150"/>
      <c r="G58" s="150"/>
      <c r="H58" s="150"/>
      <c r="J58" s="23"/>
      <c r="K58" s="22"/>
      <c r="N58" s="22"/>
    </row>
    <row r="59" spans="1:14" ht="15.75" customHeight="1" x14ac:dyDescent="0.25">
      <c r="A59" s="79" t="s">
        <v>91</v>
      </c>
      <c r="B59" s="79"/>
      <c r="C59" s="79"/>
      <c r="D59" s="162" t="str">
        <f>(IF(G52="NA","60 Years After Completion",IF(G52&lt;&gt;"NA",""&amp;60-ROUNDDOWN((E3-G52)/360,0)&amp;" Years"," ")))</f>
        <v>60 Years After Completion</v>
      </c>
      <c r="E59" s="162"/>
      <c r="F59" s="162"/>
      <c r="G59" s="162"/>
      <c r="H59" s="162"/>
      <c r="N59" s="22"/>
    </row>
    <row r="60" spans="1:14" ht="15.75" customHeight="1" x14ac:dyDescent="0.25">
      <c r="A60" s="79" t="s">
        <v>92</v>
      </c>
      <c r="B60" s="79"/>
      <c r="C60" s="79"/>
      <c r="D60" s="107" t="s">
        <v>24</v>
      </c>
      <c r="E60" s="107"/>
      <c r="F60" s="107"/>
      <c r="G60" s="107"/>
      <c r="H60" s="107"/>
      <c r="J60" s="24"/>
      <c r="K60" s="24"/>
    </row>
    <row r="61" spans="1:14" ht="17.25" customHeight="1" x14ac:dyDescent="0.25">
      <c r="A61" s="79" t="s">
        <v>78</v>
      </c>
      <c r="B61" s="79"/>
      <c r="C61" s="79"/>
      <c r="D61" s="77" t="s">
        <v>214</v>
      </c>
      <c r="E61" s="107"/>
      <c r="F61" s="107"/>
      <c r="G61" s="107"/>
      <c r="H61" s="107"/>
    </row>
    <row r="62" spans="1:14" x14ac:dyDescent="0.25">
      <c r="A62" s="107" t="s">
        <v>153</v>
      </c>
      <c r="B62" s="107"/>
      <c r="C62" s="107"/>
      <c r="D62" s="107" t="s">
        <v>30</v>
      </c>
      <c r="E62" s="107"/>
      <c r="F62" s="107"/>
      <c r="G62" s="107"/>
      <c r="H62" s="107"/>
      <c r="I62" s="25"/>
      <c r="J62" s="25"/>
      <c r="K62" s="25"/>
      <c r="L62" s="25"/>
      <c r="M62" s="25"/>
      <c r="N62" s="25"/>
    </row>
    <row r="63" spans="1:14" ht="15.75" customHeight="1" x14ac:dyDescent="0.25">
      <c r="A63" s="112" t="s">
        <v>90</v>
      </c>
      <c r="B63" s="112"/>
      <c r="C63" s="112"/>
      <c r="D63" s="113" t="str">
        <f ca="1">(IF(G69&gt;95%,"Nothing",IF(G69&gt;0%,"Cement, Aggregate, Steel, etc",IF(G69=0%,"Work not yet Started"))))</f>
        <v>Cement, Aggregate, Steel, etc</v>
      </c>
      <c r="E63" s="113"/>
      <c r="F63" s="113"/>
      <c r="G63" s="113"/>
      <c r="H63" s="113"/>
      <c r="J63" s="24"/>
    </row>
    <row r="64" spans="1:14" ht="33.75" customHeight="1" thickBot="1" x14ac:dyDescent="0.3">
      <c r="A64" s="107" t="s">
        <v>122</v>
      </c>
      <c r="B64" s="107"/>
      <c r="C64" s="107"/>
      <c r="D64" s="77" t="str">
        <f ca="1">(IF(D63="Nothing","Yes",IF(D63="Cement, Aggregate, Steel, etc","Under Construction",IF(D63="Work not yet Started","Work not yet Started"))))</f>
        <v>Under Construction</v>
      </c>
      <c r="E64" s="77"/>
      <c r="F64" s="77" t="str">
        <f ca="1">(IF(D63="Nothing","Yes",IF(D63="Cement, Aggregate, Steel, etc","Under Construction",IF(D63="Work not yet Started","Work not yet Started"))))</f>
        <v>Under Construction</v>
      </c>
      <c r="G64" s="77"/>
      <c r="H64" s="77"/>
    </row>
    <row r="65" spans="1:11" ht="15.75" customHeight="1" x14ac:dyDescent="0.25">
      <c r="A65" s="144" t="s">
        <v>145</v>
      </c>
      <c r="B65" s="144"/>
      <c r="C65" s="144" t="str">
        <f>D57</f>
        <v xml:space="preserve">Building No. A1 = Gr/Stilt + 1st to 23rd Floor </v>
      </c>
      <c r="D65" s="144"/>
      <c r="E65" s="144"/>
      <c r="F65" s="144"/>
      <c r="G65" s="144"/>
      <c r="H65" s="144"/>
      <c r="I65" s="60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 Completed, External Plaster upto 18 Floor, Flooring upto 6 Floor, Painting upto 5 Floor Completed</v>
      </c>
      <c r="J65" s="45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External Plaster upto 18 Floor, Flooring upto 6 Floor, Painting upto 5 Floor</v>
      </c>
    </row>
    <row r="66" spans="1:11" x14ac:dyDescent="0.25">
      <c r="A66" s="16" t="s">
        <v>147</v>
      </c>
      <c r="B66" s="44">
        <v>0</v>
      </c>
      <c r="C66" s="44" t="s">
        <v>76</v>
      </c>
      <c r="D66" s="44">
        <v>1</v>
      </c>
      <c r="E66" s="44" t="s">
        <v>75</v>
      </c>
      <c r="F66" s="44">
        <v>0</v>
      </c>
      <c r="G66" s="44" t="s">
        <v>84</v>
      </c>
      <c r="H66" s="17">
        <f ca="1">--TRIM(RIGHT(SUBSTITUTE(LEFT(C65,_xlfn.AGGREGATE(16,6,FIND({0,1,2,3,4,5,6,7,8,9},C65,ROW(INDIRECT("1:"&amp;LEN(C65)))),1))," ",REPT(" ",LEN(C65))),LEN(C65)))</f>
        <v>23</v>
      </c>
      <c r="I66" s="46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</v>
      </c>
      <c r="J66" s="47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1" ht="33.75" customHeight="1" x14ac:dyDescent="0.25">
      <c r="A67" s="143" t="s">
        <v>94</v>
      </c>
      <c r="B67" s="130"/>
      <c r="C67" s="145" t="str">
        <f ca="1">I65</f>
        <v>Excavation, Plinth, RCC Slab, Brickwork, Internal Plaster Completed, External Plaster upto 18 Floor, Flooring upto 6 Floor, Painting upto 5 Floor Completed</v>
      </c>
      <c r="D67" s="145"/>
      <c r="E67" s="145"/>
      <c r="F67" s="145"/>
      <c r="G67" s="145"/>
      <c r="H67" s="146"/>
      <c r="I67" s="46" t="str">
        <f ca="1">IF(I66&lt;&gt;""," Completed","")</f>
        <v xml:space="preserve"> Completed</v>
      </c>
      <c r="J67" s="47" t="str">
        <f ca="1">IF(J65&lt;&gt;"","Completed","")</f>
        <v>Completed</v>
      </c>
    </row>
    <row r="68" spans="1:11" ht="15.75" customHeight="1" x14ac:dyDescent="0.25">
      <c r="A68" s="90" t="s">
        <v>52</v>
      </c>
      <c r="B68" s="91"/>
      <c r="C68" s="48" t="s">
        <v>144</v>
      </c>
      <c r="D68" s="48" t="s">
        <v>87</v>
      </c>
      <c r="E68" s="91" t="s">
        <v>89</v>
      </c>
      <c r="F68" s="91"/>
      <c r="G68" s="91" t="s">
        <v>88</v>
      </c>
      <c r="H68" s="114"/>
      <c r="I68" s="14" t="s">
        <v>146</v>
      </c>
      <c r="J68" s="26">
        <f ca="1">H66*25%</f>
        <v>5.75</v>
      </c>
    </row>
    <row r="69" spans="1:11" x14ac:dyDescent="0.25">
      <c r="A69" s="90" t="s">
        <v>133</v>
      </c>
      <c r="B69" s="91"/>
      <c r="C69" s="48">
        <f ca="1">J70</f>
        <v>23</v>
      </c>
      <c r="D69" s="49">
        <f ca="1">((100/H66)*C69)/100</f>
        <v>1</v>
      </c>
      <c r="E69" s="151">
        <f ca="1">(((C70/H66*10)+(40/(D66+F66+H66)*C71)+(7.5/(H66)*C72)+(7.5/(H66)*C73)+(10/H66*C74)+(10/H66*C75)+(5/H66*C76)+(5/H66*C77)+(5/H66*C78))/100)</f>
        <v>0.76521739130434763</v>
      </c>
      <c r="F69" s="152"/>
      <c r="G69" s="151">
        <f ca="1">((((C69/H66)*20)+((C70/H66)*25)+(30/(H66+F66+D66)*C71)+(5/H66*C72)+(5/H66*C73)+(5/H66*C74)+(5/H66*C75)+(0/H66*C76)+(0/H66*C77)+(5/H66*C78))/100)</f>
        <v>0.90217391304347827</v>
      </c>
      <c r="H69" s="157"/>
      <c r="I69" s="14" t="s">
        <v>104</v>
      </c>
      <c r="J69" s="27">
        <f ca="1">H66*50%</f>
        <v>11.5</v>
      </c>
    </row>
    <row r="70" spans="1:11" x14ac:dyDescent="0.25">
      <c r="A70" s="90" t="s">
        <v>53</v>
      </c>
      <c r="B70" s="91"/>
      <c r="C70" s="50">
        <f ca="1">J78</f>
        <v>23</v>
      </c>
      <c r="D70" s="49">
        <f ca="1">((100/H66)*C70)/100</f>
        <v>1</v>
      </c>
      <c r="E70" s="153"/>
      <c r="F70" s="154"/>
      <c r="G70" s="153"/>
      <c r="H70" s="158"/>
      <c r="I70" s="14" t="s">
        <v>105</v>
      </c>
      <c r="J70" s="27">
        <f ca="1">H66</f>
        <v>23</v>
      </c>
    </row>
    <row r="71" spans="1:11" ht="15.75" customHeight="1" x14ac:dyDescent="0.25">
      <c r="A71" s="90" t="s">
        <v>134</v>
      </c>
      <c r="B71" s="91"/>
      <c r="C71" s="48">
        <v>24</v>
      </c>
      <c r="D71" s="49">
        <f ca="1">((100/(D66+F66+H66))*C71)/100</f>
        <v>1</v>
      </c>
      <c r="E71" s="153"/>
      <c r="F71" s="154"/>
      <c r="G71" s="153"/>
      <c r="H71" s="158"/>
      <c r="I71" s="14" t="s">
        <v>106</v>
      </c>
      <c r="J71" s="28">
        <f ca="1">(IF(B66&gt;1,(H66/(B66+2)),H66/4))</f>
        <v>5.75</v>
      </c>
    </row>
    <row r="72" spans="1:11" ht="15.75" customHeight="1" x14ac:dyDescent="0.25">
      <c r="A72" s="90" t="s">
        <v>141</v>
      </c>
      <c r="B72" s="91" t="s">
        <v>135</v>
      </c>
      <c r="C72" s="48">
        <v>23</v>
      </c>
      <c r="D72" s="49">
        <f ca="1">((100/H66)*C72)/100</f>
        <v>1</v>
      </c>
      <c r="E72" s="153"/>
      <c r="F72" s="154"/>
      <c r="G72" s="153"/>
      <c r="H72" s="158"/>
      <c r="I72" s="14" t="s">
        <v>107</v>
      </c>
      <c r="J72" s="28">
        <f ca="1">(IF(B66&gt;1,(H66/(B66+2)+J71),H66/4+J71))</f>
        <v>11.5</v>
      </c>
    </row>
    <row r="73" spans="1:11" ht="15.75" customHeight="1" x14ac:dyDescent="0.25">
      <c r="A73" s="90" t="s">
        <v>142</v>
      </c>
      <c r="B73" s="91" t="s">
        <v>135</v>
      </c>
      <c r="C73" s="48">
        <v>23</v>
      </c>
      <c r="D73" s="49">
        <f ca="1">((100/H66)*C73)/100</f>
        <v>1</v>
      </c>
      <c r="E73" s="153"/>
      <c r="F73" s="154"/>
      <c r="G73" s="153"/>
      <c r="H73" s="158"/>
      <c r="I73" s="14" t="s">
        <v>151</v>
      </c>
      <c r="J73" s="28">
        <f>(IF(B66&gt;1,(H66/(B66+2)+J72),0))</f>
        <v>0</v>
      </c>
    </row>
    <row r="74" spans="1:11" ht="15" customHeight="1" x14ac:dyDescent="0.25">
      <c r="A74" s="90" t="s">
        <v>140</v>
      </c>
      <c r="B74" s="91" t="s">
        <v>137</v>
      </c>
      <c r="C74" s="48">
        <v>18</v>
      </c>
      <c r="D74" s="49">
        <f ca="1">((100/(H66))*C74)/100</f>
        <v>0.78260869565217395</v>
      </c>
      <c r="E74" s="153"/>
      <c r="F74" s="154"/>
      <c r="G74" s="153"/>
      <c r="H74" s="158"/>
      <c r="I74" s="14" t="s">
        <v>148</v>
      </c>
      <c r="J74" s="28">
        <f>(IF(B66&gt;2,(H66/(B66+2)+J73),0))</f>
        <v>0</v>
      </c>
    </row>
    <row r="75" spans="1:11" ht="15.75" customHeight="1" x14ac:dyDescent="0.25">
      <c r="A75" s="90" t="s">
        <v>136</v>
      </c>
      <c r="B75" s="91" t="s">
        <v>136</v>
      </c>
      <c r="C75" s="48">
        <v>6</v>
      </c>
      <c r="D75" s="49">
        <f ca="1">((100/H66)*C75)/100</f>
        <v>0.2608695652173913</v>
      </c>
      <c r="E75" s="153"/>
      <c r="F75" s="154"/>
      <c r="G75" s="153"/>
      <c r="H75" s="158"/>
      <c r="I75" s="14" t="s">
        <v>149</v>
      </c>
      <c r="J75" s="29">
        <f>(IF(B66&gt;3,(H66/(B66+2)+J74),0))</f>
        <v>0</v>
      </c>
    </row>
    <row r="76" spans="1:11" ht="15.75" customHeight="1" x14ac:dyDescent="0.25">
      <c r="A76" s="90" t="s">
        <v>143</v>
      </c>
      <c r="B76" s="91"/>
      <c r="C76" s="48">
        <v>5</v>
      </c>
      <c r="D76" s="49">
        <f ca="1">((100/H66)*C76)/100</f>
        <v>0.21739130434782608</v>
      </c>
      <c r="E76" s="153"/>
      <c r="F76" s="154"/>
      <c r="G76" s="153"/>
      <c r="H76" s="158"/>
      <c r="I76" s="14" t="s">
        <v>150</v>
      </c>
      <c r="J76" s="28">
        <f>(IF(B66&gt;4,(H66/(B66+2)+J75),0))</f>
        <v>0</v>
      </c>
    </row>
    <row r="77" spans="1:11" ht="15.75" customHeight="1" x14ac:dyDescent="0.25">
      <c r="A77" s="90" t="s">
        <v>138</v>
      </c>
      <c r="B77" s="91" t="s">
        <v>138</v>
      </c>
      <c r="C77" s="48">
        <v>0</v>
      </c>
      <c r="D77" s="49">
        <f ca="1">((100/(H66))*C77)/100</f>
        <v>0</v>
      </c>
      <c r="E77" s="153"/>
      <c r="F77" s="154"/>
      <c r="G77" s="153"/>
      <c r="H77" s="158"/>
      <c r="I77" s="14" t="s">
        <v>152</v>
      </c>
      <c r="J77" s="28">
        <f ca="1">(IF(B66=1,(H66/(B66+3)+J72),IF(B66=0,(H66/4+J72),IF(B66&gt;1,0))))</f>
        <v>17.25</v>
      </c>
    </row>
    <row r="78" spans="1:11" ht="16.5" thickBot="1" x14ac:dyDescent="0.3">
      <c r="A78" s="160" t="s">
        <v>139</v>
      </c>
      <c r="B78" s="161"/>
      <c r="C78" s="51">
        <v>0</v>
      </c>
      <c r="D78" s="52">
        <f ca="1">((100/(H66))*C78)/100</f>
        <v>0</v>
      </c>
      <c r="E78" s="155"/>
      <c r="F78" s="156"/>
      <c r="G78" s="155"/>
      <c r="H78" s="159"/>
      <c r="I78" s="15" t="s">
        <v>108</v>
      </c>
      <c r="J78" s="30">
        <f ca="1">(IF(B66&gt;1.5,(H66/(B66+2)+J72+MAX(0,J73-J72)+MAX(0,J74-J73)+MAX(0,J75-J74)+MAX(0,J76-J75)+MAX(0,J77-J76)),IF(B66=1,(H66/(B66+3)+J77),IF(B66=0,H66/4+J77))))</f>
        <v>23</v>
      </c>
    </row>
    <row r="79" spans="1:11" x14ac:dyDescent="0.25">
      <c r="A79" s="170" t="s">
        <v>161</v>
      </c>
      <c r="B79" s="170"/>
      <c r="C79" s="170"/>
      <c r="D79" s="170"/>
      <c r="E79" s="170"/>
      <c r="F79" s="115" t="s">
        <v>166</v>
      </c>
      <c r="G79" s="115"/>
      <c r="H79" s="115"/>
      <c r="I79" s="20"/>
      <c r="J79" s="56" t="s">
        <v>199</v>
      </c>
      <c r="K79" s="56" t="s">
        <v>200</v>
      </c>
    </row>
    <row r="80" spans="1:11" x14ac:dyDescent="0.25">
      <c r="A80" s="79" t="s">
        <v>164</v>
      </c>
      <c r="B80" s="79"/>
      <c r="C80" s="79"/>
      <c r="D80" s="79"/>
      <c r="E80" s="79"/>
      <c r="F80" s="92">
        <v>10650</v>
      </c>
      <c r="G80" s="92"/>
      <c r="H80" s="92"/>
      <c r="I80" s="20"/>
      <c r="J80" s="56">
        <v>9100</v>
      </c>
      <c r="K80" s="56">
        <v>11100</v>
      </c>
    </row>
    <row r="81" spans="1:12" x14ac:dyDescent="0.25">
      <c r="A81" s="79" t="s">
        <v>163</v>
      </c>
      <c r="B81" s="79"/>
      <c r="C81" s="79"/>
      <c r="D81" s="79"/>
      <c r="E81" s="79"/>
      <c r="F81" s="110">
        <v>21000</v>
      </c>
      <c r="G81" s="110"/>
      <c r="H81" s="110"/>
      <c r="J81" s="58" t="s">
        <v>223</v>
      </c>
    </row>
    <row r="82" spans="1:12" hidden="1" x14ac:dyDescent="0.25">
      <c r="A82" s="79" t="s">
        <v>165</v>
      </c>
      <c r="B82" s="79"/>
      <c r="C82" s="79"/>
      <c r="D82" s="79"/>
      <c r="E82" s="79"/>
      <c r="F82" s="110"/>
      <c r="G82" s="110"/>
      <c r="H82" s="110"/>
    </row>
    <row r="83" spans="1:12" s="31" customFormat="1" hidden="1" x14ac:dyDescent="0.25">
      <c r="A83" s="79" t="s">
        <v>162</v>
      </c>
      <c r="B83" s="79"/>
      <c r="C83" s="79"/>
      <c r="D83" s="79"/>
      <c r="E83" s="79"/>
      <c r="F83" s="110"/>
      <c r="G83" s="110"/>
      <c r="H83" s="110"/>
    </row>
    <row r="84" spans="1:12" s="31" customFormat="1" hidden="1" x14ac:dyDescent="0.25">
      <c r="A84" s="79" t="s">
        <v>99</v>
      </c>
      <c r="B84" s="79"/>
      <c r="C84" s="79"/>
      <c r="D84" s="79"/>
      <c r="E84" s="79"/>
      <c r="F84" s="110"/>
      <c r="G84" s="110"/>
      <c r="H84" s="110"/>
    </row>
    <row r="85" spans="1:12" s="31" customFormat="1" x14ac:dyDescent="0.25">
      <c r="A85" s="79" t="s">
        <v>212</v>
      </c>
      <c r="B85" s="79"/>
      <c r="C85" s="79"/>
      <c r="D85" s="79"/>
      <c r="E85" s="79"/>
      <c r="F85" s="110">
        <v>220000</v>
      </c>
      <c r="G85" s="110"/>
      <c r="H85" s="110"/>
    </row>
    <row r="86" spans="1:12" s="31" customFormat="1" hidden="1" x14ac:dyDescent="0.25">
      <c r="A86" s="79" t="s">
        <v>167</v>
      </c>
      <c r="B86" s="79"/>
      <c r="C86" s="79"/>
      <c r="D86" s="79"/>
      <c r="E86" s="79"/>
      <c r="F86" s="110"/>
      <c r="G86" s="110"/>
      <c r="H86" s="110"/>
    </row>
    <row r="87" spans="1:12" s="31" customFormat="1" hidden="1" x14ac:dyDescent="0.25">
      <c r="A87" s="79" t="s">
        <v>100</v>
      </c>
      <c r="B87" s="79"/>
      <c r="C87" s="79"/>
      <c r="D87" s="79"/>
      <c r="E87" s="79"/>
      <c r="F87" s="110"/>
      <c r="G87" s="110"/>
      <c r="H87" s="110"/>
    </row>
    <row r="88" spans="1:12" s="31" customFormat="1" hidden="1" x14ac:dyDescent="0.25">
      <c r="A88" s="79" t="s">
        <v>101</v>
      </c>
      <c r="B88" s="79"/>
      <c r="C88" s="79"/>
      <c r="D88" s="79"/>
      <c r="E88" s="79"/>
      <c r="F88" s="110"/>
      <c r="G88" s="110"/>
      <c r="H88" s="110"/>
    </row>
    <row r="89" spans="1:12" s="31" customFormat="1" x14ac:dyDescent="0.25">
      <c r="A89" s="79" t="s">
        <v>102</v>
      </c>
      <c r="B89" s="79"/>
      <c r="C89" s="79"/>
      <c r="D89" s="79"/>
      <c r="E89" s="79"/>
      <c r="F89" s="110">
        <v>100000</v>
      </c>
      <c r="G89" s="110"/>
      <c r="H89" s="110"/>
    </row>
    <row r="90" spans="1:12" s="31" customFormat="1" hidden="1" x14ac:dyDescent="0.25">
      <c r="A90" s="79" t="s">
        <v>103</v>
      </c>
      <c r="B90" s="79"/>
      <c r="C90" s="79"/>
      <c r="D90" s="79"/>
      <c r="E90" s="79"/>
      <c r="F90" s="110"/>
      <c r="G90" s="110"/>
      <c r="H90" s="110"/>
    </row>
    <row r="91" spans="1:12" x14ac:dyDescent="0.25">
      <c r="A91" s="79" t="s">
        <v>54</v>
      </c>
      <c r="B91" s="79"/>
      <c r="C91" s="79"/>
      <c r="D91" s="79"/>
      <c r="E91" s="79"/>
      <c r="F91" s="110">
        <v>600000</v>
      </c>
      <c r="G91" s="110"/>
      <c r="H91" s="110"/>
      <c r="I91" s="58" t="s">
        <v>209</v>
      </c>
      <c r="J91" s="58" t="s">
        <v>210</v>
      </c>
      <c r="K91" s="58" t="s">
        <v>211</v>
      </c>
      <c r="L91" s="59">
        <v>44902</v>
      </c>
    </row>
    <row r="92" spans="1:12" s="32" customFormat="1" x14ac:dyDescent="0.25">
      <c r="A92" s="127" t="s">
        <v>55</v>
      </c>
      <c r="B92" s="127"/>
      <c r="C92" s="127"/>
      <c r="D92" s="127"/>
      <c r="E92" s="127"/>
      <c r="F92" s="110">
        <f>F80*0.8</f>
        <v>8520</v>
      </c>
      <c r="G92" s="110"/>
      <c r="H92" s="110"/>
    </row>
    <row r="93" spans="1:12" s="33" customFormat="1" ht="15.75" customHeight="1" x14ac:dyDescent="0.25">
      <c r="A93" s="126" t="s">
        <v>79</v>
      </c>
      <c r="B93" s="126"/>
      <c r="C93" s="126"/>
      <c r="D93" s="126"/>
      <c r="E93" s="126"/>
      <c r="F93" s="126"/>
      <c r="G93" s="126"/>
      <c r="H93" s="126"/>
    </row>
    <row r="94" spans="1:12" s="33" customFormat="1" ht="15.75" customHeight="1" x14ac:dyDescent="0.25">
      <c r="A94" s="81" t="s">
        <v>56</v>
      </c>
      <c r="B94" s="81"/>
      <c r="C94" s="111" t="s">
        <v>82</v>
      </c>
      <c r="D94" s="111"/>
      <c r="E94" s="118" t="s">
        <v>57</v>
      </c>
      <c r="F94" s="118"/>
      <c r="G94" s="81" t="s">
        <v>58</v>
      </c>
      <c r="H94" s="81"/>
      <c r="J94" s="33" t="s">
        <v>205</v>
      </c>
    </row>
    <row r="95" spans="1:12" s="33" customFormat="1" x14ac:dyDescent="0.25">
      <c r="A95" s="128" t="s">
        <v>194</v>
      </c>
      <c r="B95" s="128"/>
      <c r="C95" s="116">
        <f>COUNT(D105:D110)</f>
        <v>6</v>
      </c>
      <c r="D95" s="117"/>
      <c r="E95" s="93">
        <f>SUM(D105:D110)</f>
        <v>1289.5810200000001</v>
      </c>
      <c r="F95" s="94"/>
      <c r="G95" s="93">
        <f>SUM(F105:F110)</f>
        <v>2063.3296320000004</v>
      </c>
      <c r="H95" s="94"/>
      <c r="J95" s="33" t="s">
        <v>208</v>
      </c>
    </row>
    <row r="96" spans="1:12" s="33" customFormat="1" x14ac:dyDescent="0.25">
      <c r="A96" s="126" t="s">
        <v>74</v>
      </c>
      <c r="B96" s="126"/>
      <c r="C96" s="126"/>
      <c r="D96" s="126"/>
      <c r="E96" s="126"/>
      <c r="F96" s="126"/>
      <c r="G96" s="126"/>
      <c r="H96" s="126"/>
      <c r="I96" s="33" t="s">
        <v>206</v>
      </c>
      <c r="J96" s="33">
        <v>9400</v>
      </c>
    </row>
    <row r="97" spans="1:14" s="33" customFormat="1" ht="15.75" customHeight="1" x14ac:dyDescent="0.25">
      <c r="A97" s="81" t="s">
        <v>56</v>
      </c>
      <c r="B97" s="81"/>
      <c r="C97" s="111" t="s">
        <v>82</v>
      </c>
      <c r="D97" s="111"/>
      <c r="E97" s="118" t="s">
        <v>57</v>
      </c>
      <c r="F97" s="118"/>
      <c r="G97" s="81" t="s">
        <v>58</v>
      </c>
      <c r="H97" s="81"/>
      <c r="I97" s="33" t="s">
        <v>207</v>
      </c>
    </row>
    <row r="98" spans="1:14" s="33" customFormat="1" x14ac:dyDescent="0.25">
      <c r="A98" s="128" t="s">
        <v>73</v>
      </c>
      <c r="B98" s="128"/>
      <c r="C98" s="117">
        <f>COUNT(D117:D122)+COUNT(D124:D131)*18+COUNT(D133:D136,D138:D140)*4</f>
        <v>178</v>
      </c>
      <c r="D98" s="117"/>
      <c r="E98" s="93">
        <f>SUM(D117:D122)+SUM(D124:D131)*18+SUM(D133:D136,D138:D140)*4</f>
        <v>53658.647639999996</v>
      </c>
      <c r="F98" s="93"/>
      <c r="G98" s="93">
        <f>SUM(F117:F122)+SUM(F124:F131)*18+SUM(F133:F136,F138:F140)*4</f>
        <v>80487.971459999986</v>
      </c>
      <c r="H98" s="93"/>
    </row>
    <row r="99" spans="1:14" s="32" customFormat="1" x14ac:dyDescent="0.25">
      <c r="A99" s="122" t="s">
        <v>59</v>
      </c>
      <c r="B99" s="122"/>
      <c r="C99" s="122"/>
      <c r="D99" s="122"/>
      <c r="E99" s="122"/>
      <c r="F99" s="122"/>
      <c r="G99" s="122"/>
      <c r="H99" s="122"/>
    </row>
    <row r="100" spans="1:14" x14ac:dyDescent="0.25">
      <c r="A100" s="122" t="s">
        <v>60</v>
      </c>
      <c r="B100" s="122"/>
      <c r="C100" s="122"/>
      <c r="D100" s="122"/>
      <c r="E100" s="122"/>
      <c r="F100" s="122"/>
      <c r="G100" s="122"/>
      <c r="H100" s="122"/>
    </row>
    <row r="101" spans="1:14" ht="47.25" customHeight="1" x14ac:dyDescent="0.25">
      <c r="A101" s="82" t="s">
        <v>124</v>
      </c>
      <c r="B101" s="82" t="s">
        <v>123</v>
      </c>
      <c r="C101" s="82" t="s">
        <v>61</v>
      </c>
      <c r="D101" s="82" t="s">
        <v>62</v>
      </c>
      <c r="E101" s="84" t="s">
        <v>160</v>
      </c>
      <c r="F101" s="41" t="s">
        <v>154</v>
      </c>
      <c r="G101" s="86" t="s">
        <v>64</v>
      </c>
      <c r="H101" s="87"/>
    </row>
    <row r="102" spans="1:14" s="35" customFormat="1" x14ac:dyDescent="0.25">
      <c r="A102" s="83"/>
      <c r="B102" s="83"/>
      <c r="C102" s="83"/>
      <c r="D102" s="83"/>
      <c r="E102" s="85"/>
      <c r="F102" s="13">
        <v>0.6</v>
      </c>
      <c r="G102" s="88"/>
      <c r="H102" s="89"/>
    </row>
    <row r="103" spans="1:14" s="35" customFormat="1" x14ac:dyDescent="0.25">
      <c r="A103" s="64" t="s">
        <v>198</v>
      </c>
      <c r="B103" s="65"/>
      <c r="C103" s="65"/>
      <c r="D103" s="65"/>
      <c r="E103" s="65"/>
      <c r="F103" s="65"/>
      <c r="G103" s="65"/>
      <c r="H103" s="66"/>
      <c r="J103" s="34"/>
    </row>
    <row r="104" spans="1:14" s="35" customFormat="1" ht="15.75" customHeight="1" x14ac:dyDescent="0.25">
      <c r="A104" s="64" t="s">
        <v>193</v>
      </c>
      <c r="B104" s="65"/>
      <c r="C104" s="65"/>
      <c r="D104" s="65"/>
      <c r="E104" s="65"/>
      <c r="F104" s="65"/>
      <c r="G104" s="65"/>
      <c r="H104" s="66"/>
      <c r="J104" s="34"/>
    </row>
    <row r="105" spans="1:14" s="35" customFormat="1" ht="15.75" customHeight="1" x14ac:dyDescent="0.25">
      <c r="A105" s="67">
        <v>1</v>
      </c>
      <c r="B105" s="68"/>
      <c r="C105" s="40" t="s">
        <v>194</v>
      </c>
      <c r="D105" s="55">
        <f>(4.2*5.94)*10.764</f>
        <v>268.54027200000002</v>
      </c>
      <c r="E105" s="55">
        <v>0</v>
      </c>
      <c r="F105" s="40">
        <f>(D105+E105)*(($F$102)+1)</f>
        <v>429.66443520000007</v>
      </c>
      <c r="G105" s="69" t="str">
        <f>A104</f>
        <v>Ground Floor for Commercial &amp; Parking</v>
      </c>
      <c r="H105" s="70"/>
      <c r="I105" s="34">
        <f>(4.04*5.94)</f>
        <v>23.997600000000002</v>
      </c>
      <c r="J105" s="34"/>
      <c r="L105" s="75"/>
      <c r="M105" s="75"/>
      <c r="N105" s="34"/>
    </row>
    <row r="106" spans="1:14" s="35" customFormat="1" x14ac:dyDescent="0.25">
      <c r="A106" s="67">
        <f t="shared" ref="A106:A110" si="0">A105+1</f>
        <v>2</v>
      </c>
      <c r="B106" s="68"/>
      <c r="C106" s="40" t="s">
        <v>194</v>
      </c>
      <c r="D106" s="55">
        <f>(2.59*5.79)*10.764</f>
        <v>161.41802039999996</v>
      </c>
      <c r="E106" s="55">
        <v>0</v>
      </c>
      <c r="F106" s="40">
        <f t="shared" ref="F106:F108" si="1">(D106+E106)*(($F$102)+1)</f>
        <v>258.26883263999997</v>
      </c>
      <c r="G106" s="71"/>
      <c r="H106" s="72"/>
      <c r="I106" s="34"/>
      <c r="L106" s="75"/>
      <c r="M106" s="75"/>
      <c r="N106" s="34"/>
    </row>
    <row r="107" spans="1:14" s="35" customFormat="1" x14ac:dyDescent="0.25">
      <c r="A107" s="67">
        <f t="shared" si="0"/>
        <v>3</v>
      </c>
      <c r="B107" s="68"/>
      <c r="C107" s="40" t="s">
        <v>194</v>
      </c>
      <c r="D107" s="55">
        <f>(3.36*5.94)*10.764</f>
        <v>214.83221760000001</v>
      </c>
      <c r="E107" s="55">
        <v>0</v>
      </c>
      <c r="F107" s="40">
        <f t="shared" si="1"/>
        <v>343.73154816000005</v>
      </c>
      <c r="G107" s="71"/>
      <c r="H107" s="72"/>
      <c r="I107" s="34"/>
      <c r="L107" s="75"/>
      <c r="M107" s="75"/>
      <c r="N107" s="34"/>
    </row>
    <row r="108" spans="1:14" s="35" customFormat="1" x14ac:dyDescent="0.25">
      <c r="A108" s="67">
        <f t="shared" si="0"/>
        <v>4</v>
      </c>
      <c r="B108" s="68"/>
      <c r="C108" s="40" t="s">
        <v>194</v>
      </c>
      <c r="D108" s="55">
        <f>(3.36*5.94)*10.764</f>
        <v>214.83221760000001</v>
      </c>
      <c r="E108" s="55">
        <v>0</v>
      </c>
      <c r="F108" s="40">
        <f t="shared" si="1"/>
        <v>343.73154816000005</v>
      </c>
      <c r="G108" s="71"/>
      <c r="H108" s="72"/>
      <c r="I108" s="34"/>
      <c r="L108" s="75"/>
      <c r="M108" s="75"/>
      <c r="N108" s="34"/>
    </row>
    <row r="109" spans="1:14" s="35" customFormat="1" x14ac:dyDescent="0.25">
      <c r="A109" s="67">
        <f t="shared" si="0"/>
        <v>5</v>
      </c>
      <c r="B109" s="68"/>
      <c r="C109" s="40" t="s">
        <v>194</v>
      </c>
      <c r="D109" s="55">
        <f>(2.59*5.79)*10.764</f>
        <v>161.41802039999996</v>
      </c>
      <c r="E109" s="55">
        <v>0</v>
      </c>
      <c r="F109" s="40">
        <f t="shared" ref="F109:F110" si="2">(D109+E109)*(($F$102)+1)</f>
        <v>258.26883263999997</v>
      </c>
      <c r="G109" s="71"/>
      <c r="H109" s="72"/>
      <c r="I109" s="34"/>
      <c r="L109" s="75"/>
      <c r="M109" s="75"/>
      <c r="N109" s="34"/>
    </row>
    <row r="110" spans="1:14" s="35" customFormat="1" x14ac:dyDescent="0.25">
      <c r="A110" s="67">
        <f t="shared" si="0"/>
        <v>6</v>
      </c>
      <c r="B110" s="68"/>
      <c r="C110" s="40" t="s">
        <v>194</v>
      </c>
      <c r="D110" s="55">
        <f>(4.2*5.94)*10.764</f>
        <v>268.54027200000002</v>
      </c>
      <c r="E110" s="55">
        <v>0</v>
      </c>
      <c r="F110" s="40">
        <f t="shared" si="2"/>
        <v>429.66443520000007</v>
      </c>
      <c r="G110" s="73"/>
      <c r="H110" s="74"/>
      <c r="I110" s="34"/>
      <c r="L110" s="75"/>
      <c r="M110" s="75"/>
      <c r="N110" s="34"/>
    </row>
    <row r="111" spans="1:14" s="35" customFormat="1" x14ac:dyDescent="0.25">
      <c r="A111" s="67"/>
      <c r="B111" s="76"/>
      <c r="C111" s="76"/>
      <c r="D111" s="76"/>
      <c r="E111" s="76"/>
      <c r="F111" s="76"/>
      <c r="G111" s="76"/>
      <c r="H111" s="68"/>
      <c r="I111" s="34"/>
      <c r="N111" s="34"/>
    </row>
    <row r="112" spans="1:14" ht="47.25" customHeight="1" x14ac:dyDescent="0.25">
      <c r="A112" s="86" t="s">
        <v>125</v>
      </c>
      <c r="B112" s="86" t="s">
        <v>126</v>
      </c>
      <c r="C112" s="82" t="s">
        <v>61</v>
      </c>
      <c r="D112" s="82" t="s">
        <v>62</v>
      </c>
      <c r="E112" s="84" t="s">
        <v>63</v>
      </c>
      <c r="F112" s="41" t="s">
        <v>154</v>
      </c>
      <c r="G112" s="86" t="s">
        <v>64</v>
      </c>
      <c r="H112" s="87"/>
      <c r="I112" s="34"/>
    </row>
    <row r="113" spans="1:14" s="35" customFormat="1" x14ac:dyDescent="0.25">
      <c r="A113" s="88"/>
      <c r="B113" s="88"/>
      <c r="C113" s="83"/>
      <c r="D113" s="83"/>
      <c r="E113" s="85"/>
      <c r="F113" s="13">
        <v>0.5</v>
      </c>
      <c r="G113" s="88"/>
      <c r="H113" s="89"/>
      <c r="I113" s="34"/>
    </row>
    <row r="114" spans="1:14" s="35" customFormat="1" x14ac:dyDescent="0.25">
      <c r="A114" s="64" t="s">
        <v>198</v>
      </c>
      <c r="B114" s="65"/>
      <c r="C114" s="65"/>
      <c r="D114" s="65"/>
      <c r="E114" s="65"/>
      <c r="F114" s="65"/>
      <c r="G114" s="65"/>
      <c r="H114" s="66"/>
      <c r="J114" s="34"/>
    </row>
    <row r="115" spans="1:14" s="35" customFormat="1" ht="15.75" customHeight="1" x14ac:dyDescent="0.25">
      <c r="A115" s="64" t="s">
        <v>193</v>
      </c>
      <c r="B115" s="65"/>
      <c r="C115" s="65"/>
      <c r="D115" s="65"/>
      <c r="E115" s="65"/>
      <c r="F115" s="65"/>
      <c r="G115" s="65"/>
      <c r="H115" s="66"/>
      <c r="J115" s="34"/>
    </row>
    <row r="116" spans="1:14" s="35" customFormat="1" x14ac:dyDescent="0.25">
      <c r="A116" s="64" t="s">
        <v>218</v>
      </c>
      <c r="B116" s="65"/>
      <c r="C116" s="65"/>
      <c r="D116" s="65"/>
      <c r="E116" s="65"/>
      <c r="F116" s="65"/>
      <c r="G116" s="65"/>
      <c r="H116" s="66"/>
      <c r="J116" s="34"/>
    </row>
    <row r="117" spans="1:14" s="35" customFormat="1" ht="15.75" customHeight="1" x14ac:dyDescent="0.25">
      <c r="A117" s="67">
        <v>1</v>
      </c>
      <c r="B117" s="68"/>
      <c r="C117" s="40" t="s">
        <v>195</v>
      </c>
      <c r="D117" s="55">
        <f>(27.62)*10.764</f>
        <v>297.30167999999998</v>
      </c>
      <c r="E117" s="55">
        <v>0</v>
      </c>
      <c r="F117" s="40">
        <f t="shared" ref="F117:F122" si="3">D117*(($F$113)+1)+(IF(E117&lt;101,E117,IF(E117&lt;201,E117/2,IF(E117&lt;=301,E117/3,E117/4))))</f>
        <v>445.95251999999994</v>
      </c>
      <c r="G117" s="69" t="str">
        <f>A116</f>
        <v>1st Floor for Residential &amp; Fitness Center</v>
      </c>
      <c r="H117" s="70"/>
      <c r="I117" s="34"/>
      <c r="J117" s="57"/>
      <c r="K117" s="34">
        <f>9500*F117</f>
        <v>4236548.9399999995</v>
      </c>
      <c r="L117" s="75"/>
      <c r="M117" s="75"/>
      <c r="N117" s="34"/>
    </row>
    <row r="118" spans="1:14" s="35" customFormat="1" x14ac:dyDescent="0.25">
      <c r="A118" s="67">
        <f t="shared" ref="A118:A120" si="4">A117+1</f>
        <v>2</v>
      </c>
      <c r="B118" s="68"/>
      <c r="C118" s="40" t="s">
        <v>195</v>
      </c>
      <c r="D118" s="55">
        <f>(27.77)*10.764</f>
        <v>298.91627999999997</v>
      </c>
      <c r="E118" s="55">
        <v>0</v>
      </c>
      <c r="F118" s="40">
        <f t="shared" si="3"/>
        <v>448.37441999999999</v>
      </c>
      <c r="G118" s="71"/>
      <c r="H118" s="72"/>
      <c r="I118" s="34"/>
      <c r="J118" s="34"/>
      <c r="K118" s="34">
        <f t="shared" ref="K118:K120" si="5">9500*F118</f>
        <v>4259556.99</v>
      </c>
      <c r="L118" s="75"/>
      <c r="M118" s="75"/>
      <c r="N118" s="34"/>
    </row>
    <row r="119" spans="1:14" s="35" customFormat="1" x14ac:dyDescent="0.25">
      <c r="A119" s="67">
        <f t="shared" si="4"/>
        <v>3</v>
      </c>
      <c r="B119" s="68"/>
      <c r="C119" s="40" t="s">
        <v>195</v>
      </c>
      <c r="D119" s="55">
        <f>(27.81)*10.764</f>
        <v>299.34683999999999</v>
      </c>
      <c r="E119" s="55">
        <v>0</v>
      </c>
      <c r="F119" s="40">
        <f t="shared" si="3"/>
        <v>449.02026000000001</v>
      </c>
      <c r="G119" s="71"/>
      <c r="H119" s="72"/>
      <c r="I119" s="34"/>
      <c r="J119" s="34"/>
      <c r="K119" s="34">
        <f t="shared" si="5"/>
        <v>4265692.47</v>
      </c>
      <c r="L119" s="75"/>
      <c r="M119" s="75"/>
      <c r="N119" s="34"/>
    </row>
    <row r="120" spans="1:14" s="35" customFormat="1" x14ac:dyDescent="0.25">
      <c r="A120" s="67">
        <f t="shared" si="4"/>
        <v>4</v>
      </c>
      <c r="B120" s="68"/>
      <c r="C120" s="40" t="s">
        <v>195</v>
      </c>
      <c r="D120" s="55">
        <f>(29.81)*10.764</f>
        <v>320.87483999999995</v>
      </c>
      <c r="E120" s="55">
        <v>0</v>
      </c>
      <c r="F120" s="40">
        <f t="shared" si="3"/>
        <v>481.31225999999992</v>
      </c>
      <c r="G120" s="71"/>
      <c r="H120" s="72"/>
      <c r="I120" s="34"/>
      <c r="K120" s="34">
        <f t="shared" si="5"/>
        <v>4572466.47</v>
      </c>
      <c r="L120" s="75"/>
      <c r="M120" s="75"/>
      <c r="N120" s="34"/>
    </row>
    <row r="121" spans="1:14" s="35" customFormat="1" x14ac:dyDescent="0.25">
      <c r="A121" s="67">
        <v>5</v>
      </c>
      <c r="B121" s="68"/>
      <c r="C121" s="40" t="s">
        <v>195</v>
      </c>
      <c r="D121" s="55">
        <f>(27.62)*10.764</f>
        <v>297.30167999999998</v>
      </c>
      <c r="E121" s="55">
        <v>0</v>
      </c>
      <c r="F121" s="40">
        <f t="shared" si="3"/>
        <v>445.95251999999994</v>
      </c>
      <c r="G121" s="71"/>
      <c r="H121" s="72"/>
      <c r="I121" s="34"/>
      <c r="J121" s="34"/>
      <c r="K121" s="34">
        <f t="shared" ref="K121:K122" si="6">9000*F121</f>
        <v>4013572.6799999992</v>
      </c>
      <c r="L121" s="75"/>
      <c r="M121" s="75"/>
      <c r="N121" s="34"/>
    </row>
    <row r="122" spans="1:14" s="35" customFormat="1" x14ac:dyDescent="0.25">
      <c r="A122" s="67">
        <v>6</v>
      </c>
      <c r="B122" s="68"/>
      <c r="C122" s="40" t="s">
        <v>195</v>
      </c>
      <c r="D122" s="55">
        <f>(27.62)*10.764</f>
        <v>297.30167999999998</v>
      </c>
      <c r="E122" s="55">
        <v>0</v>
      </c>
      <c r="F122" s="40">
        <f t="shared" si="3"/>
        <v>445.95251999999994</v>
      </c>
      <c r="G122" s="73"/>
      <c r="H122" s="74"/>
      <c r="I122" s="34"/>
      <c r="K122" s="34">
        <f t="shared" si="6"/>
        <v>4013572.6799999992</v>
      </c>
      <c r="L122" s="75"/>
      <c r="M122" s="75"/>
      <c r="N122" s="34"/>
    </row>
    <row r="123" spans="1:14" s="35" customFormat="1" x14ac:dyDescent="0.25">
      <c r="A123" s="64" t="s">
        <v>219</v>
      </c>
      <c r="B123" s="65"/>
      <c r="C123" s="65"/>
      <c r="D123" s="65"/>
      <c r="E123" s="65"/>
      <c r="F123" s="65"/>
      <c r="G123" s="65"/>
      <c r="H123" s="66"/>
      <c r="J123" s="34"/>
    </row>
    <row r="124" spans="1:14" s="35" customFormat="1" ht="15.75" customHeight="1" x14ac:dyDescent="0.25">
      <c r="A124" s="67">
        <v>1</v>
      </c>
      <c r="B124" s="68"/>
      <c r="C124" s="40" t="s">
        <v>195</v>
      </c>
      <c r="D124" s="55">
        <f>(27.62)*10.764</f>
        <v>297.30167999999998</v>
      </c>
      <c r="E124" s="55">
        <v>0</v>
      </c>
      <c r="F124" s="40">
        <f>D124*(($F$113)+1)+(IF(E124&lt;101,E124,IF(E124&lt;201,E124/2,IF(E124&lt;=301,E124/3,E124/4))))</f>
        <v>445.95251999999994</v>
      </c>
      <c r="G124" s="69" t="str">
        <f>A123</f>
        <v>2nd to 7th, 9th to 12th, 14th to 17th &amp; 19th to 22nd Floor</v>
      </c>
      <c r="H124" s="70"/>
      <c r="I124" s="34"/>
      <c r="L124" s="75"/>
      <c r="M124" s="75"/>
      <c r="N124" s="34"/>
    </row>
    <row r="125" spans="1:14" s="35" customFormat="1" x14ac:dyDescent="0.25">
      <c r="A125" s="67">
        <f t="shared" ref="A125:A131" si="7">A124+1</f>
        <v>2</v>
      </c>
      <c r="B125" s="68"/>
      <c r="C125" s="40" t="s">
        <v>195</v>
      </c>
      <c r="D125" s="55">
        <f>(27.77)*10.764</f>
        <v>298.91627999999997</v>
      </c>
      <c r="E125" s="55">
        <v>0</v>
      </c>
      <c r="F125" s="40">
        <f>D125*(($F$113)+1)+(IF(E125&lt;101,E125,IF(E125&lt;201,E125/2,IF(E125&lt;=301,E125/3,E125/4))))</f>
        <v>448.37441999999999</v>
      </c>
      <c r="G125" s="71"/>
      <c r="H125" s="72"/>
      <c r="I125" s="34"/>
      <c r="J125" s="35">
        <f>2.9*3.35+2.22*1.6+2.75*2.59+1.83*1.3+1.83*1.22+1.22*1</f>
        <v>26.2211</v>
      </c>
      <c r="L125" s="75"/>
      <c r="M125" s="75"/>
      <c r="N125" s="34"/>
    </row>
    <row r="126" spans="1:14" s="35" customFormat="1" x14ac:dyDescent="0.25">
      <c r="A126" s="67">
        <f t="shared" si="7"/>
        <v>3</v>
      </c>
      <c r="B126" s="68"/>
      <c r="C126" s="40" t="s">
        <v>195</v>
      </c>
      <c r="D126" s="55">
        <f>(27.81)*10.764</f>
        <v>299.34683999999999</v>
      </c>
      <c r="E126" s="55">
        <v>0</v>
      </c>
      <c r="F126" s="40">
        <f>D126*(($F$113)+1)+(IF(E126&lt;101,E126,IF(E126&lt;201,E126/2,IF(E126&lt;=301,E126/3,E126/4))))</f>
        <v>449.02026000000001</v>
      </c>
      <c r="G126" s="71"/>
      <c r="H126" s="72"/>
      <c r="I126" s="34"/>
      <c r="L126" s="75"/>
      <c r="M126" s="75"/>
      <c r="N126" s="34"/>
    </row>
    <row r="127" spans="1:14" s="35" customFormat="1" x14ac:dyDescent="0.25">
      <c r="A127" s="67">
        <f t="shared" si="7"/>
        <v>4</v>
      </c>
      <c r="B127" s="68"/>
      <c r="C127" s="40" t="s">
        <v>195</v>
      </c>
      <c r="D127" s="55">
        <f>(29.81)*10.764</f>
        <v>320.87483999999995</v>
      </c>
      <c r="E127" s="55">
        <v>0</v>
      </c>
      <c r="F127" s="40">
        <f>D127*(($F$113)+1)+(IF(E127&lt;101,E127,IF(E127&lt;201,E127/2,IF(E127&lt;=301,E127/3,E127/4))))</f>
        <v>481.31225999999992</v>
      </c>
      <c r="G127" s="71"/>
      <c r="H127" s="72"/>
      <c r="I127" s="34"/>
      <c r="L127" s="75"/>
      <c r="M127" s="75"/>
      <c r="N127" s="34"/>
    </row>
    <row r="128" spans="1:14" s="35" customFormat="1" x14ac:dyDescent="0.25">
      <c r="A128" s="67">
        <f t="shared" si="7"/>
        <v>5</v>
      </c>
      <c r="B128" s="68"/>
      <c r="C128" s="40" t="s">
        <v>195</v>
      </c>
      <c r="D128" s="55">
        <f>(27.81)*10.764</f>
        <v>299.34683999999999</v>
      </c>
      <c r="E128" s="55">
        <v>0</v>
      </c>
      <c r="F128" s="40">
        <f t="shared" ref="F128:F129" si="8">D128*(($F$113)+1)+(IF(E128&lt;101,E128,IF(E128&lt;201,E128/2,IF(E128&lt;=301,E128/3,E128/4))))</f>
        <v>449.02026000000001</v>
      </c>
      <c r="G128" s="71"/>
      <c r="H128" s="72"/>
      <c r="I128" s="34"/>
      <c r="L128" s="75"/>
      <c r="M128" s="75"/>
      <c r="N128" s="34"/>
    </row>
    <row r="129" spans="1:14" s="35" customFormat="1" x14ac:dyDescent="0.25">
      <c r="A129" s="67">
        <f t="shared" si="7"/>
        <v>6</v>
      </c>
      <c r="B129" s="68"/>
      <c r="C129" s="40" t="s">
        <v>195</v>
      </c>
      <c r="D129" s="55">
        <f>(27.78)*10.764</f>
        <v>299.02391999999998</v>
      </c>
      <c r="E129" s="55">
        <v>0</v>
      </c>
      <c r="F129" s="40">
        <f t="shared" si="8"/>
        <v>448.53587999999996</v>
      </c>
      <c r="G129" s="71"/>
      <c r="H129" s="72"/>
      <c r="I129" s="34"/>
      <c r="L129" s="75"/>
      <c r="M129" s="75"/>
      <c r="N129" s="34"/>
    </row>
    <row r="130" spans="1:14" s="35" customFormat="1" x14ac:dyDescent="0.25">
      <c r="A130" s="67">
        <f t="shared" si="7"/>
        <v>7</v>
      </c>
      <c r="B130" s="68"/>
      <c r="C130" s="40" t="s">
        <v>195</v>
      </c>
      <c r="D130" s="55">
        <f>(27.78)*10.764</f>
        <v>299.02391999999998</v>
      </c>
      <c r="E130" s="55">
        <v>0</v>
      </c>
      <c r="F130" s="40">
        <f>D130*(($F$113)+1)+(IF(E130&lt;101,E130,IF(E130&lt;201,E130/2,IF(E130&lt;=301,E130/3,E130/4))))</f>
        <v>448.53587999999996</v>
      </c>
      <c r="G130" s="71"/>
      <c r="H130" s="72"/>
      <c r="I130" s="34"/>
      <c r="L130" s="75"/>
      <c r="M130" s="75"/>
      <c r="N130" s="34"/>
    </row>
    <row r="131" spans="1:14" s="35" customFormat="1" x14ac:dyDescent="0.25">
      <c r="A131" s="67">
        <f t="shared" si="7"/>
        <v>8</v>
      </c>
      <c r="B131" s="68"/>
      <c r="C131" s="40" t="s">
        <v>195</v>
      </c>
      <c r="D131" s="55">
        <f>(27.62)*10.764</f>
        <v>297.30167999999998</v>
      </c>
      <c r="E131" s="55">
        <v>0</v>
      </c>
      <c r="F131" s="40">
        <f>D131*(($F$113)+1)+(IF(E131&lt;101,E131,IF(E131&lt;201,E131/2,IF(E131&lt;=301,E131/3,E131/4))))</f>
        <v>445.95251999999994</v>
      </c>
      <c r="G131" s="73"/>
      <c r="H131" s="74"/>
      <c r="I131" s="34"/>
      <c r="L131" s="75"/>
      <c r="M131" s="75"/>
      <c r="N131" s="34"/>
    </row>
    <row r="132" spans="1:14" s="35" customFormat="1" x14ac:dyDescent="0.25">
      <c r="A132" s="64" t="s">
        <v>220</v>
      </c>
      <c r="B132" s="65"/>
      <c r="C132" s="65"/>
      <c r="D132" s="65"/>
      <c r="E132" s="65"/>
      <c r="F132" s="65"/>
      <c r="G132" s="65"/>
      <c r="H132" s="66"/>
      <c r="I132" s="34"/>
      <c r="J132" s="34"/>
    </row>
    <row r="133" spans="1:14" s="35" customFormat="1" ht="15.75" customHeight="1" x14ac:dyDescent="0.25">
      <c r="A133" s="67">
        <v>1</v>
      </c>
      <c r="B133" s="68"/>
      <c r="C133" s="40" t="s">
        <v>195</v>
      </c>
      <c r="D133" s="55">
        <f>(27.62)*10.764</f>
        <v>297.30167999999998</v>
      </c>
      <c r="E133" s="55">
        <v>0</v>
      </c>
      <c r="F133" s="40">
        <f>D133*(($F$113)+1)+(IF(E133&lt;101,E133,IF(E133&lt;201,E133/2,IF(E133&lt;=301,E133/3,E133/4))))</f>
        <v>445.95251999999994</v>
      </c>
      <c r="G133" s="69" t="str">
        <f>A132</f>
        <v>8th, 13th, 18th &amp; 23rd Floor (Part Refuge Area)</v>
      </c>
      <c r="H133" s="70"/>
      <c r="I133" s="34"/>
      <c r="L133" s="75"/>
      <c r="M133" s="75"/>
      <c r="N133" s="34"/>
    </row>
    <row r="134" spans="1:14" s="35" customFormat="1" x14ac:dyDescent="0.25">
      <c r="A134" s="67">
        <f t="shared" ref="A134:A140" si="9">A133+1</f>
        <v>2</v>
      </c>
      <c r="B134" s="68"/>
      <c r="C134" s="40" t="s">
        <v>195</v>
      </c>
      <c r="D134" s="55">
        <f>(27.77)*10.764</f>
        <v>298.91627999999997</v>
      </c>
      <c r="E134" s="55">
        <v>0</v>
      </c>
      <c r="F134" s="40">
        <f>D134*(($F$113)+1)+(IF(E134&lt;101,E134,IF(E134&lt;201,E134/2,IF(E134&lt;=301,E134/3,E134/4))))</f>
        <v>448.37441999999999</v>
      </c>
      <c r="G134" s="71"/>
      <c r="H134" s="72"/>
      <c r="I134" s="34"/>
      <c r="L134" s="75"/>
      <c r="M134" s="75"/>
      <c r="N134" s="34"/>
    </row>
    <row r="135" spans="1:14" s="35" customFormat="1" x14ac:dyDescent="0.25">
      <c r="A135" s="67">
        <f t="shared" si="9"/>
        <v>3</v>
      </c>
      <c r="B135" s="68"/>
      <c r="C135" s="40" t="s">
        <v>195</v>
      </c>
      <c r="D135" s="55">
        <f>(27.81)*10.764</f>
        <v>299.34683999999999</v>
      </c>
      <c r="E135" s="55">
        <v>0</v>
      </c>
      <c r="F135" s="40">
        <f>D135*(($F$113)+1)+(IF(E135&lt;101,E135,IF(E135&lt;201,E135/2,IF(E135&lt;=301,E135/3,E135/4))))</f>
        <v>449.02026000000001</v>
      </c>
      <c r="G135" s="71"/>
      <c r="H135" s="72"/>
      <c r="I135" s="34"/>
      <c r="L135" s="75"/>
      <c r="M135" s="75"/>
      <c r="N135" s="34"/>
    </row>
    <row r="136" spans="1:14" s="35" customFormat="1" x14ac:dyDescent="0.25">
      <c r="A136" s="67">
        <f t="shared" si="9"/>
        <v>4</v>
      </c>
      <c r="B136" s="68"/>
      <c r="C136" s="40" t="s">
        <v>195</v>
      </c>
      <c r="D136" s="55">
        <f>(29.81)*10.764</f>
        <v>320.87483999999995</v>
      </c>
      <c r="E136" s="55">
        <v>0</v>
      </c>
      <c r="F136" s="40">
        <f>D136*(($F$113)+1)+(IF(E136&lt;101,E136,IF(E136&lt;201,E136/2,IF(E136&lt;=301,E136/3,E136/4))))</f>
        <v>481.31225999999992</v>
      </c>
      <c r="G136" s="71"/>
      <c r="H136" s="72"/>
      <c r="I136" s="34"/>
      <c r="L136" s="75"/>
      <c r="M136" s="75"/>
      <c r="N136" s="34"/>
    </row>
    <row r="137" spans="1:14" s="35" customFormat="1" x14ac:dyDescent="0.25">
      <c r="A137" s="67">
        <f t="shared" si="9"/>
        <v>5</v>
      </c>
      <c r="B137" s="68"/>
      <c r="C137" s="67" t="s">
        <v>196</v>
      </c>
      <c r="D137" s="76"/>
      <c r="E137" s="76"/>
      <c r="F137" s="68"/>
      <c r="G137" s="71"/>
      <c r="H137" s="72"/>
      <c r="I137" s="34"/>
      <c r="L137" s="75"/>
      <c r="M137" s="75"/>
      <c r="N137" s="34"/>
    </row>
    <row r="138" spans="1:14" s="35" customFormat="1" x14ac:dyDescent="0.25">
      <c r="A138" s="67">
        <f t="shared" si="9"/>
        <v>6</v>
      </c>
      <c r="B138" s="68"/>
      <c r="C138" s="40" t="s">
        <v>195</v>
      </c>
      <c r="D138" s="55">
        <f>(27.78)*10.764</f>
        <v>299.02391999999998</v>
      </c>
      <c r="E138" s="55">
        <v>0</v>
      </c>
      <c r="F138" s="40">
        <f>D138*(($F$113)+1)+(IF(E138&lt;101,E138,IF(E138&lt;201,E138/2,IF(E138&lt;=301,E138/3,E138/4))))</f>
        <v>448.53587999999996</v>
      </c>
      <c r="G138" s="71"/>
      <c r="H138" s="72"/>
      <c r="I138" s="34"/>
      <c r="L138" s="75"/>
      <c r="M138" s="75"/>
      <c r="N138" s="34"/>
    </row>
    <row r="139" spans="1:14" s="35" customFormat="1" x14ac:dyDescent="0.25">
      <c r="A139" s="67">
        <f t="shared" si="9"/>
        <v>7</v>
      </c>
      <c r="B139" s="68"/>
      <c r="C139" s="40" t="s">
        <v>195</v>
      </c>
      <c r="D139" s="55">
        <f>(27.78)*10.764</f>
        <v>299.02391999999998</v>
      </c>
      <c r="E139" s="55">
        <v>0</v>
      </c>
      <c r="F139" s="40">
        <f>D139*(($F$113)+1)+(IF(E139&lt;101,E139,IF(E139&lt;201,E139/2,IF(E139&lt;=301,E139/3,E139/4))))</f>
        <v>448.53587999999996</v>
      </c>
      <c r="G139" s="71"/>
      <c r="H139" s="72"/>
      <c r="I139" s="34"/>
      <c r="L139" s="75"/>
      <c r="M139" s="75"/>
      <c r="N139" s="34"/>
    </row>
    <row r="140" spans="1:14" s="35" customFormat="1" x14ac:dyDescent="0.25">
      <c r="A140" s="67">
        <f t="shared" si="9"/>
        <v>8</v>
      </c>
      <c r="B140" s="68"/>
      <c r="C140" s="40" t="s">
        <v>195</v>
      </c>
      <c r="D140" s="55">
        <f>(27.62)*10.764</f>
        <v>297.30167999999998</v>
      </c>
      <c r="E140" s="55">
        <v>0</v>
      </c>
      <c r="F140" s="40">
        <f>D140*(($F$113)+1)+(IF(E140&lt;101,E140,IF(E140&lt;201,E140/2,IF(E140&lt;=301,E140/3,E140/4))))</f>
        <v>445.95251999999994</v>
      </c>
      <c r="G140" s="73"/>
      <c r="H140" s="74"/>
      <c r="I140" s="34"/>
      <c r="L140" s="75"/>
      <c r="M140" s="75"/>
      <c r="N140" s="34"/>
    </row>
    <row r="141" spans="1:14" s="33" customFormat="1" x14ac:dyDescent="0.25">
      <c r="A141" s="123" t="s">
        <v>72</v>
      </c>
      <c r="B141" s="123"/>
      <c r="C141" s="123"/>
      <c r="D141" s="123"/>
      <c r="E141" s="123"/>
      <c r="F141" s="123"/>
      <c r="G141" s="123"/>
      <c r="H141" s="123"/>
    </row>
    <row r="142" spans="1:14" s="54" customFormat="1" ht="31.5" customHeight="1" x14ac:dyDescent="0.25">
      <c r="A142" s="53" t="s">
        <v>157</v>
      </c>
      <c r="B142" s="119" t="s">
        <v>227</v>
      </c>
      <c r="C142" s="120"/>
      <c r="D142" s="120"/>
      <c r="E142" s="120"/>
      <c r="F142" s="120"/>
      <c r="G142" s="120"/>
      <c r="H142" s="121"/>
    </row>
    <row r="143" spans="1:14" s="33" customFormat="1" x14ac:dyDescent="0.25">
      <c r="A143" s="43" t="s">
        <v>157</v>
      </c>
      <c r="B143" s="119" t="str">
        <f>(IF(F112="Saleable area Loading :","We have considered Saleable area of Flats as per our Calculation.","We considered Saleable area of Flat as per Builder area Sheet."))</f>
        <v>We have considered Saleable area of Flats as per our Calculation.</v>
      </c>
      <c r="C143" s="120"/>
      <c r="D143" s="120"/>
      <c r="E143" s="120"/>
      <c r="F143" s="120"/>
      <c r="G143" s="120"/>
      <c r="H143" s="121"/>
    </row>
    <row r="144" spans="1:14" s="33" customFormat="1" x14ac:dyDescent="0.25">
      <c r="A144" s="43" t="s">
        <v>157</v>
      </c>
      <c r="B144" s="119" t="str">
        <f>(IF(F101="Saleable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44" s="120"/>
      <c r="D144" s="120"/>
      <c r="E144" s="120"/>
      <c r="F144" s="120"/>
      <c r="G144" s="120"/>
      <c r="H144" s="121"/>
    </row>
    <row r="145" spans="1:8" s="33" customFormat="1" x14ac:dyDescent="0.25">
      <c r="A145" s="43" t="s">
        <v>157</v>
      </c>
      <c r="B145" s="61" t="s">
        <v>128</v>
      </c>
      <c r="C145" s="62"/>
      <c r="D145" s="62"/>
      <c r="E145" s="62"/>
      <c r="F145" s="62"/>
      <c r="G145" s="62"/>
      <c r="H145" s="63"/>
    </row>
    <row r="146" spans="1:8" s="33" customFormat="1" x14ac:dyDescent="0.25">
      <c r="A146" s="43" t="s">
        <v>157</v>
      </c>
      <c r="B146" s="119" t="s">
        <v>197</v>
      </c>
      <c r="C146" s="120"/>
      <c r="D146" s="120"/>
      <c r="E146" s="120"/>
      <c r="F146" s="120"/>
      <c r="G146" s="120"/>
      <c r="H146" s="121"/>
    </row>
    <row r="147" spans="1:8" s="33" customFormat="1" x14ac:dyDescent="0.25">
      <c r="A147" s="43" t="s">
        <v>157</v>
      </c>
      <c r="B147" s="61" t="s">
        <v>156</v>
      </c>
      <c r="C147" s="62"/>
      <c r="D147" s="62"/>
      <c r="E147" s="62"/>
      <c r="F147" s="62"/>
      <c r="G147" s="62"/>
      <c r="H147" s="63"/>
    </row>
    <row r="148" spans="1:8" s="33" customFormat="1" x14ac:dyDescent="0.25">
      <c r="A148" s="43" t="s">
        <v>157</v>
      </c>
      <c r="B148" s="61" t="s">
        <v>129</v>
      </c>
      <c r="C148" s="62"/>
      <c r="D148" s="62"/>
      <c r="E148" s="62"/>
      <c r="F148" s="62"/>
      <c r="G148" s="62"/>
      <c r="H148" s="63"/>
    </row>
    <row r="149" spans="1:8" s="33" customFormat="1" ht="34.5" customHeight="1" x14ac:dyDescent="0.25">
      <c r="A149" s="43" t="s">
        <v>157</v>
      </c>
      <c r="B149" s="61" t="s">
        <v>158</v>
      </c>
      <c r="C149" s="62"/>
      <c r="D149" s="62"/>
      <c r="E149" s="62"/>
      <c r="F149" s="62"/>
      <c r="G149" s="62"/>
      <c r="H149" s="63"/>
    </row>
    <row r="150" spans="1:8" s="33" customFormat="1" x14ac:dyDescent="0.25">
      <c r="A150" s="43" t="s">
        <v>157</v>
      </c>
      <c r="B150" s="61" t="s">
        <v>130</v>
      </c>
      <c r="C150" s="62"/>
      <c r="D150" s="62"/>
      <c r="E150" s="62"/>
      <c r="F150" s="62"/>
      <c r="G150" s="62"/>
      <c r="H150" s="63"/>
    </row>
    <row r="151" spans="1:8" s="33" customFormat="1" x14ac:dyDescent="0.25">
      <c r="A151" s="43" t="s">
        <v>157</v>
      </c>
      <c r="B151" s="61" t="s">
        <v>222</v>
      </c>
      <c r="C151" s="62"/>
      <c r="D151" s="62"/>
      <c r="E151" s="62"/>
      <c r="F151" s="62"/>
      <c r="G151" s="62"/>
      <c r="H151" s="63"/>
    </row>
    <row r="152" spans="1:8" s="33" customFormat="1" x14ac:dyDescent="0.25">
      <c r="A152" s="43" t="s">
        <v>157</v>
      </c>
      <c r="B152" s="61" t="s">
        <v>224</v>
      </c>
      <c r="C152" s="62"/>
      <c r="D152" s="62"/>
      <c r="E152" s="62"/>
      <c r="F152" s="62"/>
      <c r="G152" s="62"/>
      <c r="H152" s="63"/>
    </row>
    <row r="153" spans="1:8" x14ac:dyDescent="0.25">
      <c r="A153" s="106" t="s">
        <v>65</v>
      </c>
      <c r="B153" s="106"/>
      <c r="C153" s="106"/>
      <c r="D153" s="106"/>
      <c r="E153" s="106"/>
      <c r="F153" s="106"/>
      <c r="G153" s="106"/>
      <c r="H153" s="106"/>
    </row>
    <row r="154" spans="1:8" x14ac:dyDescent="0.25">
      <c r="A154" s="79" t="s">
        <v>66</v>
      </c>
      <c r="B154" s="79"/>
      <c r="C154" s="79"/>
      <c r="D154" s="79"/>
      <c r="E154" s="79"/>
      <c r="F154" s="79"/>
      <c r="G154" s="79"/>
      <c r="H154" s="79"/>
    </row>
    <row r="155" spans="1:8" ht="15.75" customHeight="1" x14ac:dyDescent="0.25">
      <c r="A155" s="80" t="s">
        <v>67</v>
      </c>
      <c r="B155" s="80"/>
      <c r="C155" s="80"/>
      <c r="D155" s="80"/>
      <c r="E155" s="80"/>
      <c r="F155" s="80"/>
      <c r="G155" s="80"/>
      <c r="H155" s="80"/>
    </row>
    <row r="156" spans="1:8" x14ac:dyDescent="0.25">
      <c r="A156" s="79" t="s">
        <v>68</v>
      </c>
      <c r="B156" s="79"/>
      <c r="C156" s="79"/>
      <c r="D156" s="79"/>
      <c r="E156" s="79"/>
      <c r="F156" s="79"/>
      <c r="G156" s="79"/>
      <c r="H156" s="79"/>
    </row>
    <row r="157" spans="1:8" x14ac:dyDescent="0.25">
      <c r="A157" s="79" t="s">
        <v>69</v>
      </c>
      <c r="B157" s="79"/>
      <c r="C157" s="79"/>
      <c r="D157" s="79"/>
      <c r="E157" s="79"/>
      <c r="F157" s="79"/>
      <c r="G157" s="79"/>
      <c r="H157" s="79"/>
    </row>
    <row r="158" spans="1:8" hidden="1" x14ac:dyDescent="0.25">
      <c r="A158" s="79" t="s">
        <v>131</v>
      </c>
      <c r="B158" s="79"/>
      <c r="C158" s="79"/>
      <c r="D158" s="79"/>
      <c r="E158" s="79"/>
      <c r="F158" s="79"/>
      <c r="G158" s="79"/>
      <c r="H158" s="79"/>
    </row>
    <row r="159" spans="1:8" hidden="1" x14ac:dyDescent="0.25">
      <c r="A159" s="107" t="s">
        <v>132</v>
      </c>
      <c r="B159" s="107"/>
      <c r="C159" s="107"/>
      <c r="D159" s="107"/>
      <c r="E159" s="107"/>
      <c r="F159" s="107"/>
      <c r="G159" s="107"/>
      <c r="H159" s="107"/>
    </row>
    <row r="160" spans="1:8" x14ac:dyDescent="0.25">
      <c r="A160" s="125" t="s">
        <v>81</v>
      </c>
      <c r="B160" s="125"/>
      <c r="C160" s="125" t="s">
        <v>225</v>
      </c>
      <c r="D160" s="125"/>
      <c r="E160" s="125" t="s">
        <v>110</v>
      </c>
      <c r="F160" s="125"/>
      <c r="G160" s="125" t="s">
        <v>228</v>
      </c>
      <c r="H160" s="125"/>
    </row>
    <row r="161" spans="1:8" x14ac:dyDescent="0.25">
      <c r="A161" s="124" t="s">
        <v>83</v>
      </c>
      <c r="B161" s="124"/>
      <c r="C161" s="124"/>
      <c r="D161" s="124"/>
      <c r="E161" s="124"/>
      <c r="F161" s="124"/>
      <c r="G161" s="124"/>
      <c r="H161" s="124"/>
    </row>
    <row r="162" spans="1:8" x14ac:dyDescent="0.25">
      <c r="A162" s="124"/>
      <c r="B162" s="124"/>
      <c r="C162" s="124"/>
      <c r="D162" s="124"/>
      <c r="E162" s="124"/>
      <c r="F162" s="124"/>
      <c r="G162" s="124"/>
      <c r="H162" s="124"/>
    </row>
    <row r="163" spans="1:8" x14ac:dyDescent="0.25">
      <c r="A163" s="124"/>
      <c r="B163" s="124"/>
      <c r="C163" s="124"/>
      <c r="D163" s="124"/>
      <c r="E163" s="124"/>
      <c r="F163" s="124"/>
      <c r="G163" s="124"/>
      <c r="H163" s="124"/>
    </row>
    <row r="164" spans="1:8" x14ac:dyDescent="0.25">
      <c r="A164" s="36" t="s">
        <v>70</v>
      </c>
      <c r="B164" s="37"/>
      <c r="C164" s="37"/>
      <c r="D164" s="36" t="str">
        <f>E8</f>
        <v>Mahavir Bliss</v>
      </c>
      <c r="F164" s="37"/>
      <c r="G164" s="37"/>
      <c r="H164" s="37"/>
    </row>
    <row r="165" spans="1:8" x14ac:dyDescent="0.25">
      <c r="A165" s="37"/>
      <c r="B165" s="37"/>
      <c r="C165" s="37"/>
      <c r="D165" s="37"/>
      <c r="E165" s="37"/>
      <c r="F165" s="37"/>
      <c r="G165" s="37"/>
      <c r="H165" s="37"/>
    </row>
    <row r="166" spans="1:8" x14ac:dyDescent="0.25">
      <c r="A166" s="37"/>
      <c r="B166" s="37"/>
      <c r="C166" s="37"/>
      <c r="D166" s="37"/>
      <c r="E166" s="37"/>
      <c r="F166" s="37"/>
      <c r="G166" s="37"/>
      <c r="H166" s="37"/>
    </row>
    <row r="167" spans="1:8" ht="15" customHeight="1" x14ac:dyDescent="0.25"/>
    <row r="198" spans="1:1" hidden="1" x14ac:dyDescent="0.25"/>
    <row r="199" spans="1:1" hidden="1" x14ac:dyDescent="0.25"/>
    <row r="200" spans="1:1" hidden="1" x14ac:dyDescent="0.25"/>
    <row r="201" spans="1:1" hidden="1" x14ac:dyDescent="0.25"/>
    <row r="202" spans="1:1" hidden="1" x14ac:dyDescent="0.25"/>
    <row r="203" spans="1:1" hidden="1" x14ac:dyDescent="0.25"/>
    <row r="207" spans="1:1" x14ac:dyDescent="0.25">
      <c r="A207" s="39" t="s">
        <v>172</v>
      </c>
    </row>
    <row r="250" spans="1:1" x14ac:dyDescent="0.25">
      <c r="A250" s="39" t="s">
        <v>71</v>
      </c>
    </row>
  </sheetData>
  <mergeCells count="310">
    <mergeCell ref="B152:H152"/>
    <mergeCell ref="A38:B38"/>
    <mergeCell ref="C38:H38"/>
    <mergeCell ref="B149:H149"/>
    <mergeCell ref="A47:B47"/>
    <mergeCell ref="C47:H47"/>
    <mergeCell ref="B147:H147"/>
    <mergeCell ref="F81:H81"/>
    <mergeCell ref="A81:E81"/>
    <mergeCell ref="D101:D102"/>
    <mergeCell ref="A83:E83"/>
    <mergeCell ref="A105:B105"/>
    <mergeCell ref="A106:B106"/>
    <mergeCell ref="A107:B107"/>
    <mergeCell ref="A108:B108"/>
    <mergeCell ref="A84:E84"/>
    <mergeCell ref="A88:E88"/>
    <mergeCell ref="F82:H82"/>
    <mergeCell ref="A87:E87"/>
    <mergeCell ref="A82:E82"/>
    <mergeCell ref="A79:E79"/>
    <mergeCell ref="F83:H83"/>
    <mergeCell ref="A90:E90"/>
    <mergeCell ref="C97:D97"/>
    <mergeCell ref="A40:D40"/>
    <mergeCell ref="E40:H40"/>
    <mergeCell ref="F32:H32"/>
    <mergeCell ref="F33:H33"/>
    <mergeCell ref="A39:H39"/>
    <mergeCell ref="A58:C58"/>
    <mergeCell ref="A59:C59"/>
    <mergeCell ref="D58:H58"/>
    <mergeCell ref="E69:F78"/>
    <mergeCell ref="G69:H78"/>
    <mergeCell ref="A77:B77"/>
    <mergeCell ref="A78:B78"/>
    <mergeCell ref="D59:H59"/>
    <mergeCell ref="A42:D42"/>
    <mergeCell ref="E42:H42"/>
    <mergeCell ref="E43:H43"/>
    <mergeCell ref="E44:H44"/>
    <mergeCell ref="E45:H45"/>
    <mergeCell ref="A43:D43"/>
    <mergeCell ref="F35:H35"/>
    <mergeCell ref="A37:B37"/>
    <mergeCell ref="E37:F37"/>
    <mergeCell ref="C37:D37"/>
    <mergeCell ref="A76:B76"/>
    <mergeCell ref="G37:H37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4:D44"/>
    <mergeCell ref="A45:D45"/>
    <mergeCell ref="A46:H46"/>
    <mergeCell ref="D56:H56"/>
    <mergeCell ref="A56:C56"/>
    <mergeCell ref="G49:H49"/>
    <mergeCell ref="A50:B51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61:H163"/>
    <mergeCell ref="A160:B160"/>
    <mergeCell ref="E160:F160"/>
    <mergeCell ref="C160:D160"/>
    <mergeCell ref="G160:H160"/>
    <mergeCell ref="A93:H93"/>
    <mergeCell ref="A91:E91"/>
    <mergeCell ref="F91:H91"/>
    <mergeCell ref="A92:E92"/>
    <mergeCell ref="F92:H92"/>
    <mergeCell ref="A98:B98"/>
    <mergeCell ref="A95:B95"/>
    <mergeCell ref="A156:H156"/>
    <mergeCell ref="A96:H96"/>
    <mergeCell ref="A159:H159"/>
    <mergeCell ref="A157:H157"/>
    <mergeCell ref="C98:D98"/>
    <mergeCell ref="E98:F98"/>
    <mergeCell ref="G98:H98"/>
    <mergeCell ref="A104:H104"/>
    <mergeCell ref="E101:E102"/>
    <mergeCell ref="G101:H102"/>
    <mergeCell ref="A111:H111"/>
    <mergeCell ref="A112:A113"/>
    <mergeCell ref="A153:H153"/>
    <mergeCell ref="A154:H154"/>
    <mergeCell ref="E97:F97"/>
    <mergeCell ref="B150:H150"/>
    <mergeCell ref="B148:H148"/>
    <mergeCell ref="B144:H144"/>
    <mergeCell ref="A99:H99"/>
    <mergeCell ref="B142:H142"/>
    <mergeCell ref="B143:H143"/>
    <mergeCell ref="A118:B118"/>
    <mergeCell ref="A119:B119"/>
    <mergeCell ref="B145:H145"/>
    <mergeCell ref="B146:H146"/>
    <mergeCell ref="A141:H141"/>
    <mergeCell ref="C101:C102"/>
    <mergeCell ref="B112:B113"/>
    <mergeCell ref="A120:B120"/>
    <mergeCell ref="A117:B117"/>
    <mergeCell ref="A103:H103"/>
    <mergeCell ref="A109:B109"/>
    <mergeCell ref="A123:H123"/>
    <mergeCell ref="A124:B124"/>
    <mergeCell ref="A100:H100"/>
    <mergeCell ref="A121:B121"/>
    <mergeCell ref="G94:H94"/>
    <mergeCell ref="A89:E89"/>
    <mergeCell ref="C95:D95"/>
    <mergeCell ref="E95:F95"/>
    <mergeCell ref="B101:B102"/>
    <mergeCell ref="A101:A102"/>
    <mergeCell ref="C112:C113"/>
    <mergeCell ref="A116:H116"/>
    <mergeCell ref="F89:H89"/>
    <mergeCell ref="E94:F94"/>
    <mergeCell ref="A94:B94"/>
    <mergeCell ref="G97:H97"/>
    <mergeCell ref="A49:B49"/>
    <mergeCell ref="A53:H53"/>
    <mergeCell ref="A54:C54"/>
    <mergeCell ref="A55:C55"/>
    <mergeCell ref="D55:H55"/>
    <mergeCell ref="G52:H52"/>
    <mergeCell ref="C51:H51"/>
    <mergeCell ref="F87:H87"/>
    <mergeCell ref="C94:D94"/>
    <mergeCell ref="F90:H90"/>
    <mergeCell ref="F88:H88"/>
    <mergeCell ref="A62:C62"/>
    <mergeCell ref="D62:H62"/>
    <mergeCell ref="A63:C63"/>
    <mergeCell ref="D63:H63"/>
    <mergeCell ref="A69:B69"/>
    <mergeCell ref="G68:H68"/>
    <mergeCell ref="F86:H86"/>
    <mergeCell ref="A80:E80"/>
    <mergeCell ref="F79:H79"/>
    <mergeCell ref="F84:H84"/>
    <mergeCell ref="A85:E85"/>
    <mergeCell ref="F85:H85"/>
    <mergeCell ref="A86:E86"/>
    <mergeCell ref="A16:B16"/>
    <mergeCell ref="C16:H16"/>
    <mergeCell ref="E41:H41"/>
    <mergeCell ref="A41:D41"/>
    <mergeCell ref="A158:H158"/>
    <mergeCell ref="A155:H155"/>
    <mergeCell ref="A97:B97"/>
    <mergeCell ref="D112:D113"/>
    <mergeCell ref="E112:E113"/>
    <mergeCell ref="G112:H113"/>
    <mergeCell ref="A74:B74"/>
    <mergeCell ref="F80:H80"/>
    <mergeCell ref="G95:H95"/>
    <mergeCell ref="A48:B48"/>
    <mergeCell ref="C48:E48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L121:M121"/>
    <mergeCell ref="A122:B122"/>
    <mergeCell ref="L122:M122"/>
    <mergeCell ref="G117:H122"/>
    <mergeCell ref="L109:M109"/>
    <mergeCell ref="A110:B110"/>
    <mergeCell ref="L110:M110"/>
    <mergeCell ref="G105:H110"/>
    <mergeCell ref="A114:H114"/>
    <mergeCell ref="A115:H115"/>
    <mergeCell ref="L108:M108"/>
    <mergeCell ref="L107:M107"/>
    <mergeCell ref="L106:M106"/>
    <mergeCell ref="L105:M105"/>
    <mergeCell ref="L120:M120"/>
    <mergeCell ref="L117:M117"/>
    <mergeCell ref="L118:M118"/>
    <mergeCell ref="L119:M119"/>
    <mergeCell ref="G124:H131"/>
    <mergeCell ref="L124:M124"/>
    <mergeCell ref="A125:B125"/>
    <mergeCell ref="L125:M125"/>
    <mergeCell ref="A126:B126"/>
    <mergeCell ref="L126:M126"/>
    <mergeCell ref="A127:B127"/>
    <mergeCell ref="L127:M127"/>
    <mergeCell ref="A128:B128"/>
    <mergeCell ref="L128:M128"/>
    <mergeCell ref="A129:B129"/>
    <mergeCell ref="L129:M129"/>
    <mergeCell ref="A130:B130"/>
    <mergeCell ref="L130:M130"/>
    <mergeCell ref="A131:B131"/>
    <mergeCell ref="L131:M131"/>
    <mergeCell ref="B151:H151"/>
    <mergeCell ref="A132:H132"/>
    <mergeCell ref="A133:B133"/>
    <mergeCell ref="G133:H140"/>
    <mergeCell ref="L133:M133"/>
    <mergeCell ref="A134:B134"/>
    <mergeCell ref="L134:M134"/>
    <mergeCell ref="A135:B135"/>
    <mergeCell ref="L135:M135"/>
    <mergeCell ref="A136:B136"/>
    <mergeCell ref="L136:M136"/>
    <mergeCell ref="A137:B137"/>
    <mergeCell ref="L137:M137"/>
    <mergeCell ref="A138:B138"/>
    <mergeCell ref="L138:M138"/>
    <mergeCell ref="A139:B139"/>
    <mergeCell ref="L139:M139"/>
    <mergeCell ref="A140:B140"/>
    <mergeCell ref="L140:M140"/>
    <mergeCell ref="C137:F137"/>
  </mergeCells>
  <hyperlinks>
    <hyperlink ref="C38" r:id="rId1"/>
  </hyperlinks>
  <printOptions horizontalCentered="1"/>
  <pageMargins left="0.39370078740157499" right="0.39370078740157499" top="0.78740157480314998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78" max="7" man="1"/>
    <brk id="163" max="16383" man="1"/>
    <brk id="206" max="16383" man="1"/>
    <brk id="24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49" zoomScale="85" zoomScaleNormal="85" workbookViewId="0">
      <selection activeCell="C84" sqref="C84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1" t="s">
        <v>111</v>
      </c>
      <c r="C3" s="171"/>
      <c r="D3" s="171"/>
      <c r="E3" s="171"/>
      <c r="F3" s="171"/>
      <c r="G3" s="171"/>
      <c r="H3" s="171"/>
    </row>
    <row r="4" spans="1:9" x14ac:dyDescent="0.25">
      <c r="A4" s="2"/>
      <c r="B4" s="3" t="s">
        <v>112</v>
      </c>
      <c r="C4" s="3" t="s">
        <v>113</v>
      </c>
      <c r="D4" s="3" t="s">
        <v>73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2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N18" sqref="N1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2025-07-10T13:53:15Z</cp:lastPrinted>
  <dcterms:created xsi:type="dcterms:W3CDTF">2019-07-16T09:29:46Z</dcterms:created>
  <dcterms:modified xsi:type="dcterms:W3CDTF">2025-07-10T13:54:33Z</dcterms:modified>
</cp:coreProperties>
</file>