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E3" i="1" l="1"/>
  <c r="G162" i="1" l="1"/>
  <c r="D172" i="1"/>
  <c r="F172" i="1" s="1"/>
  <c r="D169" i="1"/>
  <c r="F169" i="1" s="1"/>
  <c r="D170" i="1"/>
  <c r="F170" i="1" s="1"/>
  <c r="D153" i="1"/>
  <c r="F153" i="1" s="1"/>
  <c r="D166" i="1"/>
  <c r="F166" i="1" s="1"/>
  <c r="D165" i="1"/>
  <c r="F165" i="1" s="1"/>
  <c r="D163" i="1"/>
  <c r="F163" i="1" s="1"/>
  <c r="D164" i="1"/>
  <c r="F164" i="1" s="1"/>
  <c r="D162" i="1"/>
  <c r="F162" i="1" s="1"/>
  <c r="D161" i="1"/>
  <c r="F161" i="1" s="1"/>
  <c r="D171" i="1"/>
  <c r="F171" i="1" s="1"/>
  <c r="D168" i="1"/>
  <c r="F168" i="1" s="1"/>
  <c r="D167" i="1"/>
  <c r="F167" i="1" s="1"/>
  <c r="I163" i="1"/>
  <c r="G161" i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D154" i="1"/>
  <c r="F154" i="1" s="1"/>
  <c r="J153" i="1" s="1"/>
  <c r="D152" i="1"/>
  <c r="F152" i="1" s="1"/>
  <c r="D157" i="1"/>
  <c r="F157" i="1" s="1"/>
  <c r="D156" i="1"/>
  <c r="F156" i="1" s="1"/>
  <c r="D151" i="1"/>
  <c r="F151" i="1" s="1"/>
  <c r="D150" i="1"/>
  <c r="F150" i="1" s="1"/>
  <c r="I150" i="1"/>
  <c r="D158" i="1"/>
  <c r="F158" i="1" s="1"/>
  <c r="D155" i="1"/>
  <c r="F155" i="1" s="1"/>
  <c r="D149" i="1"/>
  <c r="F149" i="1" s="1"/>
  <c r="G149" i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D134" i="1"/>
  <c r="F134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G137" i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D137" i="1"/>
  <c r="F137" i="1" s="1"/>
  <c r="D121" i="1"/>
  <c r="F121" i="1" s="1"/>
  <c r="J121" i="1" s="1"/>
  <c r="D112" i="1"/>
  <c r="D135" i="1"/>
  <c r="F135" i="1" s="1"/>
  <c r="D133" i="1"/>
  <c r="F133" i="1" s="1"/>
  <c r="D132" i="1"/>
  <c r="F132" i="1" s="1"/>
  <c r="D131" i="1"/>
  <c r="F131" i="1" s="1"/>
  <c r="D130" i="1"/>
  <c r="F130" i="1" s="1"/>
  <c r="D129" i="1"/>
  <c r="D128" i="1"/>
  <c r="D127" i="1"/>
  <c r="D126" i="1"/>
  <c r="D125" i="1"/>
  <c r="D124" i="1"/>
  <c r="D120" i="1"/>
  <c r="F120" i="1" s="1"/>
  <c r="D119" i="1"/>
  <c r="F119" i="1" s="1"/>
  <c r="D118" i="1"/>
  <c r="F118" i="1" s="1"/>
  <c r="D117" i="1"/>
  <c r="D116" i="1"/>
  <c r="D115" i="1"/>
  <c r="D114" i="1"/>
  <c r="D113" i="1"/>
  <c r="O130" i="1"/>
  <c r="P130" i="1"/>
  <c r="C98" i="1" l="1"/>
  <c r="E98" i="1"/>
  <c r="O131" i="1"/>
  <c r="N130" i="1"/>
  <c r="P131" i="1"/>
  <c r="P132" i="1" s="1"/>
  <c r="P133" i="1" s="1"/>
  <c r="P134" i="1" s="1"/>
  <c r="P135" i="1" s="1"/>
  <c r="D62" i="1"/>
  <c r="O132" i="1" l="1"/>
  <c r="N131" i="1"/>
  <c r="C65" i="1"/>
  <c r="J76" i="1"/>
  <c r="J75" i="1"/>
  <c r="H66" i="1"/>
  <c r="N132" i="1" l="1"/>
  <c r="O133" i="1"/>
  <c r="D77" i="1"/>
  <c r="J69" i="1"/>
  <c r="D78" i="1"/>
  <c r="J70" i="1"/>
  <c r="J68" i="1"/>
  <c r="D76" i="1"/>
  <c r="J71" i="1"/>
  <c r="J72" i="1" s="1"/>
  <c r="J77" i="1" s="1"/>
  <c r="D75" i="1"/>
  <c r="G46" i="1"/>
  <c r="O124" i="1"/>
  <c r="D73" i="1" l="1"/>
  <c r="D72" i="1"/>
  <c r="D71" i="1"/>
  <c r="C69" i="1"/>
  <c r="D69" i="1" s="1"/>
  <c r="N133" i="1"/>
  <c r="O134" i="1"/>
  <c r="J73" i="1"/>
  <c r="J74" i="1" s="1"/>
  <c r="A175" i="1"/>
  <c r="A176" i="1" s="1"/>
  <c r="A177" i="1" s="1"/>
  <c r="A178" i="1" s="1"/>
  <c r="A179" i="1" s="1"/>
  <c r="A180" i="1" s="1"/>
  <c r="D74" i="1" l="1"/>
  <c r="O135" i="1"/>
  <c r="N135" i="1" s="1"/>
  <c r="N134" i="1"/>
  <c r="J78" i="1"/>
  <c r="C70" i="1" s="1"/>
  <c r="P124" i="1"/>
  <c r="E69" i="1" l="1"/>
  <c r="I65" i="1" s="1"/>
  <c r="C67" i="1" s="1"/>
  <c r="D70" i="1"/>
  <c r="G69" i="1"/>
  <c r="N124" i="1"/>
  <c r="D64" i="1" l="1"/>
  <c r="F79" i="1" s="1"/>
  <c r="C13" i="1" l="1"/>
  <c r="E40" i="1" l="1"/>
  <c r="E41" i="1" s="1"/>
  <c r="F127" i="1" l="1"/>
  <c r="F129" i="1"/>
  <c r="F128" i="1"/>
  <c r="I128" i="1" s="1"/>
  <c r="F126" i="1"/>
  <c r="I126" i="1" s="1"/>
  <c r="F125" i="1"/>
  <c r="F124" i="1"/>
  <c r="F113" i="1"/>
  <c r="F114" i="1"/>
  <c r="F115" i="1"/>
  <c r="F116" i="1"/>
  <c r="J116" i="1" s="1"/>
  <c r="F117" i="1"/>
  <c r="F112" i="1"/>
  <c r="G98" i="1" l="1"/>
  <c r="G124" i="1"/>
  <c r="O125" i="1" l="1"/>
  <c r="G112" i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E24" i="1"/>
  <c r="E22" i="1"/>
  <c r="P125" i="1" l="1"/>
  <c r="P126" i="1" s="1"/>
  <c r="P127" i="1" s="1"/>
  <c r="P128" i="1" s="1"/>
  <c r="P129" i="1" s="1"/>
  <c r="O126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25" i="1" l="1"/>
  <c r="N126" i="1"/>
  <c r="O127" i="1"/>
  <c r="N127" i="1" s="1"/>
  <c r="G12" i="5"/>
  <c r="O128" i="1" l="1"/>
  <c r="N128" i="1" s="1"/>
  <c r="O129" i="1" l="1"/>
  <c r="N129" i="1" s="1"/>
  <c r="E7" i="1" l="1"/>
  <c r="D198" i="1" l="1"/>
  <c r="F95" i="1"/>
  <c r="C46" i="1"/>
  <c r="D5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<sst xmlns="http://schemas.openxmlformats.org/spreadsheetml/2006/main" count="359" uniqueCount="250">
  <si>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</si>
  <si>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</si>
  <si>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</si>
  <si>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</si>
  <si>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</si>
  <si>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</si>
  <si>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</si>
  <si>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</si>
  <si>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</si>
  <si>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</si>
  <si>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</si>
  <si>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</si>
  <si>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</si>
  <si>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</si>
  <si>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</si>
  <si>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</si>
  <si>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</si>
  <si>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</si>
  <si>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</si>
  <si>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</si>
  <si>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</si>
  <si>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</si>
  <si>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</si>
  <si>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</si>
  <si>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</si>
  <si>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</si>
  <si>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</si>
  <si>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</si>
  <si>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</si>
  <si>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</si>
  <si>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</si>
  <si>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</si>
  <si>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</si>
  <si>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</si>
  <si>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</si>
  <si>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</si>
  <si>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</si>
  <si>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</si>
  <si>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</si>
  <si>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</si>
  <si>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</si>
  <si>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</si>
  <si>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</si>
  <si>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</si>
  <si>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</si>
  <si>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</si>
  <si>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</si>
  <si>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</si>
  <si>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</si>
  <si>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</si>
  <si>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</si>
  <si>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</si>
  <si>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</si>
  <si>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</si>
  <si>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</si>
  <si>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</si>
  <si>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</si>
  <si>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</si>
  <si>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</si>
  <si>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</si>
  <si>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</si>
  <si>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</si>
  <si>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</si>
  <si>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</si>
  <si>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</si>
  <si>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</si>
  <si>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</si>
  <si>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</si>
  <si>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</si>
  <si>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</si>
  <si>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</si>
  <si>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</si>
  <si>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</si>
  <si>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</si>
  <si>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</si>
  <si>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</si>
  <si>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</si>
  <si>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</si>
  <si>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</si>
  <si>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</si>
  <si>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</si>
  <si>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</si>
  <si>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</si>
  <si>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</si>
  <si>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</si>
  <si>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</si>
  <si>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</si>
  <si>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</si>
  <si>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</si>
  <si>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</si>
  <si>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</si>
  <si>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</si>
  <si>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</si>
  <si>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</si>
  <si>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</si>
  <si>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</si>
  <si>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</si>
  <si>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</si>
  <si>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</si>
  <si>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</si>
  <si>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</si>
  <si>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</si>
  <si>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</si>
  <si>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</si>
  <si>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</si>
  <si>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</si>
  <si>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</si>
  <si>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</si>
  <si>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</si>
  <si>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</si>
  <si>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</si>
  <si>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</si>
  <si>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</si>
  <si>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</si>
  <si>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</si>
  <si>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</si>
  <si>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</si>
  <si>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</si>
  <si>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</si>
  <si>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</si>
  <si>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</si>
  <si>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</si>
  <si>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</si>
  <si>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</si>
  <si>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</si>
  <si>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</si>
  <si>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</si>
  <si>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</si>
  <si>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</si>
  <si>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</si>
  <si>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</si>
  <si>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</si>
  <si>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</si>
  <si>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</si>
  <si>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</si>
  <si>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</si>
  <si>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</si>
  <si>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</si>
  <si>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</si>
  <si>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</si>
  <si>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</si>
  <si>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</si>
  <si>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</si>
  <si>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</si>
  <si>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</si>
  <si>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</si>
  <si>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</si>
  <si>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</si>
  <si>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</si>
  <si>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</si>
  <si>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</si>
  <si>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</si>
  <si>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</si>
  <si>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</si>
  <si>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</si>
  <si>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</si>
  <si>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</si>
  <si>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</si>
  <si>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</si>
  <si>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</si>
  <si>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</si>
  <si>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</si>
  <si>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</si>
  <si>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</si>
  <si>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</si>
  <si>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</si>
  <si>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</si>
  <si>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</si>
  <si>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</si>
  <si>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</si>
  <si>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</si>
  <si>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</si>
  <si>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</si>
  <si>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</si>
  <si>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</si>
  <si>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</si>
  <si>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</si>
  <si>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</si>
  <si>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</si>
  <si>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</si>
  <si>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</si>
  <si>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</si>
  <si>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</si>
  <si>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</si>
  <si>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</si>
  <si>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</si>
  <si>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</si>
  <si>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</si>
  <si>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Basement 1 Floor for Parking</t>
  </si>
  <si>
    <t>Ground Floor for Parking</t>
  </si>
  <si>
    <t>1st Podium Floor for Parking</t>
  </si>
  <si>
    <t>2nd to 9th Podium Floor for Parking</t>
  </si>
  <si>
    <t>10th Podium Floor for Parking</t>
  </si>
  <si>
    <t>11th Podium Floor Amenities (Eco Deck)</t>
  </si>
  <si>
    <t>1st Floor for Residential (Part Refuge Area)</t>
  </si>
  <si>
    <t>2BHK</t>
  </si>
  <si>
    <t>1BHK</t>
  </si>
  <si>
    <t>Refuge Area</t>
  </si>
  <si>
    <t>Basement 2 Floor for Parking</t>
  </si>
  <si>
    <t>8th, 15th &amp; 22nd Floor (Part Refuge Area)</t>
  </si>
  <si>
    <t xml:space="preserve">2nd to 7th Floor, 9th to 14th, 16th to 21st, 23rd to 27th Floor </t>
  </si>
  <si>
    <t xml:space="preserve">28th &amp; 30th to 35th Floor </t>
  </si>
  <si>
    <t>Flats</t>
  </si>
  <si>
    <t>Axis Goregaon</t>
  </si>
  <si>
    <t>M/s.Rising Sun Impex Private Limited</t>
  </si>
  <si>
    <t>Midtown Bay</t>
  </si>
  <si>
    <t>9930351691/9867190212</t>
  </si>
  <si>
    <t>P51900030390</t>
  </si>
  <si>
    <t>Approved Plans, CC, Sale Plans, Cost Sheet</t>
  </si>
  <si>
    <t>F. Plot No</t>
  </si>
  <si>
    <t>Mumbai</t>
  </si>
  <si>
    <t>Mahim</t>
  </si>
  <si>
    <t>Mahim West</t>
  </si>
  <si>
    <t>950 m from Mahim  Railway Station</t>
  </si>
  <si>
    <t>Sheetal Chhaya Building</t>
  </si>
  <si>
    <t>Kapad Bazar Road</t>
  </si>
  <si>
    <t>646, Existing Building - Om Sainath Chs</t>
  </si>
  <si>
    <t>Residential</t>
  </si>
  <si>
    <t>Internal Road</t>
  </si>
  <si>
    <t>Building</t>
  </si>
  <si>
    <t>SRA/ENG/GN/MCGM/0143/20100903/AP/S</t>
  </si>
  <si>
    <t>GN/MCGM/0143/2010/0903/AP/S</t>
  </si>
  <si>
    <t>Flats - 410</t>
  </si>
  <si>
    <t>2B + G/St + 11P + 1st to 35th Floor</t>
  </si>
  <si>
    <t>As per RERA - 31/12/2027</t>
  </si>
  <si>
    <t>We considered  Saleable area  as per our calculation.</t>
  </si>
  <si>
    <t>We considered Gross carpet area = Net carpet + Deck Area.</t>
  </si>
  <si>
    <t xml:space="preserve"> 29th Floor (Part Refuge Area)</t>
  </si>
  <si>
    <t>Karan Misal</t>
  </si>
  <si>
    <t>Location Link</t>
  </si>
  <si>
    <t>https://goo.gl/maps/ykdm3y6L5WTXzcFQ7</t>
  </si>
  <si>
    <t>On Site, we meet Mr. Saajid - 7506276776.</t>
  </si>
  <si>
    <t>Valid Up to:  This C.C is further extended from 11th level podium (E-Deck) &amp; 1st to 26th upper residential floor as per approved plans dtd. 19/08/2021.</t>
  </si>
  <si>
    <t>Valid Up to:  This C.C is granted for work up to top of 10th podium (Inculding 2 Basements).</t>
  </si>
  <si>
    <t>We have updated latest CC from Rera (On 11/07/2023).</t>
  </si>
  <si>
    <t>GN/MCGM/0143/20100903/AP/S</t>
  </si>
  <si>
    <t>This CC is re-endorsed &amp; further extended from 27th floor to 32nd floor along with brick work &amp; only RCC frame work from 33rd to 35th upper residential floor of Sale bldg in scheme under ref. as per approved amended plans dtd.27/02/2024.</t>
  </si>
  <si>
    <t>We have updated latest CC from Rera (On 14/10/2024).</t>
  </si>
  <si>
    <t>Construction work is in process at the time of Visit. Internal photographs was not allowed.</t>
  </si>
  <si>
    <t xml:space="preserve">
</t>
  </si>
  <si>
    <t>12,00,000/-</t>
  </si>
  <si>
    <t>Water, Electricity, Gas, Apex Body Formation</t>
  </si>
  <si>
    <t>Development Charges and Infra</t>
  </si>
  <si>
    <t>26000 to 30200 n other charges by akash mote on 21/03/2025 A3203 &amp; 3204</t>
  </si>
  <si>
    <t xml:space="preserve">Recommended Rates / Other charges of the Property have been revised on 21/03/2025.
</t>
  </si>
  <si>
    <t>This C.C. is new extended for full work i.e. for top  of 35th upper residential floor (including O.H.W.T  &amp; L.M.R) as per approved amended plans dated 27/02/2024</t>
  </si>
  <si>
    <t xml:space="preserve">We have updated revised approved CC from RERA Site ( on 15/04/2025).
</t>
  </si>
  <si>
    <t xml:space="preserve">Please provide revised approved plans.
</t>
  </si>
  <si>
    <t>Office No. 1031, Wing J, Akshar Business Park, Plot No. 03 Sector 25, Near APMC Market, Vashi, 
Navi Mumbai, Maharashtra 400703 TEL: 022-46090378/79/80
E mail : vsjcapf@gmail.com. Web site : www.vsjadon.com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</si>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</sst>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wrapText="1"/>
    </xf>
    <xf numFmtId="0" fontId="7" fillId="3" borderId="0" xfId="1" applyFont="1" applyFill="1"/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23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526676</xdr:colOff>
      <xdr:row>241</xdr:row>
      <xdr:rowOff>56030</xdr:rowOff>
    </xdr:from>
    <xdr:to>
      <xdr:col>7</xdr:col>
      <xdr:colOff>359928</xdr:colOff>
      <xdr:row>262</xdr:row>
      <xdr:rowOff>32205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76" y="54628677"/>
          <a:ext cx="5962870" cy="421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549969</xdr:colOff>
      <xdr:row>262</xdr:row>
      <xdr:rowOff>161917</xdr:rowOff>
    </xdr:from>
    <xdr:to>
      <xdr:col>7</xdr:col>
      <xdr:colOff>359928</xdr:colOff>
      <xdr:row>281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969" y="52168417"/>
          <a:ext cx="5785309" cy="36544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175260</xdr:colOff>
      <xdr:row>47</xdr:row>
      <xdr:rowOff>251460</xdr:rowOff>
    </xdr:from>
    <xdr:to>
      <xdr:col>21</xdr:col>
      <xdr:colOff>187920</xdr:colOff>
      <xdr:row>56</xdr:row>
      <xdr:rowOff>101174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F6B96C0-4B8F-5824-851D-2F1ED8B5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4440" y="10934700"/>
          <a:ext cx="5400000" cy="2821514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198</xdr:row>
      <xdr:rowOff>104774</xdr:rowOff>
    </xdr:from>
    <xdr:to>
      <xdr:col>7</xdr:col>
      <xdr:colOff>577960</xdr:colOff>
      <xdr:row>230</xdr:row>
      <xdr:rowOff>159750</xdr:rowOff>
    </xdr:to>
    <xdr:grpSp>
      <xdr:nvGrpSpPr>
        <xdr:cNvPr id="9" name="Group 8"/>
        <xdr:cNvGrpSpPr/>
      </xdr:nvGrpSpPr>
      <xdr:grpSpPr>
        <a:xfrm>
          <a:off x="276225" y="41100374"/>
          <a:ext cx="5997685" cy="6446251"/>
          <a:chOff x="276225" y="41100374"/>
          <a:chExt cx="5997685" cy="6446251"/>
        </a:xfrm>
      </xdr:grpSpPr>
      <xdr:pic>
        <xdr:nvPicPr>
          <xdr:cNvPr id="16" name="Picture 15" descr="https://vsjcllp.vsjadon.com/upload/insp-23987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95775" y="45119925"/>
            <a:ext cx="1818130" cy="2426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987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3750" y="41100374"/>
            <a:ext cx="2940160" cy="3924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987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6250" y="45119925"/>
            <a:ext cx="1818130" cy="2426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872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225" y="41100374"/>
            <a:ext cx="2940160" cy="39243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9872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0" y="45119925"/>
            <a:ext cx="1818130" cy="2426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352489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675494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12516</xdr:colOff>
      <xdr:row>35</xdr:row>
      <xdr:rowOff>149489</xdr:rowOff>
    </xdr:from>
    <xdr:to>
      <xdr:col>6</xdr:col>
      <xdr:colOff>365005</xdr:colOff>
      <xdr:row>54</xdr:row>
      <xdr:rowOff>129989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299" y="6825272"/>
          <a:ext cx="675494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kdm3y6L5WTXzcFQ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41"/>
  <sheetViews>
    <sheetView tabSelected="1" view="pageBreakPreview" zoomScaleNormal="100" zoomScaleSheetLayoutView="100" zoomScalePageLayoutView="80" workbookViewId="0">
      <selection activeCell="J13" sqref="J13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42" t="s">
        <v>248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</row>
    <row r="3" spans="1:8" x14ac:dyDescent="0.25">
      <c r="A3" s="75" t="s">
        <v>1</v>
      </c>
      <c r="B3" s="75"/>
      <c r="C3" s="75"/>
      <c r="D3" s="75"/>
      <c r="E3" s="143" t="str">
        <f ca="1">TEXT(TODAY(),"DD/MM/YYYY")</f>
        <v>09/07/2025</v>
      </c>
      <c r="F3" s="143"/>
      <c r="G3" s="143"/>
      <c r="H3" s="143"/>
    </row>
    <row r="4" spans="1:8" ht="15" customHeight="1" x14ac:dyDescent="0.25">
      <c r="A4" s="75" t="s">
        <v>2</v>
      </c>
      <c r="B4" s="75"/>
      <c r="C4" s="75"/>
      <c r="D4" s="75"/>
      <c r="E4" s="144" t="s">
        <v>203</v>
      </c>
      <c r="F4" s="144"/>
      <c r="G4" s="144"/>
      <c r="H4" s="144"/>
    </row>
    <row r="5" spans="1:8" x14ac:dyDescent="0.25">
      <c r="A5" s="75" t="s">
        <v>3</v>
      </c>
      <c r="B5" s="75"/>
      <c r="C5" s="75"/>
      <c r="D5" s="75"/>
      <c r="E5" s="143">
        <v>45846</v>
      </c>
      <c r="F5" s="143"/>
      <c r="G5" s="143"/>
      <c r="H5" s="143"/>
    </row>
    <row r="6" spans="1:8" ht="16.5" customHeight="1" x14ac:dyDescent="0.25">
      <c r="A6" s="75" t="s">
        <v>4</v>
      </c>
      <c r="B6" s="75"/>
      <c r="C6" s="75"/>
      <c r="D6" s="75"/>
      <c r="E6" s="103" t="s">
        <v>204</v>
      </c>
      <c r="F6" s="103"/>
      <c r="G6" s="103"/>
      <c r="H6" s="103"/>
    </row>
    <row r="7" spans="1:8" ht="15" customHeight="1" x14ac:dyDescent="0.25">
      <c r="A7" s="75" t="s">
        <v>5</v>
      </c>
      <c r="B7" s="75"/>
      <c r="C7" s="75"/>
      <c r="D7" s="75"/>
      <c r="E7" s="103" t="str">
        <f>E6</f>
        <v>M/s.Rising Sun Impex Private Limited</v>
      </c>
      <c r="F7" s="103"/>
      <c r="G7" s="103"/>
      <c r="H7" s="103"/>
    </row>
    <row r="8" spans="1:8" x14ac:dyDescent="0.25">
      <c r="A8" s="75" t="s">
        <v>6</v>
      </c>
      <c r="B8" s="75"/>
      <c r="C8" s="75"/>
      <c r="D8" s="75"/>
      <c r="E8" s="91" t="s">
        <v>205</v>
      </c>
      <c r="F8" s="91"/>
      <c r="G8" s="91"/>
      <c r="H8" s="91"/>
    </row>
    <row r="9" spans="1:8" x14ac:dyDescent="0.25">
      <c r="A9" s="75" t="s">
        <v>160</v>
      </c>
      <c r="B9" s="75"/>
      <c r="C9" s="75"/>
      <c r="D9" s="75"/>
      <c r="E9" s="75" t="s">
        <v>206</v>
      </c>
      <c r="F9" s="75"/>
      <c r="G9" s="75"/>
      <c r="H9" s="75"/>
    </row>
    <row r="10" spans="1:8" x14ac:dyDescent="0.25">
      <c r="A10" s="101" t="s">
        <v>7</v>
      </c>
      <c r="B10" s="101"/>
      <c r="C10" s="101"/>
      <c r="D10" s="101"/>
      <c r="E10" s="101" t="s">
        <v>161</v>
      </c>
      <c r="F10" s="101"/>
      <c r="G10" s="101"/>
      <c r="H10" s="101"/>
    </row>
    <row r="11" spans="1:8" x14ac:dyDescent="0.25">
      <c r="A11" s="75" t="s">
        <v>8</v>
      </c>
      <c r="B11" s="75"/>
      <c r="C11" s="75"/>
      <c r="D11" s="75"/>
      <c r="E11" s="92" t="s">
        <v>208</v>
      </c>
      <c r="F11" s="92"/>
      <c r="G11" s="92"/>
      <c r="H11" s="92"/>
    </row>
    <row r="12" spans="1:8" x14ac:dyDescent="0.25">
      <c r="A12" s="75" t="s">
        <v>9</v>
      </c>
      <c r="B12" s="75"/>
      <c r="C12" s="75"/>
      <c r="D12" s="75"/>
      <c r="E12" s="92" t="s">
        <v>207</v>
      </c>
      <c r="F12" s="101"/>
      <c r="G12" s="101"/>
      <c r="H12" s="101"/>
    </row>
    <row r="13" spans="1:8" ht="36.75" customHeight="1" x14ac:dyDescent="0.25">
      <c r="A13" s="103" t="s">
        <v>10</v>
      </c>
      <c r="B13" s="103"/>
      <c r="C13" s="10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Midtown Bay, F. Plot No.646, Existing Building - Om Sainath Chs, near Sheetal Chhaya Building, Kapad Bazar Road, Mahim, Mahim West, Mumbai, Mumbai.</v>
      </c>
      <c r="D13" s="103"/>
      <c r="E13" s="103"/>
      <c r="F13" s="103"/>
      <c r="G13" s="103"/>
      <c r="H13" s="103"/>
    </row>
    <row r="14" spans="1:8" x14ac:dyDescent="0.25">
      <c r="A14" s="103" t="s">
        <v>209</v>
      </c>
      <c r="B14" s="103"/>
      <c r="C14" s="92" t="s">
        <v>216</v>
      </c>
      <c r="D14" s="92"/>
      <c r="E14" s="92"/>
      <c r="F14" s="92"/>
      <c r="G14" s="92"/>
      <c r="H14" s="92"/>
    </row>
    <row r="15" spans="1:8" ht="15.75" customHeight="1" x14ac:dyDescent="0.25">
      <c r="A15" s="103" t="s">
        <v>11</v>
      </c>
      <c r="B15" s="103"/>
      <c r="C15" s="101" t="s">
        <v>215</v>
      </c>
      <c r="D15" s="101"/>
      <c r="E15" s="103" t="s">
        <v>104</v>
      </c>
      <c r="F15" s="103"/>
      <c r="G15" s="92" t="s">
        <v>211</v>
      </c>
      <c r="H15" s="92"/>
    </row>
    <row r="16" spans="1:8" x14ac:dyDescent="0.25">
      <c r="A16" s="75" t="s">
        <v>13</v>
      </c>
      <c r="B16" s="75"/>
      <c r="C16" s="92" t="s">
        <v>212</v>
      </c>
      <c r="D16" s="92"/>
      <c r="E16" s="103" t="s">
        <v>12</v>
      </c>
      <c r="F16" s="103"/>
      <c r="G16" s="145" t="s">
        <v>210</v>
      </c>
      <c r="H16" s="145"/>
    </row>
    <row r="17" spans="1:8" x14ac:dyDescent="0.25">
      <c r="A17" s="75" t="s">
        <v>105</v>
      </c>
      <c r="B17" s="75"/>
      <c r="C17" s="92" t="s">
        <v>210</v>
      </c>
      <c r="D17" s="92"/>
      <c r="E17" s="103" t="s">
        <v>14</v>
      </c>
      <c r="F17" s="103"/>
      <c r="G17" s="92">
        <v>400016</v>
      </c>
      <c r="H17" s="92"/>
    </row>
    <row r="18" spans="1:8" ht="32.25" customHeight="1" x14ac:dyDescent="0.25">
      <c r="A18" s="75" t="s">
        <v>162</v>
      </c>
      <c r="B18" s="75"/>
      <c r="C18" s="146" t="s">
        <v>214</v>
      </c>
      <c r="D18" s="146"/>
      <c r="E18" s="103" t="s">
        <v>15</v>
      </c>
      <c r="F18" s="103"/>
      <c r="G18" s="92" t="s">
        <v>213</v>
      </c>
      <c r="H18" s="92"/>
    </row>
    <row r="19" spans="1:8" ht="15" customHeight="1" x14ac:dyDescent="0.25">
      <c r="A19" s="103" t="s">
        <v>109</v>
      </c>
      <c r="B19" s="103"/>
      <c r="C19" s="103"/>
      <c r="D19" s="103"/>
      <c r="E19" s="101" t="s">
        <v>16</v>
      </c>
      <c r="F19" s="101"/>
      <c r="G19" s="101"/>
      <c r="H19" s="101"/>
    </row>
    <row r="20" spans="1:8" ht="18.75" customHeight="1" x14ac:dyDescent="0.25">
      <c r="A20" s="103"/>
      <c r="B20" s="103"/>
      <c r="C20" s="103"/>
      <c r="D20" s="103"/>
      <c r="E20" s="101"/>
      <c r="F20" s="101"/>
      <c r="G20" s="101"/>
      <c r="H20" s="101"/>
    </row>
    <row r="21" spans="1:8" ht="15" customHeight="1" x14ac:dyDescent="0.25">
      <c r="A21" s="103" t="s">
        <v>17</v>
      </c>
      <c r="B21" s="103"/>
      <c r="C21" s="103"/>
      <c r="D21" s="103"/>
      <c r="E21" s="92" t="s">
        <v>18</v>
      </c>
      <c r="F21" s="92"/>
      <c r="G21" s="92"/>
      <c r="H21" s="92"/>
    </row>
    <row r="22" spans="1:8" ht="15" customHeight="1" x14ac:dyDescent="0.25">
      <c r="A22" s="75" t="s">
        <v>19</v>
      </c>
      <c r="B22" s="75"/>
      <c r="C22" s="75"/>
      <c r="D22" s="75"/>
      <c r="E22" s="92" t="str">
        <f>IF(AND(G16="Mumbai"),"Upper Class","Middle Class")</f>
        <v>Upper Class</v>
      </c>
      <c r="F22" s="92"/>
      <c r="G22" s="92"/>
      <c r="H22" s="92"/>
    </row>
    <row r="23" spans="1:8" x14ac:dyDescent="0.25">
      <c r="A23" s="75" t="s">
        <v>20</v>
      </c>
      <c r="B23" s="75"/>
      <c r="C23" s="75"/>
      <c r="D23" s="75"/>
      <c r="E23" s="92" t="s">
        <v>21</v>
      </c>
      <c r="F23" s="92"/>
      <c r="G23" s="92"/>
      <c r="H23" s="92"/>
    </row>
    <row r="24" spans="1:8" ht="15.75" customHeight="1" x14ac:dyDescent="0.25">
      <c r="A24" s="75" t="s">
        <v>22</v>
      </c>
      <c r="B24" s="75"/>
      <c r="C24" s="75"/>
      <c r="D24" s="75"/>
      <c r="E24" s="92" t="str">
        <f>IF(AND(G16="Mumbai"),"Developed","Developing")</f>
        <v>Developed</v>
      </c>
      <c r="F24" s="92"/>
      <c r="G24" s="92"/>
      <c r="H24" s="92"/>
    </row>
    <row r="25" spans="1:8" x14ac:dyDescent="0.25">
      <c r="A25" s="75" t="s">
        <v>23</v>
      </c>
      <c r="B25" s="75"/>
      <c r="C25" s="75"/>
      <c r="D25" s="75"/>
      <c r="E25" s="92" t="s">
        <v>24</v>
      </c>
      <c r="F25" s="92"/>
      <c r="G25" s="92"/>
      <c r="H25" s="92"/>
    </row>
    <row r="26" spans="1:8" x14ac:dyDescent="0.25">
      <c r="A26" s="75" t="s">
        <v>116</v>
      </c>
      <c r="B26" s="75"/>
      <c r="C26" s="75"/>
      <c r="D26" s="75"/>
      <c r="E26" s="92" t="s">
        <v>117</v>
      </c>
      <c r="F26" s="92"/>
      <c r="G26" s="92"/>
      <c r="H26" s="92"/>
    </row>
    <row r="27" spans="1:8" ht="15" customHeight="1" x14ac:dyDescent="0.25">
      <c r="A27" s="103" t="s">
        <v>35</v>
      </c>
      <c r="B27" s="103"/>
      <c r="C27" s="103"/>
      <c r="D27" s="103"/>
      <c r="E27" s="144" t="s">
        <v>217</v>
      </c>
      <c r="F27" s="144"/>
      <c r="G27" s="144"/>
      <c r="H27" s="144"/>
    </row>
    <row r="28" spans="1:8" x14ac:dyDescent="0.25">
      <c r="A28" s="103" t="s">
        <v>128</v>
      </c>
      <c r="B28" s="103"/>
      <c r="C28" s="103"/>
      <c r="D28" s="103"/>
      <c r="E28" s="103" t="s">
        <v>36</v>
      </c>
      <c r="F28" s="103"/>
      <c r="G28" s="103"/>
      <c r="H28" s="103"/>
    </row>
    <row r="29" spans="1:8" s="11" customFormat="1" x14ac:dyDescent="0.25">
      <c r="A29" s="153" t="s">
        <v>129</v>
      </c>
      <c r="B29" s="153"/>
      <c r="C29" s="150" t="s">
        <v>29</v>
      </c>
      <c r="D29" s="150"/>
      <c r="E29" s="150"/>
      <c r="F29" s="150" t="s">
        <v>31</v>
      </c>
      <c r="G29" s="150"/>
      <c r="H29" s="150"/>
    </row>
    <row r="30" spans="1:8" s="11" customFormat="1" x14ac:dyDescent="0.25">
      <c r="A30" s="147" t="s">
        <v>25</v>
      </c>
      <c r="B30" s="147" t="s">
        <v>30</v>
      </c>
      <c r="C30" s="148" t="s">
        <v>30</v>
      </c>
      <c r="D30" s="148"/>
      <c r="E30" s="148"/>
      <c r="F30" s="148" t="s">
        <v>218</v>
      </c>
      <c r="G30" s="148"/>
      <c r="H30" s="148"/>
    </row>
    <row r="31" spans="1:8" x14ac:dyDescent="0.25">
      <c r="A31" s="147" t="s">
        <v>26</v>
      </c>
      <c r="B31" s="147" t="s">
        <v>30</v>
      </c>
      <c r="C31" s="148" t="s">
        <v>30</v>
      </c>
      <c r="D31" s="148"/>
      <c r="E31" s="148"/>
      <c r="F31" s="148" t="s">
        <v>219</v>
      </c>
      <c r="G31" s="148"/>
      <c r="H31" s="148"/>
    </row>
    <row r="32" spans="1:8" s="11" customFormat="1" x14ac:dyDescent="0.25">
      <c r="A32" s="147" t="s">
        <v>28</v>
      </c>
      <c r="B32" s="147" t="s">
        <v>30</v>
      </c>
      <c r="C32" s="148" t="s">
        <v>30</v>
      </c>
      <c r="D32" s="148"/>
      <c r="E32" s="148"/>
      <c r="F32" s="148" t="s">
        <v>219</v>
      </c>
      <c r="G32" s="148"/>
      <c r="H32" s="148"/>
    </row>
    <row r="33" spans="1:8" x14ac:dyDescent="0.25">
      <c r="A33" s="147" t="s">
        <v>27</v>
      </c>
      <c r="B33" s="147" t="s">
        <v>30</v>
      </c>
      <c r="C33" s="148" t="s">
        <v>30</v>
      </c>
      <c r="D33" s="148"/>
      <c r="E33" s="148"/>
      <c r="F33" s="148" t="s">
        <v>214</v>
      </c>
      <c r="G33" s="148"/>
      <c r="H33" s="148"/>
    </row>
    <row r="34" spans="1:8" x14ac:dyDescent="0.25">
      <c r="A34" s="75" t="s">
        <v>32</v>
      </c>
      <c r="B34" s="75"/>
      <c r="C34" s="75"/>
      <c r="D34" s="75"/>
      <c r="E34" s="75"/>
      <c r="F34" s="75"/>
      <c r="G34" s="75"/>
      <c r="H34" s="75"/>
    </row>
    <row r="35" spans="1:8" ht="15.75" customHeight="1" x14ac:dyDescent="0.25">
      <c r="A35" s="123" t="s">
        <v>33</v>
      </c>
      <c r="B35" s="123"/>
      <c r="C35" s="151">
        <v>19.036419800000001</v>
      </c>
      <c r="D35" s="151"/>
      <c r="E35" s="123" t="s">
        <v>34</v>
      </c>
      <c r="F35" s="123"/>
      <c r="G35" s="152">
        <v>72.841180199999997</v>
      </c>
      <c r="H35" s="152"/>
    </row>
    <row r="36" spans="1:8" ht="15.75" customHeight="1" x14ac:dyDescent="0.25">
      <c r="A36" s="123" t="s">
        <v>229</v>
      </c>
      <c r="B36" s="123"/>
      <c r="C36" s="65" t="s">
        <v>230</v>
      </c>
      <c r="D36" s="66"/>
      <c r="E36" s="66"/>
      <c r="F36" s="66"/>
      <c r="G36" s="66"/>
      <c r="H36" s="67"/>
    </row>
    <row r="37" spans="1:8" x14ac:dyDescent="0.25">
      <c r="A37" s="91" t="s">
        <v>37</v>
      </c>
      <c r="B37" s="91"/>
      <c r="C37" s="91"/>
      <c r="D37" s="91"/>
      <c r="E37" s="91"/>
      <c r="F37" s="91"/>
      <c r="G37" s="91"/>
      <c r="H37" s="91"/>
    </row>
    <row r="38" spans="1:8" x14ac:dyDescent="0.25">
      <c r="A38" s="75" t="s">
        <v>38</v>
      </c>
      <c r="B38" s="75"/>
      <c r="C38" s="75"/>
      <c r="D38" s="75"/>
      <c r="E38" s="149">
        <v>4659.7299999999996</v>
      </c>
      <c r="F38" s="149"/>
      <c r="G38" s="149"/>
      <c r="H38" s="149"/>
    </row>
    <row r="39" spans="1:8" x14ac:dyDescent="0.25">
      <c r="A39" s="75" t="s">
        <v>39</v>
      </c>
      <c r="B39" s="75"/>
      <c r="C39" s="75"/>
      <c r="D39" s="75"/>
      <c r="E39" s="74">
        <v>4</v>
      </c>
      <c r="F39" s="74"/>
      <c r="G39" s="74"/>
      <c r="H39" s="74"/>
    </row>
    <row r="40" spans="1:8" x14ac:dyDescent="0.25">
      <c r="A40" s="75" t="s">
        <v>40</v>
      </c>
      <c r="B40" s="75"/>
      <c r="C40" s="75"/>
      <c r="D40" s="75"/>
      <c r="E40" s="74">
        <f>E42/E38-E39</f>
        <v>0</v>
      </c>
      <c r="F40" s="74"/>
      <c r="G40" s="74"/>
      <c r="H40" s="74"/>
    </row>
    <row r="41" spans="1:8" x14ac:dyDescent="0.25">
      <c r="A41" s="75" t="s">
        <v>41</v>
      </c>
      <c r="B41" s="75"/>
      <c r="C41" s="75"/>
      <c r="D41" s="75"/>
      <c r="E41" s="74">
        <f>E39+E40</f>
        <v>4</v>
      </c>
      <c r="F41" s="74"/>
      <c r="G41" s="74"/>
      <c r="H41" s="74"/>
    </row>
    <row r="42" spans="1:8" x14ac:dyDescent="0.25">
      <c r="A42" s="75" t="s">
        <v>127</v>
      </c>
      <c r="B42" s="75"/>
      <c r="C42" s="75"/>
      <c r="D42" s="75"/>
      <c r="E42" s="139">
        <v>18638.919999999998</v>
      </c>
      <c r="F42" s="139"/>
      <c r="G42" s="139"/>
      <c r="H42" s="139"/>
    </row>
    <row r="43" spans="1:8" x14ac:dyDescent="0.25">
      <c r="A43" s="101" t="s">
        <v>42</v>
      </c>
      <c r="B43" s="101"/>
      <c r="C43" s="101"/>
      <c r="D43" s="101"/>
      <c r="E43" s="101" t="s">
        <v>161</v>
      </c>
      <c r="F43" s="101"/>
      <c r="G43" s="101"/>
      <c r="H43" s="101"/>
    </row>
    <row r="44" spans="1:8" x14ac:dyDescent="0.25">
      <c r="A44" s="90" t="s">
        <v>43</v>
      </c>
      <c r="B44" s="90"/>
      <c r="C44" s="90"/>
      <c r="D44" s="90"/>
      <c r="E44" s="90"/>
      <c r="F44" s="90"/>
      <c r="G44" s="90"/>
      <c r="H44" s="90"/>
    </row>
    <row r="45" spans="1:8" ht="36" customHeight="1" x14ac:dyDescent="0.25">
      <c r="A45" s="92" t="s">
        <v>44</v>
      </c>
      <c r="B45" s="92"/>
      <c r="C45" s="93" t="s">
        <v>220</v>
      </c>
      <c r="D45" s="93"/>
      <c r="E45" s="93"/>
      <c r="F45" s="49" t="s">
        <v>45</v>
      </c>
      <c r="G45" s="94">
        <v>44427</v>
      </c>
      <c r="H45" s="94"/>
    </row>
    <row r="46" spans="1:8" ht="31.5" customHeight="1" x14ac:dyDescent="0.25">
      <c r="A46" s="101" t="s">
        <v>46</v>
      </c>
      <c r="B46" s="101"/>
      <c r="C46" s="93" t="str">
        <f>C45</f>
        <v>SRA/ENG/GN/MCGM/0143/20100903/AP/S</v>
      </c>
      <c r="D46" s="93"/>
      <c r="E46" s="93"/>
      <c r="F46" s="49" t="s">
        <v>45</v>
      </c>
      <c r="G46" s="94">
        <f>G45</f>
        <v>44427</v>
      </c>
      <c r="H46" s="94"/>
    </row>
    <row r="47" spans="1:8" s="10" customFormat="1" ht="19.5" customHeight="1" x14ac:dyDescent="0.25">
      <c r="A47" s="95" t="s">
        <v>47</v>
      </c>
      <c r="B47" s="108"/>
      <c r="C47" s="93" t="s">
        <v>221</v>
      </c>
      <c r="D47" s="89"/>
      <c r="E47" s="89"/>
      <c r="F47" s="13" t="s">
        <v>45</v>
      </c>
      <c r="G47" s="94">
        <v>44431</v>
      </c>
      <c r="H47" s="94"/>
    </row>
    <row r="48" spans="1:8" s="10" customFormat="1" ht="33.75" customHeight="1" x14ac:dyDescent="0.25">
      <c r="A48" s="109"/>
      <c r="B48" s="110"/>
      <c r="C48" s="105" t="s">
        <v>233</v>
      </c>
      <c r="D48" s="106"/>
      <c r="E48" s="106"/>
      <c r="F48" s="106"/>
      <c r="G48" s="106"/>
      <c r="H48" s="107"/>
    </row>
    <row r="49" spans="1:14" s="10" customFormat="1" ht="19.5" customHeight="1" x14ac:dyDescent="0.25">
      <c r="A49" s="109"/>
      <c r="B49" s="110"/>
      <c r="C49" s="93" t="s">
        <v>221</v>
      </c>
      <c r="D49" s="89"/>
      <c r="E49" s="89"/>
      <c r="F49" s="13" t="s">
        <v>45</v>
      </c>
      <c r="G49" s="94">
        <v>45100</v>
      </c>
      <c r="H49" s="94"/>
    </row>
    <row r="50" spans="1:14" s="10" customFormat="1" ht="33.75" customHeight="1" x14ac:dyDescent="0.25">
      <c r="A50" s="109"/>
      <c r="B50" s="110"/>
      <c r="C50" s="105" t="s">
        <v>232</v>
      </c>
      <c r="D50" s="106"/>
      <c r="E50" s="106"/>
      <c r="F50" s="106"/>
      <c r="G50" s="106"/>
      <c r="H50" s="107"/>
    </row>
    <row r="51" spans="1:14" s="10" customFormat="1" x14ac:dyDescent="0.25">
      <c r="A51" s="109"/>
      <c r="B51" s="110"/>
      <c r="C51" s="93" t="s">
        <v>235</v>
      </c>
      <c r="D51" s="89"/>
      <c r="E51" s="89"/>
      <c r="F51" s="13" t="s">
        <v>45</v>
      </c>
      <c r="G51" s="94">
        <v>45356</v>
      </c>
      <c r="H51" s="94"/>
    </row>
    <row r="52" spans="1:14" s="10" customFormat="1" ht="49.5" customHeight="1" x14ac:dyDescent="0.25">
      <c r="A52" s="111"/>
      <c r="B52" s="112"/>
      <c r="C52" s="105" t="s">
        <v>236</v>
      </c>
      <c r="D52" s="106"/>
      <c r="E52" s="106"/>
      <c r="F52" s="106"/>
      <c r="G52" s="106"/>
      <c r="H52" s="107"/>
    </row>
    <row r="53" spans="1:14" s="10" customFormat="1" x14ac:dyDescent="0.25">
      <c r="A53" s="95" t="s">
        <v>47</v>
      </c>
      <c r="B53" s="108"/>
      <c r="C53" s="93" t="s">
        <v>235</v>
      </c>
      <c r="D53" s="89"/>
      <c r="E53" s="89"/>
      <c r="F53" s="13" t="s">
        <v>45</v>
      </c>
      <c r="G53" s="94">
        <v>45728</v>
      </c>
      <c r="H53" s="94"/>
    </row>
    <row r="54" spans="1:14" s="10" customFormat="1" ht="36" customHeight="1" x14ac:dyDescent="0.25">
      <c r="A54" s="111"/>
      <c r="B54" s="112"/>
      <c r="C54" s="105" t="s">
        <v>245</v>
      </c>
      <c r="D54" s="106"/>
      <c r="E54" s="106"/>
      <c r="F54" s="106"/>
      <c r="G54" s="106"/>
      <c r="H54" s="107"/>
    </row>
    <row r="55" spans="1:14" x14ac:dyDescent="0.25">
      <c r="A55" s="98" t="s">
        <v>48</v>
      </c>
      <c r="B55" s="98"/>
      <c r="C55" s="99" t="s">
        <v>142</v>
      </c>
      <c r="D55" s="100"/>
      <c r="E55" s="100" t="s">
        <v>49</v>
      </c>
      <c r="F55" s="51" t="s">
        <v>45</v>
      </c>
      <c r="G55" s="104" t="s">
        <v>30</v>
      </c>
      <c r="H55" s="104"/>
    </row>
    <row r="56" spans="1:14" x14ac:dyDescent="0.25">
      <c r="A56" s="102" t="s">
        <v>51</v>
      </c>
      <c r="B56" s="102"/>
      <c r="C56" s="102"/>
      <c r="D56" s="102"/>
      <c r="E56" s="102"/>
      <c r="F56" s="102"/>
      <c r="G56" s="102"/>
      <c r="H56" s="102"/>
    </row>
    <row r="57" spans="1:14" x14ac:dyDescent="0.25">
      <c r="A57" s="103" t="s">
        <v>126</v>
      </c>
      <c r="B57" s="103"/>
      <c r="C57" s="103"/>
      <c r="D57" s="75">
        <f>E42</f>
        <v>18638.919999999998</v>
      </c>
      <c r="E57" s="75"/>
      <c r="F57" s="75"/>
      <c r="G57" s="75"/>
      <c r="H57" s="75"/>
    </row>
    <row r="58" spans="1:14" x14ac:dyDescent="0.25">
      <c r="A58" s="92" t="s">
        <v>52</v>
      </c>
      <c r="B58" s="101"/>
      <c r="C58" s="101"/>
      <c r="D58" s="101" t="s">
        <v>222</v>
      </c>
      <c r="E58" s="101"/>
      <c r="F58" s="101"/>
      <c r="G58" s="101"/>
      <c r="H58" s="101"/>
      <c r="I58" s="40"/>
    </row>
    <row r="59" spans="1:14" ht="15.75" customHeight="1" x14ac:dyDescent="0.25">
      <c r="A59" s="95" t="s">
        <v>53</v>
      </c>
      <c r="B59" s="96"/>
      <c r="C59" s="108"/>
      <c r="D59" s="97" t="s">
        <v>223</v>
      </c>
      <c r="E59" s="97"/>
      <c r="F59" s="97"/>
      <c r="G59" s="97"/>
      <c r="H59" s="97"/>
    </row>
    <row r="60" spans="1:14" ht="15.75" customHeight="1" x14ac:dyDescent="0.25">
      <c r="A60" s="95" t="s">
        <v>124</v>
      </c>
      <c r="B60" s="96"/>
      <c r="C60" s="96"/>
      <c r="D60" s="97" t="s">
        <v>223</v>
      </c>
      <c r="E60" s="97"/>
      <c r="F60" s="97"/>
      <c r="G60" s="97"/>
      <c r="H60" s="97"/>
    </row>
    <row r="61" spans="1:14" ht="15.75" customHeight="1" x14ac:dyDescent="0.25">
      <c r="A61" s="75" t="s">
        <v>50</v>
      </c>
      <c r="B61" s="75"/>
      <c r="C61" s="75"/>
      <c r="D61" s="92" t="s">
        <v>224</v>
      </c>
      <c r="E61" s="92"/>
      <c r="F61" s="92"/>
      <c r="G61" s="92"/>
      <c r="H61" s="92"/>
      <c r="J61" s="39"/>
      <c r="K61" s="40"/>
      <c r="N61" s="40"/>
    </row>
    <row r="62" spans="1:14" ht="15.75" customHeight="1" x14ac:dyDescent="0.25">
      <c r="A62" s="75" t="s">
        <v>122</v>
      </c>
      <c r="B62" s="75"/>
      <c r="C62" s="75"/>
      <c r="D62" s="138" t="str">
        <f>(IF(G55="NA","60 Years After Completion",IF(G55&lt;&gt;"NA",""&amp;60-ROUNDDOWN((E3-G55)/360,0)&amp;" Years"," ")))</f>
        <v>60 Years After Completion</v>
      </c>
      <c r="E62" s="138"/>
      <c r="F62" s="138"/>
      <c r="G62" s="138"/>
      <c r="H62" s="138"/>
      <c r="N62" s="40"/>
    </row>
    <row r="63" spans="1:14" ht="15.75" customHeight="1" x14ac:dyDescent="0.25">
      <c r="A63" s="75" t="s">
        <v>123</v>
      </c>
      <c r="B63" s="75"/>
      <c r="C63" s="75"/>
      <c r="D63" s="103" t="s">
        <v>24</v>
      </c>
      <c r="E63" s="103"/>
      <c r="F63" s="103"/>
      <c r="G63" s="103"/>
      <c r="H63" s="103"/>
      <c r="J63" s="18"/>
      <c r="K63" s="18"/>
    </row>
    <row r="64" spans="1:14" ht="15.75" customHeight="1" thickBot="1" x14ac:dyDescent="0.3">
      <c r="A64" s="140" t="s">
        <v>121</v>
      </c>
      <c r="B64" s="140"/>
      <c r="C64" s="140"/>
      <c r="D64" s="141" t="str">
        <f ca="1">(IF(G69&gt;95%,"Nothing",IF(G69&gt;0%,"Cement, Aggregate, Steel, etc",IF(G69=0%,"Work not yet Started"))))</f>
        <v>Cement, Aggregate, Steel, etc</v>
      </c>
      <c r="E64" s="141"/>
      <c r="F64" s="141"/>
      <c r="G64" s="141"/>
      <c r="H64" s="141"/>
      <c r="J64" s="18"/>
    </row>
    <row r="65" spans="1:10" ht="15.75" customHeight="1" x14ac:dyDescent="0.25">
      <c r="A65" s="126" t="s">
        <v>180</v>
      </c>
      <c r="B65" s="127"/>
      <c r="C65" s="128" t="str">
        <f>D60</f>
        <v>2B + G/St + 11P + 1st to 35th Floor</v>
      </c>
      <c r="D65" s="129"/>
      <c r="E65" s="129"/>
      <c r="F65" s="129"/>
      <c r="G65" s="129"/>
      <c r="H65" s="130"/>
      <c r="I65" s="42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Slab, Brickwork, Internal Plaster upto 32 Floor, External Plaster upto 31 Floor, Flooring upto 20 Floor, Painting upto 12 Floor Completed</v>
      </c>
      <c r="J65" s="20"/>
    </row>
    <row r="66" spans="1:10" x14ac:dyDescent="0.25">
      <c r="A66" s="47" t="s">
        <v>182</v>
      </c>
      <c r="B66" s="50">
        <v>2</v>
      </c>
      <c r="C66" s="50" t="s">
        <v>103</v>
      </c>
      <c r="D66" s="50">
        <v>1</v>
      </c>
      <c r="E66" s="50" t="s">
        <v>102</v>
      </c>
      <c r="F66" s="50">
        <v>11</v>
      </c>
      <c r="G66" s="50" t="s">
        <v>115</v>
      </c>
      <c r="H66" s="48">
        <f ca="1">--TRIM(RIGHT(SUBSTITUTE(LEFT(C65,_xlfn.AGGREGATE(16,6,FIND({0,1,2,3,4,5,6,7,8,9},C65,ROW(INDIRECT("1:"&amp;LEN(C65)))),1))," ",REPT(" ",LEN(C65))),LEN(C65)))</f>
        <v>35</v>
      </c>
      <c r="I66" s="18"/>
      <c r="J66" s="21"/>
    </row>
    <row r="67" spans="1:10" ht="49.9" customHeight="1" x14ac:dyDescent="0.25">
      <c r="A67" s="125" t="s">
        <v>125</v>
      </c>
      <c r="B67" s="90"/>
      <c r="C67" s="98" t="str">
        <f ca="1">I65</f>
        <v>Excavation work Completed. Plinth work completed, RCC Slab, Brickwork, Internal Plaster upto 32 Floor, External Plaster upto 31 Floor, Flooring upto 20 Floor, Painting upto 12 Floor Completed</v>
      </c>
      <c r="D67" s="98"/>
      <c r="E67" s="98"/>
      <c r="F67" s="98"/>
      <c r="G67" s="98"/>
      <c r="H67" s="131"/>
      <c r="I67" s="18" t="s">
        <v>141</v>
      </c>
      <c r="J67" s="21"/>
    </row>
    <row r="68" spans="1:10" ht="15.75" customHeight="1" x14ac:dyDescent="0.25">
      <c r="A68" s="87" t="s">
        <v>54</v>
      </c>
      <c r="B68" s="88"/>
      <c r="C68" s="52" t="s">
        <v>179</v>
      </c>
      <c r="D68" s="52" t="s">
        <v>118</v>
      </c>
      <c r="E68" s="88" t="s">
        <v>120</v>
      </c>
      <c r="F68" s="88"/>
      <c r="G68" s="88" t="s">
        <v>119</v>
      </c>
      <c r="H68" s="124"/>
      <c r="I68" s="38" t="s">
        <v>181</v>
      </c>
      <c r="J68" s="22">
        <f ca="1">H66*25%</f>
        <v>8.75</v>
      </c>
    </row>
    <row r="69" spans="1:10" x14ac:dyDescent="0.25">
      <c r="A69" s="87" t="s">
        <v>168</v>
      </c>
      <c r="B69" s="88"/>
      <c r="C69" s="53">
        <f ca="1">J70</f>
        <v>35</v>
      </c>
      <c r="D69" s="54">
        <f ca="1">((100/H66)*C69)/100</f>
        <v>1</v>
      </c>
      <c r="E69" s="132">
        <f ca="1">(((C70/H66*10)+(40/(D66+F66+H66)*C71)+(7.5/(H66)*C72)+(7.5/(H66)*C73)+(10/H66*C74)+(10/H66*C75)+(5/H66*C76)+(5/H66*C77)+(5/H66*C78))/100)</f>
        <v>0.80642857142857138</v>
      </c>
      <c r="F69" s="132"/>
      <c r="G69" s="132">
        <f ca="1">((((C69/H66)*20)+((C70/H66)*25)+(30/(H66+F66+D66)*C71)+(5/H66*C72)+(5/H66*C73)+(5/H66*C74)+(5/H66*C75)+(0/H66*C76)+(0/H66*C77)+(5/H66*C78))/100)</f>
        <v>0.91857142857142859</v>
      </c>
      <c r="H69" s="134"/>
      <c r="I69" s="38" t="s">
        <v>136</v>
      </c>
      <c r="J69" s="41">
        <f ca="1">H66*50%</f>
        <v>17.5</v>
      </c>
    </row>
    <row r="70" spans="1:10" x14ac:dyDescent="0.25">
      <c r="A70" s="87" t="s">
        <v>55</v>
      </c>
      <c r="B70" s="88"/>
      <c r="C70" s="55">
        <f ca="1">J78</f>
        <v>35</v>
      </c>
      <c r="D70" s="54">
        <f ca="1">((100/H66)*C70)/100</f>
        <v>1</v>
      </c>
      <c r="E70" s="132"/>
      <c r="F70" s="132"/>
      <c r="G70" s="132"/>
      <c r="H70" s="134"/>
      <c r="I70" s="38" t="s">
        <v>137</v>
      </c>
      <c r="J70" s="41">
        <f ca="1">H66</f>
        <v>35</v>
      </c>
    </row>
    <row r="71" spans="1:10" ht="15.75" customHeight="1" x14ac:dyDescent="0.25">
      <c r="A71" s="87" t="s">
        <v>169</v>
      </c>
      <c r="B71" s="88"/>
      <c r="C71" s="55">
        <f>F66+D66+35</f>
        <v>47</v>
      </c>
      <c r="D71" s="54">
        <f ca="1">((100/(D66+F66+H66))*C71)/100</f>
        <v>1</v>
      </c>
      <c r="E71" s="132"/>
      <c r="F71" s="132"/>
      <c r="G71" s="132"/>
      <c r="H71" s="134"/>
      <c r="I71" s="38" t="s">
        <v>138</v>
      </c>
      <c r="J71" s="44">
        <f ca="1">(IF(B66&gt;1,(H66/(B66+2)),H66/4))</f>
        <v>8.75</v>
      </c>
    </row>
    <row r="72" spans="1:10" ht="15.75" customHeight="1" x14ac:dyDescent="0.25">
      <c r="A72" s="87" t="s">
        <v>176</v>
      </c>
      <c r="B72" s="88" t="s">
        <v>170</v>
      </c>
      <c r="C72" s="55">
        <v>35</v>
      </c>
      <c r="D72" s="54">
        <f ca="1">((100/H66)*C72)/100</f>
        <v>1</v>
      </c>
      <c r="E72" s="132"/>
      <c r="F72" s="132"/>
      <c r="G72" s="132"/>
      <c r="H72" s="134"/>
      <c r="I72" s="38" t="s">
        <v>139</v>
      </c>
      <c r="J72" s="44">
        <f ca="1">(IF(B66&gt;1,(H66/(B66+2)+J71),H66/4+J71))</f>
        <v>17.5</v>
      </c>
    </row>
    <row r="73" spans="1:10" ht="15.75" customHeight="1" x14ac:dyDescent="0.25">
      <c r="A73" s="87" t="s">
        <v>177</v>
      </c>
      <c r="B73" s="88" t="s">
        <v>170</v>
      </c>
      <c r="C73" s="55">
        <v>32</v>
      </c>
      <c r="D73" s="54">
        <f ca="1">((100/H66)*C73)/100</f>
        <v>0.91428571428571426</v>
      </c>
      <c r="E73" s="132"/>
      <c r="F73" s="132"/>
      <c r="G73" s="132"/>
      <c r="H73" s="134"/>
      <c r="I73" s="38" t="s">
        <v>186</v>
      </c>
      <c r="J73" s="44">
        <f ca="1">(IF(B66&gt;1,(H66/(B66+2)+J72),0))</f>
        <v>26.25</v>
      </c>
    </row>
    <row r="74" spans="1:10" ht="15" customHeight="1" x14ac:dyDescent="0.25">
      <c r="A74" s="87" t="s">
        <v>175</v>
      </c>
      <c r="B74" s="88" t="s">
        <v>172</v>
      </c>
      <c r="C74" s="55">
        <v>31</v>
      </c>
      <c r="D74" s="54">
        <f ca="1">((100/(H66))*C74)/100</f>
        <v>0.88571428571428568</v>
      </c>
      <c r="E74" s="132"/>
      <c r="F74" s="132"/>
      <c r="G74" s="132"/>
      <c r="H74" s="134"/>
      <c r="I74" s="38" t="s">
        <v>183</v>
      </c>
      <c r="J74" s="44">
        <f>(IF(B66&gt;2,(H66/(B66+2)+J73),0))</f>
        <v>0</v>
      </c>
    </row>
    <row r="75" spans="1:10" ht="15.75" customHeight="1" x14ac:dyDescent="0.25">
      <c r="A75" s="87" t="s">
        <v>171</v>
      </c>
      <c r="B75" s="88" t="s">
        <v>171</v>
      </c>
      <c r="C75" s="53">
        <v>20</v>
      </c>
      <c r="D75" s="54">
        <f ca="1">((100/H66)*C75)/100</f>
        <v>0.57142857142857151</v>
      </c>
      <c r="E75" s="132"/>
      <c r="F75" s="132"/>
      <c r="G75" s="132"/>
      <c r="H75" s="134"/>
      <c r="I75" s="38" t="s">
        <v>184</v>
      </c>
      <c r="J75" s="45">
        <f>(IF(B66&gt;3,(H66/(B66+2)+J74),0))</f>
        <v>0</v>
      </c>
    </row>
    <row r="76" spans="1:10" ht="15.75" customHeight="1" x14ac:dyDescent="0.25">
      <c r="A76" s="87" t="s">
        <v>178</v>
      </c>
      <c r="B76" s="88"/>
      <c r="C76" s="53">
        <v>12</v>
      </c>
      <c r="D76" s="54">
        <f ca="1">((100/H66)*C76)/100</f>
        <v>0.34285714285714286</v>
      </c>
      <c r="E76" s="132"/>
      <c r="F76" s="132"/>
      <c r="G76" s="132"/>
      <c r="H76" s="134"/>
      <c r="I76" s="38" t="s">
        <v>185</v>
      </c>
      <c r="J76" s="44">
        <f>(IF(B66&gt;4,(H66/(B66+2)+J75),0))</f>
        <v>0</v>
      </c>
    </row>
    <row r="77" spans="1:10" ht="15.75" customHeight="1" x14ac:dyDescent="0.25">
      <c r="A77" s="87" t="s">
        <v>173</v>
      </c>
      <c r="B77" s="88" t="s">
        <v>173</v>
      </c>
      <c r="C77" s="53">
        <v>0</v>
      </c>
      <c r="D77" s="54">
        <f ca="1">((100/(H66))*C77)/100</f>
        <v>0</v>
      </c>
      <c r="E77" s="132"/>
      <c r="F77" s="132"/>
      <c r="G77" s="132"/>
      <c r="H77" s="134"/>
      <c r="I77" s="38" t="s">
        <v>187</v>
      </c>
      <c r="J77" s="44">
        <f>(IF(B66=1,(H66/(B66+3)+J72),IF(B66=0,(H66/4+J72),IF(B66&gt;1,0))))</f>
        <v>0</v>
      </c>
    </row>
    <row r="78" spans="1:10" ht="16.5" thickBot="1" x14ac:dyDescent="0.3">
      <c r="A78" s="136" t="s">
        <v>174</v>
      </c>
      <c r="B78" s="137"/>
      <c r="C78" s="56">
        <v>0</v>
      </c>
      <c r="D78" s="57">
        <f ca="1">((100/(H66))*C78)/100</f>
        <v>0</v>
      </c>
      <c r="E78" s="133"/>
      <c r="F78" s="133"/>
      <c r="G78" s="133"/>
      <c r="H78" s="135"/>
      <c r="I78" s="43" t="s">
        <v>140</v>
      </c>
      <c r="J78" s="46">
        <f ca="1">(IF(B66&gt;1.5,(H66/(B66+2)+J72+MAX(0,J73-J72)+MAX(0,J74-J73)+MAX(0,J75-J74)+MAX(0,J76-J75)+MAX(0,J77-J76)),IF(B66=1,(H66/(B66+3)+J77),IF(B66=0,H66/4+J77))))</f>
        <v>35</v>
      </c>
    </row>
    <row r="79" spans="1:10" x14ac:dyDescent="0.25">
      <c r="A79" s="157" t="s">
        <v>156</v>
      </c>
      <c r="B79" s="158"/>
      <c r="C79" s="158"/>
      <c r="D79" s="158"/>
      <c r="E79" s="159"/>
      <c r="F79" s="157" t="str">
        <f ca="1">(IF(D64="Nothing","Yes",IF(D64="Cement, Aggregate, Steel, etc","Under Construction",IF(D64="Work not yet Started","Work not yet Started"))))</f>
        <v>Under Construction</v>
      </c>
      <c r="G79" s="158"/>
      <c r="H79" s="159"/>
    </row>
    <row r="80" spans="1:10" x14ac:dyDescent="0.25">
      <c r="A80" s="75" t="s">
        <v>56</v>
      </c>
      <c r="B80" s="75"/>
      <c r="C80" s="75"/>
      <c r="D80" s="75"/>
      <c r="E80" s="75"/>
      <c r="F80" s="75"/>
      <c r="G80" s="75"/>
      <c r="H80" s="75"/>
    </row>
    <row r="81" spans="1:13" ht="15" customHeight="1" x14ac:dyDescent="0.25">
      <c r="A81" s="90" t="s">
        <v>106</v>
      </c>
      <c r="B81" s="90"/>
      <c r="C81" s="98" t="s">
        <v>107</v>
      </c>
      <c r="D81" s="98"/>
      <c r="E81" s="98"/>
      <c r="F81" s="98"/>
      <c r="G81" s="98"/>
      <c r="H81" s="98"/>
    </row>
    <row r="82" spans="1:13" x14ac:dyDescent="0.25">
      <c r="A82" s="91" t="s">
        <v>57</v>
      </c>
      <c r="B82" s="91"/>
      <c r="C82" s="91"/>
      <c r="D82" s="91"/>
      <c r="E82" s="91"/>
      <c r="F82" s="91"/>
      <c r="G82" s="91"/>
      <c r="H82" s="91"/>
    </row>
    <row r="83" spans="1:13" x14ac:dyDescent="0.25">
      <c r="A83" s="101" t="s">
        <v>108</v>
      </c>
      <c r="B83" s="101"/>
      <c r="C83" s="101"/>
      <c r="D83" s="101"/>
      <c r="E83" s="101"/>
      <c r="F83" s="89">
        <v>30200</v>
      </c>
      <c r="G83" s="89"/>
      <c r="H83" s="89"/>
      <c r="I83" s="61" t="s">
        <v>243</v>
      </c>
      <c r="J83" s="61"/>
      <c r="K83" s="61"/>
      <c r="L83" s="61"/>
      <c r="M83" s="61"/>
    </row>
    <row r="84" spans="1:13" hidden="1" x14ac:dyDescent="0.25">
      <c r="A84" s="101" t="s">
        <v>113</v>
      </c>
      <c r="B84" s="101"/>
      <c r="C84" s="101"/>
      <c r="D84" s="101"/>
      <c r="E84" s="101"/>
      <c r="F84" s="89"/>
      <c r="G84" s="89"/>
      <c r="H84" s="89"/>
    </row>
    <row r="85" spans="1:13" hidden="1" x14ac:dyDescent="0.25">
      <c r="A85" s="101" t="s">
        <v>114</v>
      </c>
      <c r="B85" s="101"/>
      <c r="C85" s="101"/>
      <c r="D85" s="101"/>
      <c r="E85" s="101"/>
      <c r="F85" s="89"/>
      <c r="G85" s="89"/>
      <c r="H85" s="89"/>
    </row>
    <row r="86" spans="1:13" s="12" customFormat="1" hidden="1" x14ac:dyDescent="0.25">
      <c r="A86" s="101" t="s">
        <v>130</v>
      </c>
      <c r="B86" s="101"/>
      <c r="C86" s="101"/>
      <c r="D86" s="101"/>
      <c r="E86" s="101"/>
      <c r="F86" s="89" t="s">
        <v>30</v>
      </c>
      <c r="G86" s="89"/>
      <c r="H86" s="89"/>
    </row>
    <row r="87" spans="1:13" s="12" customFormat="1" x14ac:dyDescent="0.25">
      <c r="A87" s="101" t="s">
        <v>242</v>
      </c>
      <c r="B87" s="101"/>
      <c r="C87" s="101"/>
      <c r="D87" s="101"/>
      <c r="E87" s="101"/>
      <c r="F87" s="89">
        <v>307500</v>
      </c>
      <c r="G87" s="89"/>
      <c r="H87" s="89"/>
    </row>
    <row r="88" spans="1:13" s="12" customFormat="1" hidden="1" x14ac:dyDescent="0.25">
      <c r="A88" s="101" t="s">
        <v>131</v>
      </c>
      <c r="B88" s="101"/>
      <c r="C88" s="101"/>
      <c r="D88" s="101"/>
      <c r="E88" s="101"/>
      <c r="F88" s="89" t="s">
        <v>30</v>
      </c>
      <c r="G88" s="89"/>
      <c r="H88" s="89"/>
    </row>
    <row r="89" spans="1:13" s="12" customFormat="1" hidden="1" x14ac:dyDescent="0.25">
      <c r="A89" s="101" t="s">
        <v>132</v>
      </c>
      <c r="B89" s="101"/>
      <c r="C89" s="101"/>
      <c r="D89" s="101"/>
      <c r="E89" s="101"/>
      <c r="F89" s="89" t="s">
        <v>30</v>
      </c>
      <c r="G89" s="89"/>
      <c r="H89" s="89"/>
    </row>
    <row r="90" spans="1:13" s="12" customFormat="1" hidden="1" x14ac:dyDescent="0.25">
      <c r="A90" s="101" t="s">
        <v>133</v>
      </c>
      <c r="B90" s="101"/>
      <c r="C90" s="101"/>
      <c r="D90" s="101"/>
      <c r="E90" s="101"/>
      <c r="F90" s="89" t="s">
        <v>30</v>
      </c>
      <c r="G90" s="89"/>
      <c r="H90" s="89"/>
    </row>
    <row r="91" spans="1:13" s="12" customFormat="1" x14ac:dyDescent="0.25">
      <c r="A91" s="101" t="s">
        <v>241</v>
      </c>
      <c r="B91" s="101"/>
      <c r="C91" s="101"/>
      <c r="D91" s="101"/>
      <c r="E91" s="101"/>
      <c r="F91" s="89">
        <v>100000</v>
      </c>
      <c r="G91" s="89"/>
      <c r="H91" s="89"/>
    </row>
    <row r="92" spans="1:13" s="12" customFormat="1" hidden="1" x14ac:dyDescent="0.25">
      <c r="A92" s="101" t="s">
        <v>134</v>
      </c>
      <c r="B92" s="101"/>
      <c r="C92" s="101"/>
      <c r="D92" s="101"/>
      <c r="E92" s="101"/>
      <c r="F92" s="89" t="s">
        <v>30</v>
      </c>
      <c r="G92" s="89"/>
      <c r="H92" s="89"/>
    </row>
    <row r="93" spans="1:13" s="12" customFormat="1" hidden="1" x14ac:dyDescent="0.25">
      <c r="A93" s="101" t="s">
        <v>135</v>
      </c>
      <c r="B93" s="101"/>
      <c r="C93" s="101"/>
      <c r="D93" s="101"/>
      <c r="E93" s="101"/>
      <c r="F93" s="89" t="s">
        <v>30</v>
      </c>
      <c r="G93" s="89"/>
      <c r="H93" s="89"/>
    </row>
    <row r="94" spans="1:13" x14ac:dyDescent="0.25">
      <c r="A94" s="101" t="s">
        <v>58</v>
      </c>
      <c r="B94" s="101"/>
      <c r="C94" s="101"/>
      <c r="D94" s="101"/>
      <c r="E94" s="101"/>
      <c r="F94" s="93" t="s">
        <v>240</v>
      </c>
      <c r="G94" s="93"/>
      <c r="H94" s="93"/>
    </row>
    <row r="95" spans="1:13" s="9" customFormat="1" x14ac:dyDescent="0.25">
      <c r="A95" s="91" t="s">
        <v>59</v>
      </c>
      <c r="B95" s="91"/>
      <c r="C95" s="91"/>
      <c r="D95" s="91"/>
      <c r="E95" s="91"/>
      <c r="F95" s="89">
        <f>F83*0.8</f>
        <v>24160</v>
      </c>
      <c r="G95" s="89"/>
      <c r="H95" s="89"/>
    </row>
    <row r="96" spans="1:13" s="1" customFormat="1" x14ac:dyDescent="0.25">
      <c r="A96" s="117" t="s">
        <v>101</v>
      </c>
      <c r="B96" s="117"/>
      <c r="C96" s="117"/>
      <c r="D96" s="117"/>
      <c r="E96" s="117"/>
      <c r="F96" s="117"/>
      <c r="G96" s="117"/>
      <c r="H96" s="117"/>
    </row>
    <row r="97" spans="1:14" s="1" customFormat="1" ht="15.75" customHeight="1" x14ac:dyDescent="0.25">
      <c r="A97" s="78" t="s">
        <v>60</v>
      </c>
      <c r="B97" s="78"/>
      <c r="C97" s="156" t="s">
        <v>111</v>
      </c>
      <c r="D97" s="156"/>
      <c r="E97" s="122" t="s">
        <v>61</v>
      </c>
      <c r="F97" s="122"/>
      <c r="G97" s="78" t="s">
        <v>62</v>
      </c>
      <c r="H97" s="78"/>
    </row>
    <row r="98" spans="1:14" s="1" customFormat="1" x14ac:dyDescent="0.25">
      <c r="A98" s="116" t="s">
        <v>202</v>
      </c>
      <c r="B98" s="116"/>
      <c r="C98" s="154">
        <f>COUNT(D112:D121)+COUNT(D124:D135)*23+COUNT(D137:D146)*3+COUNT(D149:D158)+COUNT(D161:D172)*7</f>
        <v>410</v>
      </c>
      <c r="D98" s="154"/>
      <c r="E98" s="155">
        <f>SUM(D112:D121)+SUM(D124:D135)*23+SUM(D137:D146)*3+SUM(D149:D158)+SUM(D161:D172)*7</f>
        <v>197813.14955999999</v>
      </c>
      <c r="F98" s="155"/>
      <c r="G98" s="155">
        <f>SUM(F112:F121)+SUM(F124:F135)*23+SUM(F137:F146)*3+SUM(F149:F158)+SUM(F161:F172)*7</f>
        <v>316501.03929600003</v>
      </c>
      <c r="H98" s="155"/>
    </row>
    <row r="99" spans="1:14" s="9" customFormat="1" x14ac:dyDescent="0.25">
      <c r="A99" s="123" t="s">
        <v>65</v>
      </c>
      <c r="B99" s="123"/>
      <c r="C99" s="123"/>
      <c r="D99" s="123"/>
      <c r="E99" s="123"/>
      <c r="F99" s="123"/>
      <c r="G99" s="123"/>
      <c r="H99" s="123"/>
    </row>
    <row r="100" spans="1:14" x14ac:dyDescent="0.25">
      <c r="A100" s="123" t="s">
        <v>66</v>
      </c>
      <c r="B100" s="123"/>
      <c r="C100" s="123"/>
      <c r="D100" s="123"/>
      <c r="E100" s="123"/>
      <c r="F100" s="123"/>
      <c r="G100" s="123"/>
      <c r="H100" s="123"/>
    </row>
    <row r="101" spans="1:14" s="2" customFormat="1" x14ac:dyDescent="0.25">
      <c r="A101" s="160"/>
      <c r="B101" s="161"/>
      <c r="C101" s="161"/>
      <c r="D101" s="161"/>
      <c r="E101" s="161"/>
      <c r="F101" s="161"/>
      <c r="G101" s="161"/>
      <c r="H101" s="162"/>
      <c r="I101" s="36"/>
      <c r="N101" s="36"/>
    </row>
    <row r="102" spans="1:14" ht="47.25" customHeight="1" x14ac:dyDescent="0.25">
      <c r="A102" s="83" t="s">
        <v>158</v>
      </c>
      <c r="B102" s="83" t="s">
        <v>159</v>
      </c>
      <c r="C102" s="79" t="s">
        <v>67</v>
      </c>
      <c r="D102" s="79" t="s">
        <v>68</v>
      </c>
      <c r="E102" s="81" t="s">
        <v>69</v>
      </c>
      <c r="F102" s="37" t="s">
        <v>157</v>
      </c>
      <c r="G102" s="83" t="s">
        <v>70</v>
      </c>
      <c r="H102" s="84"/>
      <c r="I102" s="36"/>
    </row>
    <row r="103" spans="1:14" s="2" customFormat="1" x14ac:dyDescent="0.25">
      <c r="A103" s="85"/>
      <c r="B103" s="85"/>
      <c r="C103" s="80"/>
      <c r="D103" s="80"/>
      <c r="E103" s="82"/>
      <c r="F103" s="35">
        <v>0.6</v>
      </c>
      <c r="G103" s="85"/>
      <c r="H103" s="86"/>
      <c r="I103" s="36"/>
    </row>
    <row r="104" spans="1:14" s="9" customFormat="1" x14ac:dyDescent="0.25">
      <c r="A104" s="123" t="s">
        <v>188</v>
      </c>
      <c r="B104" s="123"/>
      <c r="C104" s="123"/>
      <c r="D104" s="123"/>
      <c r="E104" s="123"/>
      <c r="F104" s="123"/>
      <c r="G104" s="123"/>
      <c r="H104" s="123"/>
    </row>
    <row r="105" spans="1:14" s="9" customFormat="1" x14ac:dyDescent="0.25">
      <c r="A105" s="123" t="s">
        <v>198</v>
      </c>
      <c r="B105" s="123"/>
      <c r="C105" s="123"/>
      <c r="D105" s="123"/>
      <c r="E105" s="123"/>
      <c r="F105" s="123"/>
      <c r="G105" s="123"/>
      <c r="H105" s="123"/>
    </row>
    <row r="106" spans="1:14" s="9" customFormat="1" x14ac:dyDescent="0.25">
      <c r="A106" s="123" t="s">
        <v>189</v>
      </c>
      <c r="B106" s="123"/>
      <c r="C106" s="123"/>
      <c r="D106" s="123"/>
      <c r="E106" s="123"/>
      <c r="F106" s="123"/>
      <c r="G106" s="123"/>
      <c r="H106" s="123"/>
    </row>
    <row r="107" spans="1:14" s="9" customFormat="1" x14ac:dyDescent="0.25">
      <c r="A107" s="123" t="s">
        <v>190</v>
      </c>
      <c r="B107" s="123"/>
      <c r="C107" s="123"/>
      <c r="D107" s="123"/>
      <c r="E107" s="123"/>
      <c r="F107" s="123"/>
      <c r="G107" s="123"/>
      <c r="H107" s="123"/>
    </row>
    <row r="108" spans="1:14" s="9" customFormat="1" x14ac:dyDescent="0.25">
      <c r="A108" s="123" t="s">
        <v>191</v>
      </c>
      <c r="B108" s="123"/>
      <c r="C108" s="123"/>
      <c r="D108" s="123"/>
      <c r="E108" s="123"/>
      <c r="F108" s="123"/>
      <c r="G108" s="123"/>
      <c r="H108" s="123"/>
    </row>
    <row r="109" spans="1:14" s="9" customFormat="1" x14ac:dyDescent="0.25">
      <c r="A109" s="123" t="s">
        <v>192</v>
      </c>
      <c r="B109" s="123"/>
      <c r="C109" s="123"/>
      <c r="D109" s="123"/>
      <c r="E109" s="123"/>
      <c r="F109" s="123"/>
      <c r="G109" s="123"/>
      <c r="H109" s="123"/>
    </row>
    <row r="110" spans="1:14" s="9" customFormat="1" x14ac:dyDescent="0.25">
      <c r="A110" s="123" t="s">
        <v>193</v>
      </c>
      <c r="B110" s="123"/>
      <c r="C110" s="123"/>
      <c r="D110" s="123"/>
      <c r="E110" s="123"/>
      <c r="F110" s="123"/>
      <c r="G110" s="123"/>
      <c r="H110" s="123"/>
    </row>
    <row r="111" spans="1:14" s="2" customFormat="1" x14ac:dyDescent="0.25">
      <c r="A111" s="115" t="s">
        <v>194</v>
      </c>
      <c r="B111" s="115"/>
      <c r="C111" s="115"/>
      <c r="D111" s="115"/>
      <c r="E111" s="115"/>
      <c r="F111" s="115"/>
      <c r="G111" s="115"/>
      <c r="H111" s="115"/>
      <c r="I111" s="36"/>
      <c r="L111" s="163"/>
      <c r="M111" s="163"/>
    </row>
    <row r="112" spans="1:14" s="2" customFormat="1" x14ac:dyDescent="0.25">
      <c r="A112" s="76">
        <v>2</v>
      </c>
      <c r="B112" s="76"/>
      <c r="C112" s="19" t="s">
        <v>195</v>
      </c>
      <c r="D112" s="19">
        <f>(51.62)*10.764</f>
        <v>555.63767999999993</v>
      </c>
      <c r="E112" s="19">
        <v>0</v>
      </c>
      <c r="F112" s="19">
        <f>D112*(($F$103)+1)+E112</f>
        <v>889.02028799999994</v>
      </c>
      <c r="G112" s="76" t="str">
        <f>A111</f>
        <v>1st Floor for Residential (Part Refuge Area)</v>
      </c>
      <c r="H112" s="76"/>
      <c r="I112" s="36"/>
      <c r="N112" s="36"/>
    </row>
    <row r="113" spans="1:16" s="2" customFormat="1" x14ac:dyDescent="0.25">
      <c r="A113" s="76">
        <v>3</v>
      </c>
      <c r="B113" s="76"/>
      <c r="C113" s="19" t="s">
        <v>196</v>
      </c>
      <c r="D113" s="19">
        <f>(32.69)*10.764</f>
        <v>351.87515999999994</v>
      </c>
      <c r="E113" s="19">
        <v>0</v>
      </c>
      <c r="F113" s="19">
        <f t="shared" ref="F113:F117" si="0">D113*(($F$103)+1)+E113</f>
        <v>563.00025599999992</v>
      </c>
      <c r="G113" s="76" t="str">
        <f t="shared" ref="G113:G122" si="1">G112</f>
        <v>1st Floor for Residential (Part Refuge Area)</v>
      </c>
      <c r="H113" s="76"/>
      <c r="I113" s="36"/>
      <c r="N113" s="36"/>
    </row>
    <row r="114" spans="1:16" s="2" customFormat="1" x14ac:dyDescent="0.25">
      <c r="A114" s="76">
        <v>4</v>
      </c>
      <c r="B114" s="76"/>
      <c r="C114" s="19" t="s">
        <v>196</v>
      </c>
      <c r="D114" s="19">
        <f>(32.69)*10.764</f>
        <v>351.87515999999994</v>
      </c>
      <c r="E114" s="19">
        <v>0</v>
      </c>
      <c r="F114" s="19">
        <f t="shared" si="0"/>
        <v>563.00025599999992</v>
      </c>
      <c r="G114" s="76" t="str">
        <f t="shared" si="1"/>
        <v>1st Floor for Residential (Part Refuge Area)</v>
      </c>
      <c r="H114" s="76"/>
      <c r="I114" s="36"/>
      <c r="N114" s="36"/>
    </row>
    <row r="115" spans="1:16" s="2" customFormat="1" x14ac:dyDescent="0.25">
      <c r="A115" s="76">
        <v>5</v>
      </c>
      <c r="B115" s="76"/>
      <c r="C115" s="19" t="s">
        <v>195</v>
      </c>
      <c r="D115" s="19">
        <f>(52.03)*10.764</f>
        <v>560.05092000000002</v>
      </c>
      <c r="E115" s="19">
        <v>0</v>
      </c>
      <c r="F115" s="19">
        <f t="shared" si="0"/>
        <v>896.08147200000008</v>
      </c>
      <c r="G115" s="76" t="str">
        <f t="shared" si="1"/>
        <v>1st Floor for Residential (Part Refuge Area)</v>
      </c>
      <c r="H115" s="76"/>
      <c r="I115" s="36"/>
      <c r="N115" s="36"/>
    </row>
    <row r="116" spans="1:16" s="2" customFormat="1" x14ac:dyDescent="0.25">
      <c r="A116" s="76">
        <v>6</v>
      </c>
      <c r="B116" s="76"/>
      <c r="C116" s="59" t="s">
        <v>195</v>
      </c>
      <c r="D116" s="59">
        <f>(49.7)*10.764</f>
        <v>534.97080000000005</v>
      </c>
      <c r="E116" s="19">
        <v>0</v>
      </c>
      <c r="F116" s="19">
        <f t="shared" si="0"/>
        <v>855.95328000000018</v>
      </c>
      <c r="G116" s="76" t="str">
        <f t="shared" si="1"/>
        <v>1st Floor for Residential (Part Refuge Area)</v>
      </c>
      <c r="H116" s="76"/>
      <c r="I116" s="36">
        <v>15100000</v>
      </c>
      <c r="J116" s="2">
        <f>I116/F116</f>
        <v>17641.149759949512</v>
      </c>
      <c r="N116" s="36"/>
    </row>
    <row r="117" spans="1:16" s="2" customFormat="1" x14ac:dyDescent="0.25">
      <c r="A117" s="76">
        <v>7</v>
      </c>
      <c r="B117" s="76"/>
      <c r="C117" s="19" t="s">
        <v>195</v>
      </c>
      <c r="D117" s="19">
        <f>(49.7)*10.764</f>
        <v>534.97080000000005</v>
      </c>
      <c r="E117" s="19">
        <v>0</v>
      </c>
      <c r="F117" s="19">
        <f t="shared" si="0"/>
        <v>855.95328000000018</v>
      </c>
      <c r="G117" s="76" t="str">
        <f t="shared" si="1"/>
        <v>1st Floor for Residential (Part Refuge Area)</v>
      </c>
      <c r="H117" s="76"/>
      <c r="I117" s="36"/>
      <c r="N117" s="36"/>
    </row>
    <row r="118" spans="1:16" s="2" customFormat="1" x14ac:dyDescent="0.25">
      <c r="A118" s="76">
        <v>8</v>
      </c>
      <c r="B118" s="76"/>
      <c r="C118" s="19" t="s">
        <v>195</v>
      </c>
      <c r="D118" s="19">
        <f>(51.78)*10.764</f>
        <v>557.35991999999999</v>
      </c>
      <c r="E118" s="19">
        <v>0</v>
      </c>
      <c r="F118" s="19">
        <f t="shared" ref="F118:F121" si="2">D118*(($F$103)+1)+E118</f>
        <v>891.77587200000005</v>
      </c>
      <c r="G118" s="76" t="str">
        <f t="shared" si="1"/>
        <v>1st Floor for Residential (Part Refuge Area)</v>
      </c>
      <c r="H118" s="76"/>
      <c r="I118" s="36"/>
      <c r="N118" s="36"/>
    </row>
    <row r="119" spans="1:16" s="2" customFormat="1" x14ac:dyDescent="0.25">
      <c r="A119" s="76">
        <v>9</v>
      </c>
      <c r="B119" s="76"/>
      <c r="C119" s="19" t="s">
        <v>196</v>
      </c>
      <c r="D119" s="19">
        <f>(32.69)*10.764</f>
        <v>351.87515999999994</v>
      </c>
      <c r="E119" s="19">
        <v>0</v>
      </c>
      <c r="F119" s="19">
        <f t="shared" si="2"/>
        <v>563.00025599999992</v>
      </c>
      <c r="G119" s="76" t="str">
        <f t="shared" si="1"/>
        <v>1st Floor for Residential (Part Refuge Area)</v>
      </c>
      <c r="H119" s="76"/>
      <c r="I119" s="36"/>
      <c r="N119" s="36"/>
    </row>
    <row r="120" spans="1:16" s="2" customFormat="1" x14ac:dyDescent="0.25">
      <c r="A120" s="76">
        <v>10</v>
      </c>
      <c r="B120" s="76"/>
      <c r="C120" s="19" t="s">
        <v>196</v>
      </c>
      <c r="D120" s="19">
        <f>(32.69)*10.764</f>
        <v>351.87515999999994</v>
      </c>
      <c r="E120" s="19">
        <v>0</v>
      </c>
      <c r="F120" s="19">
        <f t="shared" si="2"/>
        <v>563.00025599999992</v>
      </c>
      <c r="G120" s="76" t="str">
        <f t="shared" si="1"/>
        <v>1st Floor for Residential (Part Refuge Area)</v>
      </c>
      <c r="H120" s="76"/>
      <c r="I120" s="36"/>
      <c r="N120" s="36"/>
    </row>
    <row r="121" spans="1:16" s="2" customFormat="1" x14ac:dyDescent="0.25">
      <c r="A121" s="76">
        <v>11</v>
      </c>
      <c r="B121" s="76"/>
      <c r="C121" s="19" t="s">
        <v>196</v>
      </c>
      <c r="D121" s="19">
        <f>(37.68)*10.764</f>
        <v>405.58751999999998</v>
      </c>
      <c r="E121" s="19">
        <v>0</v>
      </c>
      <c r="F121" s="19">
        <f t="shared" si="2"/>
        <v>648.94003199999997</v>
      </c>
      <c r="G121" s="76" t="str">
        <f t="shared" si="1"/>
        <v>1st Floor for Residential (Part Refuge Area)</v>
      </c>
      <c r="H121" s="76"/>
      <c r="I121" s="36">
        <v>15100000</v>
      </c>
      <c r="J121" s="2">
        <f>I121/F121</f>
        <v>23268.713988043815</v>
      </c>
      <c r="N121" s="36"/>
    </row>
    <row r="122" spans="1:16" s="2" customFormat="1" x14ac:dyDescent="0.25">
      <c r="A122" s="76">
        <v>12</v>
      </c>
      <c r="B122" s="76"/>
      <c r="C122" s="160" t="s">
        <v>197</v>
      </c>
      <c r="D122" s="161"/>
      <c r="E122" s="161"/>
      <c r="F122" s="162"/>
      <c r="G122" s="76" t="str">
        <f t="shared" si="1"/>
        <v>1st Floor for Residential (Part Refuge Area)</v>
      </c>
      <c r="H122" s="76"/>
      <c r="I122" s="36"/>
      <c r="N122" s="36"/>
    </row>
    <row r="123" spans="1:16" s="2" customFormat="1" x14ac:dyDescent="0.25">
      <c r="A123" s="119" t="s">
        <v>200</v>
      </c>
      <c r="B123" s="120"/>
      <c r="C123" s="120"/>
      <c r="D123" s="120"/>
      <c r="E123" s="120"/>
      <c r="F123" s="120"/>
      <c r="G123" s="120"/>
      <c r="H123" s="121"/>
      <c r="I123" s="36"/>
    </row>
    <row r="124" spans="1:16" s="2" customFormat="1" ht="15.75" customHeight="1" x14ac:dyDescent="0.25">
      <c r="A124" s="160">
        <v>1</v>
      </c>
      <c r="B124" s="162"/>
      <c r="C124" s="19" t="s">
        <v>195</v>
      </c>
      <c r="D124" s="19">
        <f>(49.98)*10.764</f>
        <v>537.98471999999992</v>
      </c>
      <c r="E124" s="19">
        <v>0</v>
      </c>
      <c r="F124" s="19">
        <f t="shared" ref="F124:F128" si="3">D124*(($F$103)+1)+E124</f>
        <v>860.77555199999995</v>
      </c>
      <c r="G124" s="68" t="str">
        <f>A123</f>
        <v xml:space="preserve">2nd to 7th Floor, 9th to 14th, 16th to 21st, 23rd to 27th Floor </v>
      </c>
      <c r="H124" s="69"/>
      <c r="I124" s="36"/>
      <c r="N124" s="2" t="str">
        <f t="shared" ref="N124:N129" ca="1" si="4">O124&amp;""&amp;" to "&amp;""&amp;P124</f>
        <v>201 to 2701</v>
      </c>
      <c r="O124" s="2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10^ROW(INDIRECT("1:"&amp;LEN((LEFT(A123,SUM(LEN(A123)-LEN(SUBSTITUTE(A123,{"0","1","2"},""))))))))/10))*100+1</f>
        <v>201</v>
      </c>
      <c r="P124" s="2">
        <f ca="1">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",LEN(A123))),LEN(A123)))))))/10))*100+1</f>
        <v>2701</v>
      </c>
    </row>
    <row r="125" spans="1:16" s="2" customFormat="1" ht="15.75" customHeight="1" x14ac:dyDescent="0.25">
      <c r="A125" s="160">
        <v>2</v>
      </c>
      <c r="B125" s="162"/>
      <c r="C125" s="19" t="s">
        <v>195</v>
      </c>
      <c r="D125" s="19">
        <f>(51.62)*10.764</f>
        <v>555.63767999999993</v>
      </c>
      <c r="E125" s="19">
        <v>0</v>
      </c>
      <c r="F125" s="19">
        <f t="shared" si="3"/>
        <v>889.02028799999994</v>
      </c>
      <c r="G125" s="70"/>
      <c r="H125" s="71"/>
      <c r="I125" s="36"/>
      <c r="N125" s="2" t="str">
        <f t="shared" ca="1" si="4"/>
        <v>202 to 2702</v>
      </c>
      <c r="O125" s="2">
        <f t="shared" ref="O125:P128" ca="1" si="5">O124+1</f>
        <v>202</v>
      </c>
      <c r="P125" s="2">
        <f t="shared" ca="1" si="5"/>
        <v>2702</v>
      </c>
    </row>
    <row r="126" spans="1:16" s="2" customFormat="1" ht="15.75" customHeight="1" x14ac:dyDescent="0.25">
      <c r="A126" s="160">
        <v>3</v>
      </c>
      <c r="B126" s="162"/>
      <c r="C126" s="19" t="s">
        <v>196</v>
      </c>
      <c r="D126" s="19">
        <f>(32.69)*10.764</f>
        <v>351.87515999999994</v>
      </c>
      <c r="E126" s="19">
        <v>0</v>
      </c>
      <c r="F126" s="19">
        <f t="shared" si="3"/>
        <v>563.00025599999992</v>
      </c>
      <c r="G126" s="70"/>
      <c r="H126" s="71"/>
      <c r="I126" s="36">
        <f>15200000/F126</f>
        <v>26998.211524791921</v>
      </c>
      <c r="N126" s="2" t="str">
        <f t="shared" ca="1" si="4"/>
        <v>203 to 2703</v>
      </c>
      <c r="O126" s="2">
        <f t="shared" ca="1" si="5"/>
        <v>203</v>
      </c>
      <c r="P126" s="2">
        <f t="shared" ca="1" si="5"/>
        <v>2703</v>
      </c>
    </row>
    <row r="127" spans="1:16" s="2" customFormat="1" ht="15.75" customHeight="1" x14ac:dyDescent="0.25">
      <c r="A127" s="160">
        <v>4</v>
      </c>
      <c r="B127" s="162"/>
      <c r="C127" s="19" t="s">
        <v>196</v>
      </c>
      <c r="D127" s="19">
        <f>(32.69)*10.764</f>
        <v>351.87515999999994</v>
      </c>
      <c r="E127" s="19">
        <v>0</v>
      </c>
      <c r="F127" s="19">
        <f>D127*(($F$103)+1)+E127</f>
        <v>563.00025599999992</v>
      </c>
      <c r="G127" s="70"/>
      <c r="H127" s="71"/>
      <c r="I127" s="36"/>
      <c r="N127" s="2" t="str">
        <f t="shared" ca="1" si="4"/>
        <v>204 to 2704</v>
      </c>
      <c r="O127" s="2">
        <f t="shared" ca="1" si="5"/>
        <v>204</v>
      </c>
      <c r="P127" s="2">
        <f t="shared" ca="1" si="5"/>
        <v>2704</v>
      </c>
    </row>
    <row r="128" spans="1:16" s="2" customFormat="1" ht="15.75" customHeight="1" x14ac:dyDescent="0.25">
      <c r="A128" s="160">
        <v>5</v>
      </c>
      <c r="B128" s="162"/>
      <c r="C128" s="19" t="s">
        <v>195</v>
      </c>
      <c r="D128" s="59">
        <f>(52.03)*10.764</f>
        <v>560.05092000000002</v>
      </c>
      <c r="E128" s="19">
        <v>0</v>
      </c>
      <c r="F128" s="19">
        <f t="shared" si="3"/>
        <v>896.08147200000008</v>
      </c>
      <c r="G128" s="70"/>
      <c r="H128" s="71"/>
      <c r="I128" s="36">
        <f>23300000/F128</f>
        <v>26002.099951911514</v>
      </c>
      <c r="N128" s="2" t="str">
        <f t="shared" ca="1" si="4"/>
        <v>205 to 2705</v>
      </c>
      <c r="O128" s="2">
        <f t="shared" ca="1" si="5"/>
        <v>205</v>
      </c>
      <c r="P128" s="2">
        <f t="shared" ca="1" si="5"/>
        <v>2705</v>
      </c>
    </row>
    <row r="129" spans="1:16" s="2" customFormat="1" ht="15.75" customHeight="1" x14ac:dyDescent="0.25">
      <c r="A129" s="160">
        <v>6</v>
      </c>
      <c r="B129" s="162"/>
      <c r="C129" s="19" t="s">
        <v>195</v>
      </c>
      <c r="D129" s="59">
        <f>(49.7)*10.764</f>
        <v>534.97080000000005</v>
      </c>
      <c r="E129" s="19">
        <v>0</v>
      </c>
      <c r="F129" s="19">
        <f t="shared" ref="F129:F132" si="6">D129*(($F$103)+1)+E129</f>
        <v>855.95328000000018</v>
      </c>
      <c r="G129" s="70"/>
      <c r="H129" s="71"/>
      <c r="I129" s="36"/>
      <c r="N129" s="2" t="str">
        <f t="shared" ca="1" si="4"/>
        <v>206 to 2706</v>
      </c>
      <c r="O129" s="2">
        <f t="shared" ref="O129:P129" ca="1" si="7">O128+1</f>
        <v>206</v>
      </c>
      <c r="P129" s="2">
        <f t="shared" ca="1" si="7"/>
        <v>2706</v>
      </c>
    </row>
    <row r="130" spans="1:16" s="2" customFormat="1" ht="15.75" customHeight="1" x14ac:dyDescent="0.25">
      <c r="A130" s="160">
        <v>7</v>
      </c>
      <c r="B130" s="162"/>
      <c r="C130" s="19" t="s">
        <v>195</v>
      </c>
      <c r="D130" s="59">
        <f>(49.7)*10.764</f>
        <v>534.97080000000005</v>
      </c>
      <c r="E130" s="19">
        <v>0</v>
      </c>
      <c r="F130" s="19">
        <f t="shared" si="6"/>
        <v>855.95328000000018</v>
      </c>
      <c r="G130" s="70"/>
      <c r="H130" s="71"/>
      <c r="I130" s="36"/>
      <c r="N130" s="2" t="e">
        <f t="shared" ref="N130:N135" ca="1" si="8">O130&amp;""&amp;" to "&amp;""&amp;P130</f>
        <v>#REF!</v>
      </c>
      <c r="O130" s="2" t="e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10^ROW(INDIRECT("1:"&amp;LEN((LEFT(A129,SUM(LEN(A129)-LEN(SUBSTITUTE(A129,{"0","1","2"},""))))))))/10))*100+1</f>
        <v>#REF!</v>
      </c>
      <c r="P130" s="2">
        <f ca="1">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",LEN(A129))),LEN(A129)))))))/10))*100+1</f>
        <v>601</v>
      </c>
    </row>
    <row r="131" spans="1:16" s="2" customFormat="1" ht="15.75" customHeight="1" x14ac:dyDescent="0.25">
      <c r="A131" s="160">
        <v>8</v>
      </c>
      <c r="B131" s="162"/>
      <c r="C131" s="59" t="s">
        <v>195</v>
      </c>
      <c r="D131" s="59">
        <f>(51.76)*10.764</f>
        <v>557.14463999999998</v>
      </c>
      <c r="E131" s="19">
        <v>0</v>
      </c>
      <c r="F131" s="19">
        <f t="shared" si="6"/>
        <v>891.43142399999999</v>
      </c>
      <c r="G131" s="70"/>
      <c r="H131" s="71"/>
      <c r="I131" s="36"/>
      <c r="N131" s="2" t="e">
        <f t="shared" ca="1" si="8"/>
        <v>#REF!</v>
      </c>
      <c r="O131" s="2" t="e">
        <f t="shared" ref="O131:P131" ca="1" si="9">O130+1</f>
        <v>#REF!</v>
      </c>
      <c r="P131" s="2">
        <f t="shared" ca="1" si="9"/>
        <v>602</v>
      </c>
    </row>
    <row r="132" spans="1:16" s="2" customFormat="1" ht="15.75" customHeight="1" x14ac:dyDescent="0.25">
      <c r="A132" s="160">
        <v>9</v>
      </c>
      <c r="B132" s="162"/>
      <c r="C132" s="19" t="s">
        <v>196</v>
      </c>
      <c r="D132" s="19">
        <f>(32.69)*10.764</f>
        <v>351.87515999999994</v>
      </c>
      <c r="E132" s="19">
        <v>0</v>
      </c>
      <c r="F132" s="19">
        <f t="shared" si="6"/>
        <v>563.00025599999992</v>
      </c>
      <c r="G132" s="70"/>
      <c r="H132" s="71"/>
      <c r="I132" s="36"/>
      <c r="N132" s="2" t="e">
        <f t="shared" ca="1" si="8"/>
        <v>#REF!</v>
      </c>
      <c r="O132" s="2" t="e">
        <f t="shared" ref="O132:P132" ca="1" si="10">O131+1</f>
        <v>#REF!</v>
      </c>
      <c r="P132" s="2">
        <f t="shared" ca="1" si="10"/>
        <v>603</v>
      </c>
    </row>
    <row r="133" spans="1:16" s="2" customFormat="1" ht="15.75" customHeight="1" x14ac:dyDescent="0.25">
      <c r="A133" s="160">
        <v>10</v>
      </c>
      <c r="B133" s="162"/>
      <c r="C133" s="19" t="s">
        <v>196</v>
      </c>
      <c r="D133" s="19">
        <f>(32.69)*10.764</f>
        <v>351.87515999999994</v>
      </c>
      <c r="E133" s="19">
        <v>0</v>
      </c>
      <c r="F133" s="19">
        <f>D133*(($F$103)+1)+E133</f>
        <v>563.00025599999992</v>
      </c>
      <c r="G133" s="70"/>
      <c r="H133" s="71"/>
      <c r="I133" s="36"/>
      <c r="N133" s="2" t="e">
        <f t="shared" ca="1" si="8"/>
        <v>#REF!</v>
      </c>
      <c r="O133" s="2" t="e">
        <f t="shared" ref="O133:P133" ca="1" si="11">O132+1</f>
        <v>#REF!</v>
      </c>
      <c r="P133" s="2">
        <f t="shared" ca="1" si="11"/>
        <v>604</v>
      </c>
    </row>
    <row r="134" spans="1:16" s="2" customFormat="1" ht="15.75" customHeight="1" x14ac:dyDescent="0.25">
      <c r="A134" s="160">
        <v>11</v>
      </c>
      <c r="B134" s="162"/>
      <c r="C134" s="19" t="s">
        <v>195</v>
      </c>
      <c r="D134" s="19">
        <f>(51.71)*10.764</f>
        <v>556.60644000000002</v>
      </c>
      <c r="E134" s="19">
        <v>0</v>
      </c>
      <c r="F134" s="19">
        <f t="shared" ref="F134:F135" si="12">D134*(($F$103)+1)+E134</f>
        <v>890.57030400000008</v>
      </c>
      <c r="G134" s="70"/>
      <c r="H134" s="71"/>
      <c r="I134" s="36"/>
      <c r="N134" s="2" t="e">
        <f t="shared" ca="1" si="8"/>
        <v>#REF!</v>
      </c>
      <c r="O134" s="2" t="e">
        <f t="shared" ref="O134:P134" ca="1" si="13">O133+1</f>
        <v>#REF!</v>
      </c>
      <c r="P134" s="2">
        <f t="shared" ca="1" si="13"/>
        <v>605</v>
      </c>
    </row>
    <row r="135" spans="1:16" s="2" customFormat="1" ht="15.75" customHeight="1" x14ac:dyDescent="0.25">
      <c r="A135" s="160">
        <v>12</v>
      </c>
      <c r="B135" s="162"/>
      <c r="C135" s="19" t="s">
        <v>195</v>
      </c>
      <c r="D135" s="19">
        <f>(49.97)*10.764</f>
        <v>537.87707999999998</v>
      </c>
      <c r="E135" s="19">
        <v>0</v>
      </c>
      <c r="F135" s="19">
        <f t="shared" si="12"/>
        <v>860.60332800000003</v>
      </c>
      <c r="G135" s="72"/>
      <c r="H135" s="73"/>
      <c r="I135" s="36"/>
      <c r="N135" s="2" t="e">
        <f t="shared" ca="1" si="8"/>
        <v>#REF!</v>
      </c>
      <c r="O135" s="2" t="e">
        <f t="shared" ref="O135:P135" ca="1" si="14">O134+1</f>
        <v>#REF!</v>
      </c>
      <c r="P135" s="2">
        <f t="shared" ca="1" si="14"/>
        <v>606</v>
      </c>
    </row>
    <row r="136" spans="1:16" s="2" customFormat="1" x14ac:dyDescent="0.25">
      <c r="A136" s="115" t="s">
        <v>199</v>
      </c>
      <c r="B136" s="115"/>
      <c r="C136" s="115"/>
      <c r="D136" s="115"/>
      <c r="E136" s="115"/>
      <c r="F136" s="115"/>
      <c r="G136" s="115"/>
      <c r="H136" s="115"/>
      <c r="I136" s="36"/>
      <c r="L136" s="163"/>
      <c r="M136" s="163"/>
    </row>
    <row r="137" spans="1:16" s="2" customFormat="1" x14ac:dyDescent="0.25">
      <c r="A137" s="76">
        <v>2</v>
      </c>
      <c r="B137" s="76"/>
      <c r="C137" s="19" t="s">
        <v>195</v>
      </c>
      <c r="D137" s="19">
        <f>(51.62)*10.764</f>
        <v>555.63767999999993</v>
      </c>
      <c r="E137" s="19">
        <v>0</v>
      </c>
      <c r="F137" s="19">
        <f>D137*(($F$103)+1)+E137</f>
        <v>889.02028799999994</v>
      </c>
      <c r="G137" s="76" t="str">
        <f>A136</f>
        <v>8th, 15th &amp; 22nd Floor (Part Refuge Area)</v>
      </c>
      <c r="H137" s="76"/>
      <c r="I137" s="36"/>
      <c r="N137" s="36"/>
    </row>
    <row r="138" spans="1:16" s="2" customFormat="1" x14ac:dyDescent="0.25">
      <c r="A138" s="76">
        <v>3</v>
      </c>
      <c r="B138" s="76"/>
      <c r="C138" s="19" t="s">
        <v>196</v>
      </c>
      <c r="D138" s="19">
        <f>(32.69)*10.764</f>
        <v>351.87515999999994</v>
      </c>
      <c r="E138" s="19">
        <v>0</v>
      </c>
      <c r="F138" s="19">
        <f t="shared" ref="F138:F146" si="15">D138*(($F$103)+1)+E138</f>
        <v>563.00025599999992</v>
      </c>
      <c r="G138" s="76" t="str">
        <f t="shared" ref="G138:G147" si="16">G137</f>
        <v>8th, 15th &amp; 22nd Floor (Part Refuge Area)</v>
      </c>
      <c r="H138" s="76"/>
      <c r="I138" s="36"/>
      <c r="N138" s="36"/>
    </row>
    <row r="139" spans="1:16" s="2" customFormat="1" x14ac:dyDescent="0.25">
      <c r="A139" s="76">
        <v>4</v>
      </c>
      <c r="B139" s="76"/>
      <c r="C139" s="19" t="s">
        <v>196</v>
      </c>
      <c r="D139" s="19">
        <f>(32.69)*10.764</f>
        <v>351.87515999999994</v>
      </c>
      <c r="E139" s="19">
        <v>0</v>
      </c>
      <c r="F139" s="19">
        <f t="shared" si="15"/>
        <v>563.00025599999992</v>
      </c>
      <c r="G139" s="76" t="str">
        <f t="shared" si="16"/>
        <v>8th, 15th &amp; 22nd Floor (Part Refuge Area)</v>
      </c>
      <c r="H139" s="76"/>
      <c r="I139" s="36"/>
      <c r="N139" s="36"/>
    </row>
    <row r="140" spans="1:16" s="2" customFormat="1" x14ac:dyDescent="0.25">
      <c r="A140" s="76">
        <v>5</v>
      </c>
      <c r="B140" s="76"/>
      <c r="C140" s="19" t="s">
        <v>195</v>
      </c>
      <c r="D140" s="19">
        <f>(52.03)*10.764</f>
        <v>560.05092000000002</v>
      </c>
      <c r="E140" s="19">
        <v>0</v>
      </c>
      <c r="F140" s="19">
        <f t="shared" si="15"/>
        <v>896.08147200000008</v>
      </c>
      <c r="G140" s="76" t="str">
        <f t="shared" si="16"/>
        <v>8th, 15th &amp; 22nd Floor (Part Refuge Area)</v>
      </c>
      <c r="H140" s="76"/>
      <c r="I140" s="36"/>
      <c r="N140" s="36"/>
    </row>
    <row r="141" spans="1:16" s="2" customFormat="1" x14ac:dyDescent="0.25">
      <c r="A141" s="76">
        <v>6</v>
      </c>
      <c r="B141" s="76"/>
      <c r="C141" s="19" t="s">
        <v>195</v>
      </c>
      <c r="D141" s="59">
        <f>(49.7)*10.764</f>
        <v>534.97080000000005</v>
      </c>
      <c r="E141" s="19">
        <v>0</v>
      </c>
      <c r="F141" s="19">
        <f t="shared" si="15"/>
        <v>855.95328000000018</v>
      </c>
      <c r="G141" s="76" t="str">
        <f t="shared" si="16"/>
        <v>8th, 15th &amp; 22nd Floor (Part Refuge Area)</v>
      </c>
      <c r="H141" s="76"/>
      <c r="I141" s="36"/>
      <c r="N141" s="36"/>
    </row>
    <row r="142" spans="1:16" s="2" customFormat="1" x14ac:dyDescent="0.25">
      <c r="A142" s="76">
        <v>7</v>
      </c>
      <c r="B142" s="76"/>
      <c r="C142" s="19" t="s">
        <v>195</v>
      </c>
      <c r="D142" s="19">
        <f>(49.7)*10.764</f>
        <v>534.97080000000005</v>
      </c>
      <c r="E142" s="19">
        <v>0</v>
      </c>
      <c r="F142" s="19">
        <f t="shared" si="15"/>
        <v>855.95328000000018</v>
      </c>
      <c r="G142" s="76" t="str">
        <f t="shared" si="16"/>
        <v>8th, 15th &amp; 22nd Floor (Part Refuge Area)</v>
      </c>
      <c r="H142" s="76"/>
      <c r="I142" s="36"/>
      <c r="N142" s="36"/>
    </row>
    <row r="143" spans="1:16" s="2" customFormat="1" x14ac:dyDescent="0.25">
      <c r="A143" s="76">
        <v>8</v>
      </c>
      <c r="B143" s="76"/>
      <c r="C143" s="19" t="s">
        <v>195</v>
      </c>
      <c r="D143" s="19">
        <f>(51.78)*10.764</f>
        <v>557.35991999999999</v>
      </c>
      <c r="E143" s="19">
        <v>0</v>
      </c>
      <c r="F143" s="19">
        <f t="shared" si="15"/>
        <v>891.77587200000005</v>
      </c>
      <c r="G143" s="76" t="str">
        <f t="shared" si="16"/>
        <v>8th, 15th &amp; 22nd Floor (Part Refuge Area)</v>
      </c>
      <c r="H143" s="76"/>
      <c r="I143" s="36"/>
      <c r="N143" s="36"/>
    </row>
    <row r="144" spans="1:16" s="2" customFormat="1" x14ac:dyDescent="0.25">
      <c r="A144" s="76">
        <v>9</v>
      </c>
      <c r="B144" s="76"/>
      <c r="C144" s="19" t="s">
        <v>196</v>
      </c>
      <c r="D144" s="19">
        <f>(32.69)*10.764</f>
        <v>351.87515999999994</v>
      </c>
      <c r="E144" s="19">
        <v>0</v>
      </c>
      <c r="F144" s="19">
        <f t="shared" si="15"/>
        <v>563.00025599999992</v>
      </c>
      <c r="G144" s="76" t="str">
        <f t="shared" si="16"/>
        <v>8th, 15th &amp; 22nd Floor (Part Refuge Area)</v>
      </c>
      <c r="H144" s="76"/>
      <c r="I144" s="36"/>
      <c r="N144" s="36"/>
    </row>
    <row r="145" spans="1:14" s="2" customFormat="1" x14ac:dyDescent="0.25">
      <c r="A145" s="76">
        <v>10</v>
      </c>
      <c r="B145" s="76"/>
      <c r="C145" s="19" t="s">
        <v>196</v>
      </c>
      <c r="D145" s="19">
        <f>(32.69)*10.764</f>
        <v>351.87515999999994</v>
      </c>
      <c r="E145" s="19">
        <v>0</v>
      </c>
      <c r="F145" s="19">
        <f t="shared" si="15"/>
        <v>563.00025599999992</v>
      </c>
      <c r="G145" s="76" t="str">
        <f t="shared" si="16"/>
        <v>8th, 15th &amp; 22nd Floor (Part Refuge Area)</v>
      </c>
      <c r="H145" s="76"/>
      <c r="I145" s="36"/>
      <c r="N145" s="36"/>
    </row>
    <row r="146" spans="1:14" s="2" customFormat="1" x14ac:dyDescent="0.25">
      <c r="A146" s="76">
        <v>11</v>
      </c>
      <c r="B146" s="76"/>
      <c r="C146" s="19" t="s">
        <v>196</v>
      </c>
      <c r="D146" s="19">
        <f>(37.68)*10.764</f>
        <v>405.58751999999998</v>
      </c>
      <c r="E146" s="19">
        <v>0</v>
      </c>
      <c r="F146" s="19">
        <f t="shared" si="15"/>
        <v>648.94003199999997</v>
      </c>
      <c r="G146" s="76" t="str">
        <f t="shared" si="16"/>
        <v>8th, 15th &amp; 22nd Floor (Part Refuge Area)</v>
      </c>
      <c r="H146" s="76"/>
      <c r="I146" s="36"/>
      <c r="N146" s="36"/>
    </row>
    <row r="147" spans="1:14" s="2" customFormat="1" x14ac:dyDescent="0.25">
      <c r="A147" s="76">
        <v>12</v>
      </c>
      <c r="B147" s="76"/>
      <c r="C147" s="160" t="s">
        <v>197</v>
      </c>
      <c r="D147" s="161"/>
      <c r="E147" s="161"/>
      <c r="F147" s="162"/>
      <c r="G147" s="76" t="str">
        <f t="shared" si="16"/>
        <v>8th, 15th &amp; 22nd Floor (Part Refuge Area)</v>
      </c>
      <c r="H147" s="76"/>
      <c r="I147" s="36"/>
      <c r="N147" s="36"/>
    </row>
    <row r="148" spans="1:14" s="2" customFormat="1" x14ac:dyDescent="0.25">
      <c r="A148" s="115" t="s">
        <v>227</v>
      </c>
      <c r="B148" s="115"/>
      <c r="C148" s="115"/>
      <c r="D148" s="115"/>
      <c r="E148" s="115"/>
      <c r="F148" s="115"/>
      <c r="G148" s="115"/>
      <c r="H148" s="115"/>
      <c r="I148" s="36"/>
      <c r="L148" s="163"/>
      <c r="M148" s="163"/>
    </row>
    <row r="149" spans="1:14" s="2" customFormat="1" x14ac:dyDescent="0.25">
      <c r="A149" s="76">
        <v>2</v>
      </c>
      <c r="B149" s="76"/>
      <c r="C149" s="19" t="s">
        <v>196</v>
      </c>
      <c r="D149" s="19">
        <f>(37.64)*10.764</f>
        <v>405.15695999999997</v>
      </c>
      <c r="E149" s="19">
        <v>0</v>
      </c>
      <c r="F149" s="19">
        <f>D149*(($F$103)+1)+E149</f>
        <v>648.25113599999997</v>
      </c>
      <c r="G149" s="76" t="str">
        <f>A148</f>
        <v xml:space="preserve"> 29th Floor (Part Refuge Area)</v>
      </c>
      <c r="H149" s="76"/>
      <c r="I149" s="36"/>
      <c r="N149" s="36"/>
    </row>
    <row r="150" spans="1:14" s="2" customFormat="1" x14ac:dyDescent="0.25">
      <c r="A150" s="76">
        <v>3</v>
      </c>
      <c r="B150" s="76"/>
      <c r="C150" s="19" t="s">
        <v>196</v>
      </c>
      <c r="D150" s="19">
        <f>(32.69+1.2*2.9)*10.764</f>
        <v>389.33387999999991</v>
      </c>
      <c r="E150" s="19">
        <v>0</v>
      </c>
      <c r="F150" s="19">
        <f t="shared" ref="F150:F158" si="17">D150*(($F$103)+1)+E150</f>
        <v>622.9342079999999</v>
      </c>
      <c r="G150" s="76" t="str">
        <f t="shared" ref="G150:G159" si="18">G149</f>
        <v xml:space="preserve"> 29th Floor (Part Refuge Area)</v>
      </c>
      <c r="H150" s="76"/>
      <c r="I150" s="36">
        <f>(2.9*4.5+2.65*0.25+2.22*1.83+2.62*2.9+1.82*1.22+1.88*0.66+0.9*0.38+1.35*0.23+1.88*1.22)*10.764</f>
        <v>342.08422559999997</v>
      </c>
      <c r="N150" s="36"/>
    </row>
    <row r="151" spans="1:14" s="2" customFormat="1" x14ac:dyDescent="0.25">
      <c r="A151" s="76">
        <v>4</v>
      </c>
      <c r="B151" s="76"/>
      <c r="C151" s="19" t="s">
        <v>196</v>
      </c>
      <c r="D151" s="19">
        <f>(32.69+1.2*2.9)*10.764</f>
        <v>389.33387999999991</v>
      </c>
      <c r="E151" s="19">
        <v>0</v>
      </c>
      <c r="F151" s="19">
        <f t="shared" si="17"/>
        <v>622.9342079999999</v>
      </c>
      <c r="G151" s="76" t="str">
        <f t="shared" si="18"/>
        <v xml:space="preserve"> 29th Floor (Part Refuge Area)</v>
      </c>
      <c r="H151" s="76"/>
      <c r="I151" s="36"/>
      <c r="N151" s="36"/>
    </row>
    <row r="152" spans="1:14" s="2" customFormat="1" x14ac:dyDescent="0.25">
      <c r="A152" s="76">
        <v>5</v>
      </c>
      <c r="B152" s="76"/>
      <c r="C152" s="19" t="s">
        <v>195</v>
      </c>
      <c r="D152" s="19">
        <f>(52.07+1.4*3.05)*10.764</f>
        <v>606.44376</v>
      </c>
      <c r="E152" s="19">
        <v>0</v>
      </c>
      <c r="F152" s="19">
        <f t="shared" si="17"/>
        <v>970.31001600000002</v>
      </c>
      <c r="G152" s="76" t="str">
        <f t="shared" si="18"/>
        <v xml:space="preserve"> 29th Floor (Part Refuge Area)</v>
      </c>
      <c r="H152" s="76"/>
      <c r="I152" s="36"/>
      <c r="N152" s="36"/>
    </row>
    <row r="153" spans="1:14" s="2" customFormat="1" x14ac:dyDescent="0.25">
      <c r="A153" s="76">
        <v>6</v>
      </c>
      <c r="B153" s="76"/>
      <c r="C153" s="19" t="s">
        <v>195</v>
      </c>
      <c r="D153" s="59">
        <f>(49.7+1.4*3.05)*10.764</f>
        <v>580.9330799999999</v>
      </c>
      <c r="E153" s="19">
        <v>0</v>
      </c>
      <c r="F153" s="19">
        <f t="shared" si="17"/>
        <v>929.49292799999989</v>
      </c>
      <c r="G153" s="76" t="str">
        <f t="shared" si="18"/>
        <v xml:space="preserve"> 29th Floor (Part Refuge Area)</v>
      </c>
      <c r="H153" s="76"/>
      <c r="I153" s="36">
        <v>23200000</v>
      </c>
      <c r="J153" s="2">
        <f>I153/F154</f>
        <v>24959.845633166562</v>
      </c>
      <c r="N153" s="36"/>
    </row>
    <row r="154" spans="1:14" s="2" customFormat="1" x14ac:dyDescent="0.25">
      <c r="A154" s="76">
        <v>7</v>
      </c>
      <c r="B154" s="76"/>
      <c r="C154" s="19" t="s">
        <v>195</v>
      </c>
      <c r="D154" s="19">
        <f>(49.7+1.4*3.05)*10.764</f>
        <v>580.9330799999999</v>
      </c>
      <c r="E154" s="19">
        <v>0</v>
      </c>
      <c r="F154" s="19">
        <f t="shared" si="17"/>
        <v>929.49292799999989</v>
      </c>
      <c r="G154" s="76" t="str">
        <f t="shared" si="18"/>
        <v xml:space="preserve"> 29th Floor (Part Refuge Area)</v>
      </c>
      <c r="H154" s="76"/>
      <c r="I154" s="36"/>
      <c r="N154" s="36"/>
    </row>
    <row r="155" spans="1:14" s="2" customFormat="1" x14ac:dyDescent="0.25">
      <c r="A155" s="76">
        <v>8</v>
      </c>
      <c r="B155" s="76"/>
      <c r="C155" s="19" t="s">
        <v>195</v>
      </c>
      <c r="D155" s="19">
        <f>(51.91)*10.764</f>
        <v>558.75923999999998</v>
      </c>
      <c r="E155" s="19">
        <v>0</v>
      </c>
      <c r="F155" s="19">
        <f t="shared" si="17"/>
        <v>894.01478399999996</v>
      </c>
      <c r="G155" s="76" t="str">
        <f t="shared" si="18"/>
        <v xml:space="preserve"> 29th Floor (Part Refuge Area)</v>
      </c>
      <c r="H155" s="76"/>
      <c r="I155" s="36"/>
      <c r="N155" s="36"/>
    </row>
    <row r="156" spans="1:14" s="2" customFormat="1" x14ac:dyDescent="0.25">
      <c r="A156" s="76">
        <v>9</v>
      </c>
      <c r="B156" s="76"/>
      <c r="C156" s="19" t="s">
        <v>196</v>
      </c>
      <c r="D156" s="19">
        <f>(32.69+1.2*2.9)*10.764</f>
        <v>389.33387999999991</v>
      </c>
      <c r="E156" s="19">
        <v>0</v>
      </c>
      <c r="F156" s="19">
        <f t="shared" si="17"/>
        <v>622.9342079999999</v>
      </c>
      <c r="G156" s="76" t="str">
        <f t="shared" si="18"/>
        <v xml:space="preserve"> 29th Floor (Part Refuge Area)</v>
      </c>
      <c r="H156" s="76"/>
      <c r="I156" s="36"/>
      <c r="N156" s="36"/>
    </row>
    <row r="157" spans="1:14" s="2" customFormat="1" x14ac:dyDescent="0.25">
      <c r="A157" s="76">
        <v>10</v>
      </c>
      <c r="B157" s="76"/>
      <c r="C157" s="19" t="s">
        <v>196</v>
      </c>
      <c r="D157" s="19">
        <f>(32.69+1.2*2.9)*10.764</f>
        <v>389.33387999999991</v>
      </c>
      <c r="E157" s="19">
        <v>0</v>
      </c>
      <c r="F157" s="19">
        <f t="shared" si="17"/>
        <v>622.9342079999999</v>
      </c>
      <c r="G157" s="76" t="str">
        <f t="shared" si="18"/>
        <v xml:space="preserve"> 29th Floor (Part Refuge Area)</v>
      </c>
      <c r="H157" s="76"/>
      <c r="I157" s="36"/>
      <c r="N157" s="36"/>
    </row>
    <row r="158" spans="1:14" s="2" customFormat="1" x14ac:dyDescent="0.25">
      <c r="A158" s="76">
        <v>11</v>
      </c>
      <c r="B158" s="76"/>
      <c r="C158" s="19" t="s">
        <v>196</v>
      </c>
      <c r="D158" s="19">
        <f>(37.69)*10.764</f>
        <v>405.69515999999993</v>
      </c>
      <c r="E158" s="19">
        <v>0</v>
      </c>
      <c r="F158" s="19">
        <f t="shared" si="17"/>
        <v>649.11225599999989</v>
      </c>
      <c r="G158" s="76" t="str">
        <f t="shared" si="18"/>
        <v xml:space="preserve"> 29th Floor (Part Refuge Area)</v>
      </c>
      <c r="H158" s="76"/>
      <c r="I158" s="36"/>
      <c r="N158" s="36"/>
    </row>
    <row r="159" spans="1:14" s="2" customFormat="1" x14ac:dyDescent="0.25">
      <c r="A159" s="76">
        <v>12</v>
      </c>
      <c r="B159" s="76"/>
      <c r="C159" s="160" t="s">
        <v>197</v>
      </c>
      <c r="D159" s="161"/>
      <c r="E159" s="161"/>
      <c r="F159" s="162"/>
      <c r="G159" s="76" t="str">
        <f t="shared" si="18"/>
        <v xml:space="preserve"> 29th Floor (Part Refuge Area)</v>
      </c>
      <c r="H159" s="76"/>
      <c r="I159" s="36"/>
      <c r="N159" s="36"/>
    </row>
    <row r="160" spans="1:14" s="2" customFormat="1" x14ac:dyDescent="0.25">
      <c r="A160" s="115" t="s">
        <v>201</v>
      </c>
      <c r="B160" s="115"/>
      <c r="C160" s="115"/>
      <c r="D160" s="115"/>
      <c r="E160" s="115"/>
      <c r="F160" s="115"/>
      <c r="G160" s="115"/>
      <c r="H160" s="115"/>
      <c r="I160" s="36"/>
      <c r="L160" s="163"/>
      <c r="M160" s="163"/>
    </row>
    <row r="161" spans="1:14" s="2" customFormat="1" x14ac:dyDescent="0.25">
      <c r="A161" s="76">
        <v>1</v>
      </c>
      <c r="B161" s="76"/>
      <c r="C161" s="19" t="s">
        <v>195</v>
      </c>
      <c r="D161" s="19">
        <f>(49.98+1.4*3.05)*10.764</f>
        <v>583.947</v>
      </c>
      <c r="E161" s="19">
        <v>0</v>
      </c>
      <c r="F161" s="19">
        <f>D161*(($F$103)+1)+E161</f>
        <v>934.3152</v>
      </c>
      <c r="G161" s="76" t="str">
        <f>A160</f>
        <v xml:space="preserve">28th &amp; 30th to 35th Floor </v>
      </c>
      <c r="H161" s="76"/>
      <c r="I161" s="36"/>
      <c r="N161" s="36"/>
    </row>
    <row r="162" spans="1:14" s="2" customFormat="1" x14ac:dyDescent="0.25">
      <c r="A162" s="76">
        <v>2</v>
      </c>
      <c r="B162" s="76"/>
      <c r="C162" s="19" t="s">
        <v>195</v>
      </c>
      <c r="D162" s="19">
        <f>(51.76)*10.764</f>
        <v>557.14463999999998</v>
      </c>
      <c r="E162" s="19">
        <v>0</v>
      </c>
      <c r="F162" s="19">
        <f>D162*(($F$103)+1)+E162</f>
        <v>891.43142399999999</v>
      </c>
      <c r="G162" s="76" t="str">
        <f>A160</f>
        <v xml:space="preserve">28th &amp; 30th to 35th Floor </v>
      </c>
      <c r="H162" s="76"/>
      <c r="I162" s="36"/>
      <c r="N162" s="36"/>
    </row>
    <row r="163" spans="1:14" s="2" customFormat="1" x14ac:dyDescent="0.25">
      <c r="A163" s="76">
        <v>3</v>
      </c>
      <c r="B163" s="76"/>
      <c r="C163" s="19" t="s">
        <v>196</v>
      </c>
      <c r="D163" s="19">
        <f>(32.69+1.4*2.9)*10.764</f>
        <v>395.577</v>
      </c>
      <c r="E163" s="19">
        <v>0</v>
      </c>
      <c r="F163" s="19">
        <f t="shared" ref="F163:F172" si="19">D163*(($F$103)+1)+E163</f>
        <v>632.92320000000007</v>
      </c>
      <c r="G163" s="76" t="str">
        <f>G161</f>
        <v xml:space="preserve">28th &amp; 30th to 35th Floor </v>
      </c>
      <c r="H163" s="76"/>
      <c r="I163" s="36">
        <f>(2.9*4.5+2.65*0.25+2.22*1.83+2.62*2.9+1.82*1.22+1.88*0.66+0.9*0.38+1.35*0.23+1.88*1.22)*10.764</f>
        <v>342.08422559999997</v>
      </c>
      <c r="N163" s="36"/>
    </row>
    <row r="164" spans="1:14" s="2" customFormat="1" x14ac:dyDescent="0.25">
      <c r="A164" s="76">
        <v>4</v>
      </c>
      <c r="B164" s="76"/>
      <c r="C164" s="19" t="s">
        <v>196</v>
      </c>
      <c r="D164" s="19">
        <f>(32.69+1.4*2.9)*10.764</f>
        <v>395.577</v>
      </c>
      <c r="E164" s="19">
        <v>0</v>
      </c>
      <c r="F164" s="19">
        <f t="shared" si="19"/>
        <v>632.92320000000007</v>
      </c>
      <c r="G164" s="76" t="str">
        <f t="shared" ref="G164:G172" si="20">G163</f>
        <v xml:space="preserve">28th &amp; 30th to 35th Floor </v>
      </c>
      <c r="H164" s="76"/>
      <c r="I164" s="36"/>
      <c r="N164" s="36"/>
    </row>
    <row r="165" spans="1:14" s="2" customFormat="1" x14ac:dyDescent="0.25">
      <c r="A165" s="76">
        <v>5</v>
      </c>
      <c r="B165" s="76"/>
      <c r="C165" s="19" t="s">
        <v>195</v>
      </c>
      <c r="D165" s="19">
        <f>(51.17)*10.764</f>
        <v>550.79387999999994</v>
      </c>
      <c r="E165" s="19">
        <v>0</v>
      </c>
      <c r="F165" s="19">
        <f t="shared" si="19"/>
        <v>881.27020799999991</v>
      </c>
      <c r="G165" s="76" t="str">
        <f t="shared" si="20"/>
        <v xml:space="preserve">28th &amp; 30th to 35th Floor </v>
      </c>
      <c r="H165" s="76"/>
      <c r="I165" s="36"/>
      <c r="N165" s="36"/>
    </row>
    <row r="166" spans="1:14" s="2" customFormat="1" x14ac:dyDescent="0.25">
      <c r="A166" s="76">
        <v>6</v>
      </c>
      <c r="B166" s="76"/>
      <c r="C166" s="19" t="s">
        <v>195</v>
      </c>
      <c r="D166" s="59">
        <f>(49.7+1.4*3.05)*10.764</f>
        <v>580.9330799999999</v>
      </c>
      <c r="E166" s="19">
        <v>0</v>
      </c>
      <c r="F166" s="19">
        <f t="shared" si="19"/>
        <v>929.49292799999989</v>
      </c>
      <c r="G166" s="76" t="str">
        <f t="shared" si="20"/>
        <v xml:space="preserve">28th &amp; 30th to 35th Floor </v>
      </c>
      <c r="H166" s="76"/>
      <c r="I166" s="36"/>
      <c r="N166" s="36"/>
    </row>
    <row r="167" spans="1:14" s="2" customFormat="1" x14ac:dyDescent="0.25">
      <c r="A167" s="76">
        <v>7</v>
      </c>
      <c r="B167" s="76"/>
      <c r="C167" s="19" t="s">
        <v>195</v>
      </c>
      <c r="D167" s="19">
        <f>(49.7+1.4*3.05)*10.764</f>
        <v>580.9330799999999</v>
      </c>
      <c r="E167" s="19">
        <v>0</v>
      </c>
      <c r="F167" s="19">
        <f t="shared" si="19"/>
        <v>929.49292799999989</v>
      </c>
      <c r="G167" s="76" t="str">
        <f t="shared" si="20"/>
        <v xml:space="preserve">28th &amp; 30th to 35th Floor </v>
      </c>
      <c r="H167" s="76"/>
      <c r="I167" s="36"/>
      <c r="N167" s="36"/>
    </row>
    <row r="168" spans="1:14" s="2" customFormat="1" x14ac:dyDescent="0.25">
      <c r="A168" s="76">
        <v>8</v>
      </c>
      <c r="B168" s="76"/>
      <c r="C168" s="19" t="s">
        <v>195</v>
      </c>
      <c r="D168" s="19">
        <f>(51.91)*10.764</f>
        <v>558.75923999999998</v>
      </c>
      <c r="E168" s="19">
        <v>0</v>
      </c>
      <c r="F168" s="19">
        <f t="shared" si="19"/>
        <v>894.01478399999996</v>
      </c>
      <c r="G168" s="76" t="str">
        <f t="shared" si="20"/>
        <v xml:space="preserve">28th &amp; 30th to 35th Floor </v>
      </c>
      <c r="H168" s="76"/>
      <c r="I168" s="36"/>
      <c r="N168" s="36"/>
    </row>
    <row r="169" spans="1:14" s="2" customFormat="1" x14ac:dyDescent="0.25">
      <c r="A169" s="76">
        <v>9</v>
      </c>
      <c r="B169" s="76"/>
      <c r="C169" s="19" t="s">
        <v>196</v>
      </c>
      <c r="D169" s="19">
        <f>(32.69+1.4*2.9)*10.764</f>
        <v>395.577</v>
      </c>
      <c r="E169" s="19">
        <v>0</v>
      </c>
      <c r="F169" s="19">
        <f t="shared" si="19"/>
        <v>632.92320000000007</v>
      </c>
      <c r="G169" s="76" t="str">
        <f t="shared" si="20"/>
        <v xml:space="preserve">28th &amp; 30th to 35th Floor </v>
      </c>
      <c r="H169" s="76"/>
      <c r="I169" s="36"/>
      <c r="N169" s="36"/>
    </row>
    <row r="170" spans="1:14" s="2" customFormat="1" x14ac:dyDescent="0.25">
      <c r="A170" s="76">
        <v>10</v>
      </c>
      <c r="B170" s="76"/>
      <c r="C170" s="19" t="s">
        <v>196</v>
      </c>
      <c r="D170" s="19">
        <f>(32.69+1.4*2.9)*10.764</f>
        <v>395.577</v>
      </c>
      <c r="E170" s="19">
        <v>0</v>
      </c>
      <c r="F170" s="19">
        <f t="shared" si="19"/>
        <v>632.92320000000007</v>
      </c>
      <c r="G170" s="76" t="str">
        <f t="shared" si="20"/>
        <v xml:space="preserve">28th &amp; 30th to 35th Floor </v>
      </c>
      <c r="H170" s="76"/>
      <c r="I170" s="36"/>
      <c r="N170" s="36"/>
    </row>
    <row r="171" spans="1:14" s="2" customFormat="1" x14ac:dyDescent="0.25">
      <c r="A171" s="76">
        <v>11</v>
      </c>
      <c r="B171" s="76"/>
      <c r="C171" s="19" t="s">
        <v>195</v>
      </c>
      <c r="D171" s="19">
        <f>(37.69)*10.764</f>
        <v>405.69515999999993</v>
      </c>
      <c r="E171" s="19">
        <v>0</v>
      </c>
      <c r="F171" s="19">
        <f t="shared" si="19"/>
        <v>649.11225599999989</v>
      </c>
      <c r="G171" s="76" t="str">
        <f t="shared" si="20"/>
        <v xml:space="preserve">28th &amp; 30th to 35th Floor </v>
      </c>
      <c r="H171" s="76"/>
      <c r="I171" s="36"/>
      <c r="N171" s="36"/>
    </row>
    <row r="172" spans="1:14" s="2" customFormat="1" x14ac:dyDescent="0.25">
      <c r="A172" s="76">
        <v>12</v>
      </c>
      <c r="B172" s="76"/>
      <c r="C172" s="19" t="s">
        <v>195</v>
      </c>
      <c r="D172" s="19">
        <f>(49.97+1.4*3.05)*10.764</f>
        <v>583.83935999999994</v>
      </c>
      <c r="E172" s="19">
        <v>0</v>
      </c>
      <c r="F172" s="19">
        <f t="shared" si="19"/>
        <v>934.14297599999998</v>
      </c>
      <c r="G172" s="76" t="str">
        <f t="shared" si="20"/>
        <v xml:space="preserve">28th &amp; 30th to 35th Floor </v>
      </c>
      <c r="H172" s="76"/>
      <c r="I172" s="36"/>
      <c r="N172" s="36"/>
    </row>
    <row r="173" spans="1:14" s="1" customFormat="1" x14ac:dyDescent="0.25">
      <c r="A173" s="118" t="s">
        <v>78</v>
      </c>
      <c r="B173" s="118"/>
      <c r="C173" s="118"/>
      <c r="D173" s="118"/>
      <c r="E173" s="118"/>
      <c r="F173" s="118"/>
      <c r="G173" s="118"/>
      <c r="H173" s="118"/>
    </row>
    <row r="174" spans="1:14" s="1" customFormat="1" x14ac:dyDescent="0.25">
      <c r="A174" s="58">
        <v>1</v>
      </c>
      <c r="B174" s="62" t="s">
        <v>238</v>
      </c>
      <c r="C174" s="63"/>
      <c r="D174" s="63"/>
      <c r="E174" s="63"/>
      <c r="F174" s="63"/>
      <c r="G174" s="63"/>
      <c r="H174" s="64"/>
    </row>
    <row r="175" spans="1:14" s="1" customFormat="1" x14ac:dyDescent="0.25">
      <c r="A175" s="58">
        <f>A174+1</f>
        <v>2</v>
      </c>
      <c r="B175" s="62" t="s">
        <v>225</v>
      </c>
      <c r="C175" s="63"/>
      <c r="D175" s="63"/>
      <c r="E175" s="63"/>
      <c r="F175" s="63"/>
      <c r="G175" s="63"/>
      <c r="H175" s="64"/>
    </row>
    <row r="176" spans="1:14" s="1" customFormat="1" x14ac:dyDescent="0.25">
      <c r="A176" s="58">
        <f t="shared" ref="A176:A180" si="21">A175+1</f>
        <v>3</v>
      </c>
      <c r="B176" s="62" t="s">
        <v>163</v>
      </c>
      <c r="C176" s="63"/>
      <c r="D176" s="63"/>
      <c r="E176" s="63"/>
      <c r="F176" s="63"/>
      <c r="G176" s="63"/>
      <c r="H176" s="64"/>
    </row>
    <row r="177" spans="1:10" s="1" customFormat="1" x14ac:dyDescent="0.25">
      <c r="A177" s="58">
        <f t="shared" si="21"/>
        <v>4</v>
      </c>
      <c r="B177" s="62" t="s">
        <v>226</v>
      </c>
      <c r="C177" s="63"/>
      <c r="D177" s="63"/>
      <c r="E177" s="63"/>
      <c r="F177" s="63"/>
      <c r="G177" s="63"/>
      <c r="H177" s="64"/>
    </row>
    <row r="178" spans="1:10" s="1" customFormat="1" x14ac:dyDescent="0.25">
      <c r="A178" s="58">
        <f t="shared" si="21"/>
        <v>5</v>
      </c>
      <c r="B178" s="62" t="s">
        <v>164</v>
      </c>
      <c r="C178" s="63"/>
      <c r="D178" s="63"/>
      <c r="E178" s="63"/>
      <c r="F178" s="63"/>
      <c r="G178" s="63"/>
      <c r="H178" s="64"/>
    </row>
    <row r="179" spans="1:10" s="1" customFormat="1" x14ac:dyDescent="0.25">
      <c r="A179" s="58">
        <f t="shared" si="21"/>
        <v>6</v>
      </c>
      <c r="B179" s="62" t="s">
        <v>165</v>
      </c>
      <c r="C179" s="63"/>
      <c r="D179" s="63"/>
      <c r="E179" s="63"/>
      <c r="F179" s="63"/>
      <c r="G179" s="63"/>
      <c r="H179" s="64"/>
    </row>
    <row r="180" spans="1:10" s="1" customFormat="1" hidden="1" x14ac:dyDescent="0.25">
      <c r="A180" s="58">
        <f t="shared" si="21"/>
        <v>7</v>
      </c>
      <c r="B180" s="62" t="s">
        <v>231</v>
      </c>
      <c r="C180" s="63"/>
      <c r="D180" s="63"/>
      <c r="E180" s="63"/>
      <c r="F180" s="63"/>
      <c r="G180" s="63"/>
      <c r="H180" s="64"/>
    </row>
    <row r="181" spans="1:10" s="1" customFormat="1" x14ac:dyDescent="0.25">
      <c r="A181" s="58">
        <v>7</v>
      </c>
      <c r="B181" s="62" t="s">
        <v>234</v>
      </c>
      <c r="C181" s="63"/>
      <c r="D181" s="63"/>
      <c r="E181" s="63"/>
      <c r="F181" s="63"/>
      <c r="G181" s="63"/>
      <c r="H181" s="64"/>
    </row>
    <row r="182" spans="1:10" s="1" customFormat="1" x14ac:dyDescent="0.25">
      <c r="A182" s="58">
        <v>8</v>
      </c>
      <c r="B182" s="62" t="s">
        <v>237</v>
      </c>
      <c r="C182" s="63"/>
      <c r="D182" s="63"/>
      <c r="E182" s="63"/>
      <c r="F182" s="63"/>
      <c r="G182" s="63"/>
      <c r="H182" s="64"/>
    </row>
    <row r="183" spans="1:10" s="1" customFormat="1" x14ac:dyDescent="0.25">
      <c r="A183" s="58">
        <v>9</v>
      </c>
      <c r="B183" s="62" t="s">
        <v>244</v>
      </c>
      <c r="C183" s="63"/>
      <c r="D183" s="63"/>
      <c r="E183" s="63"/>
      <c r="F183" s="63"/>
      <c r="G183" s="63"/>
      <c r="H183" s="64"/>
    </row>
    <row r="184" spans="1:10" s="1" customFormat="1" x14ac:dyDescent="0.25">
      <c r="A184" s="58">
        <v>10</v>
      </c>
      <c r="B184" s="62" t="s">
        <v>246</v>
      </c>
      <c r="C184" s="63"/>
      <c r="D184" s="63"/>
      <c r="E184" s="63"/>
      <c r="F184" s="63"/>
      <c r="G184" s="63"/>
      <c r="H184" s="64"/>
    </row>
    <row r="185" spans="1:10" s="1" customFormat="1" x14ac:dyDescent="0.25">
      <c r="A185" s="58">
        <v>10</v>
      </c>
      <c r="B185" s="62" t="s">
        <v>247</v>
      </c>
      <c r="C185" s="63"/>
      <c r="D185" s="63"/>
      <c r="E185" s="63"/>
      <c r="F185" s="63"/>
      <c r="G185" s="63"/>
      <c r="H185" s="64"/>
    </row>
    <row r="186" spans="1:10" x14ac:dyDescent="0.25">
      <c r="A186" s="102" t="s">
        <v>71</v>
      </c>
      <c r="B186" s="102"/>
      <c r="C186" s="102"/>
      <c r="D186" s="102"/>
      <c r="E186" s="102"/>
      <c r="F186" s="102"/>
      <c r="G186" s="102"/>
      <c r="H186" s="102"/>
    </row>
    <row r="187" spans="1:10" ht="16.5" customHeight="1" x14ac:dyDescent="0.25">
      <c r="A187" s="75" t="s">
        <v>72</v>
      </c>
      <c r="B187" s="75"/>
      <c r="C187" s="75"/>
      <c r="D187" s="75"/>
      <c r="E187" s="75"/>
      <c r="F187" s="75"/>
      <c r="G187" s="75"/>
      <c r="H187" s="75"/>
      <c r="J187" s="60" t="s">
        <v>239</v>
      </c>
    </row>
    <row r="188" spans="1:10" ht="15.75" customHeight="1" x14ac:dyDescent="0.25">
      <c r="A188" s="77" t="s">
        <v>73</v>
      </c>
      <c r="B188" s="77"/>
      <c r="C188" s="77"/>
      <c r="D188" s="77"/>
      <c r="E188" s="77"/>
      <c r="F188" s="77"/>
      <c r="G188" s="77"/>
      <c r="H188" s="77"/>
    </row>
    <row r="189" spans="1:10" x14ac:dyDescent="0.25">
      <c r="A189" s="75" t="s">
        <v>74</v>
      </c>
      <c r="B189" s="75"/>
      <c r="C189" s="75"/>
      <c r="D189" s="75"/>
      <c r="E189" s="75"/>
      <c r="F189" s="75"/>
      <c r="G189" s="75"/>
      <c r="H189" s="75"/>
    </row>
    <row r="190" spans="1:10" x14ac:dyDescent="0.25">
      <c r="A190" s="75" t="s">
        <v>75</v>
      </c>
      <c r="B190" s="75"/>
      <c r="C190" s="75"/>
      <c r="D190" s="75"/>
      <c r="E190" s="75"/>
      <c r="F190" s="75"/>
      <c r="G190" s="75"/>
      <c r="H190" s="75"/>
    </row>
    <row r="191" spans="1:10" x14ac:dyDescent="0.25">
      <c r="A191" s="75" t="s">
        <v>166</v>
      </c>
      <c r="B191" s="75"/>
      <c r="C191" s="75"/>
      <c r="D191" s="75"/>
      <c r="E191" s="75"/>
      <c r="F191" s="75"/>
      <c r="G191" s="75"/>
      <c r="H191" s="75"/>
    </row>
    <row r="192" spans="1:10" ht="35.25" hidden="1" customHeight="1" x14ac:dyDescent="0.25">
      <c r="A192" s="103" t="s">
        <v>167</v>
      </c>
      <c r="B192" s="103"/>
      <c r="C192" s="103"/>
      <c r="D192" s="103"/>
      <c r="E192" s="103"/>
      <c r="F192" s="103"/>
      <c r="G192" s="103"/>
      <c r="H192" s="103"/>
    </row>
    <row r="193" spans="1:8" x14ac:dyDescent="0.25">
      <c r="A193" s="114" t="s">
        <v>110</v>
      </c>
      <c r="B193" s="114"/>
      <c r="C193" s="114" t="s">
        <v>228</v>
      </c>
      <c r="D193" s="114"/>
      <c r="E193" s="114" t="s">
        <v>143</v>
      </c>
      <c r="F193" s="114"/>
      <c r="G193" s="114" t="s">
        <v>249</v>
      </c>
      <c r="H193" s="114"/>
    </row>
    <row r="194" spans="1:8" x14ac:dyDescent="0.25">
      <c r="A194" s="113" t="s">
        <v>112</v>
      </c>
      <c r="B194" s="113"/>
      <c r="C194" s="113"/>
      <c r="D194" s="113"/>
      <c r="E194" s="113"/>
      <c r="F194" s="113"/>
      <c r="G194" s="113"/>
      <c r="H194" s="113"/>
    </row>
    <row r="195" spans="1:8" x14ac:dyDescent="0.25">
      <c r="A195" s="113"/>
      <c r="B195" s="113"/>
      <c r="C195" s="113"/>
      <c r="D195" s="113"/>
      <c r="E195" s="113"/>
      <c r="F195" s="113"/>
      <c r="G195" s="113"/>
      <c r="H195" s="113"/>
    </row>
    <row r="196" spans="1:8" x14ac:dyDescent="0.25">
      <c r="A196" s="113"/>
      <c r="B196" s="113"/>
      <c r="C196" s="113"/>
      <c r="D196" s="113"/>
      <c r="E196" s="113"/>
      <c r="F196" s="113"/>
      <c r="G196" s="113"/>
      <c r="H196" s="113"/>
    </row>
    <row r="197" spans="1:8" x14ac:dyDescent="0.25">
      <c r="A197" s="113"/>
      <c r="B197" s="113"/>
      <c r="C197" s="113"/>
      <c r="D197" s="113"/>
      <c r="E197" s="113"/>
      <c r="F197" s="113"/>
      <c r="G197" s="113"/>
      <c r="H197" s="113"/>
    </row>
    <row r="198" spans="1:8" x14ac:dyDescent="0.25">
      <c r="A198" s="14" t="s">
        <v>76</v>
      </c>
      <c r="B198" s="15"/>
      <c r="C198" s="15"/>
      <c r="D198" s="14" t="str">
        <f>E8</f>
        <v>Midtown Bay</v>
      </c>
      <c r="F198" s="15"/>
      <c r="G198" s="15"/>
      <c r="H198" s="15"/>
    </row>
    <row r="199" spans="1:8" x14ac:dyDescent="0.25">
      <c r="A199" s="15"/>
      <c r="B199" s="15"/>
      <c r="C199" s="15"/>
      <c r="D199" s="15"/>
      <c r="E199" s="15"/>
      <c r="F199" s="15"/>
      <c r="G199" s="15"/>
      <c r="H199" s="15"/>
    </row>
    <row r="200" spans="1:8" x14ac:dyDescent="0.25">
      <c r="A200" s="15"/>
      <c r="B200" s="15"/>
      <c r="C200" s="15"/>
      <c r="D200" s="15"/>
      <c r="E200" s="15"/>
      <c r="F200" s="15"/>
      <c r="G200" s="15"/>
      <c r="H200" s="15"/>
    </row>
    <row r="201" spans="1:8" ht="15" customHeight="1" x14ac:dyDescent="0.25"/>
    <row r="241" spans="1:1" x14ac:dyDescent="0.25">
      <c r="A241" s="17" t="s">
        <v>77</v>
      </c>
    </row>
  </sheetData>
  <mergeCells count="352">
    <mergeCell ref="B181:H181"/>
    <mergeCell ref="A162:B162"/>
    <mergeCell ref="G162:H162"/>
    <mergeCell ref="C50:H50"/>
    <mergeCell ref="A168:B168"/>
    <mergeCell ref="G168:H168"/>
    <mergeCell ref="A169:B169"/>
    <mergeCell ref="G169:H169"/>
    <mergeCell ref="A170:B170"/>
    <mergeCell ref="G170:H170"/>
    <mergeCell ref="A158:B158"/>
    <mergeCell ref="G158:H158"/>
    <mergeCell ref="A159:B159"/>
    <mergeCell ref="C159:F159"/>
    <mergeCell ref="G159:H159"/>
    <mergeCell ref="A160:H160"/>
    <mergeCell ref="A148:H148"/>
    <mergeCell ref="A141:B141"/>
    <mergeCell ref="G141:H141"/>
    <mergeCell ref="A142:B142"/>
    <mergeCell ref="G142:H142"/>
    <mergeCell ref="A146:B146"/>
    <mergeCell ref="G146:H146"/>
    <mergeCell ref="A147:B147"/>
    <mergeCell ref="C147:F147"/>
    <mergeCell ref="A171:B171"/>
    <mergeCell ref="G171:H171"/>
    <mergeCell ref="A172:B172"/>
    <mergeCell ref="G172:H172"/>
    <mergeCell ref="A163:B163"/>
    <mergeCell ref="G163:H163"/>
    <mergeCell ref="A164:B164"/>
    <mergeCell ref="G164:H164"/>
    <mergeCell ref="A165:B165"/>
    <mergeCell ref="G165:H165"/>
    <mergeCell ref="A166:B166"/>
    <mergeCell ref="G166:H166"/>
    <mergeCell ref="A167:B167"/>
    <mergeCell ref="G167:H167"/>
    <mergeCell ref="L160:M160"/>
    <mergeCell ref="A161:B161"/>
    <mergeCell ref="G161:H161"/>
    <mergeCell ref="A153:B153"/>
    <mergeCell ref="G153:H153"/>
    <mergeCell ref="A154:B154"/>
    <mergeCell ref="G154:H154"/>
    <mergeCell ref="A155:B155"/>
    <mergeCell ref="G155:H155"/>
    <mergeCell ref="A156:B156"/>
    <mergeCell ref="G156:H156"/>
    <mergeCell ref="A157:B157"/>
    <mergeCell ref="G157:H157"/>
    <mergeCell ref="L148:M148"/>
    <mergeCell ref="A149:B149"/>
    <mergeCell ref="G149:H149"/>
    <mergeCell ref="A150:B150"/>
    <mergeCell ref="G150:H150"/>
    <mergeCell ref="A151:B151"/>
    <mergeCell ref="G151:H151"/>
    <mergeCell ref="A152:B152"/>
    <mergeCell ref="G152:H152"/>
    <mergeCell ref="G138:H138"/>
    <mergeCell ref="G147:H147"/>
    <mergeCell ref="A135:B135"/>
    <mergeCell ref="A105:H105"/>
    <mergeCell ref="A136:H136"/>
    <mergeCell ref="L136:M136"/>
    <mergeCell ref="A139:B139"/>
    <mergeCell ref="G139:H139"/>
    <mergeCell ref="A140:B140"/>
    <mergeCell ref="G140:H140"/>
    <mergeCell ref="A130:B130"/>
    <mergeCell ref="A131:B131"/>
    <mergeCell ref="A132:B132"/>
    <mergeCell ref="A133:B133"/>
    <mergeCell ref="A134:B134"/>
    <mergeCell ref="A118:B118"/>
    <mergeCell ref="G145:H145"/>
    <mergeCell ref="G144:H144"/>
    <mergeCell ref="A143:B143"/>
    <mergeCell ref="A144:B144"/>
    <mergeCell ref="L111:M111"/>
    <mergeCell ref="A127:B127"/>
    <mergeCell ref="A128:B128"/>
    <mergeCell ref="A109:H109"/>
    <mergeCell ref="G118:H118"/>
    <mergeCell ref="A119:B119"/>
    <mergeCell ref="G119:H119"/>
    <mergeCell ref="F92:H92"/>
    <mergeCell ref="G113:H113"/>
    <mergeCell ref="G112:H112"/>
    <mergeCell ref="A101:H101"/>
    <mergeCell ref="A102:A103"/>
    <mergeCell ref="A113:B113"/>
    <mergeCell ref="G116:H116"/>
    <mergeCell ref="G117:H117"/>
    <mergeCell ref="A104:H104"/>
    <mergeCell ref="A106:H106"/>
    <mergeCell ref="A107:H107"/>
    <mergeCell ref="A108:H108"/>
    <mergeCell ref="B179:H179"/>
    <mergeCell ref="B180:H180"/>
    <mergeCell ref="B174:H174"/>
    <mergeCell ref="B175:H175"/>
    <mergeCell ref="B176:H176"/>
    <mergeCell ref="B177:H177"/>
    <mergeCell ref="B178:H178"/>
    <mergeCell ref="G114:H114"/>
    <mergeCell ref="A137:B137"/>
    <mergeCell ref="G115:H115"/>
    <mergeCell ref="A121:B121"/>
    <mergeCell ref="G121:H121"/>
    <mergeCell ref="A122:B122"/>
    <mergeCell ref="G122:H122"/>
    <mergeCell ref="C122:F122"/>
    <mergeCell ref="G143:H143"/>
    <mergeCell ref="G137:H137"/>
    <mergeCell ref="A129:B129"/>
    <mergeCell ref="A116:B116"/>
    <mergeCell ref="A114:B114"/>
    <mergeCell ref="A124:B124"/>
    <mergeCell ref="A125:B125"/>
    <mergeCell ref="A126:B126"/>
    <mergeCell ref="A115:B115"/>
    <mergeCell ref="A61:C61"/>
    <mergeCell ref="A110:H110"/>
    <mergeCell ref="A76:B76"/>
    <mergeCell ref="C98:D98"/>
    <mergeCell ref="E98:F98"/>
    <mergeCell ref="G98:H98"/>
    <mergeCell ref="F89:H89"/>
    <mergeCell ref="A83:E83"/>
    <mergeCell ref="C102:C103"/>
    <mergeCell ref="C81:H81"/>
    <mergeCell ref="F84:H84"/>
    <mergeCell ref="A84:E84"/>
    <mergeCell ref="A93:E93"/>
    <mergeCell ref="A85:E85"/>
    <mergeCell ref="C97:D97"/>
    <mergeCell ref="G97:H97"/>
    <mergeCell ref="A87:E87"/>
    <mergeCell ref="F87:H87"/>
    <mergeCell ref="A79:E79"/>
    <mergeCell ref="F79:H79"/>
    <mergeCell ref="F90:H90"/>
    <mergeCell ref="F86:H86"/>
    <mergeCell ref="F93:H93"/>
    <mergeCell ref="F91:H91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2:C62"/>
    <mergeCell ref="D61:H61"/>
    <mergeCell ref="E69:F78"/>
    <mergeCell ref="G69:H78"/>
    <mergeCell ref="A77:B77"/>
    <mergeCell ref="A78:B78"/>
    <mergeCell ref="D62:H62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9:H59"/>
    <mergeCell ref="A59:C59"/>
    <mergeCell ref="G46:H46"/>
    <mergeCell ref="A75:B75"/>
    <mergeCell ref="A68:B68"/>
    <mergeCell ref="A71:B71"/>
    <mergeCell ref="A64:C64"/>
    <mergeCell ref="D64:H64"/>
    <mergeCell ref="A145:B145"/>
    <mergeCell ref="A69:B69"/>
    <mergeCell ref="G68:H68"/>
    <mergeCell ref="A67:B67"/>
    <mergeCell ref="A65:B65"/>
    <mergeCell ref="C65:H65"/>
    <mergeCell ref="A73:B73"/>
    <mergeCell ref="A63:C63"/>
    <mergeCell ref="D63:H63"/>
    <mergeCell ref="C67:H67"/>
    <mergeCell ref="A70:B70"/>
    <mergeCell ref="A72:B72"/>
    <mergeCell ref="E68:F68"/>
    <mergeCell ref="A92:E92"/>
    <mergeCell ref="A100:H100"/>
    <mergeCell ref="A86:E86"/>
    <mergeCell ref="A88:E88"/>
    <mergeCell ref="F88:H88"/>
    <mergeCell ref="A89:E89"/>
    <mergeCell ref="A91:E91"/>
    <mergeCell ref="F85:H85"/>
    <mergeCell ref="A90:E90"/>
    <mergeCell ref="A120:B120"/>
    <mergeCell ref="G120:H120"/>
    <mergeCell ref="A53:B54"/>
    <mergeCell ref="A194:H197"/>
    <mergeCell ref="A193:B193"/>
    <mergeCell ref="E193:F193"/>
    <mergeCell ref="C193:D193"/>
    <mergeCell ref="G193:H193"/>
    <mergeCell ref="A94:E94"/>
    <mergeCell ref="F94:H94"/>
    <mergeCell ref="A95:E95"/>
    <mergeCell ref="F95:H95"/>
    <mergeCell ref="A111:H111"/>
    <mergeCell ref="A98:B98"/>
    <mergeCell ref="A138:B138"/>
    <mergeCell ref="A189:H189"/>
    <mergeCell ref="A96:H96"/>
    <mergeCell ref="A192:H192"/>
    <mergeCell ref="A190:H190"/>
    <mergeCell ref="A173:H173"/>
    <mergeCell ref="B102:B103"/>
    <mergeCell ref="A123:H123"/>
    <mergeCell ref="A186:H186"/>
    <mergeCell ref="A187:H187"/>
    <mergeCell ref="E97:F97"/>
    <mergeCell ref="A99:H99"/>
    <mergeCell ref="G49:H49"/>
    <mergeCell ref="D57:H57"/>
    <mergeCell ref="C49:E49"/>
    <mergeCell ref="A60:C60"/>
    <mergeCell ref="D60:H60"/>
    <mergeCell ref="C46:E46"/>
    <mergeCell ref="A55:B55"/>
    <mergeCell ref="C55:E55"/>
    <mergeCell ref="A46:B46"/>
    <mergeCell ref="A56:H56"/>
    <mergeCell ref="A57:C57"/>
    <mergeCell ref="A58:C58"/>
    <mergeCell ref="D58:H58"/>
    <mergeCell ref="G55:H55"/>
    <mergeCell ref="C47:E47"/>
    <mergeCell ref="G47:H47"/>
    <mergeCell ref="C48:H48"/>
    <mergeCell ref="C51:E51"/>
    <mergeCell ref="G51:H51"/>
    <mergeCell ref="C52:H52"/>
    <mergeCell ref="A47:B52"/>
    <mergeCell ref="C53:E53"/>
    <mergeCell ref="G53:H53"/>
    <mergeCell ref="C54:H54"/>
    <mergeCell ref="B184:H184"/>
    <mergeCell ref="B185:H185"/>
    <mergeCell ref="B183:H183"/>
    <mergeCell ref="B182:H182"/>
    <mergeCell ref="C36:H36"/>
    <mergeCell ref="G124:H135"/>
    <mergeCell ref="E39:H39"/>
    <mergeCell ref="A39:D39"/>
    <mergeCell ref="A191:H191"/>
    <mergeCell ref="A117:B117"/>
    <mergeCell ref="A188:H188"/>
    <mergeCell ref="A112:B112"/>
    <mergeCell ref="A97:B97"/>
    <mergeCell ref="D102:D103"/>
    <mergeCell ref="E102:E103"/>
    <mergeCell ref="G102:H103"/>
    <mergeCell ref="A74:B74"/>
    <mergeCell ref="F83:H83"/>
    <mergeCell ref="A80:H80"/>
    <mergeCell ref="A81:B81"/>
    <mergeCell ref="A82:H82"/>
    <mergeCell ref="A45:B45"/>
    <mergeCell ref="C45:E45"/>
    <mergeCell ref="G45:H4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
 &amp;P</oddFooter>
  </headerFooter>
  <rowBreaks count="3" manualBreakCount="3">
    <brk id="64" max="7" man="1"/>
    <brk id="197" max="16383" man="1"/>
    <brk id="24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79</v>
      </c>
      <c r="C2" s="164"/>
      <c r="D2" s="164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80</v>
      </c>
      <c r="B4" s="5" t="s">
        <v>81</v>
      </c>
      <c r="C4" s="165" t="s">
        <v>82</v>
      </c>
      <c r="D4" s="165"/>
      <c r="E4" s="165"/>
      <c r="F4" s="6"/>
      <c r="G4" s="165" t="s">
        <v>83</v>
      </c>
      <c r="H4" s="165"/>
      <c r="I4" s="165"/>
      <c r="J4" s="165" t="s">
        <v>84</v>
      </c>
      <c r="K4" s="165"/>
      <c r="L4" s="165"/>
    </row>
    <row r="5" spans="1:12" x14ac:dyDescent="0.2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25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7" zoomScale="115" zoomScaleNormal="115" workbookViewId="0">
      <selection activeCell="F59" sqref="F59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66" t="s">
        <v>144</v>
      </c>
      <c r="C3" s="166"/>
      <c r="D3" s="166"/>
      <c r="E3" s="166"/>
      <c r="F3" s="166"/>
      <c r="G3" s="166"/>
      <c r="H3" s="166"/>
    </row>
    <row r="4" spans="1:9" x14ac:dyDescent="0.25">
      <c r="A4" s="24"/>
      <c r="B4" s="25" t="s">
        <v>145</v>
      </c>
      <c r="C4" s="25" t="s">
        <v>146</v>
      </c>
      <c r="D4" s="25" t="s">
        <v>80</v>
      </c>
      <c r="E4" s="25" t="s">
        <v>147</v>
      </c>
      <c r="F4" s="25" t="s">
        <v>154</v>
      </c>
      <c r="G4" s="25" t="s">
        <v>155</v>
      </c>
      <c r="H4" s="25" t="s">
        <v>148</v>
      </c>
    </row>
    <row r="5" spans="1:9" ht="15" customHeight="1" x14ac:dyDescent="0.25">
      <c r="A5" s="24"/>
      <c r="B5" s="27" t="s">
        <v>149</v>
      </c>
      <c r="C5" s="28"/>
      <c r="D5" s="27" t="s">
        <v>150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25">
      <c r="A6" s="24"/>
      <c r="B6" s="27" t="s">
        <v>149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25">
      <c r="A7" s="24"/>
      <c r="B7" s="27" t="s">
        <v>149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149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149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151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25">
      <c r="A11" s="24"/>
      <c r="B11" s="27" t="s">
        <v>151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152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153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2025-07-09T10:47:35Z</cp:lastPrinted>
  <dcterms:created xsi:type="dcterms:W3CDTF">2019-07-16T09:29:46Z</dcterms:created>
  <dcterms:modified xsi:type="dcterms:W3CDTF">2025-07-09T10:47:39Z</dcterms:modified>
</cp:coreProperties>
</file>