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July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D122" i="1" l="1"/>
  <c r="D123" i="1"/>
  <c r="C15" i="1"/>
  <c r="J97" i="1" l="1"/>
  <c r="E112" i="1"/>
  <c r="E123" i="1"/>
  <c r="E122" i="1"/>
  <c r="J122" i="1"/>
  <c r="I122" i="1"/>
  <c r="C112" i="1"/>
  <c r="D199" i="1"/>
  <c r="F199" i="1" s="1"/>
  <c r="D194" i="1"/>
  <c r="F194" i="1" s="1"/>
  <c r="D193" i="1"/>
  <c r="F193" i="1" s="1"/>
  <c r="D192" i="1"/>
  <c r="F192" i="1" s="1"/>
  <c r="D191" i="1"/>
  <c r="F191" i="1" s="1"/>
  <c r="D190" i="1"/>
  <c r="D189" i="1"/>
  <c r="F189" i="1" s="1"/>
  <c r="D186" i="1"/>
  <c r="F186" i="1" s="1"/>
  <c r="D185" i="1"/>
  <c r="F185" i="1" s="1"/>
  <c r="D184" i="1"/>
  <c r="F184" i="1" s="1"/>
  <c r="D183" i="1"/>
  <c r="F183" i="1" s="1"/>
  <c r="J183" i="1" s="1"/>
  <c r="D182" i="1"/>
  <c r="F182" i="1" s="1"/>
  <c r="D180" i="1"/>
  <c r="F180" i="1" s="1"/>
  <c r="D179" i="1"/>
  <c r="F179" i="1" s="1"/>
  <c r="D178" i="1"/>
  <c r="F178" i="1" s="1"/>
  <c r="D177" i="1"/>
  <c r="F177" i="1" s="1"/>
  <c r="D176" i="1"/>
  <c r="F176" i="1" s="1"/>
  <c r="D175" i="1"/>
  <c r="F175" i="1" s="1"/>
  <c r="D173" i="1"/>
  <c r="D172" i="1"/>
  <c r="F172" i="1" s="1"/>
  <c r="D171" i="1"/>
  <c r="F171" i="1" s="1"/>
  <c r="D170" i="1"/>
  <c r="F170" i="1" s="1"/>
  <c r="D169" i="1"/>
  <c r="F169" i="1" s="1"/>
  <c r="E168" i="1"/>
  <c r="D168" i="1"/>
  <c r="D166" i="1"/>
  <c r="F166" i="1" s="1"/>
  <c r="D165" i="1"/>
  <c r="F165" i="1" s="1"/>
  <c r="D164" i="1"/>
  <c r="F164" i="1" s="1"/>
  <c r="J164" i="1" s="1"/>
  <c r="D163" i="1"/>
  <c r="F163" i="1" s="1"/>
  <c r="D162" i="1"/>
  <c r="F162" i="1" s="1"/>
  <c r="D161" i="1"/>
  <c r="D159" i="1"/>
  <c r="F159" i="1" s="1"/>
  <c r="D158" i="1"/>
  <c r="F158" i="1" s="1"/>
  <c r="D157" i="1"/>
  <c r="F157" i="1" s="1"/>
  <c r="D156" i="1"/>
  <c r="D155" i="1"/>
  <c r="F155" i="1" s="1"/>
  <c r="D154" i="1"/>
  <c r="F154" i="1" s="1"/>
  <c r="D152" i="1"/>
  <c r="F152" i="1" s="1"/>
  <c r="J152" i="1" s="1"/>
  <c r="D151" i="1"/>
  <c r="F151" i="1" s="1"/>
  <c r="D150" i="1"/>
  <c r="F150" i="1" s="1"/>
  <c r="D149" i="1"/>
  <c r="F149" i="1" s="1"/>
  <c r="D148" i="1"/>
  <c r="F148" i="1" s="1"/>
  <c r="D147" i="1"/>
  <c r="F147" i="1" s="1"/>
  <c r="D143" i="1"/>
  <c r="F143" i="1" s="1"/>
  <c r="D142" i="1"/>
  <c r="F142" i="1" s="1"/>
  <c r="D141" i="1"/>
  <c r="F141" i="1" s="1"/>
  <c r="D140" i="1"/>
  <c r="F140" i="1" s="1"/>
  <c r="D138" i="1"/>
  <c r="F138" i="1" s="1"/>
  <c r="D137" i="1"/>
  <c r="F137" i="1" s="1"/>
  <c r="D136" i="1"/>
  <c r="D135" i="1"/>
  <c r="D134" i="1"/>
  <c r="D133" i="1"/>
  <c r="F161" i="1"/>
  <c r="I159" i="1"/>
  <c r="A197" i="1"/>
  <c r="A198" i="1" s="1"/>
  <c r="A199" i="1" s="1"/>
  <c r="A200" i="1" s="1"/>
  <c r="A201" i="1" s="1"/>
  <c r="G196" i="1"/>
  <c r="F190" i="1"/>
  <c r="A190" i="1"/>
  <c r="A191" i="1" s="1"/>
  <c r="A192" i="1" s="1"/>
  <c r="A193" i="1" s="1"/>
  <c r="A194" i="1" s="1"/>
  <c r="G189" i="1"/>
  <c r="A183" i="1"/>
  <c r="A184" i="1" s="1"/>
  <c r="A185" i="1" s="1"/>
  <c r="A186" i="1" s="1"/>
  <c r="A187" i="1" s="1"/>
  <c r="G182" i="1"/>
  <c r="A176" i="1"/>
  <c r="A177" i="1" s="1"/>
  <c r="A178" i="1" s="1"/>
  <c r="A179" i="1" s="1"/>
  <c r="A180" i="1" s="1"/>
  <c r="G175" i="1"/>
  <c r="F173" i="1"/>
  <c r="J173" i="1" s="1"/>
  <c r="A169" i="1"/>
  <c r="A170" i="1" s="1"/>
  <c r="A171" i="1" s="1"/>
  <c r="A172" i="1" s="1"/>
  <c r="A173" i="1" s="1"/>
  <c r="G168" i="1"/>
  <c r="A162" i="1"/>
  <c r="A163" i="1" s="1"/>
  <c r="A164" i="1" s="1"/>
  <c r="A165" i="1" s="1"/>
  <c r="A166" i="1" s="1"/>
  <c r="G161" i="1"/>
  <c r="F156" i="1"/>
  <c r="A155" i="1"/>
  <c r="A156" i="1" s="1"/>
  <c r="A157" i="1" s="1"/>
  <c r="A158" i="1" s="1"/>
  <c r="A159" i="1" s="1"/>
  <c r="G154" i="1"/>
  <c r="A148" i="1"/>
  <c r="A149" i="1" s="1"/>
  <c r="A150" i="1" s="1"/>
  <c r="A151" i="1" s="1"/>
  <c r="A152" i="1" s="1"/>
  <c r="G147" i="1"/>
  <c r="A141" i="1"/>
  <c r="A142" i="1" s="1"/>
  <c r="A143" i="1" s="1"/>
  <c r="A144" i="1" s="1"/>
  <c r="A145" i="1" s="1"/>
  <c r="G140" i="1"/>
  <c r="C115" i="1" l="1"/>
  <c r="E115" i="1"/>
  <c r="F168" i="1"/>
  <c r="E43" i="1"/>
  <c r="E44" i="1" s="1"/>
  <c r="E30" i="1" l="1"/>
  <c r="F134" i="1" l="1"/>
  <c r="J134" i="1" s="1"/>
  <c r="L97" i="1" s="1"/>
  <c r="I97" i="1" s="1"/>
  <c r="F135" i="1"/>
  <c r="F136" i="1"/>
  <c r="F133" i="1"/>
  <c r="A134" i="1"/>
  <c r="A135" i="1" s="1"/>
  <c r="A136" i="1" s="1"/>
  <c r="A137" i="1" s="1"/>
  <c r="A138" i="1" s="1"/>
  <c r="G133" i="1"/>
  <c r="G115" i="1" l="1"/>
  <c r="F109" i="1"/>
  <c r="F123" i="1" l="1"/>
  <c r="F122" i="1"/>
  <c r="G112" i="1" l="1"/>
  <c r="B204" i="1"/>
  <c r="B205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8" i="1"/>
  <c r="A123" i="1"/>
  <c r="G122" i="1"/>
  <c r="J93" i="1"/>
  <c r="J92" i="1"/>
  <c r="J91" i="1"/>
  <c r="J90" i="1"/>
  <c r="C82" i="1"/>
  <c r="J79" i="1"/>
  <c r="J78" i="1"/>
  <c r="J77" i="1"/>
  <c r="J76" i="1"/>
  <c r="C68" i="1"/>
  <c r="D56" i="1"/>
  <c r="G50" i="1"/>
  <c r="E27" i="1"/>
  <c r="E25" i="1"/>
  <c r="E7" i="1"/>
  <c r="E3" i="1"/>
  <c r="H83" i="1"/>
  <c r="H69" i="1"/>
  <c r="D93" i="1" l="1"/>
  <c r="D94" i="1"/>
  <c r="D95" i="1"/>
  <c r="D89" i="1"/>
  <c r="D90" i="1"/>
  <c r="D91" i="1"/>
  <c r="D92" i="1"/>
  <c r="J82" i="1"/>
  <c r="J84" i="1" s="1"/>
  <c r="D81" i="1"/>
  <c r="D79" i="1"/>
  <c r="D78" i="1"/>
  <c r="D77" i="1"/>
  <c r="D75" i="1"/>
  <c r="J68" i="1"/>
  <c r="D80" i="1"/>
  <c r="D76" i="1"/>
  <c r="J72" i="1"/>
  <c r="J73" i="1"/>
  <c r="C72" i="1" s="1"/>
  <c r="J71" i="1"/>
  <c r="J74" i="1"/>
  <c r="J75" i="1" s="1"/>
  <c r="J80" i="1" s="1"/>
  <c r="J81" i="1" s="1"/>
  <c r="C73" i="1" s="1"/>
  <c r="J88" i="1"/>
  <c r="J89" i="1" s="1"/>
  <c r="J94" i="1" s="1"/>
  <c r="J95" i="1" s="1"/>
  <c r="C87" i="1" s="1"/>
  <c r="J86" i="1"/>
  <c r="J87" i="1"/>
  <c r="C86" i="1" s="1"/>
  <c r="J85" i="1"/>
  <c r="D88" i="1" l="1"/>
  <c r="D74" i="1"/>
  <c r="J70" i="1"/>
  <c r="E72" i="1"/>
  <c r="D73" i="1"/>
  <c r="G72" i="1"/>
  <c r="D66" i="1" s="1"/>
  <c r="D67" i="1" s="1"/>
  <c r="D72" i="1"/>
  <c r="E86" i="1"/>
  <c r="D87" i="1"/>
  <c r="G86" i="1"/>
  <c r="D86" i="1"/>
  <c r="J83" i="1" s="1"/>
  <c r="I69" i="1" l="1"/>
  <c r="J69" i="1"/>
  <c r="I83" i="1"/>
  <c r="F67" i="1"/>
  <c r="I70" i="1" l="1"/>
  <c r="I68" i="1" s="1"/>
  <c r="C70" i="1" s="1"/>
  <c r="I84" i="1"/>
  <c r="I82" i="1" s="1"/>
  <c r="C84" i="1" s="1"/>
</calcChain>
</file>

<file path=xl/sharedStrings.xml><?xml version="1.0" encoding="utf-8"?>
<sst xmlns="http://schemas.openxmlformats.org/spreadsheetml/2006/main" count="381" uniqueCount="247">
  <si>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</si>
  <si>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</si>
  <si>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</si>
  <si>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</si>
  <si>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</si>
  <si>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</si>
  <si>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</si>
  <si>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</si>
  <si>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</si>
  <si>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</si>
  <si>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</si>
  <si>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</si>
  <si>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</si>
  <si>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</si>
  <si>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</si>
  <si>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</si>
  <si>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</si>
  <si>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</si>
  <si>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</si>
  <si>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</si>
  <si>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</si>
  <si>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</si>
  <si>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</si>
  <si>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</si>
  <si>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</si>
  <si>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</si>
  <si>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</si>
  <si>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</si>
  <si>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</si>
  <si>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</si>
  <si>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</si>
  <si>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</si>
  <si>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</si>
  <si>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</si>
  <si>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</si>
  <si>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</si>
  <si>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</si>
  <si>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</si>
  <si>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</si>
  <si>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</si>
  <si>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</si>
  <si>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</si>
  <si>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</si>
  <si>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</si>
  <si>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</si>
  <si>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</si>
  <si>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</si>
  <si>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</si>
  <si>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</si>
  <si>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</si>
  <si>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</si>
  <si>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</si>
  <si>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</si>
  <si>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</si>
  <si>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</si>
  <si>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</si>
  <si>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</si>
  <si>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</si>
  <si>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</si>
  <si>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</si>
  <si>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</si>
  <si>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</si>
  <si>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</si>
  <si>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</si>
  <si>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</si>
  <si>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</si>
  <si>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</si>
  <si>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</si>
  <si>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</si>
  <si>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</si>
  <si>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</si>
  <si>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</si>
  <si>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</si>
  <si>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</si>
  <si>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</si>
  <si>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</si>
  <si>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</si>
  <si>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</si>
  <si>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</si>
  <si>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</si>
  <si>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</si>
  <si>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</si>
  <si>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</si>
  <si>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</si>
  <si>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</si>
  <si>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</si>
  <si>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</si>
  <si>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</si>
  <si>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</si>
  <si>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</si>
  <si>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</si>
  <si>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</si>
  <si>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</si>
  <si>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</si>
  <si>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</si>
  <si>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</si>
  <si>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</si>
  <si>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</si>
  <si>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</si>
  <si>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</si>
  <si>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</si>
  <si>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</si>
  <si>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</si>
  <si>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</si>
  <si>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</si>
  <si>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</si>
  <si>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</si>
  <si>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</si>
  <si>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</si>
  <si>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</si>
  <si>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</si>
  <si>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</si>
  <si>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</si>
  <si>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</si>
  <si>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</si>
  <si>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</si>
  <si>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</si>
  <si>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</si>
  <si>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</si>
  <si>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</si>
  <si>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</si>
  <si>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</si>
  <si>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</si>
  <si>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</si>
  <si>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</si>
  <si>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</si>
  <si>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</si>
  <si>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</si>
  <si>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</si>
  <si>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</si>
  <si>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</si>
  <si>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</si>
  <si>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</si>
  <si>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</si>
  <si>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</si>
  <si>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</si>
  <si>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</si>
  <si>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</si>
  <si>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</si>
  <si>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</si>
  <si>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</si>
  <si>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</si>
  <si>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</si>
  <si>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</si>
  <si>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</si>
  <si>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</si>
  <si>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</si>
  <si>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</si>
  <si>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</si>
  <si>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</si>
  <si>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</si>
  <si>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</si>
  <si>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</si>
  <si>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</si>
  <si>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</si>
  <si>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</si>
  <si>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</si>
  <si>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</si>
  <si>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</si>
  <si>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</si>
  <si>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</si>
  <si>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</si>
  <si>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</si>
  <si>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</si>
  <si>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</si>
  <si>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</si>
  <si>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</si>
  <si>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</si>
  <si>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</si>
  <si>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</si>
  <si>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</si>
  <si>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Axis Thane</t>
  </si>
  <si>
    <t>Kaveri Shine Builders And Developers LLP</t>
  </si>
  <si>
    <t>Kaveri Heritage</t>
  </si>
  <si>
    <t>Wing A &amp; B</t>
  </si>
  <si>
    <t>P51800035190</t>
  </si>
  <si>
    <t>CTS No</t>
  </si>
  <si>
    <t>Chandavarkar road</t>
  </si>
  <si>
    <t>Borivali</t>
  </si>
  <si>
    <t>Borivali (W)</t>
  </si>
  <si>
    <t>Mumbai</t>
  </si>
  <si>
    <t>Name of existing Building</t>
  </si>
  <si>
    <t>The Borivali New Rajesh Park CHSL</t>
  </si>
  <si>
    <t>Maharashtra Nagar</t>
  </si>
  <si>
    <t>https://goo.gl/maps/Gf8DFY2f8ondUqnF9</t>
  </si>
  <si>
    <t>Jayesh Apartment</t>
  </si>
  <si>
    <t>Roshan Nagar Road</t>
  </si>
  <si>
    <t>Jay matru ashish CHS</t>
  </si>
  <si>
    <t>0.6 KM from Borivali Railway Station</t>
  </si>
  <si>
    <t>Municipal Corporation of Greater Mumbai</t>
  </si>
  <si>
    <t>P-8677/2021/(484/B)/R/C WARD/BORIVALI - R/C</t>
  </si>
  <si>
    <t>02 Wings</t>
  </si>
  <si>
    <t xml:space="preserve">1. Vitrified tiles flooring 2. Granite Kitchen Platform 3. Decorative Enternace etc.
</t>
  </si>
  <si>
    <t>Wing A = Gr/Stilt + 1st to 3rd Floor
Wing B = Gr/Stilt + 1st to 4th (Podium) + 5th to 19th Floor</t>
  </si>
  <si>
    <t>Wing A = Gr/Stilt + 1st to 3rd Floor</t>
  </si>
  <si>
    <t>Wing A</t>
  </si>
  <si>
    <t>Shop
(Triplex with 1st &amp; 2nd Floor)</t>
  </si>
  <si>
    <t>3rd Podium Floor for Parking</t>
  </si>
  <si>
    <t>Wing B</t>
  </si>
  <si>
    <t>Ground Floor for Parking</t>
  </si>
  <si>
    <t>1st to 3rd Podium Floor for Parking</t>
  </si>
  <si>
    <t>4th Podium Floor for Parking &amp; Fitness Center</t>
  </si>
  <si>
    <t>5th Floor for Residential</t>
  </si>
  <si>
    <t>3BHK</t>
  </si>
  <si>
    <t>2BHK</t>
  </si>
  <si>
    <t>1BHK</t>
  </si>
  <si>
    <t>6th Floor (Part Refuge Area)</t>
  </si>
  <si>
    <t>Refuge Area</t>
  </si>
  <si>
    <t>7th Floor</t>
  </si>
  <si>
    <t>8th Floor</t>
  </si>
  <si>
    <t>9th Floor</t>
  </si>
  <si>
    <t>10th Floor</t>
  </si>
  <si>
    <t>11th, 12th &amp; 14th Floor</t>
  </si>
  <si>
    <t>13th Floor (Part Refuge Area)</t>
  </si>
  <si>
    <t>MP Room</t>
  </si>
  <si>
    <t>15th to 18th Floor</t>
  </si>
  <si>
    <t>19th Floor (Part Terrace Area)</t>
  </si>
  <si>
    <t>Terrace Area</t>
  </si>
  <si>
    <t>4BHK</t>
  </si>
  <si>
    <t>We considered Gross carpet area = Net carpet + Deck Area.</t>
  </si>
  <si>
    <t>Flats - 82, Shops - 02</t>
  </si>
  <si>
    <t>Inspection</t>
  </si>
  <si>
    <t>MIS</t>
  </si>
  <si>
    <t>Online</t>
  </si>
  <si>
    <t>We refer latest approved floor plans &amp; CC from MCGM site.</t>
  </si>
  <si>
    <t>484B &amp; Redevelopment of The Borivali New Rajesh Park CHSL</t>
  </si>
  <si>
    <t>Provided Contact Details (Name &amp; Contact No.)</t>
  </si>
  <si>
    <t>Site Person - Contact Details (Name &amp; Contact No.)</t>
  </si>
  <si>
    <t>Approved Plans, CC, Part OC</t>
  </si>
  <si>
    <t>19.2313288, 72.8520154</t>
  </si>
  <si>
    <t>Ground + 1st + 2nd Floor for Commercial (Triplex with 1st &amp; 2nd Floor)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</si>
  <si>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</si>
  <si>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60 Years After Completion</t>
  </si>
  <si>
    <t>P-8677/2021/(484/B)/R/C Ward/BORIVALI-R/C/OCC/1/New
Approved upto : Wing 'A' of Ground Floor + 2 upper Floors for Commercial use only</t>
  </si>
  <si>
    <t>Wing B = Gr/Stilt + 1st to 4th (Podium) + 5th to 19th Floor</t>
  </si>
  <si>
    <t>Shruti Tathare</t>
  </si>
  <si>
    <t>Tanuj Choldiya 9867815644/8450937716</t>
  </si>
  <si>
    <t>This C.C. is granted and now extended for entire work of proposed building u/ref. consisting Wing ‘A’ comprising
of Ground + 2nd upper floors for commercial use and Wing ‘B’ comprising of Stilt + 1st to 3rd level podiums + 4th to 18th upper floors + 19th (pt) upper floor + OHT and LMR as per approved amended plan dated 01.01.2025</t>
  </si>
  <si>
    <t>P-8677/2021/(484/B)/R/C
Ward/BORIVALI-R/C/FCC/4/Amend</t>
  </si>
  <si>
    <t xml:space="preserve">Part O. Certificate No.: </t>
  </si>
  <si>
    <t>P-8677/2021/(484/B)/R/C WARD/BORIVALI-R/C/OCC/1/NEW
Approved upto : Wing A = Ground Floor + 2 upper Floors for Commercial use 
 Wing B = Stilt + 1st to 3rd level podiums + 4th floor for fitness center and society office + 5th to 17th floors.</t>
  </si>
  <si>
    <t xml:space="preserve">As per RERA, completion period of Kaveri Heritage is expired on 31/03/2025 but still project is under construction
</t>
  </si>
  <si>
    <t>Please provide revised approved plans dtd. 01/01/2025.</t>
  </si>
  <si>
    <t>We have Updated revised CC from MCGM site on 10/04/2025.</t>
  </si>
  <si>
    <t>As per RERA - 01/03/2026</t>
  </si>
  <si>
    <t>Sanket Salvi</t>
  </si>
  <si>
    <t>Wing A = All work completed. OC received.
Wing B = Construction work is in process at the time of Visit. Internal visit was not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</si>
</sst>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4" fontId="7" fillId="0" borderId="0" xfId="0" applyNumberFormat="1" applyFont="1" applyAlignment="1">
      <alignment horizontal="center" vertical="center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0" xfId="1" applyFont="1" applyAlignment="1">
      <alignment vertical="top" wrapText="1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" fontId="28" fillId="0" borderId="8" xfId="0" applyNumberFormat="1" applyFont="1" applyBorder="1" applyAlignment="1" applyProtection="1">
      <alignment vertical="top" wrapText="1"/>
      <protection locked="0"/>
    </xf>
    <xf numFmtId="1" fontId="28" fillId="0" borderId="21" xfId="0" applyNumberFormat="1" applyFont="1" applyBorder="1" applyAlignment="1" applyProtection="1">
      <alignment vertical="top" wrapText="1"/>
      <protection locked="0"/>
    </xf>
    <xf numFmtId="1" fontId="28" fillId="0" borderId="9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center" vertical="top"/>
      <protection locked="0"/>
    </xf>
    <xf numFmtId="0" fontId="8" fillId="0" borderId="2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14" fontId="8" fillId="0" borderId="9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560996</xdr:colOff>
      <xdr:row>336</xdr:row>
      <xdr:rowOff>133540</xdr:rowOff>
    </xdr:from>
    <xdr:to>
      <xdr:col>7</xdr:col>
      <xdr:colOff>271973</xdr:colOff>
      <xdr:row>357</xdr:row>
      <xdr:rowOff>111855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0996" y="65821404"/>
          <a:ext cx="5400000" cy="41606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380996</xdr:colOff>
      <xdr:row>316</xdr:row>
      <xdr:rowOff>86590</xdr:rowOff>
    </xdr:from>
    <xdr:to>
      <xdr:col>7</xdr:col>
      <xdr:colOff>451973</xdr:colOff>
      <xdr:row>335</xdr:row>
      <xdr:rowOff>126567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0996" y="61791272"/>
          <a:ext cx="5760000" cy="38239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147319</xdr:colOff>
      <xdr:row>340</xdr:row>
      <xdr:rowOff>68760</xdr:rowOff>
    </xdr:from>
    <xdr:to>
      <xdr:col>4</xdr:col>
      <xdr:colOff>346265</xdr:colOff>
      <xdr:row>350</xdr:row>
      <xdr:rowOff>106633</xdr:rowOff>
    </xdr:to>
    <xdr:sp macro="" textlink="">
      <xdr:nvSpPr>
        <xdr:cNvPr id="4" name="Rounded Rectangle 3"/>
        <xdr:cNvSpPr/>
      </xdr:nvSpPr>
      <xdr:spPr>
        <a:xfrm rot="179113">
          <a:off x="2554546" y="66553260"/>
          <a:ext cx="1142787" cy="2029464"/>
        </a:xfrm>
        <a:prstGeom prst="round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2</xdr:col>
      <xdr:colOff>103912</xdr:colOff>
      <xdr:row>272</xdr:row>
      <xdr:rowOff>77931</xdr:rowOff>
    </xdr:from>
    <xdr:to>
      <xdr:col>5</xdr:col>
      <xdr:colOff>681763</xdr:colOff>
      <xdr:row>296</xdr:row>
      <xdr:rowOff>5578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62548" y="53019613"/>
          <a:ext cx="3149601" cy="47074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238712</xdr:colOff>
      <xdr:row>296</xdr:row>
      <xdr:rowOff>122188</xdr:rowOff>
    </xdr:from>
    <xdr:to>
      <xdr:col>5</xdr:col>
      <xdr:colOff>546962</xdr:colOff>
      <xdr:row>314</xdr:row>
      <xdr:rowOff>102372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97348" y="57843688"/>
          <a:ext cx="2880000" cy="356504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649431</xdr:colOff>
      <xdr:row>284</xdr:row>
      <xdr:rowOff>51954</xdr:rowOff>
    </xdr:from>
    <xdr:to>
      <xdr:col>5</xdr:col>
      <xdr:colOff>164522</xdr:colOff>
      <xdr:row>292</xdr:row>
      <xdr:rowOff>181840</xdr:rowOff>
    </xdr:to>
    <xdr:sp macro="" textlink="">
      <xdr:nvSpPr>
        <xdr:cNvPr id="7" name="Rectangle 6"/>
        <xdr:cNvSpPr/>
      </xdr:nvSpPr>
      <xdr:spPr>
        <a:xfrm>
          <a:off x="2208067" y="57591613"/>
          <a:ext cx="2086841" cy="1723159"/>
        </a:xfrm>
        <a:prstGeom prst="rect">
          <a:avLst/>
        </a:prstGeom>
        <a:noFill/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839932</xdr:colOff>
      <xdr:row>275</xdr:row>
      <xdr:rowOff>69272</xdr:rowOff>
    </xdr:from>
    <xdr:to>
      <xdr:col>4</xdr:col>
      <xdr:colOff>658092</xdr:colOff>
      <xdr:row>284</xdr:row>
      <xdr:rowOff>25977</xdr:rowOff>
    </xdr:to>
    <xdr:sp macro="" textlink="">
      <xdr:nvSpPr>
        <xdr:cNvPr id="8" name="Rectangle 7"/>
        <xdr:cNvSpPr/>
      </xdr:nvSpPr>
      <xdr:spPr>
        <a:xfrm>
          <a:off x="2398568" y="55816499"/>
          <a:ext cx="1610592" cy="1749137"/>
        </a:xfrm>
        <a:prstGeom prst="rect">
          <a:avLst/>
        </a:prstGeom>
        <a:noFill/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2</xdr:col>
      <xdr:colOff>147205</xdr:colOff>
      <xdr:row>272</xdr:row>
      <xdr:rowOff>181841</xdr:rowOff>
    </xdr:from>
    <xdr:ext cx="714298" cy="311496"/>
    <xdr:sp macro="" textlink="">
      <xdr:nvSpPr>
        <xdr:cNvPr id="9" name="TextBox 8"/>
        <xdr:cNvSpPr txBox="1"/>
      </xdr:nvSpPr>
      <xdr:spPr>
        <a:xfrm>
          <a:off x="1705841" y="53123523"/>
          <a:ext cx="714298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 B</a:t>
          </a:r>
        </a:p>
      </xdr:txBody>
    </xdr:sp>
    <xdr:clientData/>
  </xdr:oneCellAnchor>
  <xdr:oneCellAnchor>
    <xdr:from>
      <xdr:col>2</xdr:col>
      <xdr:colOff>190502</xdr:colOff>
      <xdr:row>293</xdr:row>
      <xdr:rowOff>112567</xdr:rowOff>
    </xdr:from>
    <xdr:ext cx="722442" cy="311496"/>
    <xdr:sp macro="" textlink="">
      <xdr:nvSpPr>
        <xdr:cNvPr id="10" name="TextBox 9"/>
        <xdr:cNvSpPr txBox="1"/>
      </xdr:nvSpPr>
      <xdr:spPr>
        <a:xfrm>
          <a:off x="1749138" y="57236590"/>
          <a:ext cx="722442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 A</a:t>
          </a:r>
        </a:p>
      </xdr:txBody>
    </xdr:sp>
    <xdr:clientData/>
  </xdr:oneCellAnchor>
  <xdr:twoCellAnchor>
    <xdr:from>
      <xdr:col>2</xdr:col>
      <xdr:colOff>504354</xdr:colOff>
      <xdr:row>274</xdr:row>
      <xdr:rowOff>95019</xdr:rowOff>
    </xdr:from>
    <xdr:to>
      <xdr:col>3</xdr:col>
      <xdr:colOff>8659</xdr:colOff>
      <xdr:row>276</xdr:row>
      <xdr:rowOff>147205</xdr:rowOff>
    </xdr:to>
    <xdr:cxnSp macro="">
      <xdr:nvCxnSpPr>
        <xdr:cNvPr id="12" name="Straight Arrow Connector 11"/>
        <xdr:cNvCxnSpPr>
          <a:stCxn id="9" idx="2"/>
        </xdr:cNvCxnSpPr>
      </xdr:nvCxnSpPr>
      <xdr:spPr>
        <a:xfrm>
          <a:off x="2062990" y="53435019"/>
          <a:ext cx="352896" cy="450504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69272</xdr:colOff>
      <xdr:row>293</xdr:row>
      <xdr:rowOff>0</xdr:rowOff>
    </xdr:from>
    <xdr:to>
      <xdr:col>3</xdr:col>
      <xdr:colOff>432955</xdr:colOff>
      <xdr:row>294</xdr:row>
      <xdr:rowOff>43294</xdr:rowOff>
    </xdr:to>
    <xdr:cxnSp macro="">
      <xdr:nvCxnSpPr>
        <xdr:cNvPr id="15" name="Straight Arrow Connector 14"/>
        <xdr:cNvCxnSpPr/>
      </xdr:nvCxnSpPr>
      <xdr:spPr>
        <a:xfrm flipV="1">
          <a:off x="2476499" y="57124023"/>
          <a:ext cx="363683" cy="242453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708201</xdr:colOff>
      <xdr:row>345</xdr:row>
      <xdr:rowOff>64266</xdr:rowOff>
    </xdr:from>
    <xdr:ext cx="722442" cy="311496"/>
    <xdr:sp macro="" textlink="">
      <xdr:nvSpPr>
        <xdr:cNvPr id="17" name="TextBox 16"/>
        <xdr:cNvSpPr txBox="1"/>
      </xdr:nvSpPr>
      <xdr:spPr>
        <a:xfrm>
          <a:off x="1470201" y="67544561"/>
          <a:ext cx="722442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 A</a:t>
          </a:r>
        </a:p>
      </xdr:txBody>
    </xdr:sp>
    <xdr:clientData/>
  </xdr:oneCellAnchor>
  <xdr:twoCellAnchor>
    <xdr:from>
      <xdr:col>2</xdr:col>
      <xdr:colOff>638926</xdr:colOff>
      <xdr:row>345</xdr:row>
      <xdr:rowOff>194153</xdr:rowOff>
    </xdr:from>
    <xdr:to>
      <xdr:col>3</xdr:col>
      <xdr:colOff>432955</xdr:colOff>
      <xdr:row>348</xdr:row>
      <xdr:rowOff>69272</xdr:rowOff>
    </xdr:to>
    <xdr:cxnSp macro="">
      <xdr:nvCxnSpPr>
        <xdr:cNvPr id="18" name="Straight Arrow Connector 17"/>
        <xdr:cNvCxnSpPr/>
      </xdr:nvCxnSpPr>
      <xdr:spPr>
        <a:xfrm>
          <a:off x="2197562" y="67674448"/>
          <a:ext cx="642620" cy="472597"/>
        </a:xfrm>
        <a:prstGeom prst="straightConnector1">
          <a:avLst/>
        </a:prstGeom>
        <a:ln w="381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673564</xdr:colOff>
      <xdr:row>337</xdr:row>
      <xdr:rowOff>124881</xdr:rowOff>
    </xdr:from>
    <xdr:ext cx="714298" cy="311496"/>
    <xdr:sp macro="" textlink="">
      <xdr:nvSpPr>
        <xdr:cNvPr id="20" name="TextBox 19"/>
        <xdr:cNvSpPr txBox="1"/>
      </xdr:nvSpPr>
      <xdr:spPr>
        <a:xfrm>
          <a:off x="3080791" y="66011904"/>
          <a:ext cx="714298" cy="311496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400" b="1"/>
            <a:t>Wing B</a:t>
          </a:r>
        </a:p>
      </xdr:txBody>
    </xdr:sp>
    <xdr:clientData/>
  </xdr:oneCellAnchor>
  <xdr:twoCellAnchor>
    <xdr:from>
      <xdr:col>3</xdr:col>
      <xdr:colOff>865909</xdr:colOff>
      <xdr:row>339</xdr:row>
      <xdr:rowOff>38059</xdr:rowOff>
    </xdr:from>
    <xdr:to>
      <xdr:col>4</xdr:col>
      <xdr:colOff>86872</xdr:colOff>
      <xdr:row>341</xdr:row>
      <xdr:rowOff>173182</xdr:rowOff>
    </xdr:to>
    <xdr:cxnSp macro="">
      <xdr:nvCxnSpPr>
        <xdr:cNvPr id="21" name="Straight Arrow Connector 20"/>
        <xdr:cNvCxnSpPr>
          <a:stCxn id="20" idx="2"/>
        </xdr:cNvCxnSpPr>
      </xdr:nvCxnSpPr>
      <xdr:spPr>
        <a:xfrm flipH="1">
          <a:off x="3273136" y="66323400"/>
          <a:ext cx="164804" cy="533441"/>
        </a:xfrm>
        <a:prstGeom prst="straightConnector1">
          <a:avLst/>
        </a:prstGeom>
        <a:ln w="381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432352</xdr:colOff>
      <xdr:row>228</xdr:row>
      <xdr:rowOff>87794</xdr:rowOff>
    </xdr:from>
    <xdr:to>
      <xdr:col>7</xdr:col>
      <xdr:colOff>464201</xdr:colOff>
      <xdr:row>270</xdr:row>
      <xdr:rowOff>81065</xdr:rowOff>
    </xdr:to>
    <xdr:grpSp>
      <xdr:nvGrpSpPr>
        <xdr:cNvPr id="16" name="Group 15"/>
        <xdr:cNvGrpSpPr/>
      </xdr:nvGrpSpPr>
      <xdr:grpSpPr>
        <a:xfrm>
          <a:off x="432352" y="51100381"/>
          <a:ext cx="5722001" cy="8333858"/>
          <a:chOff x="424069" y="51696729"/>
          <a:chExt cx="5722001" cy="8333858"/>
        </a:xfrm>
      </xdr:grpSpPr>
      <xdr:grpSp>
        <xdr:nvGrpSpPr>
          <xdr:cNvPr id="11" name="Group 10"/>
          <xdr:cNvGrpSpPr/>
        </xdr:nvGrpSpPr>
        <xdr:grpSpPr>
          <a:xfrm>
            <a:off x="424069" y="51696729"/>
            <a:ext cx="5722001" cy="8333858"/>
            <a:chOff x="424069" y="51696729"/>
            <a:chExt cx="5722001" cy="8333858"/>
          </a:xfrm>
        </xdr:grpSpPr>
        <xdr:pic>
          <xdr:nvPicPr>
            <xdr:cNvPr id="31" name="Picture 30" descr="https://vsjcllp.vsjadon.com/upload/insp-239876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55065" y="57870587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" name="Picture 31" descr="https://vsjcllp.vsjadon.com/upload/insp-239876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6043" y="55546486"/>
              <a:ext cx="1687885" cy="225285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3" name="Picture 32" descr="https://vsjcllp.vsjadon.com/upload/insp-239876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186030" y="55533232"/>
              <a:ext cx="1687885" cy="225285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4" name="Picture 33" descr="https://vsjcllp.vsjadon.com/upload/insp-239876-84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4069" y="51701700"/>
              <a:ext cx="2819774" cy="376361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5" name="Picture 34" descr="https://vsjcllp.vsjadon.com/upload/insp-239876-84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26296" y="51696729"/>
              <a:ext cx="2819774" cy="376361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6" name="Picture 35" descr="https://vsjcllp.vsjadon.com/upload/insp-239876-93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57129" y="57870587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7" name="Picture 36" descr="https://vsjcllp.vsjadon.com/upload/insp-239876-85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418524" y="55538204"/>
              <a:ext cx="1687885" cy="225285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39" name="TextBox 28"/>
          <xdr:cNvSpPr txBox="1"/>
        </xdr:nvSpPr>
        <xdr:spPr>
          <a:xfrm>
            <a:off x="2403612" y="53079927"/>
            <a:ext cx="762615" cy="30591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A </a:t>
            </a:r>
            <a:endParaRPr lang="en-IN" sz="1400" b="1"/>
          </a:p>
        </xdr:txBody>
      </xdr:sp>
      <xdr:cxnSp macro="">
        <xdr:nvCxnSpPr>
          <xdr:cNvPr id="40" name="Straight Arrow Connector 39"/>
          <xdr:cNvCxnSpPr/>
        </xdr:nvCxnSpPr>
        <xdr:spPr>
          <a:xfrm flipH="1">
            <a:off x="2667000" y="53376369"/>
            <a:ext cx="136952" cy="419174"/>
          </a:xfrm>
          <a:prstGeom prst="straightConnector1">
            <a:avLst/>
          </a:prstGeom>
          <a:ln w="28575">
            <a:solidFill>
              <a:srgbClr val="202425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2" name="TextBox 28"/>
          <xdr:cNvSpPr txBox="1"/>
        </xdr:nvSpPr>
        <xdr:spPr>
          <a:xfrm>
            <a:off x="1500809" y="52052881"/>
            <a:ext cx="762615" cy="30591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 b="1"/>
              <a:t>Wing B </a:t>
            </a:r>
            <a:endParaRPr lang="en-IN" sz="1400" b="1"/>
          </a:p>
        </xdr:txBody>
      </xdr:sp>
      <xdr:cxnSp macro="">
        <xdr:nvCxnSpPr>
          <xdr:cNvPr id="43" name="Straight Arrow Connector 42"/>
          <xdr:cNvCxnSpPr/>
        </xdr:nvCxnSpPr>
        <xdr:spPr>
          <a:xfrm flipH="1">
            <a:off x="1714501" y="52349323"/>
            <a:ext cx="186647" cy="386044"/>
          </a:xfrm>
          <a:prstGeom prst="straightConnector1">
            <a:avLst/>
          </a:prstGeom>
          <a:ln w="28575">
            <a:solidFill>
              <a:srgbClr val="202425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106332</xdr:colOff>
      <xdr:row>13</xdr:row>
      <xdr:rowOff>179294</xdr:rowOff>
    </xdr:from>
    <xdr:to>
      <xdr:col>4</xdr:col>
      <xdr:colOff>217156</xdr:colOff>
      <xdr:row>29</xdr:row>
      <xdr:rowOff>167312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332" y="2667000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515471</xdr:colOff>
      <xdr:row>13</xdr:row>
      <xdr:rowOff>173076</xdr:rowOff>
    </xdr:from>
    <xdr:to>
      <xdr:col>11</xdr:col>
      <xdr:colOff>43588</xdr:colOff>
      <xdr:row>29</xdr:row>
      <xdr:rowOff>161094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04647" y="2660782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536389</xdr:colOff>
      <xdr:row>13</xdr:row>
      <xdr:rowOff>128267</xdr:rowOff>
    </xdr:from>
    <xdr:to>
      <xdr:col>21</xdr:col>
      <xdr:colOff>109330</xdr:colOff>
      <xdr:row>29</xdr:row>
      <xdr:rowOff>116285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97448" y="2615973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100853</xdr:colOff>
      <xdr:row>31</xdr:row>
      <xdr:rowOff>14964</xdr:rowOff>
    </xdr:from>
    <xdr:to>
      <xdr:col>4</xdr:col>
      <xdr:colOff>211677</xdr:colOff>
      <xdr:row>47</xdr:row>
      <xdr:rowOff>2982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853" y="5931670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704478</xdr:colOff>
      <xdr:row>31</xdr:row>
      <xdr:rowOff>14964</xdr:rowOff>
    </xdr:from>
    <xdr:to>
      <xdr:col>11</xdr:col>
      <xdr:colOff>232595</xdr:colOff>
      <xdr:row>47</xdr:row>
      <xdr:rowOff>2982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93654" y="5931670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Gf8DFY2f8ondUqnF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16"/>
  <sheetViews>
    <sheetView tabSelected="1" view="pageBreakPreview" zoomScale="115" zoomScaleNormal="100" zoomScaleSheetLayoutView="115" workbookViewId="0">
      <selection activeCell="K12" sqref="K12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140625" style="38" customWidth="1"/>
    <col min="5" max="7" width="11.7109375" style="38" customWidth="1"/>
    <col min="8" max="8" width="12.42578125" style="38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8" ht="46.5" customHeight="1" x14ac:dyDescent="0.25">
      <c r="A1" s="164" t="s">
        <v>231</v>
      </c>
      <c r="B1" s="164"/>
      <c r="C1" s="164"/>
      <c r="D1" s="164"/>
      <c r="E1" s="164"/>
      <c r="F1" s="164"/>
      <c r="G1" s="164"/>
      <c r="H1" s="164"/>
    </row>
    <row r="2" spans="1:8" ht="16.5" customHeight="1" x14ac:dyDescent="0.25">
      <c r="A2" s="149" t="s">
        <v>0</v>
      </c>
      <c r="B2" s="149"/>
      <c r="C2" s="149"/>
      <c r="D2" s="149"/>
      <c r="E2" s="149"/>
      <c r="F2" s="149"/>
      <c r="G2" s="149"/>
      <c r="H2" s="149"/>
    </row>
    <row r="3" spans="1:8" x14ac:dyDescent="0.25">
      <c r="A3" s="133" t="s">
        <v>1</v>
      </c>
      <c r="B3" s="133"/>
      <c r="C3" s="133"/>
      <c r="D3" s="133"/>
      <c r="E3" s="133" t="str">
        <f ca="1">TEXT(TODAY(),"DD/MM/YYYY")</f>
        <v>11/07/2025</v>
      </c>
      <c r="F3" s="133"/>
      <c r="G3" s="133"/>
      <c r="H3" s="133"/>
    </row>
    <row r="4" spans="1:8" ht="15" customHeight="1" x14ac:dyDescent="0.25">
      <c r="A4" s="133" t="s">
        <v>2</v>
      </c>
      <c r="B4" s="133"/>
      <c r="C4" s="133"/>
      <c r="D4" s="133"/>
      <c r="E4" s="133" t="s">
        <v>171</v>
      </c>
      <c r="F4" s="133"/>
      <c r="G4" s="133"/>
      <c r="H4" s="133"/>
    </row>
    <row r="5" spans="1:8" x14ac:dyDescent="0.25">
      <c r="A5" s="133" t="s">
        <v>3</v>
      </c>
      <c r="B5" s="133"/>
      <c r="C5" s="133"/>
      <c r="D5" s="133"/>
      <c r="E5" s="165">
        <v>45847</v>
      </c>
      <c r="F5" s="133"/>
      <c r="G5" s="133"/>
      <c r="H5" s="133"/>
    </row>
    <row r="6" spans="1:8" ht="16.5" customHeight="1" x14ac:dyDescent="0.25">
      <c r="A6" s="133" t="s">
        <v>4</v>
      </c>
      <c r="B6" s="133"/>
      <c r="C6" s="133"/>
      <c r="D6" s="133"/>
      <c r="E6" s="133" t="s">
        <v>172</v>
      </c>
      <c r="F6" s="133"/>
      <c r="G6" s="133"/>
      <c r="H6" s="133"/>
    </row>
    <row r="7" spans="1:8" ht="15" customHeight="1" x14ac:dyDescent="0.25">
      <c r="A7" s="133" t="s">
        <v>5</v>
      </c>
      <c r="B7" s="133"/>
      <c r="C7" s="133"/>
      <c r="D7" s="133"/>
      <c r="E7" s="133" t="str">
        <f>E6</f>
        <v>Kaveri Shine Builders And Developers LLP</v>
      </c>
      <c r="F7" s="133"/>
      <c r="G7" s="133"/>
      <c r="H7" s="133"/>
    </row>
    <row r="8" spans="1:8" x14ac:dyDescent="0.25">
      <c r="A8" s="133" t="s">
        <v>6</v>
      </c>
      <c r="B8" s="133"/>
      <c r="C8" s="133"/>
      <c r="D8" s="133"/>
      <c r="E8" s="122" t="s">
        <v>173</v>
      </c>
      <c r="F8" s="122"/>
      <c r="G8" s="122"/>
      <c r="H8" s="122"/>
    </row>
    <row r="9" spans="1:8" x14ac:dyDescent="0.25">
      <c r="A9" s="133" t="s">
        <v>226</v>
      </c>
      <c r="B9" s="133"/>
      <c r="C9" s="133"/>
      <c r="D9" s="133"/>
      <c r="E9" s="133" t="s">
        <v>236</v>
      </c>
      <c r="F9" s="133"/>
      <c r="G9" s="133"/>
      <c r="H9" s="133"/>
    </row>
    <row r="10" spans="1:8" x14ac:dyDescent="0.25">
      <c r="A10" s="133" t="s">
        <v>227</v>
      </c>
      <c r="B10" s="133"/>
      <c r="C10" s="133"/>
      <c r="D10" s="133"/>
      <c r="E10" s="133">
        <v>8976242968</v>
      </c>
      <c r="F10" s="133"/>
      <c r="G10" s="133"/>
      <c r="H10" s="133"/>
    </row>
    <row r="11" spans="1:8" x14ac:dyDescent="0.25">
      <c r="A11" s="133" t="s">
        <v>7</v>
      </c>
      <c r="B11" s="133"/>
      <c r="C11" s="133"/>
      <c r="D11" s="133"/>
      <c r="E11" s="133" t="s">
        <v>174</v>
      </c>
      <c r="F11" s="133"/>
      <c r="G11" s="133"/>
      <c r="H11" s="133"/>
    </row>
    <row r="12" spans="1:8" x14ac:dyDescent="0.25">
      <c r="A12" s="133" t="s">
        <v>181</v>
      </c>
      <c r="B12" s="133"/>
      <c r="C12" s="133"/>
      <c r="D12" s="133"/>
      <c r="E12" s="133" t="s">
        <v>182</v>
      </c>
      <c r="F12" s="133"/>
      <c r="G12" s="133"/>
      <c r="H12" s="133"/>
    </row>
    <row r="13" spans="1:8" x14ac:dyDescent="0.25">
      <c r="A13" s="99" t="s">
        <v>8</v>
      </c>
      <c r="B13" s="99"/>
      <c r="C13" s="99"/>
      <c r="D13" s="99"/>
      <c r="E13" s="141" t="s">
        <v>228</v>
      </c>
      <c r="F13" s="141"/>
      <c r="G13" s="141"/>
      <c r="H13" s="141"/>
    </row>
    <row r="14" spans="1:8" x14ac:dyDescent="0.25">
      <c r="A14" s="99" t="s">
        <v>9</v>
      </c>
      <c r="B14" s="99"/>
      <c r="C14" s="99"/>
      <c r="D14" s="99"/>
      <c r="E14" s="141" t="s">
        <v>175</v>
      </c>
      <c r="F14" s="133"/>
      <c r="G14" s="133"/>
      <c r="H14" s="133"/>
    </row>
    <row r="15" spans="1:8" ht="49.5" customHeight="1" x14ac:dyDescent="0.25">
      <c r="A15" s="128" t="s">
        <v>10</v>
      </c>
      <c r="B15" s="128"/>
      <c r="C15" s="128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Kaveri Heritage, CTS No.484B &amp; Redevelopment of The Borivali New Rajesh Park CHSL, near Jayesh Apartment, Chandavarkar road, Maharashtra Nagar, Borivali, Borivali (W), Borivali, Mumbai - 400091.</v>
      </c>
      <c r="D15" s="128"/>
      <c r="E15" s="128"/>
      <c r="F15" s="128"/>
      <c r="G15" s="128"/>
      <c r="H15" s="128"/>
    </row>
    <row r="16" spans="1:8" x14ac:dyDescent="0.25">
      <c r="A16" s="141" t="s">
        <v>176</v>
      </c>
      <c r="B16" s="141"/>
      <c r="C16" s="141" t="s">
        <v>225</v>
      </c>
      <c r="D16" s="141"/>
      <c r="E16" s="141"/>
      <c r="F16" s="141"/>
      <c r="G16" s="141"/>
      <c r="H16" s="141"/>
    </row>
    <row r="17" spans="1:8" ht="15.75" customHeight="1" x14ac:dyDescent="0.25">
      <c r="A17" s="141" t="s">
        <v>168</v>
      </c>
      <c r="B17" s="141"/>
      <c r="C17" s="141" t="s">
        <v>183</v>
      </c>
      <c r="D17" s="141"/>
      <c r="E17" s="141"/>
      <c r="F17" s="141"/>
      <c r="G17" s="141"/>
      <c r="H17" s="141"/>
    </row>
    <row r="18" spans="1:8" ht="15.75" customHeight="1" x14ac:dyDescent="0.25">
      <c r="A18" s="128" t="s">
        <v>11</v>
      </c>
      <c r="B18" s="128"/>
      <c r="C18" s="133" t="s">
        <v>177</v>
      </c>
      <c r="D18" s="133"/>
      <c r="E18" s="128" t="s">
        <v>74</v>
      </c>
      <c r="F18" s="128"/>
      <c r="G18" s="141" t="s">
        <v>178</v>
      </c>
      <c r="H18" s="141"/>
    </row>
    <row r="19" spans="1:8" x14ac:dyDescent="0.25">
      <c r="A19" s="99" t="s">
        <v>13</v>
      </c>
      <c r="B19" s="99"/>
      <c r="C19" s="141" t="s">
        <v>179</v>
      </c>
      <c r="D19" s="141"/>
      <c r="E19" s="128" t="s">
        <v>12</v>
      </c>
      <c r="F19" s="128"/>
      <c r="G19" s="163" t="s">
        <v>180</v>
      </c>
      <c r="H19" s="163"/>
    </row>
    <row r="20" spans="1:8" x14ac:dyDescent="0.25">
      <c r="A20" s="99" t="s">
        <v>75</v>
      </c>
      <c r="B20" s="99"/>
      <c r="C20" s="141" t="s">
        <v>178</v>
      </c>
      <c r="D20" s="141"/>
      <c r="E20" s="128" t="s">
        <v>14</v>
      </c>
      <c r="F20" s="128"/>
      <c r="G20" s="141">
        <v>400091</v>
      </c>
      <c r="H20" s="141"/>
    </row>
    <row r="21" spans="1:8" ht="32.25" customHeight="1" x14ac:dyDescent="0.25">
      <c r="A21" s="99" t="s">
        <v>126</v>
      </c>
      <c r="B21" s="99"/>
      <c r="C21" s="141" t="s">
        <v>185</v>
      </c>
      <c r="D21" s="141"/>
      <c r="E21" s="128" t="s">
        <v>15</v>
      </c>
      <c r="F21" s="128"/>
      <c r="G21" s="141" t="s">
        <v>188</v>
      </c>
      <c r="H21" s="141"/>
    </row>
    <row r="22" spans="1:8" ht="15" customHeight="1" x14ac:dyDescent="0.25">
      <c r="A22" s="128" t="s">
        <v>78</v>
      </c>
      <c r="B22" s="128"/>
      <c r="C22" s="128"/>
      <c r="D22" s="128"/>
      <c r="E22" s="133" t="s">
        <v>16</v>
      </c>
      <c r="F22" s="133"/>
      <c r="G22" s="133"/>
      <c r="H22" s="133"/>
    </row>
    <row r="23" spans="1:8" ht="18.75" customHeight="1" x14ac:dyDescent="0.25">
      <c r="A23" s="128"/>
      <c r="B23" s="128"/>
      <c r="C23" s="128"/>
      <c r="D23" s="128"/>
      <c r="E23" s="133"/>
      <c r="F23" s="133"/>
      <c r="G23" s="133"/>
      <c r="H23" s="133"/>
    </row>
    <row r="24" spans="1:8" ht="15" customHeight="1" x14ac:dyDescent="0.25">
      <c r="A24" s="128" t="s">
        <v>17</v>
      </c>
      <c r="B24" s="128"/>
      <c r="C24" s="128"/>
      <c r="D24" s="128"/>
      <c r="E24" s="141" t="s">
        <v>18</v>
      </c>
      <c r="F24" s="141"/>
      <c r="G24" s="141"/>
      <c r="H24" s="141"/>
    </row>
    <row r="25" spans="1:8" ht="15" customHeight="1" x14ac:dyDescent="0.25">
      <c r="A25" s="99" t="s">
        <v>19</v>
      </c>
      <c r="B25" s="99"/>
      <c r="C25" s="99"/>
      <c r="D25" s="99"/>
      <c r="E25" s="141" t="str">
        <f>IF(AND(G19="Mumbai"),"Upper Class","Middle Class")</f>
        <v>Upper Class</v>
      </c>
      <c r="F25" s="141"/>
      <c r="G25" s="141"/>
      <c r="H25" s="141"/>
    </row>
    <row r="26" spans="1:8" x14ac:dyDescent="0.25">
      <c r="A26" s="99" t="s">
        <v>20</v>
      </c>
      <c r="B26" s="99"/>
      <c r="C26" s="99"/>
      <c r="D26" s="99"/>
      <c r="E26" s="141" t="s">
        <v>21</v>
      </c>
      <c r="F26" s="141"/>
      <c r="G26" s="141"/>
      <c r="H26" s="141"/>
    </row>
    <row r="27" spans="1:8" ht="15.75" customHeight="1" x14ac:dyDescent="0.25">
      <c r="A27" s="99" t="s">
        <v>22</v>
      </c>
      <c r="B27" s="99"/>
      <c r="C27" s="99"/>
      <c r="D27" s="99"/>
      <c r="E27" s="141" t="str">
        <f>IF(AND(G19="Mumbai"),"Developed","Developing")</f>
        <v>Developed</v>
      </c>
      <c r="F27" s="141"/>
      <c r="G27" s="141"/>
      <c r="H27" s="141"/>
    </row>
    <row r="28" spans="1:8" x14ac:dyDescent="0.25">
      <c r="A28" s="99" t="s">
        <v>23</v>
      </c>
      <c r="B28" s="99"/>
      <c r="C28" s="99"/>
      <c r="D28" s="99"/>
      <c r="E28" s="141" t="s">
        <v>24</v>
      </c>
      <c r="F28" s="141"/>
      <c r="G28" s="141"/>
      <c r="H28" s="141"/>
    </row>
    <row r="29" spans="1:8" ht="15.75" customHeight="1" x14ac:dyDescent="0.25">
      <c r="A29" s="99" t="s">
        <v>83</v>
      </c>
      <c r="B29" s="99"/>
      <c r="C29" s="99"/>
      <c r="D29" s="99"/>
      <c r="E29" s="141" t="s">
        <v>84</v>
      </c>
      <c r="F29" s="141"/>
      <c r="G29" s="141"/>
      <c r="H29" s="141"/>
    </row>
    <row r="30" spans="1:8" ht="15" customHeight="1" x14ac:dyDescent="0.25">
      <c r="A30" s="99" t="s">
        <v>33</v>
      </c>
      <c r="B30" s="99"/>
      <c r="C30" s="99"/>
      <c r="D30" s="99"/>
      <c r="E30" s="141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30" s="141"/>
      <c r="G30" s="141"/>
      <c r="H30" s="141"/>
    </row>
    <row r="31" spans="1:8" ht="15.75" customHeight="1" x14ac:dyDescent="0.25">
      <c r="A31" s="99" t="s">
        <v>95</v>
      </c>
      <c r="B31" s="99"/>
      <c r="C31" s="99"/>
      <c r="D31" s="99"/>
      <c r="E31" s="141" t="s">
        <v>34</v>
      </c>
      <c r="F31" s="141"/>
      <c r="G31" s="141"/>
      <c r="H31" s="141"/>
    </row>
    <row r="32" spans="1:8" s="20" customFormat="1" x14ac:dyDescent="0.25">
      <c r="A32" s="162" t="s">
        <v>96</v>
      </c>
      <c r="B32" s="162"/>
      <c r="C32" s="161" t="s">
        <v>29</v>
      </c>
      <c r="D32" s="161"/>
      <c r="E32" s="161"/>
      <c r="F32" s="161" t="s">
        <v>31</v>
      </c>
      <c r="G32" s="161"/>
      <c r="H32" s="161"/>
    </row>
    <row r="33" spans="1:8" s="20" customFormat="1" x14ac:dyDescent="0.25">
      <c r="A33" s="143" t="s">
        <v>25</v>
      </c>
      <c r="B33" s="143" t="s">
        <v>30</v>
      </c>
      <c r="C33" s="144" t="s">
        <v>30</v>
      </c>
      <c r="D33" s="144"/>
      <c r="E33" s="144"/>
      <c r="F33" s="144" t="s">
        <v>186</v>
      </c>
      <c r="G33" s="144"/>
      <c r="H33" s="144"/>
    </row>
    <row r="34" spans="1:8" x14ac:dyDescent="0.25">
      <c r="A34" s="143" t="s">
        <v>26</v>
      </c>
      <c r="B34" s="143" t="s">
        <v>30</v>
      </c>
      <c r="C34" s="144" t="s">
        <v>30</v>
      </c>
      <c r="D34" s="144"/>
      <c r="E34" s="144"/>
      <c r="F34" s="144" t="s">
        <v>185</v>
      </c>
      <c r="G34" s="144"/>
      <c r="H34" s="144"/>
    </row>
    <row r="35" spans="1:8" s="20" customFormat="1" x14ac:dyDescent="0.25">
      <c r="A35" s="143" t="s">
        <v>28</v>
      </c>
      <c r="B35" s="143" t="s">
        <v>30</v>
      </c>
      <c r="C35" s="144" t="s">
        <v>30</v>
      </c>
      <c r="D35" s="144"/>
      <c r="E35" s="144"/>
      <c r="F35" s="144" t="s">
        <v>187</v>
      </c>
      <c r="G35" s="144"/>
      <c r="H35" s="144"/>
    </row>
    <row r="36" spans="1:8" x14ac:dyDescent="0.25">
      <c r="A36" s="143" t="s">
        <v>27</v>
      </c>
      <c r="B36" s="143" t="s">
        <v>30</v>
      </c>
      <c r="C36" s="144" t="s">
        <v>30</v>
      </c>
      <c r="D36" s="144"/>
      <c r="E36" s="144"/>
      <c r="F36" s="144" t="s">
        <v>177</v>
      </c>
      <c r="G36" s="144"/>
      <c r="H36" s="144"/>
    </row>
    <row r="37" spans="1:8" x14ac:dyDescent="0.25">
      <c r="A37" s="99" t="s">
        <v>32</v>
      </c>
      <c r="B37" s="99"/>
      <c r="C37" s="99"/>
      <c r="D37" s="99"/>
      <c r="E37" s="99"/>
      <c r="F37" s="99"/>
      <c r="G37" s="99"/>
      <c r="H37" s="99"/>
    </row>
    <row r="38" spans="1:8" ht="15.75" customHeight="1" x14ac:dyDescent="0.25">
      <c r="A38" s="147" t="s">
        <v>170</v>
      </c>
      <c r="B38" s="148"/>
      <c r="C38" s="99" t="s">
        <v>229</v>
      </c>
      <c r="D38" s="99"/>
      <c r="E38" s="99"/>
      <c r="F38" s="99"/>
      <c r="G38" s="99"/>
      <c r="H38" s="99"/>
    </row>
    <row r="39" spans="1:8" x14ac:dyDescent="0.25">
      <c r="A39" s="149" t="s">
        <v>167</v>
      </c>
      <c r="B39" s="149"/>
      <c r="C39" s="150" t="s">
        <v>184</v>
      </c>
      <c r="D39" s="141"/>
      <c r="E39" s="141"/>
      <c r="F39" s="141"/>
      <c r="G39" s="141"/>
      <c r="H39" s="141"/>
    </row>
    <row r="40" spans="1:8" x14ac:dyDescent="0.25">
      <c r="A40" s="146" t="s">
        <v>35</v>
      </c>
      <c r="B40" s="146"/>
      <c r="C40" s="146"/>
      <c r="D40" s="146"/>
      <c r="E40" s="146"/>
      <c r="F40" s="146"/>
      <c r="G40" s="146"/>
      <c r="H40" s="146"/>
    </row>
    <row r="41" spans="1:8" x14ac:dyDescent="0.25">
      <c r="A41" s="99" t="s">
        <v>36</v>
      </c>
      <c r="B41" s="99"/>
      <c r="C41" s="99"/>
      <c r="D41" s="99"/>
      <c r="E41" s="145">
        <v>2621</v>
      </c>
      <c r="F41" s="145"/>
      <c r="G41" s="145"/>
      <c r="H41" s="145"/>
    </row>
    <row r="42" spans="1:8" x14ac:dyDescent="0.25">
      <c r="A42" s="99" t="s">
        <v>37</v>
      </c>
      <c r="B42" s="99"/>
      <c r="C42" s="99"/>
      <c r="D42" s="99"/>
      <c r="E42" s="131">
        <v>1</v>
      </c>
      <c r="F42" s="131"/>
      <c r="G42" s="131"/>
      <c r="H42" s="131"/>
    </row>
    <row r="43" spans="1:8" x14ac:dyDescent="0.25">
      <c r="A43" s="99" t="s">
        <v>38</v>
      </c>
      <c r="B43" s="99"/>
      <c r="C43" s="99"/>
      <c r="D43" s="99"/>
      <c r="E43" s="131">
        <f>E45/E41-E42</f>
        <v>1.5</v>
      </c>
      <c r="F43" s="131"/>
      <c r="G43" s="131"/>
      <c r="H43" s="131"/>
    </row>
    <row r="44" spans="1:8" x14ac:dyDescent="0.25">
      <c r="A44" s="99" t="s">
        <v>39</v>
      </c>
      <c r="B44" s="99"/>
      <c r="C44" s="99"/>
      <c r="D44" s="99"/>
      <c r="E44" s="131">
        <f>E42+E43</f>
        <v>2.5</v>
      </c>
      <c r="F44" s="131"/>
      <c r="G44" s="131"/>
      <c r="H44" s="131"/>
    </row>
    <row r="45" spans="1:8" x14ac:dyDescent="0.25">
      <c r="A45" s="99" t="s">
        <v>94</v>
      </c>
      <c r="B45" s="99"/>
      <c r="C45" s="99"/>
      <c r="D45" s="99"/>
      <c r="E45" s="132">
        <v>6552.5</v>
      </c>
      <c r="F45" s="132"/>
      <c r="G45" s="132"/>
      <c r="H45" s="132"/>
    </row>
    <row r="46" spans="1:8" x14ac:dyDescent="0.25">
      <c r="A46" s="133" t="s">
        <v>40</v>
      </c>
      <c r="B46" s="133"/>
      <c r="C46" s="133"/>
      <c r="D46" s="133"/>
      <c r="E46" s="133" t="s">
        <v>191</v>
      </c>
      <c r="F46" s="133"/>
      <c r="G46" s="133"/>
      <c r="H46" s="133"/>
    </row>
    <row r="47" spans="1:8" x14ac:dyDescent="0.25">
      <c r="A47" s="146" t="s">
        <v>41</v>
      </c>
      <c r="B47" s="146"/>
      <c r="C47" s="146"/>
      <c r="D47" s="146"/>
      <c r="E47" s="146"/>
      <c r="F47" s="146"/>
      <c r="G47" s="146"/>
      <c r="H47" s="146"/>
    </row>
    <row r="48" spans="1:8" ht="33.75" customHeight="1" x14ac:dyDescent="0.25">
      <c r="A48" s="85" t="s">
        <v>154</v>
      </c>
      <c r="B48" s="86"/>
      <c r="C48" s="87" t="s">
        <v>189</v>
      </c>
      <c r="D48" s="88"/>
      <c r="E48" s="88"/>
      <c r="F48" s="88"/>
      <c r="G48" s="88"/>
      <c r="H48" s="89"/>
    </row>
    <row r="49" spans="1:14" ht="31.5" customHeight="1" x14ac:dyDescent="0.25">
      <c r="A49" s="85" t="s">
        <v>42</v>
      </c>
      <c r="B49" s="86"/>
      <c r="C49" s="85" t="s">
        <v>190</v>
      </c>
      <c r="D49" s="187"/>
      <c r="E49" s="86"/>
      <c r="F49" s="18" t="s">
        <v>43</v>
      </c>
      <c r="G49" s="155">
        <v>44918</v>
      </c>
      <c r="H49" s="156"/>
    </row>
    <row r="50" spans="1:14" ht="31.5" customHeight="1" x14ac:dyDescent="0.25">
      <c r="A50" s="85" t="s">
        <v>44</v>
      </c>
      <c r="B50" s="86"/>
      <c r="C50" s="85" t="str">
        <f>C49</f>
        <v>P-8677/2021/(484/B)/R/C WARD/BORIVALI - R/C</v>
      </c>
      <c r="D50" s="187"/>
      <c r="E50" s="86"/>
      <c r="F50" s="18" t="s">
        <v>43</v>
      </c>
      <c r="G50" s="155">
        <f>G49</f>
        <v>44918</v>
      </c>
      <c r="H50" s="156"/>
    </row>
    <row r="51" spans="1:14" s="21" customFormat="1" ht="32.25" customHeight="1" x14ac:dyDescent="0.25">
      <c r="A51" s="157" t="s">
        <v>158</v>
      </c>
      <c r="B51" s="158"/>
      <c r="C51" s="85" t="s">
        <v>238</v>
      </c>
      <c r="D51" s="187"/>
      <c r="E51" s="86"/>
      <c r="F51" s="18" t="s">
        <v>43</v>
      </c>
      <c r="G51" s="155">
        <v>45664</v>
      </c>
      <c r="H51" s="156"/>
    </row>
    <row r="52" spans="1:14" s="21" customFormat="1" ht="146.25" customHeight="1" x14ac:dyDescent="0.25">
      <c r="A52" s="159"/>
      <c r="B52" s="160"/>
      <c r="C52" s="85" t="s">
        <v>237</v>
      </c>
      <c r="D52" s="187"/>
      <c r="E52" s="86"/>
      <c r="F52" s="18" t="s">
        <v>125</v>
      </c>
      <c r="G52" s="155">
        <v>45717</v>
      </c>
      <c r="H52" s="156"/>
      <c r="I52" s="72"/>
      <c r="J52" s="72"/>
    </row>
    <row r="53" spans="1:14" ht="81" customHeight="1" x14ac:dyDescent="0.25">
      <c r="A53" s="74" t="s">
        <v>239</v>
      </c>
      <c r="B53" s="75"/>
      <c r="C53" s="74" t="s">
        <v>233</v>
      </c>
      <c r="D53" s="76"/>
      <c r="E53" s="75"/>
      <c r="F53" s="71" t="s">
        <v>43</v>
      </c>
      <c r="G53" s="77">
        <v>44918</v>
      </c>
      <c r="H53" s="78"/>
    </row>
    <row r="54" spans="1:14" ht="146.25" hidden="1" customHeight="1" x14ac:dyDescent="0.25">
      <c r="A54" s="74" t="s">
        <v>239</v>
      </c>
      <c r="B54" s="75"/>
      <c r="C54" s="74" t="s">
        <v>240</v>
      </c>
      <c r="D54" s="76"/>
      <c r="E54" s="75"/>
      <c r="F54" s="67" t="s">
        <v>43</v>
      </c>
      <c r="G54" s="77">
        <v>45324</v>
      </c>
      <c r="H54" s="190"/>
    </row>
    <row r="55" spans="1:14" x14ac:dyDescent="0.25">
      <c r="A55" s="171" t="s">
        <v>46</v>
      </c>
      <c r="B55" s="171"/>
      <c r="C55" s="171"/>
      <c r="D55" s="171"/>
      <c r="E55" s="171"/>
      <c r="F55" s="171"/>
      <c r="G55" s="171"/>
      <c r="H55" s="171"/>
    </row>
    <row r="56" spans="1:14" x14ac:dyDescent="0.25">
      <c r="A56" s="128" t="s">
        <v>93</v>
      </c>
      <c r="B56" s="128"/>
      <c r="C56" s="128"/>
      <c r="D56" s="99">
        <f>E45</f>
        <v>6552.5</v>
      </c>
      <c r="E56" s="99"/>
      <c r="F56" s="99"/>
      <c r="G56" s="99"/>
      <c r="H56" s="99"/>
    </row>
    <row r="57" spans="1:14" x14ac:dyDescent="0.25">
      <c r="A57" s="141" t="s">
        <v>47</v>
      </c>
      <c r="B57" s="133"/>
      <c r="C57" s="133"/>
      <c r="D57" s="133" t="s">
        <v>220</v>
      </c>
      <c r="E57" s="133"/>
      <c r="F57" s="133"/>
      <c r="G57" s="133"/>
      <c r="H57" s="133"/>
      <c r="I57" s="22"/>
    </row>
    <row r="58" spans="1:14" ht="33" customHeight="1" x14ac:dyDescent="0.25">
      <c r="A58" s="152" t="s">
        <v>48</v>
      </c>
      <c r="B58" s="153"/>
      <c r="C58" s="154"/>
      <c r="D58" s="130" t="s">
        <v>193</v>
      </c>
      <c r="E58" s="151"/>
      <c r="F58" s="151"/>
      <c r="G58" s="151"/>
      <c r="H58" s="151"/>
    </row>
    <row r="59" spans="1:14" ht="15.75" customHeight="1" x14ac:dyDescent="0.25">
      <c r="A59" s="152" t="s">
        <v>91</v>
      </c>
      <c r="B59" s="153"/>
      <c r="C59" s="153"/>
      <c r="D59" s="141" t="s">
        <v>194</v>
      </c>
      <c r="E59" s="133"/>
      <c r="F59" s="133"/>
      <c r="G59" s="133"/>
      <c r="H59" s="133"/>
    </row>
    <row r="60" spans="1:14" ht="15.75" customHeight="1" x14ac:dyDescent="0.25">
      <c r="A60" s="188"/>
      <c r="B60" s="189"/>
      <c r="C60" s="189"/>
      <c r="D60" s="133" t="s">
        <v>234</v>
      </c>
      <c r="E60" s="133"/>
      <c r="F60" s="133"/>
      <c r="G60" s="133"/>
      <c r="H60" s="133"/>
    </row>
    <row r="61" spans="1:14" ht="15.75" customHeight="1" x14ac:dyDescent="0.25">
      <c r="A61" s="99" t="s">
        <v>45</v>
      </c>
      <c r="B61" s="99"/>
      <c r="C61" s="99"/>
      <c r="D61" s="124" t="s">
        <v>244</v>
      </c>
      <c r="E61" s="124"/>
      <c r="F61" s="124"/>
      <c r="G61" s="124"/>
      <c r="H61" s="124"/>
      <c r="J61" s="23"/>
      <c r="K61" s="22"/>
      <c r="N61" s="22"/>
    </row>
    <row r="62" spans="1:14" ht="15.75" customHeight="1" x14ac:dyDescent="0.25">
      <c r="A62" s="99" t="s">
        <v>89</v>
      </c>
      <c r="B62" s="99"/>
      <c r="C62" s="99"/>
      <c r="D62" s="127" t="s">
        <v>232</v>
      </c>
      <c r="E62" s="127"/>
      <c r="F62" s="127"/>
      <c r="G62" s="127"/>
      <c r="H62" s="127"/>
      <c r="N62" s="22"/>
    </row>
    <row r="63" spans="1:14" ht="15.75" customHeight="1" x14ac:dyDescent="0.25">
      <c r="A63" s="99" t="s">
        <v>90</v>
      </c>
      <c r="B63" s="99"/>
      <c r="C63" s="99"/>
      <c r="D63" s="128" t="s">
        <v>24</v>
      </c>
      <c r="E63" s="128"/>
      <c r="F63" s="128"/>
      <c r="G63" s="128"/>
      <c r="H63" s="128"/>
      <c r="J63" s="24"/>
      <c r="K63" s="24"/>
    </row>
    <row r="64" spans="1:14" ht="30" customHeight="1" x14ac:dyDescent="0.25">
      <c r="A64" s="99" t="s">
        <v>76</v>
      </c>
      <c r="B64" s="99"/>
      <c r="C64" s="99"/>
      <c r="D64" s="141" t="s">
        <v>192</v>
      </c>
      <c r="E64" s="128"/>
      <c r="F64" s="128"/>
      <c r="G64" s="128"/>
      <c r="H64" s="128"/>
    </row>
    <row r="65" spans="1:14" x14ac:dyDescent="0.25">
      <c r="A65" s="128" t="s">
        <v>152</v>
      </c>
      <c r="B65" s="128"/>
      <c r="C65" s="128"/>
      <c r="D65" s="128" t="s">
        <v>30</v>
      </c>
      <c r="E65" s="128"/>
      <c r="F65" s="128"/>
      <c r="G65" s="128"/>
      <c r="H65" s="128"/>
      <c r="I65" s="25"/>
      <c r="J65" s="25"/>
      <c r="K65" s="25"/>
      <c r="L65" s="25"/>
      <c r="M65" s="25"/>
      <c r="N65" s="25"/>
    </row>
    <row r="66" spans="1:14" ht="15.75" customHeight="1" x14ac:dyDescent="0.25">
      <c r="A66" s="129" t="s">
        <v>88</v>
      </c>
      <c r="B66" s="129"/>
      <c r="C66" s="129"/>
      <c r="D66" s="130" t="str">
        <f ca="1">(IF(G72&gt;95%,"Nothing",IF(G72&gt;0%,"Cement, Aggregate, Steel, etc",IF(G72=0%,"Work not yet Started"))))</f>
        <v>Nothing</v>
      </c>
      <c r="E66" s="130"/>
      <c r="F66" s="130"/>
      <c r="G66" s="130"/>
      <c r="H66" s="130"/>
      <c r="J66" s="24"/>
    </row>
    <row r="67" spans="1:14" ht="33.75" customHeight="1" thickBot="1" x14ac:dyDescent="0.3">
      <c r="A67" s="142" t="s">
        <v>120</v>
      </c>
      <c r="B67" s="142"/>
      <c r="C67" s="142"/>
      <c r="D67" s="130" t="str">
        <f ca="1">(IF(D66="Nothing","Yes",IF(D66="Cement, Aggregate, Steel, etc","Under Construction",IF(D66="Work not yet Started","Work not yet Started"))))</f>
        <v>Yes</v>
      </c>
      <c r="E67" s="130"/>
      <c r="F67" s="130" t="str">
        <f ca="1">(IF(D66="Nothing","Yes",IF(D66="Cement, Aggregate, Steel, etc","Under Construction",IF(D66="Work not yet Started","Work not yet Started"))))</f>
        <v>Yes</v>
      </c>
      <c r="G67" s="130"/>
      <c r="H67" s="130"/>
    </row>
    <row r="68" spans="1:14" ht="15.75" customHeight="1" x14ac:dyDescent="0.25">
      <c r="A68" s="134" t="s">
        <v>144</v>
      </c>
      <c r="B68" s="135"/>
      <c r="C68" s="136" t="str">
        <f>D59</f>
        <v>Wing A = Gr/Stilt + 1st to 3rd Floor</v>
      </c>
      <c r="D68" s="137"/>
      <c r="E68" s="137"/>
      <c r="F68" s="137"/>
      <c r="G68" s="137"/>
      <c r="H68" s="138"/>
      <c r="I68" s="43" t="str">
        <f ca="1">IF(D81=100%,"All work Completed. Possession granted to the Building.",IF(D80=100%,"All work Completed, Waiting for OC",I69&amp;""&amp;I70&amp;""&amp;J69&amp;""&amp;J68&amp;" "&amp;J70))</f>
        <v>All work Completed. Possession granted to the Building.</v>
      </c>
      <c r="J68" s="44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/>
      </c>
    </row>
    <row r="69" spans="1:14" x14ac:dyDescent="0.25">
      <c r="A69" s="16" t="s">
        <v>146</v>
      </c>
      <c r="B69" s="48">
        <v>0</v>
      </c>
      <c r="C69" s="48" t="s">
        <v>73</v>
      </c>
      <c r="D69" s="48">
        <v>1</v>
      </c>
      <c r="E69" s="48" t="s">
        <v>72</v>
      </c>
      <c r="F69" s="48">
        <v>0</v>
      </c>
      <c r="G69" s="48" t="s">
        <v>82</v>
      </c>
      <c r="H69" s="17">
        <f ca="1">--TRIM(RIGHT(SUBSTITUTE(LEFT(C68,_xlfn.AGGREGATE(16,6,FIND({0,1,2,3,4,5,6,7,8,9},C68,ROW(INDIRECT("1:"&amp;LEN(C68)))),1))," ",REPT(" ",LEN(C68))),LEN(C68)))</f>
        <v>3</v>
      </c>
      <c r="I69" s="45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Brickwork, Internal Plaster, External Plaster, Flooring, Painting, Building common Amenities</v>
      </c>
      <c r="J69" s="46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x14ac:dyDescent="0.25">
      <c r="A70" s="121" t="s">
        <v>92</v>
      </c>
      <c r="B70" s="122"/>
      <c r="C70" s="139" t="str">
        <f ca="1">I68</f>
        <v>All work Completed. Possession granted to the Building.</v>
      </c>
      <c r="D70" s="139"/>
      <c r="E70" s="139"/>
      <c r="F70" s="139"/>
      <c r="G70" s="139"/>
      <c r="H70" s="140"/>
      <c r="I70" s="45" t="str">
        <f ca="1">IF(I69&lt;&gt;""," Completed","")</f>
        <v xml:space="preserve"> Completed</v>
      </c>
      <c r="J70" s="46" t="str">
        <f ca="1">IF(J68&lt;&gt;"","Completed","")</f>
        <v/>
      </c>
    </row>
    <row r="71" spans="1:14" ht="15.75" customHeight="1" x14ac:dyDescent="0.25">
      <c r="A71" s="96" t="s">
        <v>49</v>
      </c>
      <c r="B71" s="97"/>
      <c r="C71" s="50" t="s">
        <v>143</v>
      </c>
      <c r="D71" s="50" t="s">
        <v>85</v>
      </c>
      <c r="E71" s="97" t="s">
        <v>87</v>
      </c>
      <c r="F71" s="97"/>
      <c r="G71" s="97" t="s">
        <v>86</v>
      </c>
      <c r="H71" s="123"/>
      <c r="I71" s="14" t="s">
        <v>145</v>
      </c>
      <c r="J71" s="26">
        <f ca="1">H69*25%</f>
        <v>0.75</v>
      </c>
    </row>
    <row r="72" spans="1:14" x14ac:dyDescent="0.25">
      <c r="A72" s="96" t="s">
        <v>132</v>
      </c>
      <c r="B72" s="97"/>
      <c r="C72" s="50">
        <f ca="1">J73</f>
        <v>3</v>
      </c>
      <c r="D72" s="51">
        <f ca="1">((100/H69)*C72)/100</f>
        <v>1</v>
      </c>
      <c r="E72" s="90">
        <f ca="1">(((C73/H69*10)+(40/(D69+F69+H69)*C74)+(7.5/(H69)*C75)+(7.5/(H69)*C76)+(10/H69*C77)+(10/H69*C78)+(5/H69*C79)+(5/H69*C80)+(5/H69*C81))/100)</f>
        <v>1</v>
      </c>
      <c r="F72" s="117"/>
      <c r="G72" s="90">
        <f ca="1">((((C72/H69)*20)+((C73/H69)*25)+(30/(H69+F69+D69)*C74)+(5/H69*C75)+(5/H69*C76)+(5/H69*C77)+(5/H69*C78)+(0/H69*C79)+(0/H69*C80)+(5/H69*C81))/100)</f>
        <v>1</v>
      </c>
      <c r="H72" s="91"/>
      <c r="I72" s="14" t="s">
        <v>103</v>
      </c>
      <c r="J72" s="27">
        <f ca="1">H69*50%</f>
        <v>1.5</v>
      </c>
    </row>
    <row r="73" spans="1:14" x14ac:dyDescent="0.25">
      <c r="A73" s="96" t="s">
        <v>50</v>
      </c>
      <c r="B73" s="97"/>
      <c r="C73" s="50">
        <f ca="1">J81</f>
        <v>3</v>
      </c>
      <c r="D73" s="51">
        <f ca="1">((100/H69)*C73)/100</f>
        <v>1</v>
      </c>
      <c r="E73" s="92"/>
      <c r="F73" s="118"/>
      <c r="G73" s="92"/>
      <c r="H73" s="93"/>
      <c r="I73" s="14" t="s">
        <v>104</v>
      </c>
      <c r="J73" s="27">
        <f ca="1">H69</f>
        <v>3</v>
      </c>
    </row>
    <row r="74" spans="1:14" ht="15.75" customHeight="1" x14ac:dyDescent="0.25">
      <c r="A74" s="96" t="s">
        <v>133</v>
      </c>
      <c r="B74" s="97"/>
      <c r="C74" s="50">
        <v>4</v>
      </c>
      <c r="D74" s="51">
        <f ca="1">((100/(D69+F69+H69))*C74)/100</f>
        <v>1</v>
      </c>
      <c r="E74" s="92"/>
      <c r="F74" s="118"/>
      <c r="G74" s="92"/>
      <c r="H74" s="93"/>
      <c r="I74" s="14" t="s">
        <v>105</v>
      </c>
      <c r="J74" s="28">
        <f ca="1">(IF(B69&gt;1,(H69/(B69+2)),H69/4))</f>
        <v>0.75</v>
      </c>
    </row>
    <row r="75" spans="1:14" ht="15.75" customHeight="1" x14ac:dyDescent="0.25">
      <c r="A75" s="96" t="s">
        <v>140</v>
      </c>
      <c r="B75" s="97" t="s">
        <v>134</v>
      </c>
      <c r="C75" s="50">
        <v>3</v>
      </c>
      <c r="D75" s="51">
        <f ca="1">((100/H69)*C75)/100</f>
        <v>1</v>
      </c>
      <c r="E75" s="92"/>
      <c r="F75" s="118"/>
      <c r="G75" s="92"/>
      <c r="H75" s="93"/>
      <c r="I75" s="14" t="s">
        <v>106</v>
      </c>
      <c r="J75" s="28">
        <f ca="1">(IF(B69&gt;1,(H69/(B69+2)+J74),H69/4+J74))</f>
        <v>1.5</v>
      </c>
    </row>
    <row r="76" spans="1:14" ht="15.75" customHeight="1" x14ac:dyDescent="0.25">
      <c r="A76" s="96" t="s">
        <v>141</v>
      </c>
      <c r="B76" s="97" t="s">
        <v>134</v>
      </c>
      <c r="C76" s="50">
        <v>3</v>
      </c>
      <c r="D76" s="51">
        <f ca="1">((100/H69)*C76)/100</f>
        <v>1</v>
      </c>
      <c r="E76" s="92"/>
      <c r="F76" s="118"/>
      <c r="G76" s="92"/>
      <c r="H76" s="93"/>
      <c r="I76" s="14" t="s">
        <v>150</v>
      </c>
      <c r="J76" s="28">
        <f>(IF(B69&gt;1,(H69/(B69+2)+J75),0))</f>
        <v>0</v>
      </c>
    </row>
    <row r="77" spans="1:14" ht="15" customHeight="1" x14ac:dyDescent="0.25">
      <c r="A77" s="96" t="s">
        <v>139</v>
      </c>
      <c r="B77" s="97" t="s">
        <v>136</v>
      </c>
      <c r="C77" s="50">
        <v>3</v>
      </c>
      <c r="D77" s="51">
        <f ca="1">((100/(H69))*C77)/100</f>
        <v>1</v>
      </c>
      <c r="E77" s="92"/>
      <c r="F77" s="118"/>
      <c r="G77" s="92"/>
      <c r="H77" s="93"/>
      <c r="I77" s="14" t="s">
        <v>147</v>
      </c>
      <c r="J77" s="28">
        <f>(IF(B69&gt;2,(H69/(B69+2)+J76),0))</f>
        <v>0</v>
      </c>
    </row>
    <row r="78" spans="1:14" ht="15.75" customHeight="1" x14ac:dyDescent="0.25">
      <c r="A78" s="96" t="s">
        <v>135</v>
      </c>
      <c r="B78" s="97" t="s">
        <v>135</v>
      </c>
      <c r="C78" s="50">
        <v>3</v>
      </c>
      <c r="D78" s="51">
        <f ca="1">((100/H69)*C78)/100</f>
        <v>1</v>
      </c>
      <c r="E78" s="92"/>
      <c r="F78" s="118"/>
      <c r="G78" s="92"/>
      <c r="H78" s="93"/>
      <c r="I78" s="14" t="s">
        <v>148</v>
      </c>
      <c r="J78" s="29">
        <f>(IF(B69&gt;3,(H69/(B69+2)+J77),0))</f>
        <v>0</v>
      </c>
    </row>
    <row r="79" spans="1:14" ht="15.75" customHeight="1" x14ac:dyDescent="0.25">
      <c r="A79" s="96" t="s">
        <v>142</v>
      </c>
      <c r="B79" s="97"/>
      <c r="C79" s="50">
        <v>3</v>
      </c>
      <c r="D79" s="51">
        <f ca="1">((100/H69)*C79)/100</f>
        <v>1</v>
      </c>
      <c r="E79" s="92"/>
      <c r="F79" s="118"/>
      <c r="G79" s="92"/>
      <c r="H79" s="93"/>
      <c r="I79" s="14" t="s">
        <v>149</v>
      </c>
      <c r="J79" s="28">
        <f>(IF(B69&gt;4,(H69/(B69+2)+J78),0))</f>
        <v>0</v>
      </c>
    </row>
    <row r="80" spans="1:14" ht="15.75" customHeight="1" x14ac:dyDescent="0.25">
      <c r="A80" s="96" t="s">
        <v>137</v>
      </c>
      <c r="B80" s="97" t="s">
        <v>137</v>
      </c>
      <c r="C80" s="50">
        <v>3</v>
      </c>
      <c r="D80" s="51">
        <f ca="1">((100/(H69))*C80)/100</f>
        <v>1</v>
      </c>
      <c r="E80" s="92"/>
      <c r="F80" s="118"/>
      <c r="G80" s="92"/>
      <c r="H80" s="93"/>
      <c r="I80" s="14" t="s">
        <v>151</v>
      </c>
      <c r="J80" s="28">
        <f ca="1">(IF(B69=1,(H69/(B69+3)+J75),IF(B69=0,(H69/4+J75),IF(B69&gt;1,0))))</f>
        <v>2.25</v>
      </c>
    </row>
    <row r="81" spans="1:13" ht="16.5" thickBot="1" x14ac:dyDescent="0.3">
      <c r="A81" s="125" t="s">
        <v>138</v>
      </c>
      <c r="B81" s="126"/>
      <c r="C81" s="52">
        <v>3</v>
      </c>
      <c r="D81" s="53">
        <f ca="1">((100/(H69))*C81)/100</f>
        <v>1</v>
      </c>
      <c r="E81" s="94"/>
      <c r="F81" s="119"/>
      <c r="G81" s="94"/>
      <c r="H81" s="95"/>
      <c r="I81" s="15" t="s">
        <v>107</v>
      </c>
      <c r="J81" s="30">
        <f ca="1">(IF(B69&gt;1.5,(H69/(B69+2)+J75+MAX(0,J76-J75)+MAX(0,J77-J76)+MAX(0,J78-J77)+MAX(0,J79-J78)+MAX(0,J80-J79)),IF(B69=1,(H69/(B69+3)+J80),IF(B69=0,H69/4+J80))))</f>
        <v>3</v>
      </c>
    </row>
    <row r="82" spans="1:13" ht="15.75" customHeight="1" x14ac:dyDescent="0.25">
      <c r="A82" s="134" t="s">
        <v>144</v>
      </c>
      <c r="B82" s="135"/>
      <c r="C82" s="136" t="str">
        <f>D60</f>
        <v>Wing B = Gr/Stilt + 1st to 4th (Podium) + 5th to 19th Floor</v>
      </c>
      <c r="D82" s="137"/>
      <c r="E82" s="137"/>
      <c r="F82" s="137"/>
      <c r="G82" s="137"/>
      <c r="H82" s="138"/>
      <c r="I82" s="43" t="str">
        <f ca="1">IF(D95=100%,"All work Completed. Possession granted to the Building.",IF(D94=100%,"All work Completed, Waiting for OC",I83&amp;""&amp;I84&amp;""&amp;J83&amp;""&amp;J82&amp;" "&amp;J84))</f>
        <v>Excavation, Plinth, RCC Slab, Brickwork, Internal Plaster Completed, External Plaster upto 17 Floor, Flooring upto 15 Floor, Painting upto 12 Floor, Finishing upto 6 Floor Completed</v>
      </c>
      <c r="J82" s="44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External Plaster upto 17 Floor, Flooring upto 15 Floor, Painting upto 12 Floor, Finishing upto 6 Floor</v>
      </c>
    </row>
    <row r="83" spans="1:13" x14ac:dyDescent="0.25">
      <c r="A83" s="16" t="s">
        <v>146</v>
      </c>
      <c r="B83" s="64">
        <v>0</v>
      </c>
      <c r="C83" s="64" t="s">
        <v>73</v>
      </c>
      <c r="D83" s="64">
        <v>1</v>
      </c>
      <c r="E83" s="64" t="s">
        <v>72</v>
      </c>
      <c r="F83" s="64">
        <v>0</v>
      </c>
      <c r="G83" s="64" t="s">
        <v>82</v>
      </c>
      <c r="H83" s="17">
        <f ca="1">--TRIM(RIGHT(SUBSTITUTE(LEFT(C82,_xlfn.AGGREGATE(16,6,FIND({0,1,2,3,4,5,6,7,8,9},C82,ROW(INDIRECT("1:"&amp;LEN(C82)))),1))," ",REPT(" ",LEN(C82))),LEN(C82)))</f>
        <v>19</v>
      </c>
      <c r="I83" s="45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Slab, Brickwork, Internal Plaster</v>
      </c>
      <c r="J83" s="46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3" ht="50.25" customHeight="1" x14ac:dyDescent="0.25">
      <c r="A84" s="121" t="s">
        <v>92</v>
      </c>
      <c r="B84" s="122"/>
      <c r="C84" s="139" t="str">
        <f ca="1">I82</f>
        <v>Excavation, Plinth, RCC Slab, Brickwork, Internal Plaster Completed, External Plaster upto 17 Floor, Flooring upto 15 Floor, Painting upto 12 Floor, Finishing upto 6 Floor Completed</v>
      </c>
      <c r="D84" s="139"/>
      <c r="E84" s="139"/>
      <c r="F84" s="139"/>
      <c r="G84" s="139"/>
      <c r="H84" s="140"/>
      <c r="I84" s="45" t="str">
        <f ca="1">IF(I83&lt;&gt;""," Completed","")</f>
        <v xml:space="preserve"> Completed</v>
      </c>
      <c r="J84" s="46" t="str">
        <f ca="1">IF(J82&lt;&gt;"","Completed","")</f>
        <v>Completed</v>
      </c>
    </row>
    <row r="85" spans="1:13" ht="15.75" customHeight="1" x14ac:dyDescent="0.25">
      <c r="A85" s="96" t="s">
        <v>49</v>
      </c>
      <c r="B85" s="97"/>
      <c r="C85" s="62" t="s">
        <v>143</v>
      </c>
      <c r="D85" s="62" t="s">
        <v>85</v>
      </c>
      <c r="E85" s="97" t="s">
        <v>87</v>
      </c>
      <c r="F85" s="97"/>
      <c r="G85" s="97" t="s">
        <v>86</v>
      </c>
      <c r="H85" s="123"/>
      <c r="I85" s="14" t="s">
        <v>145</v>
      </c>
      <c r="J85" s="26">
        <f ca="1">H83*25%</f>
        <v>4.75</v>
      </c>
    </row>
    <row r="86" spans="1:13" x14ac:dyDescent="0.25">
      <c r="A86" s="96" t="s">
        <v>132</v>
      </c>
      <c r="B86" s="97"/>
      <c r="C86" s="62">
        <f ca="1">J87</f>
        <v>19</v>
      </c>
      <c r="D86" s="51">
        <f ca="1">((100/H83)*C86)/100</f>
        <v>1</v>
      </c>
      <c r="E86" s="90">
        <f ca="1">(((C87/H83*10)+(40/(D83+F83+H83)*C88)+(7.5/(H83)*C89)+(7.5/(H83)*C90)+(10/H83*C91)+(10/H83*C92)+(5/H83*C93)+(5/H83*C94)+(5/H83*C95))/100)</f>
        <v>0.86578947368421055</v>
      </c>
      <c r="F86" s="117"/>
      <c r="G86" s="90">
        <f ca="1">((((C86/H83)*20)+((C87/H83)*25)+(30/(H83+F83+D83)*C88)+(5/H83*C89)+(5/H83*C90)+(5/H83*C91)+(5/H83*C92)+(0/H83*C93)+(0/H83*C94)+(5/H83*C95))/100)</f>
        <v>0.93421052631578949</v>
      </c>
      <c r="H86" s="91"/>
      <c r="I86" s="14" t="s">
        <v>103</v>
      </c>
      <c r="J86" s="27">
        <f ca="1">H83*50%</f>
        <v>9.5</v>
      </c>
    </row>
    <row r="87" spans="1:13" x14ac:dyDescent="0.25">
      <c r="A87" s="96" t="s">
        <v>50</v>
      </c>
      <c r="B87" s="97"/>
      <c r="C87" s="69">
        <f ca="1">J95</f>
        <v>19</v>
      </c>
      <c r="D87" s="51">
        <f ca="1">((100/H83)*C87)/100</f>
        <v>1</v>
      </c>
      <c r="E87" s="92"/>
      <c r="F87" s="118"/>
      <c r="G87" s="92"/>
      <c r="H87" s="93"/>
      <c r="I87" s="14" t="s">
        <v>104</v>
      </c>
      <c r="J87" s="27">
        <f ca="1">H83</f>
        <v>19</v>
      </c>
    </row>
    <row r="88" spans="1:13" ht="15.75" customHeight="1" x14ac:dyDescent="0.25">
      <c r="A88" s="96" t="s">
        <v>133</v>
      </c>
      <c r="B88" s="97"/>
      <c r="C88" s="62">
        <v>20</v>
      </c>
      <c r="D88" s="51">
        <f ca="1">((100/(D83+F83+H83))*C88)/100</f>
        <v>1</v>
      </c>
      <c r="E88" s="92"/>
      <c r="F88" s="118"/>
      <c r="G88" s="92"/>
      <c r="H88" s="93"/>
      <c r="I88" s="14" t="s">
        <v>105</v>
      </c>
      <c r="J88" s="28">
        <f ca="1">(IF(B83&gt;1,(H83/(B83+2)),H83/4))</f>
        <v>4.75</v>
      </c>
    </row>
    <row r="89" spans="1:13" ht="15.75" customHeight="1" x14ac:dyDescent="0.25">
      <c r="A89" s="96" t="s">
        <v>140</v>
      </c>
      <c r="B89" s="97" t="s">
        <v>134</v>
      </c>
      <c r="C89" s="62">
        <v>19</v>
      </c>
      <c r="D89" s="51">
        <f ca="1">((100/H83)*C89)/100</f>
        <v>1</v>
      </c>
      <c r="E89" s="92"/>
      <c r="F89" s="118"/>
      <c r="G89" s="92"/>
      <c r="H89" s="93"/>
      <c r="I89" s="14" t="s">
        <v>106</v>
      </c>
      <c r="J89" s="28">
        <f ca="1">(IF(B83&gt;1,(H83/(B83+2)+J88),H83/4+J88))</f>
        <v>9.5</v>
      </c>
    </row>
    <row r="90" spans="1:13" ht="15.75" customHeight="1" x14ac:dyDescent="0.25">
      <c r="A90" s="96" t="s">
        <v>141</v>
      </c>
      <c r="B90" s="97" t="s">
        <v>134</v>
      </c>
      <c r="C90" s="62">
        <v>19</v>
      </c>
      <c r="D90" s="51">
        <f ca="1">((100/H83)*C90)/100</f>
        <v>1</v>
      </c>
      <c r="E90" s="92"/>
      <c r="F90" s="118"/>
      <c r="G90" s="92"/>
      <c r="H90" s="93"/>
      <c r="I90" s="14" t="s">
        <v>150</v>
      </c>
      <c r="J90" s="28">
        <f>(IF(B83&gt;1,(H83/(B83+2)+J89),0))</f>
        <v>0</v>
      </c>
    </row>
    <row r="91" spans="1:13" ht="15" customHeight="1" x14ac:dyDescent="0.25">
      <c r="A91" s="96" t="s">
        <v>139</v>
      </c>
      <c r="B91" s="97" t="s">
        <v>136</v>
      </c>
      <c r="C91" s="62">
        <v>17</v>
      </c>
      <c r="D91" s="51">
        <f ca="1">((100/(H83))*C91)/100</f>
        <v>0.89473684210526327</v>
      </c>
      <c r="E91" s="92"/>
      <c r="F91" s="118"/>
      <c r="G91" s="92"/>
      <c r="H91" s="93"/>
      <c r="I91" s="14" t="s">
        <v>147</v>
      </c>
      <c r="J91" s="28">
        <f>(IF(B83&gt;2,(H83/(B83+2)+J90),0))</f>
        <v>0</v>
      </c>
    </row>
    <row r="92" spans="1:13" ht="15.75" customHeight="1" x14ac:dyDescent="0.25">
      <c r="A92" s="96" t="s">
        <v>135</v>
      </c>
      <c r="B92" s="97" t="s">
        <v>135</v>
      </c>
      <c r="C92" s="62">
        <v>15</v>
      </c>
      <c r="D92" s="51">
        <f ca="1">((100/H83)*C92)/100</f>
        <v>0.78947368421052633</v>
      </c>
      <c r="E92" s="92"/>
      <c r="F92" s="118"/>
      <c r="G92" s="92"/>
      <c r="H92" s="93"/>
      <c r="I92" s="14" t="s">
        <v>148</v>
      </c>
      <c r="J92" s="29">
        <f>(IF(B83&gt;3,(H83/(B83+2)+J91),0))</f>
        <v>0</v>
      </c>
    </row>
    <row r="93" spans="1:13" ht="15.75" customHeight="1" x14ac:dyDescent="0.25">
      <c r="A93" s="96" t="s">
        <v>142</v>
      </c>
      <c r="B93" s="97"/>
      <c r="C93" s="62">
        <v>12</v>
      </c>
      <c r="D93" s="51">
        <f ca="1">((100/H83)*C93)/100</f>
        <v>0.63157894736842113</v>
      </c>
      <c r="E93" s="92"/>
      <c r="F93" s="118"/>
      <c r="G93" s="92"/>
      <c r="H93" s="93"/>
      <c r="I93" s="14" t="s">
        <v>149</v>
      </c>
      <c r="J93" s="28">
        <f>(IF(B83&gt;4,(H83/(B83+2)+J92),0))</f>
        <v>0</v>
      </c>
    </row>
    <row r="94" spans="1:13" ht="15.75" customHeight="1" x14ac:dyDescent="0.25">
      <c r="A94" s="96" t="s">
        <v>137</v>
      </c>
      <c r="B94" s="97" t="s">
        <v>137</v>
      </c>
      <c r="C94" s="62">
        <v>6</v>
      </c>
      <c r="D94" s="51">
        <f ca="1">((100/(H83))*C94)/100</f>
        <v>0.31578947368421056</v>
      </c>
      <c r="E94" s="92"/>
      <c r="F94" s="118"/>
      <c r="G94" s="92"/>
      <c r="H94" s="93"/>
      <c r="I94" s="14" t="s">
        <v>151</v>
      </c>
      <c r="J94" s="28">
        <f ca="1">(IF(B83=1,(H83/(B83+3)+J89),IF(B83=0,(H83/4+J89),IF(B83&gt;1,0))))</f>
        <v>14.25</v>
      </c>
    </row>
    <row r="95" spans="1:13" ht="16.5" thickBot="1" x14ac:dyDescent="0.3">
      <c r="A95" s="125" t="s">
        <v>138</v>
      </c>
      <c r="B95" s="126"/>
      <c r="C95" s="63">
        <v>0</v>
      </c>
      <c r="D95" s="53">
        <f ca="1">((100/(H83))*C95)/100</f>
        <v>0</v>
      </c>
      <c r="E95" s="94"/>
      <c r="F95" s="119"/>
      <c r="G95" s="94"/>
      <c r="H95" s="95"/>
      <c r="I95" s="15" t="s">
        <v>107</v>
      </c>
      <c r="J95" s="30">
        <f ca="1">(IF(B83&gt;1.5,(H83/(B83+2)+J89+MAX(0,J90-J89)+MAX(0,J91-J90)+MAX(0,J92-J91)+MAX(0,J93-J92)+MAX(0,J94-J93)),IF(B83=1,(H83/(B83+3)+J94),IF(B83=0,H83/4+J94))))</f>
        <v>19</v>
      </c>
    </row>
    <row r="96" spans="1:13" x14ac:dyDescent="0.25">
      <c r="A96" s="104" t="s">
        <v>160</v>
      </c>
      <c r="B96" s="104"/>
      <c r="C96" s="104"/>
      <c r="D96" s="104"/>
      <c r="E96" s="104"/>
      <c r="F96" s="120" t="s">
        <v>165</v>
      </c>
      <c r="G96" s="120"/>
      <c r="H96" s="120"/>
      <c r="I96" s="57"/>
      <c r="J96" s="57" t="s">
        <v>221</v>
      </c>
      <c r="K96" s="57" t="s">
        <v>222</v>
      </c>
      <c r="L96" s="57" t="s">
        <v>223</v>
      </c>
      <c r="M96" s="57"/>
    </row>
    <row r="97" spans="1:13" x14ac:dyDescent="0.25">
      <c r="A97" s="99" t="s">
        <v>163</v>
      </c>
      <c r="B97" s="99"/>
      <c r="C97" s="99"/>
      <c r="D97" s="99"/>
      <c r="E97" s="99"/>
      <c r="F97" s="98">
        <v>18500</v>
      </c>
      <c r="G97" s="98"/>
      <c r="H97" s="98"/>
      <c r="I97" s="59">
        <f>AVERAGE(J97:L97)</f>
        <v>19298.337077312139</v>
      </c>
      <c r="J97" s="59">
        <f>33000/1.55</f>
        <v>21290.322580645159</v>
      </c>
      <c r="K97" s="57">
        <v>17500</v>
      </c>
      <c r="L97" s="59">
        <f>AVERAGE(J134,J152,J164,J173,J183)</f>
        <v>19104.688651291253</v>
      </c>
      <c r="M97" s="57"/>
    </row>
    <row r="98" spans="1:13" x14ac:dyDescent="0.25">
      <c r="A98" s="99" t="s">
        <v>162</v>
      </c>
      <c r="B98" s="99"/>
      <c r="C98" s="99"/>
      <c r="D98" s="99"/>
      <c r="E98" s="99"/>
      <c r="F98" s="98">
        <v>35000</v>
      </c>
      <c r="G98" s="98"/>
      <c r="H98" s="98"/>
      <c r="I98" s="57"/>
      <c r="J98" s="57"/>
      <c r="K98" s="57"/>
      <c r="L98" s="57"/>
      <c r="M98" s="57"/>
    </row>
    <row r="99" spans="1:13" hidden="1" x14ac:dyDescent="0.25">
      <c r="A99" s="99" t="s">
        <v>164</v>
      </c>
      <c r="B99" s="99"/>
      <c r="C99" s="99"/>
      <c r="D99" s="99"/>
      <c r="E99" s="99"/>
      <c r="F99" s="98"/>
      <c r="G99" s="98"/>
      <c r="H99" s="98"/>
      <c r="I99" s="57"/>
      <c r="J99" s="57"/>
      <c r="K99" s="57"/>
      <c r="L99" s="57"/>
      <c r="M99" s="57"/>
    </row>
    <row r="100" spans="1:13" s="31" customFormat="1" hidden="1" x14ac:dyDescent="0.25">
      <c r="A100" s="99" t="s">
        <v>161</v>
      </c>
      <c r="B100" s="99"/>
      <c r="C100" s="99"/>
      <c r="D100" s="99"/>
      <c r="E100" s="99"/>
      <c r="F100" s="98"/>
      <c r="G100" s="98"/>
      <c r="H100" s="98"/>
      <c r="I100" s="58"/>
      <c r="J100" s="58"/>
      <c r="K100" s="58"/>
      <c r="L100" s="58"/>
      <c r="M100" s="58"/>
    </row>
    <row r="101" spans="1:13" s="31" customFormat="1" hidden="1" x14ac:dyDescent="0.25">
      <c r="A101" s="99" t="s">
        <v>97</v>
      </c>
      <c r="B101" s="99"/>
      <c r="C101" s="99"/>
      <c r="D101" s="99"/>
      <c r="E101" s="99"/>
      <c r="F101" s="98"/>
      <c r="G101" s="98"/>
      <c r="H101" s="98"/>
    </row>
    <row r="102" spans="1:13" s="31" customFormat="1" hidden="1" x14ac:dyDescent="0.25">
      <c r="A102" s="99" t="s">
        <v>98</v>
      </c>
      <c r="B102" s="99"/>
      <c r="C102" s="99"/>
      <c r="D102" s="99"/>
      <c r="E102" s="99"/>
      <c r="F102" s="98"/>
      <c r="G102" s="98"/>
      <c r="H102" s="98"/>
    </row>
    <row r="103" spans="1:13" s="31" customFormat="1" hidden="1" x14ac:dyDescent="0.25">
      <c r="A103" s="99" t="s">
        <v>166</v>
      </c>
      <c r="B103" s="99"/>
      <c r="C103" s="99"/>
      <c r="D103" s="99"/>
      <c r="E103" s="99"/>
      <c r="F103" s="98"/>
      <c r="G103" s="98"/>
      <c r="H103" s="98"/>
    </row>
    <row r="104" spans="1:13" s="31" customFormat="1" hidden="1" x14ac:dyDescent="0.25">
      <c r="A104" s="99" t="s">
        <v>99</v>
      </c>
      <c r="B104" s="99"/>
      <c r="C104" s="99"/>
      <c r="D104" s="99"/>
      <c r="E104" s="99"/>
      <c r="F104" s="98"/>
      <c r="G104" s="98"/>
      <c r="H104" s="98"/>
    </row>
    <row r="105" spans="1:13" s="31" customFormat="1" hidden="1" x14ac:dyDescent="0.25">
      <c r="A105" s="99" t="s">
        <v>100</v>
      </c>
      <c r="B105" s="99"/>
      <c r="C105" s="99"/>
      <c r="D105" s="99"/>
      <c r="E105" s="99"/>
      <c r="F105" s="98"/>
      <c r="G105" s="98"/>
      <c r="H105" s="98"/>
    </row>
    <row r="106" spans="1:13" s="31" customFormat="1" hidden="1" x14ac:dyDescent="0.25">
      <c r="A106" s="99" t="s">
        <v>101</v>
      </c>
      <c r="B106" s="99"/>
      <c r="C106" s="99"/>
      <c r="D106" s="99"/>
      <c r="E106" s="99"/>
      <c r="F106" s="98"/>
      <c r="G106" s="98"/>
      <c r="H106" s="98"/>
    </row>
    <row r="107" spans="1:13" s="31" customFormat="1" hidden="1" x14ac:dyDescent="0.25">
      <c r="A107" s="99" t="s">
        <v>102</v>
      </c>
      <c r="B107" s="99"/>
      <c r="C107" s="99"/>
      <c r="D107" s="99"/>
      <c r="E107" s="99"/>
      <c r="F107" s="98"/>
      <c r="G107" s="98"/>
      <c r="H107" s="98"/>
    </row>
    <row r="108" spans="1:13" x14ac:dyDescent="0.25">
      <c r="A108" s="99" t="s">
        <v>51</v>
      </c>
      <c r="B108" s="99"/>
      <c r="C108" s="99"/>
      <c r="D108" s="99"/>
      <c r="E108" s="99"/>
      <c r="F108" s="98">
        <v>800000</v>
      </c>
      <c r="G108" s="98"/>
      <c r="H108" s="98"/>
    </row>
    <row r="109" spans="1:13" s="32" customFormat="1" x14ac:dyDescent="0.25">
      <c r="A109" s="146" t="s">
        <v>52</v>
      </c>
      <c r="B109" s="146"/>
      <c r="C109" s="146"/>
      <c r="D109" s="146"/>
      <c r="E109" s="146"/>
      <c r="F109" s="169">
        <f>F97*0.8</f>
        <v>14800</v>
      </c>
      <c r="G109" s="169"/>
      <c r="H109" s="169"/>
    </row>
    <row r="110" spans="1:13" s="33" customFormat="1" ht="15.75" customHeight="1" x14ac:dyDescent="0.25">
      <c r="A110" s="168" t="s">
        <v>77</v>
      </c>
      <c r="B110" s="168"/>
      <c r="C110" s="168"/>
      <c r="D110" s="168"/>
      <c r="E110" s="168"/>
      <c r="F110" s="168"/>
      <c r="G110" s="168"/>
      <c r="H110" s="168"/>
    </row>
    <row r="111" spans="1:13" s="33" customFormat="1" ht="15.75" customHeight="1" x14ac:dyDescent="0.25">
      <c r="A111" s="183" t="s">
        <v>53</v>
      </c>
      <c r="B111" s="183"/>
      <c r="C111" s="181" t="s">
        <v>80</v>
      </c>
      <c r="D111" s="181"/>
      <c r="E111" s="182" t="s">
        <v>54</v>
      </c>
      <c r="F111" s="182"/>
      <c r="G111" s="183" t="s">
        <v>55</v>
      </c>
      <c r="H111" s="183"/>
    </row>
    <row r="112" spans="1:13" s="33" customFormat="1" x14ac:dyDescent="0.25">
      <c r="A112" s="170" t="s">
        <v>195</v>
      </c>
      <c r="B112" s="170"/>
      <c r="C112" s="185">
        <f>COUNT(D122:D123)</f>
        <v>2</v>
      </c>
      <c r="D112" s="106"/>
      <c r="E112" s="107">
        <f>SUM(D122:D123)</f>
        <v>22284.278639999997</v>
      </c>
      <c r="F112" s="186"/>
      <c r="G112" s="107">
        <f>SUM(F122:F123)</f>
        <v>62094.846528000002</v>
      </c>
      <c r="H112" s="186"/>
    </row>
    <row r="113" spans="1:14" s="33" customFormat="1" x14ac:dyDescent="0.25">
      <c r="A113" s="168" t="s">
        <v>71</v>
      </c>
      <c r="B113" s="168"/>
      <c r="C113" s="168"/>
      <c r="D113" s="168"/>
      <c r="E113" s="168"/>
      <c r="F113" s="168"/>
      <c r="G113" s="168"/>
      <c r="H113" s="168"/>
    </row>
    <row r="114" spans="1:14" s="33" customFormat="1" ht="15.75" customHeight="1" x14ac:dyDescent="0.25">
      <c r="A114" s="183" t="s">
        <v>53</v>
      </c>
      <c r="B114" s="183"/>
      <c r="C114" s="181" t="s">
        <v>80</v>
      </c>
      <c r="D114" s="181"/>
      <c r="E114" s="182" t="s">
        <v>54</v>
      </c>
      <c r="F114" s="182"/>
      <c r="G114" s="183" t="s">
        <v>55</v>
      </c>
      <c r="H114" s="183"/>
    </row>
    <row r="115" spans="1:14" s="33" customFormat="1" x14ac:dyDescent="0.25">
      <c r="A115" s="170" t="s">
        <v>198</v>
      </c>
      <c r="B115" s="170"/>
      <c r="C115" s="106">
        <f>COUNT(D133:D138)+COUNT(D140:D143)+COUNT(D147:D152)+COUNT(D154:D159)+COUNT(D161:D166)+COUNT(D168:D173)+COUNT(D175:D180)*3+COUNT(D182:D186)+COUNT(D189:D194)*4+COUNT(D199)</f>
        <v>82</v>
      </c>
      <c r="D115" s="106"/>
      <c r="E115" s="107">
        <f>SUM(D133:D138)+SUM(D140:D143)+SUM(D147:D152)+SUM(D154:D159)+SUM(D161:D166)+SUM(D168:D173)+SUM(D175:D180)*3+SUM(D182:D186)+SUM(D189:D194)*4+SUM(D199)</f>
        <v>67515.171749999994</v>
      </c>
      <c r="F115" s="107"/>
      <c r="G115" s="107">
        <f>SUM(F133:F138)+SUM(F140:F143)+SUM(F147:F152)+SUM(F154:F159)+SUM(F161:F166)+SUM(F168:F173)+SUM(F175:F180)*3+SUM(F182:F186)+SUM(F189:F194)*4+SUM(F199)</f>
        <v>104743.6026975</v>
      </c>
      <c r="H115" s="107"/>
    </row>
    <row r="116" spans="1:14" s="32" customFormat="1" x14ac:dyDescent="0.25">
      <c r="A116" s="149" t="s">
        <v>56</v>
      </c>
      <c r="B116" s="149"/>
      <c r="C116" s="149"/>
      <c r="D116" s="149"/>
      <c r="E116" s="149"/>
      <c r="F116" s="149"/>
      <c r="G116" s="149"/>
      <c r="H116" s="149"/>
    </row>
    <row r="117" spans="1:14" x14ac:dyDescent="0.25">
      <c r="A117" s="149" t="s">
        <v>57</v>
      </c>
      <c r="B117" s="149"/>
      <c r="C117" s="149"/>
      <c r="D117" s="149"/>
      <c r="E117" s="149"/>
      <c r="F117" s="149"/>
      <c r="G117" s="149"/>
      <c r="H117" s="149"/>
    </row>
    <row r="118" spans="1:14" ht="47.25" customHeight="1" x14ac:dyDescent="0.25">
      <c r="A118" s="100" t="s">
        <v>122</v>
      </c>
      <c r="B118" s="100" t="s">
        <v>121</v>
      </c>
      <c r="C118" s="100" t="s">
        <v>58</v>
      </c>
      <c r="D118" s="100" t="s">
        <v>59</v>
      </c>
      <c r="E118" s="111" t="s">
        <v>159</v>
      </c>
      <c r="F118" s="41" t="s">
        <v>153</v>
      </c>
      <c r="G118" s="113" t="s">
        <v>61</v>
      </c>
      <c r="H118" s="114"/>
    </row>
    <row r="119" spans="1:14" s="35" customFormat="1" x14ac:dyDescent="0.25">
      <c r="A119" s="101"/>
      <c r="B119" s="101"/>
      <c r="C119" s="101"/>
      <c r="D119" s="101"/>
      <c r="E119" s="112"/>
      <c r="F119" s="13">
        <v>0.6</v>
      </c>
      <c r="G119" s="115"/>
      <c r="H119" s="116"/>
    </row>
    <row r="120" spans="1:14" s="49" customFormat="1" x14ac:dyDescent="0.25">
      <c r="A120" s="108" t="s">
        <v>195</v>
      </c>
      <c r="B120" s="109"/>
      <c r="C120" s="109"/>
      <c r="D120" s="109"/>
      <c r="E120" s="109"/>
      <c r="F120" s="109"/>
      <c r="G120" s="109"/>
      <c r="H120" s="110"/>
      <c r="J120" s="34"/>
    </row>
    <row r="121" spans="1:14" s="35" customFormat="1" x14ac:dyDescent="0.25">
      <c r="A121" s="108" t="s">
        <v>230</v>
      </c>
      <c r="B121" s="109"/>
      <c r="C121" s="109"/>
      <c r="D121" s="109"/>
      <c r="E121" s="109"/>
      <c r="F121" s="109"/>
      <c r="G121" s="109"/>
      <c r="H121" s="110"/>
      <c r="J121" s="34"/>
      <c r="K121" s="56"/>
    </row>
    <row r="122" spans="1:14" s="35" customFormat="1" ht="63" customHeight="1" x14ac:dyDescent="0.25">
      <c r="A122" s="102">
        <v>1</v>
      </c>
      <c r="B122" s="103"/>
      <c r="C122" s="40" t="s">
        <v>196</v>
      </c>
      <c r="D122" s="54">
        <f>1035.11*10.764</f>
        <v>11141.924039999998</v>
      </c>
      <c r="E122" s="54">
        <f>((8.95*1.5+10.4*3.4+14.15*15.9)+(14.15*17.45)+(14.15*17.45))*10.764</f>
        <v>8262.5002199999999</v>
      </c>
      <c r="F122" s="40">
        <f>(D122+E122)*(($F$119)+1)</f>
        <v>31047.078816000001</v>
      </c>
      <c r="G122" s="175" t="str">
        <f>A121</f>
        <v>Ground + 1st + 2nd Floor for Commercial (Triplex with 1st &amp; 2nd Floor)</v>
      </c>
      <c r="H122" s="176"/>
      <c r="I122" s="34">
        <f>14.15*23.5</f>
        <v>332.52500000000003</v>
      </c>
      <c r="J122" s="34">
        <f>14.15*19.75+9.14*3.1+7.79*2+1.85*1.2+3.54*1.56+1.25*1.25+3.2*5</f>
        <v>348.68140000000005</v>
      </c>
      <c r="K122" s="55"/>
      <c r="L122" s="105"/>
      <c r="M122" s="105"/>
      <c r="N122" s="34"/>
    </row>
    <row r="123" spans="1:14" s="35" customFormat="1" ht="63" x14ac:dyDescent="0.25">
      <c r="A123" s="102">
        <f t="shared" ref="A123" si="0">A122+1</f>
        <v>2</v>
      </c>
      <c r="B123" s="103"/>
      <c r="C123" s="47" t="s">
        <v>196</v>
      </c>
      <c r="D123" s="54">
        <f>1035.15*10.764</f>
        <v>11142.354600000001</v>
      </c>
      <c r="E123" s="54">
        <f>((8.95*1.5+10.4*3.4+14.15*15.9)+(14.15*17.45)+(14.15*17.45))*10.764</f>
        <v>8262.5002199999999</v>
      </c>
      <c r="F123" s="40">
        <f t="shared" ref="F123" si="1">(D123+E123)*(($F$119)+1)</f>
        <v>31047.767712000001</v>
      </c>
      <c r="G123" s="179"/>
      <c r="H123" s="180"/>
      <c r="I123" s="34"/>
      <c r="K123" s="56"/>
      <c r="L123" s="105"/>
      <c r="M123" s="105"/>
      <c r="N123" s="34"/>
    </row>
    <row r="124" spans="1:14" s="49" customFormat="1" x14ac:dyDescent="0.25">
      <c r="A124" s="108" t="s">
        <v>197</v>
      </c>
      <c r="B124" s="109"/>
      <c r="C124" s="109"/>
      <c r="D124" s="109"/>
      <c r="E124" s="109"/>
      <c r="F124" s="109"/>
      <c r="G124" s="109"/>
      <c r="H124" s="110"/>
      <c r="J124" s="34"/>
    </row>
    <row r="125" spans="1:14" s="35" customFormat="1" x14ac:dyDescent="0.25">
      <c r="A125" s="102"/>
      <c r="B125" s="184"/>
      <c r="C125" s="184"/>
      <c r="D125" s="184"/>
      <c r="E125" s="184"/>
      <c r="F125" s="184"/>
      <c r="G125" s="184"/>
      <c r="H125" s="103"/>
      <c r="I125" s="34"/>
      <c r="N125" s="34"/>
    </row>
    <row r="126" spans="1:14" ht="47.25" customHeight="1" x14ac:dyDescent="0.25">
      <c r="A126" s="113" t="s">
        <v>123</v>
      </c>
      <c r="B126" s="113" t="s">
        <v>124</v>
      </c>
      <c r="C126" s="100" t="s">
        <v>58</v>
      </c>
      <c r="D126" s="100" t="s">
        <v>59</v>
      </c>
      <c r="E126" s="111" t="s">
        <v>60</v>
      </c>
      <c r="F126" s="41" t="s">
        <v>153</v>
      </c>
      <c r="G126" s="113" t="s">
        <v>61</v>
      </c>
      <c r="H126" s="114"/>
      <c r="I126" s="34"/>
    </row>
    <row r="127" spans="1:14" s="35" customFormat="1" x14ac:dyDescent="0.25">
      <c r="A127" s="115"/>
      <c r="B127" s="115"/>
      <c r="C127" s="101"/>
      <c r="D127" s="101"/>
      <c r="E127" s="112"/>
      <c r="F127" s="13">
        <v>0.55000000000000004</v>
      </c>
      <c r="G127" s="115"/>
      <c r="H127" s="116"/>
      <c r="I127" s="34"/>
    </row>
    <row r="128" spans="1:14" s="49" customFormat="1" x14ac:dyDescent="0.25">
      <c r="A128" s="108" t="s">
        <v>198</v>
      </c>
      <c r="B128" s="109"/>
      <c r="C128" s="109"/>
      <c r="D128" s="109"/>
      <c r="E128" s="109"/>
      <c r="F128" s="109"/>
      <c r="G128" s="109"/>
      <c r="H128" s="110"/>
      <c r="J128" s="34"/>
    </row>
    <row r="129" spans="1:14" s="49" customFormat="1" x14ac:dyDescent="0.25">
      <c r="A129" s="108" t="s">
        <v>199</v>
      </c>
      <c r="B129" s="109"/>
      <c r="C129" s="109"/>
      <c r="D129" s="109"/>
      <c r="E129" s="109"/>
      <c r="F129" s="109"/>
      <c r="G129" s="109"/>
      <c r="H129" s="110"/>
      <c r="J129" s="34"/>
    </row>
    <row r="130" spans="1:14" s="49" customFormat="1" x14ac:dyDescent="0.25">
      <c r="A130" s="108" t="s">
        <v>200</v>
      </c>
      <c r="B130" s="109"/>
      <c r="C130" s="109"/>
      <c r="D130" s="109"/>
      <c r="E130" s="109"/>
      <c r="F130" s="109"/>
      <c r="G130" s="109"/>
      <c r="H130" s="110"/>
      <c r="J130" s="55"/>
    </row>
    <row r="131" spans="1:14" s="49" customFormat="1" x14ac:dyDescent="0.25">
      <c r="A131" s="108" t="s">
        <v>201</v>
      </c>
      <c r="B131" s="109"/>
      <c r="C131" s="109"/>
      <c r="D131" s="109"/>
      <c r="E131" s="109"/>
      <c r="F131" s="109"/>
      <c r="G131" s="109"/>
      <c r="H131" s="110"/>
      <c r="J131" s="55"/>
    </row>
    <row r="132" spans="1:14" s="35" customFormat="1" x14ac:dyDescent="0.25">
      <c r="A132" s="108" t="s">
        <v>202</v>
      </c>
      <c r="B132" s="109"/>
      <c r="C132" s="109"/>
      <c r="D132" s="109"/>
      <c r="E132" s="109"/>
      <c r="F132" s="109"/>
      <c r="G132" s="109"/>
      <c r="H132" s="110"/>
      <c r="J132" s="55"/>
    </row>
    <row r="133" spans="1:14" s="35" customFormat="1" ht="15.75" customHeight="1" x14ac:dyDescent="0.25">
      <c r="A133" s="102">
        <v>1</v>
      </c>
      <c r="B133" s="103"/>
      <c r="C133" s="40" t="s">
        <v>203</v>
      </c>
      <c r="D133" s="54">
        <f>(86.58)*10.764</f>
        <v>931.94711999999993</v>
      </c>
      <c r="E133" s="54">
        <v>0</v>
      </c>
      <c r="F133" s="40">
        <f t="shared" ref="F133:F138" si="2">D133*(($F$127)+1)+(IF(E133&lt;101,E133,IF(E133&lt;201,E133/2,IF(E133&lt;=301,E133/3,E133/4))))</f>
        <v>1444.5180359999999</v>
      </c>
      <c r="G133" s="175" t="str">
        <f>A132</f>
        <v>5th Floor for Residential</v>
      </c>
      <c r="H133" s="176"/>
      <c r="I133" s="34"/>
      <c r="J133" s="55"/>
      <c r="L133" s="105"/>
      <c r="M133" s="105"/>
      <c r="N133" s="34"/>
    </row>
    <row r="134" spans="1:14" s="35" customFormat="1" x14ac:dyDescent="0.25">
      <c r="A134" s="102">
        <f t="shared" ref="A134:A138" si="3">A133+1</f>
        <v>2</v>
      </c>
      <c r="B134" s="103"/>
      <c r="C134" s="40" t="s">
        <v>204</v>
      </c>
      <c r="D134" s="54">
        <f>(70.24)*10.764</f>
        <v>756.06335999999988</v>
      </c>
      <c r="E134" s="54">
        <v>0</v>
      </c>
      <c r="F134" s="40">
        <f t="shared" si="2"/>
        <v>1171.8982079999998</v>
      </c>
      <c r="G134" s="177"/>
      <c r="H134" s="178"/>
      <c r="I134" s="34"/>
      <c r="J134" s="55">
        <f>24000000/F134</f>
        <v>20479.594418835397</v>
      </c>
      <c r="L134" s="105"/>
      <c r="M134" s="105"/>
      <c r="N134" s="34"/>
    </row>
    <row r="135" spans="1:14" s="35" customFormat="1" x14ac:dyDescent="0.25">
      <c r="A135" s="102">
        <f t="shared" si="3"/>
        <v>3</v>
      </c>
      <c r="B135" s="103"/>
      <c r="C135" s="47" t="s">
        <v>203</v>
      </c>
      <c r="D135" s="54">
        <f>(82.51)*10.764</f>
        <v>888.13764000000003</v>
      </c>
      <c r="E135" s="54">
        <v>0</v>
      </c>
      <c r="F135" s="40">
        <f t="shared" si="2"/>
        <v>1376.6133420000001</v>
      </c>
      <c r="G135" s="177"/>
      <c r="H135" s="178"/>
      <c r="I135" s="34"/>
      <c r="J135" s="56"/>
      <c r="L135" s="105"/>
      <c r="M135" s="105"/>
      <c r="N135" s="34"/>
    </row>
    <row r="136" spans="1:14" s="35" customFormat="1" x14ac:dyDescent="0.25">
      <c r="A136" s="102">
        <f t="shared" si="3"/>
        <v>4</v>
      </c>
      <c r="B136" s="103"/>
      <c r="C136" s="47" t="s">
        <v>203</v>
      </c>
      <c r="D136" s="54">
        <f>(97.85)*10.764</f>
        <v>1053.2574</v>
      </c>
      <c r="E136" s="54">
        <v>0</v>
      </c>
      <c r="F136" s="40">
        <f t="shared" si="2"/>
        <v>1632.5489700000001</v>
      </c>
      <c r="G136" s="177"/>
      <c r="H136" s="178"/>
      <c r="I136" s="34"/>
      <c r="J136" s="56"/>
      <c r="L136" s="105"/>
      <c r="M136" s="105"/>
      <c r="N136" s="34"/>
    </row>
    <row r="137" spans="1:14" s="49" customFormat="1" x14ac:dyDescent="0.25">
      <c r="A137" s="102">
        <f t="shared" si="3"/>
        <v>5</v>
      </c>
      <c r="B137" s="103"/>
      <c r="C137" s="47" t="s">
        <v>204</v>
      </c>
      <c r="D137" s="54">
        <f>(67.14)*10.764</f>
        <v>722.69495999999992</v>
      </c>
      <c r="E137" s="54">
        <v>0</v>
      </c>
      <c r="F137" s="47">
        <f t="shared" si="2"/>
        <v>1120.1771879999999</v>
      </c>
      <c r="G137" s="177"/>
      <c r="H137" s="178"/>
      <c r="I137" s="34"/>
      <c r="J137" s="56"/>
      <c r="L137" s="105"/>
      <c r="M137" s="105"/>
      <c r="N137" s="34"/>
    </row>
    <row r="138" spans="1:14" s="49" customFormat="1" x14ac:dyDescent="0.25">
      <c r="A138" s="102">
        <f t="shared" si="3"/>
        <v>6</v>
      </c>
      <c r="B138" s="103"/>
      <c r="C138" s="47" t="s">
        <v>205</v>
      </c>
      <c r="D138" s="54">
        <f>(36.37)*10.764</f>
        <v>391.48667999999992</v>
      </c>
      <c r="E138" s="54">
        <v>0</v>
      </c>
      <c r="F138" s="47">
        <f t="shared" si="2"/>
        <v>606.80435399999988</v>
      </c>
      <c r="G138" s="179"/>
      <c r="H138" s="180"/>
      <c r="I138" s="34"/>
      <c r="J138" s="56"/>
      <c r="L138" s="105"/>
      <c r="M138" s="105"/>
      <c r="N138" s="34"/>
    </row>
    <row r="139" spans="1:14" s="49" customFormat="1" x14ac:dyDescent="0.25">
      <c r="A139" s="108" t="s">
        <v>206</v>
      </c>
      <c r="B139" s="109"/>
      <c r="C139" s="109"/>
      <c r="D139" s="109"/>
      <c r="E139" s="109"/>
      <c r="F139" s="109"/>
      <c r="G139" s="109"/>
      <c r="H139" s="110"/>
      <c r="J139" s="34"/>
    </row>
    <row r="140" spans="1:14" s="49" customFormat="1" ht="15.75" customHeight="1" x14ac:dyDescent="0.25">
      <c r="A140" s="102">
        <v>1</v>
      </c>
      <c r="B140" s="103"/>
      <c r="C140" s="47" t="s">
        <v>203</v>
      </c>
      <c r="D140" s="54">
        <f>(90.18)*10.764</f>
        <v>970.69752000000005</v>
      </c>
      <c r="E140" s="54">
        <v>0</v>
      </c>
      <c r="F140" s="47">
        <f>D140*(($F$127)+1)+(IF(E140&lt;101,E140,IF(E140&lt;201,E140/2,IF(E140&lt;=301,E140/3,E140/4))))</f>
        <v>1504.5811560000002</v>
      </c>
      <c r="G140" s="175" t="str">
        <f>A139</f>
        <v>6th Floor (Part Refuge Area)</v>
      </c>
      <c r="H140" s="176"/>
      <c r="I140" s="34"/>
      <c r="L140" s="105"/>
      <c r="M140" s="105"/>
      <c r="N140" s="34"/>
    </row>
    <row r="141" spans="1:14" s="49" customFormat="1" x14ac:dyDescent="0.25">
      <c r="A141" s="102">
        <f t="shared" ref="A141:A145" si="4">A140+1</f>
        <v>2</v>
      </c>
      <c r="B141" s="103"/>
      <c r="C141" s="47" t="s">
        <v>204</v>
      </c>
      <c r="D141" s="54">
        <f>(70.24)*10.764</f>
        <v>756.06335999999988</v>
      </c>
      <c r="E141" s="54">
        <v>0</v>
      </c>
      <c r="F141" s="47">
        <f>D141*(($F$127)+1)+(IF(E141&lt;101,E141,IF(E141&lt;201,E141/2,IF(E141&lt;=301,E141/3,E141/4))))</f>
        <v>1171.8982079999998</v>
      </c>
      <c r="G141" s="177"/>
      <c r="H141" s="178"/>
      <c r="I141" s="34"/>
      <c r="J141" s="34"/>
      <c r="L141" s="105"/>
      <c r="M141" s="105"/>
      <c r="N141" s="34"/>
    </row>
    <row r="142" spans="1:14" s="49" customFormat="1" x14ac:dyDescent="0.25">
      <c r="A142" s="102">
        <f t="shared" si="4"/>
        <v>3</v>
      </c>
      <c r="B142" s="103"/>
      <c r="C142" s="47" t="s">
        <v>203</v>
      </c>
      <c r="D142" s="54">
        <f>(82.51)*10.764</f>
        <v>888.13764000000003</v>
      </c>
      <c r="E142" s="54">
        <v>0</v>
      </c>
      <c r="F142" s="47">
        <f>D142*(($F$127)+1)+(IF(E142&lt;101,E142,IF(E142&lt;201,E142/2,IF(E142&lt;=301,E142/3,E142/4))))</f>
        <v>1376.6133420000001</v>
      </c>
      <c r="G142" s="177"/>
      <c r="H142" s="178"/>
      <c r="I142" s="34"/>
      <c r="L142" s="105"/>
      <c r="M142" s="105"/>
      <c r="N142" s="34"/>
    </row>
    <row r="143" spans="1:14" s="49" customFormat="1" x14ac:dyDescent="0.25">
      <c r="A143" s="102">
        <f t="shared" si="4"/>
        <v>4</v>
      </c>
      <c r="B143" s="103"/>
      <c r="C143" s="47" t="s">
        <v>203</v>
      </c>
      <c r="D143" s="54">
        <f>(97.85)*10.764</f>
        <v>1053.2574</v>
      </c>
      <c r="E143" s="54">
        <v>0</v>
      </c>
      <c r="F143" s="47">
        <f>D143*(($F$127)+1)+(IF(E143&lt;101,E143,IF(E143&lt;201,E143/2,IF(E143&lt;=301,E143/3,E143/4))))</f>
        <v>1632.5489700000001</v>
      </c>
      <c r="G143" s="177"/>
      <c r="H143" s="178"/>
      <c r="I143" s="34"/>
      <c r="L143" s="105"/>
      <c r="M143" s="105"/>
      <c r="N143" s="34"/>
    </row>
    <row r="144" spans="1:14" s="49" customFormat="1" x14ac:dyDescent="0.25">
      <c r="A144" s="102">
        <f t="shared" si="4"/>
        <v>5</v>
      </c>
      <c r="B144" s="103"/>
      <c r="C144" s="175" t="s">
        <v>207</v>
      </c>
      <c r="D144" s="192"/>
      <c r="E144" s="192"/>
      <c r="F144" s="176"/>
      <c r="G144" s="177"/>
      <c r="H144" s="178"/>
      <c r="I144" s="34"/>
      <c r="L144" s="105"/>
      <c r="M144" s="105"/>
      <c r="N144" s="34"/>
    </row>
    <row r="145" spans="1:14" s="49" customFormat="1" x14ac:dyDescent="0.25">
      <c r="A145" s="102">
        <f t="shared" si="4"/>
        <v>6</v>
      </c>
      <c r="B145" s="103"/>
      <c r="C145" s="179"/>
      <c r="D145" s="193"/>
      <c r="E145" s="193"/>
      <c r="F145" s="180"/>
      <c r="G145" s="179"/>
      <c r="H145" s="180"/>
      <c r="I145" s="34"/>
      <c r="L145" s="105"/>
      <c r="M145" s="105"/>
      <c r="N145" s="34"/>
    </row>
    <row r="146" spans="1:14" s="49" customFormat="1" x14ac:dyDescent="0.25">
      <c r="A146" s="108" t="s">
        <v>208</v>
      </c>
      <c r="B146" s="109"/>
      <c r="C146" s="109"/>
      <c r="D146" s="109"/>
      <c r="E146" s="109"/>
      <c r="F146" s="109"/>
      <c r="G146" s="109"/>
      <c r="H146" s="110"/>
      <c r="J146" s="34"/>
    </row>
    <row r="147" spans="1:14" s="49" customFormat="1" ht="15.75" customHeight="1" x14ac:dyDescent="0.25">
      <c r="A147" s="102">
        <v>1</v>
      </c>
      <c r="B147" s="103"/>
      <c r="C147" s="47" t="s">
        <v>203</v>
      </c>
      <c r="D147" s="54">
        <f>(90.18)*10.764</f>
        <v>970.69752000000005</v>
      </c>
      <c r="E147" s="54">
        <v>0</v>
      </c>
      <c r="F147" s="47">
        <f t="shared" ref="F147:F152" si="5">D147*(($F$127)+1)+(IF(E147&lt;101,E147,IF(E147&lt;201,E147/2,IF(E147&lt;=301,E147/3,E147/4))))</f>
        <v>1504.5811560000002</v>
      </c>
      <c r="G147" s="175" t="str">
        <f>A146</f>
        <v>7th Floor</v>
      </c>
      <c r="H147" s="176"/>
      <c r="I147" s="34"/>
      <c r="L147" s="105"/>
      <c r="M147" s="105"/>
      <c r="N147" s="34"/>
    </row>
    <row r="148" spans="1:14" s="49" customFormat="1" x14ac:dyDescent="0.25">
      <c r="A148" s="102">
        <f t="shared" ref="A148:A152" si="6">A147+1</f>
        <v>2</v>
      </c>
      <c r="B148" s="103"/>
      <c r="C148" s="47" t="s">
        <v>204</v>
      </c>
      <c r="D148" s="54">
        <f>(70.24)*10.764</f>
        <v>756.06335999999988</v>
      </c>
      <c r="E148" s="54">
        <v>0</v>
      </c>
      <c r="F148" s="47">
        <f t="shared" si="5"/>
        <v>1171.8982079999998</v>
      </c>
      <c r="G148" s="177"/>
      <c r="H148" s="178"/>
      <c r="I148" s="34"/>
      <c r="L148" s="105"/>
      <c r="M148" s="105"/>
      <c r="N148" s="34"/>
    </row>
    <row r="149" spans="1:14" s="49" customFormat="1" x14ac:dyDescent="0.25">
      <c r="A149" s="102">
        <f t="shared" si="6"/>
        <v>3</v>
      </c>
      <c r="B149" s="103"/>
      <c r="C149" s="47" t="s">
        <v>203</v>
      </c>
      <c r="D149" s="54">
        <f>(82.51)*10.764</f>
        <v>888.13764000000003</v>
      </c>
      <c r="E149" s="54">
        <v>0</v>
      </c>
      <c r="F149" s="47">
        <f t="shared" si="5"/>
        <v>1376.6133420000001</v>
      </c>
      <c r="G149" s="177"/>
      <c r="H149" s="178"/>
      <c r="I149" s="34"/>
      <c r="L149" s="105"/>
      <c r="M149" s="105"/>
      <c r="N149" s="34"/>
    </row>
    <row r="150" spans="1:14" s="49" customFormat="1" x14ac:dyDescent="0.25">
      <c r="A150" s="102">
        <f t="shared" si="6"/>
        <v>4</v>
      </c>
      <c r="B150" s="103"/>
      <c r="C150" s="47" t="s">
        <v>203</v>
      </c>
      <c r="D150" s="54">
        <f>(97.85)*10.764</f>
        <v>1053.2574</v>
      </c>
      <c r="E150" s="54">
        <v>0</v>
      </c>
      <c r="F150" s="47">
        <f t="shared" si="5"/>
        <v>1632.5489700000001</v>
      </c>
      <c r="G150" s="177"/>
      <c r="H150" s="178"/>
      <c r="I150" s="34"/>
      <c r="L150" s="105"/>
      <c r="M150" s="105"/>
      <c r="N150" s="34"/>
    </row>
    <row r="151" spans="1:14" s="49" customFormat="1" x14ac:dyDescent="0.25">
      <c r="A151" s="102">
        <f t="shared" si="6"/>
        <v>5</v>
      </c>
      <c r="B151" s="103"/>
      <c r="C151" s="47" t="s">
        <v>204</v>
      </c>
      <c r="D151" s="54">
        <f>(67.14)*10.764</f>
        <v>722.69495999999992</v>
      </c>
      <c r="E151" s="54">
        <v>0</v>
      </c>
      <c r="F151" s="47">
        <f t="shared" si="5"/>
        <v>1120.1771879999999</v>
      </c>
      <c r="G151" s="177"/>
      <c r="H151" s="178"/>
      <c r="I151" s="34"/>
      <c r="L151" s="105"/>
      <c r="M151" s="105"/>
      <c r="N151" s="34"/>
    </row>
    <row r="152" spans="1:14" s="49" customFormat="1" x14ac:dyDescent="0.25">
      <c r="A152" s="102">
        <f t="shared" si="6"/>
        <v>6</v>
      </c>
      <c r="B152" s="103"/>
      <c r="C152" s="47" t="s">
        <v>205</v>
      </c>
      <c r="D152" s="54">
        <f>(44.04)*10.764</f>
        <v>474.04655999999994</v>
      </c>
      <c r="E152" s="54">
        <v>0</v>
      </c>
      <c r="F152" s="47">
        <f t="shared" si="5"/>
        <v>734.77216799999997</v>
      </c>
      <c r="G152" s="179"/>
      <c r="H152" s="180"/>
      <c r="I152" s="34"/>
      <c r="J152" s="34">
        <f>12500000/F152</f>
        <v>17012.076048041057</v>
      </c>
      <c r="L152" s="105"/>
      <c r="M152" s="105"/>
      <c r="N152" s="34"/>
    </row>
    <row r="153" spans="1:14" s="49" customFormat="1" x14ac:dyDescent="0.25">
      <c r="A153" s="108" t="s">
        <v>209</v>
      </c>
      <c r="B153" s="109"/>
      <c r="C153" s="109"/>
      <c r="D153" s="109"/>
      <c r="E153" s="109"/>
      <c r="F153" s="109"/>
      <c r="G153" s="109"/>
      <c r="H153" s="110"/>
      <c r="J153" s="34"/>
    </row>
    <row r="154" spans="1:14" s="49" customFormat="1" ht="15.75" customHeight="1" x14ac:dyDescent="0.25">
      <c r="A154" s="102">
        <v>1</v>
      </c>
      <c r="B154" s="103"/>
      <c r="C154" s="47" t="s">
        <v>203</v>
      </c>
      <c r="D154" s="54">
        <f>(90.18)*10.764</f>
        <v>970.69752000000005</v>
      </c>
      <c r="E154" s="54">
        <v>0</v>
      </c>
      <c r="F154" s="47">
        <f t="shared" ref="F154:F159" si="7">D154*(($F$127)+1)+(IF(E154&lt;101,E154,IF(E154&lt;201,E154/2,IF(E154&lt;=301,E154/3,E154/4))))</f>
        <v>1504.5811560000002</v>
      </c>
      <c r="G154" s="175" t="str">
        <f>A153</f>
        <v>8th Floor</v>
      </c>
      <c r="H154" s="176"/>
      <c r="I154" s="34"/>
      <c r="L154" s="105"/>
      <c r="M154" s="105"/>
      <c r="N154" s="34"/>
    </row>
    <row r="155" spans="1:14" s="49" customFormat="1" x14ac:dyDescent="0.25">
      <c r="A155" s="102">
        <f t="shared" ref="A155:A159" si="8">A154+1</f>
        <v>2</v>
      </c>
      <c r="B155" s="103"/>
      <c r="C155" s="47" t="s">
        <v>204</v>
      </c>
      <c r="D155" s="54">
        <f>(70.24)*10.764</f>
        <v>756.06335999999988</v>
      </c>
      <c r="E155" s="54">
        <v>0</v>
      </c>
      <c r="F155" s="47">
        <f t="shared" si="7"/>
        <v>1171.8982079999998</v>
      </c>
      <c r="G155" s="177"/>
      <c r="H155" s="178"/>
      <c r="I155" s="34"/>
      <c r="L155" s="105"/>
      <c r="M155" s="105"/>
      <c r="N155" s="34"/>
    </row>
    <row r="156" spans="1:14" s="49" customFormat="1" x14ac:dyDescent="0.25">
      <c r="A156" s="102">
        <f t="shared" si="8"/>
        <v>3</v>
      </c>
      <c r="B156" s="103"/>
      <c r="C156" s="47" t="s">
        <v>203</v>
      </c>
      <c r="D156" s="54">
        <f>(82.51)*10.764</f>
        <v>888.13764000000003</v>
      </c>
      <c r="E156" s="54">
        <v>0</v>
      </c>
      <c r="F156" s="47">
        <f t="shared" si="7"/>
        <v>1376.6133420000001</v>
      </c>
      <c r="G156" s="177"/>
      <c r="H156" s="178"/>
      <c r="I156" s="34"/>
      <c r="L156" s="105"/>
      <c r="M156" s="105"/>
      <c r="N156" s="34"/>
    </row>
    <row r="157" spans="1:14" s="49" customFormat="1" x14ac:dyDescent="0.25">
      <c r="A157" s="102">
        <f t="shared" si="8"/>
        <v>4</v>
      </c>
      <c r="B157" s="103"/>
      <c r="C157" s="47" t="s">
        <v>203</v>
      </c>
      <c r="D157" s="54">
        <f>(97.85)*10.764</f>
        <v>1053.2574</v>
      </c>
      <c r="E157" s="54">
        <v>0</v>
      </c>
      <c r="F157" s="47">
        <f t="shared" si="7"/>
        <v>1632.5489700000001</v>
      </c>
      <c r="G157" s="177"/>
      <c r="H157" s="178"/>
      <c r="I157" s="34"/>
      <c r="L157" s="105"/>
      <c r="M157" s="105"/>
      <c r="N157" s="34"/>
    </row>
    <row r="158" spans="1:14" s="49" customFormat="1" x14ac:dyDescent="0.25">
      <c r="A158" s="102">
        <f t="shared" si="8"/>
        <v>5</v>
      </c>
      <c r="B158" s="103"/>
      <c r="C158" s="47" t="s">
        <v>204</v>
      </c>
      <c r="D158" s="54">
        <f>(67.14)*10.764</f>
        <v>722.69495999999992</v>
      </c>
      <c r="E158" s="54">
        <v>0</v>
      </c>
      <c r="F158" s="47">
        <f t="shared" si="7"/>
        <v>1120.1771879999999</v>
      </c>
      <c r="G158" s="177"/>
      <c r="H158" s="178"/>
      <c r="I158" s="34"/>
      <c r="L158" s="105"/>
      <c r="M158" s="105"/>
      <c r="N158" s="34"/>
    </row>
    <row r="159" spans="1:14" s="49" customFormat="1" x14ac:dyDescent="0.25">
      <c r="A159" s="102">
        <f t="shared" si="8"/>
        <v>6</v>
      </c>
      <c r="B159" s="103"/>
      <c r="C159" s="47" t="s">
        <v>204</v>
      </c>
      <c r="D159" s="54">
        <f>(47.81+0.75*(3.05+2.3+3.05))*10.764</f>
        <v>582.44003999999995</v>
      </c>
      <c r="E159" s="54">
        <v>0</v>
      </c>
      <c r="F159" s="47">
        <f t="shared" si="7"/>
        <v>902.782062</v>
      </c>
      <c r="G159" s="179"/>
      <c r="H159" s="180"/>
      <c r="I159" s="34">
        <f>4.15*3.05+2.65*2.3+3.05*2.65+3.05*3.05+2.15*1.35+2*1.3+1.5*1.05+0.9*1.42+0.75*(3.05+2.3+3.05)</f>
        <v>50.793000000000006</v>
      </c>
      <c r="L159" s="105"/>
      <c r="M159" s="105"/>
      <c r="N159" s="34"/>
    </row>
    <row r="160" spans="1:14" s="49" customFormat="1" x14ac:dyDescent="0.25">
      <c r="A160" s="108" t="s">
        <v>210</v>
      </c>
      <c r="B160" s="109"/>
      <c r="C160" s="109"/>
      <c r="D160" s="109"/>
      <c r="E160" s="109"/>
      <c r="F160" s="109"/>
      <c r="G160" s="109"/>
      <c r="H160" s="110"/>
      <c r="J160" s="34"/>
    </row>
    <row r="161" spans="1:14" s="49" customFormat="1" ht="15.75" customHeight="1" x14ac:dyDescent="0.25">
      <c r="A161" s="102">
        <v>1</v>
      </c>
      <c r="B161" s="103"/>
      <c r="C161" s="47" t="s">
        <v>203</v>
      </c>
      <c r="D161" s="54">
        <f>(90.18)*10.764</f>
        <v>970.69752000000005</v>
      </c>
      <c r="E161" s="54">
        <v>0</v>
      </c>
      <c r="F161" s="47">
        <f t="shared" ref="F161:F166" si="9">D161*(($F$127)+1)+(IF(E161&lt;101,E161,IF(E161&lt;201,E161/2,IF(E161&lt;=301,E161/3,E161/4))))</f>
        <v>1504.5811560000002</v>
      </c>
      <c r="G161" s="175" t="str">
        <f>A160</f>
        <v>9th Floor</v>
      </c>
      <c r="H161" s="176"/>
      <c r="I161" s="34"/>
      <c r="L161" s="105"/>
      <c r="M161" s="105"/>
      <c r="N161" s="34"/>
    </row>
    <row r="162" spans="1:14" s="49" customFormat="1" x14ac:dyDescent="0.25">
      <c r="A162" s="102">
        <f t="shared" ref="A162:A166" si="10">A161+1</f>
        <v>2</v>
      </c>
      <c r="B162" s="103"/>
      <c r="C162" s="47" t="s">
        <v>204</v>
      </c>
      <c r="D162" s="54">
        <f>(71.82)*10.764</f>
        <v>773.07047999999986</v>
      </c>
      <c r="E162" s="54">
        <v>0</v>
      </c>
      <c r="F162" s="47">
        <f t="shared" si="9"/>
        <v>1198.2592439999999</v>
      </c>
      <c r="G162" s="177"/>
      <c r="H162" s="178"/>
      <c r="I162" s="34"/>
      <c r="L162" s="105"/>
      <c r="M162" s="105"/>
      <c r="N162" s="34"/>
    </row>
    <row r="163" spans="1:14" s="49" customFormat="1" x14ac:dyDescent="0.25">
      <c r="A163" s="102">
        <f t="shared" si="10"/>
        <v>3</v>
      </c>
      <c r="B163" s="103"/>
      <c r="C163" s="47" t="s">
        <v>203</v>
      </c>
      <c r="D163" s="54">
        <f>(82.51)*10.764</f>
        <v>888.13764000000003</v>
      </c>
      <c r="E163" s="54">
        <v>0</v>
      </c>
      <c r="F163" s="47">
        <f t="shared" si="9"/>
        <v>1376.6133420000001</v>
      </c>
      <c r="G163" s="177"/>
      <c r="H163" s="178"/>
      <c r="I163" s="34"/>
      <c r="L163" s="105"/>
      <c r="M163" s="105"/>
      <c r="N163" s="34"/>
    </row>
    <row r="164" spans="1:14" s="49" customFormat="1" x14ac:dyDescent="0.25">
      <c r="A164" s="102">
        <f t="shared" si="10"/>
        <v>4</v>
      </c>
      <c r="B164" s="103"/>
      <c r="C164" s="47" t="s">
        <v>203</v>
      </c>
      <c r="D164" s="54">
        <f>(97.85)*10.764</f>
        <v>1053.2574</v>
      </c>
      <c r="E164" s="54">
        <v>0</v>
      </c>
      <c r="F164" s="47">
        <f t="shared" si="9"/>
        <v>1632.5489700000001</v>
      </c>
      <c r="G164" s="177"/>
      <c r="H164" s="178"/>
      <c r="I164" s="34"/>
      <c r="J164" s="34">
        <f>36000000/F164</f>
        <v>22051.405906678559</v>
      </c>
      <c r="L164" s="105"/>
      <c r="M164" s="105"/>
      <c r="N164" s="34"/>
    </row>
    <row r="165" spans="1:14" s="49" customFormat="1" x14ac:dyDescent="0.25">
      <c r="A165" s="102">
        <f t="shared" si="10"/>
        <v>5</v>
      </c>
      <c r="B165" s="103"/>
      <c r="C165" s="47" t="s">
        <v>204</v>
      </c>
      <c r="D165" s="54">
        <f>(67.14)*10.764</f>
        <v>722.69495999999992</v>
      </c>
      <c r="E165" s="54">
        <v>0</v>
      </c>
      <c r="F165" s="47">
        <f t="shared" si="9"/>
        <v>1120.1771879999999</v>
      </c>
      <c r="G165" s="177"/>
      <c r="H165" s="178"/>
      <c r="I165" s="34"/>
      <c r="L165" s="105"/>
      <c r="M165" s="105"/>
      <c r="N165" s="34"/>
    </row>
    <row r="166" spans="1:14" s="49" customFormat="1" x14ac:dyDescent="0.25">
      <c r="A166" s="102">
        <f t="shared" si="10"/>
        <v>6</v>
      </c>
      <c r="B166" s="103"/>
      <c r="C166" s="47" t="s">
        <v>204</v>
      </c>
      <c r="D166" s="54">
        <f>(49.5)*10.764</f>
        <v>532.81799999999998</v>
      </c>
      <c r="E166" s="54">
        <v>0</v>
      </c>
      <c r="F166" s="47">
        <f t="shared" si="9"/>
        <v>825.86789999999996</v>
      </c>
      <c r="G166" s="179"/>
      <c r="H166" s="180"/>
      <c r="I166" s="34"/>
      <c r="L166" s="105"/>
      <c r="M166" s="105"/>
      <c r="N166" s="34"/>
    </row>
    <row r="167" spans="1:14" s="49" customFormat="1" x14ac:dyDescent="0.25">
      <c r="A167" s="108" t="s">
        <v>211</v>
      </c>
      <c r="B167" s="109"/>
      <c r="C167" s="109"/>
      <c r="D167" s="109"/>
      <c r="E167" s="109"/>
      <c r="F167" s="109"/>
      <c r="G167" s="109"/>
      <c r="H167" s="110"/>
      <c r="J167" s="34"/>
    </row>
    <row r="168" spans="1:14" s="49" customFormat="1" ht="15.75" customHeight="1" x14ac:dyDescent="0.25">
      <c r="A168" s="102">
        <v>1</v>
      </c>
      <c r="B168" s="103"/>
      <c r="C168" s="47" t="s">
        <v>204</v>
      </c>
      <c r="D168" s="54">
        <f>(63+0.75*(3.05+2.3+3.05+3.35))*10.764</f>
        <v>772.98974999999996</v>
      </c>
      <c r="E168" s="54">
        <f>(3.2*4.25+0.35*2.1+2.15*1.55)*10.764</f>
        <v>190.17296999999999</v>
      </c>
      <c r="F168" s="47">
        <f t="shared" ref="F168:F173" si="11">D168*(($F$127)+1)+(IF(E168&lt;101,E168,IF(E168&lt;201,E168/2,IF(E168&lt;=301,E168/3,E168/4))))</f>
        <v>1293.2205974999999</v>
      </c>
      <c r="G168" s="175" t="str">
        <f>A167</f>
        <v>10th Floor</v>
      </c>
      <c r="H168" s="176"/>
      <c r="I168" s="34"/>
      <c r="L168" s="105"/>
      <c r="M168" s="105"/>
      <c r="N168" s="34"/>
    </row>
    <row r="169" spans="1:14" s="49" customFormat="1" x14ac:dyDescent="0.25">
      <c r="A169" s="102">
        <f t="shared" ref="A169:A173" si="12">A168+1</f>
        <v>2</v>
      </c>
      <c r="B169" s="103"/>
      <c r="C169" s="47" t="s">
        <v>204</v>
      </c>
      <c r="D169" s="54">
        <f>(71.82)*10.764</f>
        <v>773.07047999999986</v>
      </c>
      <c r="E169" s="54">
        <v>0</v>
      </c>
      <c r="F169" s="47">
        <f t="shared" si="11"/>
        <v>1198.2592439999999</v>
      </c>
      <c r="G169" s="177"/>
      <c r="H169" s="178"/>
      <c r="I169" s="34"/>
      <c r="L169" s="105"/>
      <c r="M169" s="105"/>
      <c r="N169" s="34"/>
    </row>
    <row r="170" spans="1:14" s="49" customFormat="1" x14ac:dyDescent="0.25">
      <c r="A170" s="102">
        <f t="shared" si="12"/>
        <v>3</v>
      </c>
      <c r="B170" s="103"/>
      <c r="C170" s="47" t="s">
        <v>203</v>
      </c>
      <c r="D170" s="54">
        <f>(82.51)*10.764</f>
        <v>888.13764000000003</v>
      </c>
      <c r="E170" s="54">
        <v>0</v>
      </c>
      <c r="F170" s="47">
        <f t="shared" si="11"/>
        <v>1376.6133420000001</v>
      </c>
      <c r="G170" s="177"/>
      <c r="H170" s="178"/>
      <c r="I170" s="34"/>
      <c r="L170" s="105"/>
      <c r="M170" s="105"/>
      <c r="N170" s="34"/>
    </row>
    <row r="171" spans="1:14" s="49" customFormat="1" x14ac:dyDescent="0.25">
      <c r="A171" s="102">
        <f t="shared" si="12"/>
        <v>4</v>
      </c>
      <c r="B171" s="103"/>
      <c r="C171" s="47" t="s">
        <v>203</v>
      </c>
      <c r="D171" s="54">
        <f>(97.85)*10.764</f>
        <v>1053.2574</v>
      </c>
      <c r="E171" s="54">
        <v>0</v>
      </c>
      <c r="F171" s="47">
        <f t="shared" si="11"/>
        <v>1632.5489700000001</v>
      </c>
      <c r="G171" s="177"/>
      <c r="H171" s="178"/>
      <c r="I171" s="34"/>
      <c r="L171" s="105"/>
      <c r="M171" s="105"/>
      <c r="N171" s="34"/>
    </row>
    <row r="172" spans="1:14" s="49" customFormat="1" x14ac:dyDescent="0.25">
      <c r="A172" s="102">
        <f t="shared" si="12"/>
        <v>5</v>
      </c>
      <c r="B172" s="103"/>
      <c r="C172" s="47" t="s">
        <v>204</v>
      </c>
      <c r="D172" s="54">
        <f>(67.14)*10.764</f>
        <v>722.69495999999992</v>
      </c>
      <c r="E172" s="54">
        <v>0</v>
      </c>
      <c r="F172" s="47">
        <f t="shared" si="11"/>
        <v>1120.1771879999999</v>
      </c>
      <c r="G172" s="177"/>
      <c r="H172" s="178"/>
      <c r="I172" s="34"/>
      <c r="L172" s="105"/>
      <c r="M172" s="105"/>
      <c r="N172" s="34"/>
    </row>
    <row r="173" spans="1:14" s="49" customFormat="1" x14ac:dyDescent="0.25">
      <c r="A173" s="102">
        <f t="shared" si="12"/>
        <v>6</v>
      </c>
      <c r="B173" s="103"/>
      <c r="C173" s="47" t="s">
        <v>204</v>
      </c>
      <c r="D173" s="54">
        <f>(53.74)*10.764</f>
        <v>578.45735999999999</v>
      </c>
      <c r="E173" s="54">
        <v>0</v>
      </c>
      <c r="F173" s="47">
        <f t="shared" si="11"/>
        <v>896.60890800000004</v>
      </c>
      <c r="G173" s="179"/>
      <c r="H173" s="180"/>
      <c r="I173" s="34"/>
      <c r="J173" s="34">
        <f>15200000/F173</f>
        <v>16952.76487259705</v>
      </c>
      <c r="L173" s="105"/>
      <c r="M173" s="105"/>
      <c r="N173" s="34"/>
    </row>
    <row r="174" spans="1:14" s="49" customFormat="1" x14ac:dyDescent="0.25">
      <c r="A174" s="108" t="s">
        <v>212</v>
      </c>
      <c r="B174" s="109"/>
      <c r="C174" s="109"/>
      <c r="D174" s="109"/>
      <c r="E174" s="109"/>
      <c r="F174" s="109"/>
      <c r="G174" s="109"/>
      <c r="H174" s="110"/>
      <c r="J174" s="34"/>
    </row>
    <row r="175" spans="1:14" s="49" customFormat="1" ht="15.75" customHeight="1" x14ac:dyDescent="0.25">
      <c r="A175" s="102">
        <v>1</v>
      </c>
      <c r="B175" s="103"/>
      <c r="C175" s="47" t="s">
        <v>204</v>
      </c>
      <c r="D175" s="54">
        <f>(63)*10.764</f>
        <v>678.13199999999995</v>
      </c>
      <c r="E175" s="54">
        <v>0</v>
      </c>
      <c r="F175" s="47">
        <f t="shared" ref="F175:F180" si="13">D175*(($F$127)+1)+(IF(E175&lt;101,E175,IF(E175&lt;201,E175/2,IF(E175&lt;=301,E175/3,E175/4))))</f>
        <v>1051.1045999999999</v>
      </c>
      <c r="G175" s="175" t="str">
        <f>A174</f>
        <v>11th, 12th &amp; 14th Floor</v>
      </c>
      <c r="H175" s="176"/>
      <c r="I175" s="34"/>
      <c r="L175" s="105"/>
      <c r="M175" s="105"/>
      <c r="N175" s="34"/>
    </row>
    <row r="176" spans="1:14" s="49" customFormat="1" x14ac:dyDescent="0.25">
      <c r="A176" s="102">
        <f t="shared" ref="A176:A180" si="14">A175+1</f>
        <v>2</v>
      </c>
      <c r="B176" s="103"/>
      <c r="C176" s="47" t="s">
        <v>204</v>
      </c>
      <c r="D176" s="54">
        <f>(71.82)*10.764</f>
        <v>773.07047999999986</v>
      </c>
      <c r="E176" s="54">
        <v>0</v>
      </c>
      <c r="F176" s="47">
        <f t="shared" si="13"/>
        <v>1198.2592439999999</v>
      </c>
      <c r="G176" s="177"/>
      <c r="H176" s="178"/>
      <c r="I176" s="34"/>
      <c r="L176" s="105"/>
      <c r="M176" s="105"/>
      <c r="N176" s="34"/>
    </row>
    <row r="177" spans="1:14" s="49" customFormat="1" x14ac:dyDescent="0.25">
      <c r="A177" s="102">
        <f t="shared" si="14"/>
        <v>3</v>
      </c>
      <c r="B177" s="103"/>
      <c r="C177" s="47" t="s">
        <v>203</v>
      </c>
      <c r="D177" s="54">
        <f>(90.25)*10.764</f>
        <v>971.45099999999991</v>
      </c>
      <c r="E177" s="54">
        <v>0</v>
      </c>
      <c r="F177" s="47">
        <f t="shared" si="13"/>
        <v>1505.7490499999999</v>
      </c>
      <c r="G177" s="177"/>
      <c r="H177" s="178"/>
      <c r="I177" s="34"/>
      <c r="L177" s="105"/>
      <c r="M177" s="105"/>
      <c r="N177" s="34"/>
    </row>
    <row r="178" spans="1:14" s="49" customFormat="1" x14ac:dyDescent="0.25">
      <c r="A178" s="102">
        <f t="shared" si="14"/>
        <v>4</v>
      </c>
      <c r="B178" s="103"/>
      <c r="C178" s="47" t="s">
        <v>203</v>
      </c>
      <c r="D178" s="54">
        <f>(97.85)*10.764</f>
        <v>1053.2574</v>
      </c>
      <c r="E178" s="54">
        <v>0</v>
      </c>
      <c r="F178" s="47">
        <f t="shared" si="13"/>
        <v>1632.5489700000001</v>
      </c>
      <c r="G178" s="177"/>
      <c r="H178" s="178"/>
      <c r="I178" s="34"/>
      <c r="L178" s="105"/>
      <c r="M178" s="105"/>
      <c r="N178" s="34"/>
    </row>
    <row r="179" spans="1:14" s="49" customFormat="1" x14ac:dyDescent="0.25">
      <c r="A179" s="102">
        <f t="shared" si="14"/>
        <v>5</v>
      </c>
      <c r="B179" s="103"/>
      <c r="C179" s="47" t="s">
        <v>204</v>
      </c>
      <c r="D179" s="54">
        <f>(67.14)*10.764</f>
        <v>722.69495999999992</v>
      </c>
      <c r="E179" s="54">
        <v>0</v>
      </c>
      <c r="F179" s="47">
        <f t="shared" si="13"/>
        <v>1120.1771879999999</v>
      </c>
      <c r="G179" s="177"/>
      <c r="H179" s="178"/>
      <c r="I179" s="34"/>
      <c r="L179" s="105"/>
      <c r="M179" s="105"/>
      <c r="N179" s="34"/>
    </row>
    <row r="180" spans="1:14" s="49" customFormat="1" x14ac:dyDescent="0.25">
      <c r="A180" s="102">
        <f t="shared" si="14"/>
        <v>6</v>
      </c>
      <c r="B180" s="103"/>
      <c r="C180" s="47" t="s">
        <v>204</v>
      </c>
      <c r="D180" s="54">
        <f>(67.18)*10.764</f>
        <v>723.12552000000005</v>
      </c>
      <c r="E180" s="54">
        <v>0</v>
      </c>
      <c r="F180" s="47">
        <f t="shared" si="13"/>
        <v>1120.844556</v>
      </c>
      <c r="G180" s="179"/>
      <c r="H180" s="180"/>
      <c r="I180" s="34"/>
      <c r="L180" s="105"/>
      <c r="M180" s="105"/>
      <c r="N180" s="34"/>
    </row>
    <row r="181" spans="1:14" s="49" customFormat="1" x14ac:dyDescent="0.25">
      <c r="A181" s="108" t="s">
        <v>213</v>
      </c>
      <c r="B181" s="109"/>
      <c r="C181" s="109"/>
      <c r="D181" s="109"/>
      <c r="E181" s="109"/>
      <c r="F181" s="109"/>
      <c r="G181" s="109"/>
      <c r="H181" s="110"/>
      <c r="J181" s="34"/>
    </row>
    <row r="182" spans="1:14" s="49" customFormat="1" ht="15.75" customHeight="1" x14ac:dyDescent="0.25">
      <c r="A182" s="102">
        <v>1</v>
      </c>
      <c r="B182" s="103"/>
      <c r="C182" s="47" t="s">
        <v>204</v>
      </c>
      <c r="D182" s="54">
        <f>(63)*10.764</f>
        <v>678.13199999999995</v>
      </c>
      <c r="E182" s="54">
        <v>0</v>
      </c>
      <c r="F182" s="47">
        <f>D182*(($F$127)+1)+(IF(E182&lt;101,E182,IF(E182&lt;201,E182/2,IF(E182&lt;=301,E182/3,E182/4))))</f>
        <v>1051.1045999999999</v>
      </c>
      <c r="G182" s="175" t="str">
        <f>A181</f>
        <v>13th Floor (Part Refuge Area)</v>
      </c>
      <c r="H182" s="176"/>
      <c r="I182" s="34"/>
      <c r="L182" s="105"/>
      <c r="M182" s="105"/>
      <c r="N182" s="34"/>
    </row>
    <row r="183" spans="1:14" s="49" customFormat="1" x14ac:dyDescent="0.25">
      <c r="A183" s="102">
        <f t="shared" ref="A183:A187" si="15">A182+1</f>
        <v>2</v>
      </c>
      <c r="B183" s="103"/>
      <c r="C183" s="47" t="s">
        <v>204</v>
      </c>
      <c r="D183" s="54">
        <f>(71.82)*10.764</f>
        <v>773.07047999999986</v>
      </c>
      <c r="E183" s="54">
        <v>0</v>
      </c>
      <c r="F183" s="47">
        <f>D183*(($F$127)+1)+(IF(E183&lt;101,E183,IF(E183&lt;201,E183/2,IF(E183&lt;=301,E183/3,E183/4))))</f>
        <v>1198.2592439999999</v>
      </c>
      <c r="G183" s="177"/>
      <c r="H183" s="178"/>
      <c r="I183" s="34"/>
      <c r="J183" s="34">
        <f>22800000/F183</f>
        <v>19027.60201030421</v>
      </c>
      <c r="L183" s="105"/>
      <c r="M183" s="105"/>
      <c r="N183" s="34"/>
    </row>
    <row r="184" spans="1:14" s="49" customFormat="1" x14ac:dyDescent="0.25">
      <c r="A184" s="102">
        <f t="shared" si="15"/>
        <v>3</v>
      </c>
      <c r="B184" s="103"/>
      <c r="C184" s="47" t="s">
        <v>203</v>
      </c>
      <c r="D184" s="54">
        <f>(90.25)*10.764</f>
        <v>971.45099999999991</v>
      </c>
      <c r="E184" s="54">
        <v>0</v>
      </c>
      <c r="F184" s="47">
        <f>D184*(($F$127)+1)+(IF(E184&lt;101,E184,IF(E184&lt;201,E184/2,IF(E184&lt;=301,E184/3,E184/4))))</f>
        <v>1505.7490499999999</v>
      </c>
      <c r="G184" s="177"/>
      <c r="H184" s="178"/>
      <c r="I184" s="34"/>
      <c r="L184" s="105"/>
      <c r="M184" s="105"/>
      <c r="N184" s="34"/>
    </row>
    <row r="185" spans="1:14" s="49" customFormat="1" x14ac:dyDescent="0.25">
      <c r="A185" s="102">
        <f t="shared" si="15"/>
        <v>4</v>
      </c>
      <c r="B185" s="103"/>
      <c r="C185" s="47" t="s">
        <v>203</v>
      </c>
      <c r="D185" s="54">
        <f>(97.85)*10.764</f>
        <v>1053.2574</v>
      </c>
      <c r="E185" s="54">
        <v>0</v>
      </c>
      <c r="F185" s="47">
        <f>D185*(($F$127)+1)+(IF(E185&lt;101,E185,IF(E185&lt;201,E185/2,IF(E185&lt;=301,E185/3,E185/4))))</f>
        <v>1632.5489700000001</v>
      </c>
      <c r="G185" s="177"/>
      <c r="H185" s="178"/>
      <c r="I185" s="34"/>
      <c r="L185" s="105"/>
      <c r="M185" s="105"/>
      <c r="N185" s="34"/>
    </row>
    <row r="186" spans="1:14" s="49" customFormat="1" x14ac:dyDescent="0.25">
      <c r="A186" s="102">
        <f t="shared" si="15"/>
        <v>5</v>
      </c>
      <c r="B186" s="103"/>
      <c r="C186" s="47" t="s">
        <v>214</v>
      </c>
      <c r="D186" s="54">
        <f>(21.92)*10.764</f>
        <v>235.94687999999999</v>
      </c>
      <c r="E186" s="54">
        <v>0</v>
      </c>
      <c r="F186" s="47">
        <f>D186*(($F$127)+1)+(IF(E186&lt;101,E186,IF(E186&lt;201,E186/2,IF(E186&lt;=301,E186/3,E186/4))))</f>
        <v>365.71766400000001</v>
      </c>
      <c r="G186" s="177"/>
      <c r="H186" s="178"/>
      <c r="I186" s="34"/>
      <c r="L186" s="105"/>
      <c r="M186" s="105"/>
      <c r="N186" s="34"/>
    </row>
    <row r="187" spans="1:14" s="49" customFormat="1" x14ac:dyDescent="0.25">
      <c r="A187" s="102">
        <f t="shared" si="15"/>
        <v>6</v>
      </c>
      <c r="B187" s="103"/>
      <c r="C187" s="102" t="s">
        <v>207</v>
      </c>
      <c r="D187" s="184"/>
      <c r="E187" s="184"/>
      <c r="F187" s="103"/>
      <c r="G187" s="179"/>
      <c r="H187" s="180"/>
      <c r="I187" s="34"/>
      <c r="L187" s="105"/>
      <c r="M187" s="105"/>
      <c r="N187" s="34"/>
    </row>
    <row r="188" spans="1:14" s="49" customFormat="1" x14ac:dyDescent="0.25">
      <c r="A188" s="108" t="s">
        <v>215</v>
      </c>
      <c r="B188" s="109"/>
      <c r="C188" s="109"/>
      <c r="D188" s="109"/>
      <c r="E188" s="109"/>
      <c r="F188" s="109"/>
      <c r="G188" s="109"/>
      <c r="H188" s="110"/>
      <c r="J188" s="34"/>
    </row>
    <row r="189" spans="1:14" s="49" customFormat="1" ht="15.75" customHeight="1" x14ac:dyDescent="0.25">
      <c r="A189" s="102">
        <v>1</v>
      </c>
      <c r="B189" s="103"/>
      <c r="C189" s="47" t="s">
        <v>204</v>
      </c>
      <c r="D189" s="54">
        <f>(63)*10.764</f>
        <v>678.13199999999995</v>
      </c>
      <c r="E189" s="54">
        <v>0</v>
      </c>
      <c r="F189" s="47">
        <f t="shared" ref="F189:F194" si="16">D189*(($F$127)+1)+(IF(E189&lt;101,E189,IF(E189&lt;201,E189/2,IF(E189&lt;=301,E189/3,E189/4))))</f>
        <v>1051.1045999999999</v>
      </c>
      <c r="G189" s="175" t="str">
        <f>A188</f>
        <v>15th to 18th Floor</v>
      </c>
      <c r="H189" s="176"/>
      <c r="I189" s="34"/>
      <c r="L189" s="105"/>
      <c r="M189" s="105"/>
      <c r="N189" s="34"/>
    </row>
    <row r="190" spans="1:14" s="49" customFormat="1" x14ac:dyDescent="0.25">
      <c r="A190" s="102">
        <f t="shared" ref="A190:A194" si="17">A189+1</f>
        <v>2</v>
      </c>
      <c r="B190" s="103"/>
      <c r="C190" s="47" t="s">
        <v>204</v>
      </c>
      <c r="D190" s="54">
        <f>(71.82)*10.764</f>
        <v>773.07047999999986</v>
      </c>
      <c r="E190" s="54">
        <v>0</v>
      </c>
      <c r="F190" s="47">
        <f t="shared" si="16"/>
        <v>1198.2592439999999</v>
      </c>
      <c r="G190" s="177"/>
      <c r="H190" s="178"/>
      <c r="I190" s="34"/>
      <c r="L190" s="105"/>
      <c r="M190" s="105"/>
      <c r="N190" s="34"/>
    </row>
    <row r="191" spans="1:14" s="49" customFormat="1" x14ac:dyDescent="0.25">
      <c r="A191" s="102">
        <f t="shared" si="17"/>
        <v>3</v>
      </c>
      <c r="B191" s="103"/>
      <c r="C191" s="47" t="s">
        <v>203</v>
      </c>
      <c r="D191" s="54">
        <f>(93.39)*10.764</f>
        <v>1005.24996</v>
      </c>
      <c r="E191" s="54">
        <v>0</v>
      </c>
      <c r="F191" s="47">
        <f t="shared" si="16"/>
        <v>1558.137438</v>
      </c>
      <c r="G191" s="177"/>
      <c r="H191" s="178"/>
      <c r="I191" s="34"/>
      <c r="L191" s="105"/>
      <c r="M191" s="105"/>
      <c r="N191" s="34"/>
    </row>
    <row r="192" spans="1:14" s="49" customFormat="1" x14ac:dyDescent="0.25">
      <c r="A192" s="102">
        <f t="shared" si="17"/>
        <v>4</v>
      </c>
      <c r="B192" s="103"/>
      <c r="C192" s="47" t="s">
        <v>203</v>
      </c>
      <c r="D192" s="54">
        <f>(97.85)*10.764</f>
        <v>1053.2574</v>
      </c>
      <c r="E192" s="54">
        <v>0</v>
      </c>
      <c r="F192" s="47">
        <f t="shared" si="16"/>
        <v>1632.5489700000001</v>
      </c>
      <c r="G192" s="177"/>
      <c r="H192" s="178"/>
      <c r="I192" s="34"/>
      <c r="L192" s="105"/>
      <c r="M192" s="105"/>
      <c r="N192" s="34"/>
    </row>
    <row r="193" spans="1:14" s="49" customFormat="1" x14ac:dyDescent="0.25">
      <c r="A193" s="102">
        <f t="shared" si="17"/>
        <v>5</v>
      </c>
      <c r="B193" s="103"/>
      <c r="C193" s="47" t="s">
        <v>204</v>
      </c>
      <c r="D193" s="54">
        <f>(67.14)*10.764</f>
        <v>722.69495999999992</v>
      </c>
      <c r="E193" s="54">
        <v>0</v>
      </c>
      <c r="F193" s="47">
        <f t="shared" si="16"/>
        <v>1120.1771879999999</v>
      </c>
      <c r="G193" s="177"/>
      <c r="H193" s="178"/>
      <c r="I193" s="34"/>
      <c r="L193" s="105"/>
      <c r="M193" s="105"/>
      <c r="N193" s="34"/>
    </row>
    <row r="194" spans="1:14" s="49" customFormat="1" x14ac:dyDescent="0.25">
      <c r="A194" s="102">
        <f t="shared" si="17"/>
        <v>6</v>
      </c>
      <c r="B194" s="103"/>
      <c r="C194" s="47" t="s">
        <v>204</v>
      </c>
      <c r="D194" s="54">
        <f>(67.18)*10.764</f>
        <v>723.12552000000005</v>
      </c>
      <c r="E194" s="54">
        <v>0</v>
      </c>
      <c r="F194" s="47">
        <f t="shared" si="16"/>
        <v>1120.844556</v>
      </c>
      <c r="G194" s="179"/>
      <c r="H194" s="180"/>
      <c r="I194" s="34"/>
      <c r="L194" s="105"/>
      <c r="M194" s="105"/>
      <c r="N194" s="34"/>
    </row>
    <row r="195" spans="1:14" s="49" customFormat="1" x14ac:dyDescent="0.25">
      <c r="A195" s="108" t="s">
        <v>216</v>
      </c>
      <c r="B195" s="109"/>
      <c r="C195" s="109"/>
      <c r="D195" s="109"/>
      <c r="E195" s="109"/>
      <c r="F195" s="109"/>
      <c r="G195" s="109"/>
      <c r="H195" s="110"/>
      <c r="J195" s="34"/>
    </row>
    <row r="196" spans="1:14" s="49" customFormat="1" ht="15.75" customHeight="1" x14ac:dyDescent="0.25">
      <c r="A196" s="102">
        <v>1</v>
      </c>
      <c r="B196" s="103"/>
      <c r="C196" s="175" t="s">
        <v>217</v>
      </c>
      <c r="D196" s="192"/>
      <c r="E196" s="192"/>
      <c r="F196" s="176"/>
      <c r="G196" s="175" t="str">
        <f>A195</f>
        <v>19th Floor (Part Terrace Area)</v>
      </c>
      <c r="H196" s="176"/>
      <c r="I196" s="34"/>
      <c r="L196" s="105"/>
      <c r="M196" s="105"/>
      <c r="N196" s="34"/>
    </row>
    <row r="197" spans="1:14" s="49" customFormat="1" x14ac:dyDescent="0.25">
      <c r="A197" s="102">
        <f t="shared" ref="A197:A201" si="18">A196+1</f>
        <v>2</v>
      </c>
      <c r="B197" s="103"/>
      <c r="C197" s="177"/>
      <c r="D197" s="194"/>
      <c r="E197" s="194"/>
      <c r="F197" s="178"/>
      <c r="G197" s="177"/>
      <c r="H197" s="178"/>
      <c r="I197" s="34"/>
      <c r="L197" s="105"/>
      <c r="M197" s="105"/>
      <c r="N197" s="34"/>
    </row>
    <row r="198" spans="1:14" s="49" customFormat="1" x14ac:dyDescent="0.25">
      <c r="A198" s="102">
        <f t="shared" si="18"/>
        <v>3</v>
      </c>
      <c r="B198" s="103"/>
      <c r="C198" s="179"/>
      <c r="D198" s="193"/>
      <c r="E198" s="193"/>
      <c r="F198" s="180"/>
      <c r="G198" s="177"/>
      <c r="H198" s="178"/>
      <c r="I198" s="34"/>
      <c r="L198" s="105"/>
      <c r="M198" s="105"/>
      <c r="N198" s="34"/>
    </row>
    <row r="199" spans="1:14" s="49" customFormat="1" x14ac:dyDescent="0.25">
      <c r="A199" s="102">
        <f t="shared" si="18"/>
        <v>4</v>
      </c>
      <c r="B199" s="103"/>
      <c r="C199" s="47" t="s">
        <v>218</v>
      </c>
      <c r="D199" s="54">
        <f>(114.9)*10.764</f>
        <v>1236.7836</v>
      </c>
      <c r="E199" s="54">
        <v>0</v>
      </c>
      <c r="F199" s="47">
        <f>D199*(($F$127)+1)+(IF(E199&lt;101,E199,IF(E199&lt;201,E199/2,IF(E199&lt;=301,E199/3,E199/4))))</f>
        <v>1917.01458</v>
      </c>
      <c r="G199" s="177"/>
      <c r="H199" s="178"/>
      <c r="I199" s="34"/>
      <c r="L199" s="105"/>
      <c r="M199" s="105"/>
      <c r="N199" s="34"/>
    </row>
    <row r="200" spans="1:14" s="49" customFormat="1" x14ac:dyDescent="0.25">
      <c r="A200" s="102">
        <f t="shared" si="18"/>
        <v>5</v>
      </c>
      <c r="B200" s="103"/>
      <c r="C200" s="175" t="s">
        <v>217</v>
      </c>
      <c r="D200" s="192"/>
      <c r="E200" s="192"/>
      <c r="F200" s="176"/>
      <c r="G200" s="177"/>
      <c r="H200" s="178"/>
      <c r="I200" s="34"/>
      <c r="L200" s="105"/>
      <c r="M200" s="105"/>
      <c r="N200" s="34"/>
    </row>
    <row r="201" spans="1:14" s="49" customFormat="1" x14ac:dyDescent="0.25">
      <c r="A201" s="102">
        <f t="shared" si="18"/>
        <v>6</v>
      </c>
      <c r="B201" s="103"/>
      <c r="C201" s="179"/>
      <c r="D201" s="193"/>
      <c r="E201" s="193"/>
      <c r="F201" s="180"/>
      <c r="G201" s="179"/>
      <c r="H201" s="180"/>
      <c r="I201" s="34"/>
      <c r="L201" s="105"/>
      <c r="M201" s="105"/>
      <c r="N201" s="34"/>
    </row>
    <row r="202" spans="1:14" s="33" customFormat="1" x14ac:dyDescent="0.25">
      <c r="A202" s="195" t="s">
        <v>69</v>
      </c>
      <c r="B202" s="195"/>
      <c r="C202" s="195"/>
      <c r="D202" s="195"/>
      <c r="E202" s="195"/>
      <c r="F202" s="195"/>
      <c r="G202" s="195"/>
      <c r="H202" s="195"/>
    </row>
    <row r="203" spans="1:14" s="61" customFormat="1" ht="31.5" customHeight="1" x14ac:dyDescent="0.25">
      <c r="A203" s="60" t="s">
        <v>156</v>
      </c>
      <c r="B203" s="172" t="s">
        <v>246</v>
      </c>
      <c r="C203" s="173"/>
      <c r="D203" s="173"/>
      <c r="E203" s="173"/>
      <c r="F203" s="173"/>
      <c r="G203" s="173"/>
      <c r="H203" s="174"/>
    </row>
    <row r="204" spans="1:14" s="33" customFormat="1" x14ac:dyDescent="0.25">
      <c r="A204" s="42" t="s">
        <v>156</v>
      </c>
      <c r="B204" s="172" t="str">
        <f>(IF(F126="Saleable area Loading :","We have considered Saleable area of Flats as per our Calculation.","We considered Saleable area of Flat as per Builder area Sheet."))</f>
        <v>We have considered Saleable area of Flats as per our Calculation.</v>
      </c>
      <c r="C204" s="173"/>
      <c r="D204" s="173"/>
      <c r="E204" s="173"/>
      <c r="F204" s="173"/>
      <c r="G204" s="173"/>
      <c r="H204" s="174"/>
    </row>
    <row r="205" spans="1:14" s="33" customFormat="1" x14ac:dyDescent="0.25">
      <c r="A205" s="42" t="s">
        <v>156</v>
      </c>
      <c r="B205" s="172" t="str">
        <f>(IF(F118="Saleable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05" s="173"/>
      <c r="D205" s="173"/>
      <c r="E205" s="173"/>
      <c r="F205" s="173"/>
      <c r="G205" s="173"/>
      <c r="H205" s="174"/>
    </row>
    <row r="206" spans="1:14" s="33" customFormat="1" x14ac:dyDescent="0.25">
      <c r="A206" s="42" t="s">
        <v>156</v>
      </c>
      <c r="B206" s="82" t="s">
        <v>127</v>
      </c>
      <c r="C206" s="83"/>
      <c r="D206" s="83"/>
      <c r="E206" s="83"/>
      <c r="F206" s="83"/>
      <c r="G206" s="83"/>
      <c r="H206" s="84"/>
    </row>
    <row r="207" spans="1:14" s="33" customFormat="1" x14ac:dyDescent="0.25">
      <c r="A207" s="42" t="s">
        <v>156</v>
      </c>
      <c r="B207" s="172" t="s">
        <v>219</v>
      </c>
      <c r="C207" s="173"/>
      <c r="D207" s="173"/>
      <c r="E207" s="173"/>
      <c r="F207" s="173"/>
      <c r="G207" s="173"/>
      <c r="H207" s="174"/>
    </row>
    <row r="208" spans="1:14" s="33" customFormat="1" x14ac:dyDescent="0.25">
      <c r="A208" s="42" t="s">
        <v>156</v>
      </c>
      <c r="B208" s="82" t="s">
        <v>155</v>
      </c>
      <c r="C208" s="83"/>
      <c r="D208" s="83"/>
      <c r="E208" s="83"/>
      <c r="F208" s="83"/>
      <c r="G208" s="83"/>
      <c r="H208" s="84"/>
    </row>
    <row r="209" spans="1:9" s="33" customFormat="1" x14ac:dyDescent="0.25">
      <c r="A209" s="42" t="s">
        <v>156</v>
      </c>
      <c r="B209" s="82" t="s">
        <v>128</v>
      </c>
      <c r="C209" s="83"/>
      <c r="D209" s="83"/>
      <c r="E209" s="83"/>
      <c r="F209" s="83"/>
      <c r="G209" s="83"/>
      <c r="H209" s="84"/>
    </row>
    <row r="210" spans="1:9" s="33" customFormat="1" ht="34.5" customHeight="1" x14ac:dyDescent="0.25">
      <c r="A210" s="42" t="s">
        <v>156</v>
      </c>
      <c r="B210" s="82" t="s">
        <v>157</v>
      </c>
      <c r="C210" s="83"/>
      <c r="D210" s="83"/>
      <c r="E210" s="83"/>
      <c r="F210" s="83"/>
      <c r="G210" s="83"/>
      <c r="H210" s="84"/>
      <c r="I210" s="66"/>
    </row>
    <row r="211" spans="1:9" s="33" customFormat="1" x14ac:dyDescent="0.25">
      <c r="A211" s="42" t="s">
        <v>156</v>
      </c>
      <c r="B211" s="82" t="s">
        <v>129</v>
      </c>
      <c r="C211" s="83"/>
      <c r="D211" s="83"/>
      <c r="E211" s="83"/>
      <c r="F211" s="83"/>
      <c r="G211" s="83"/>
      <c r="H211" s="84"/>
    </row>
    <row r="212" spans="1:9" s="33" customFormat="1" x14ac:dyDescent="0.25">
      <c r="A212" s="68" t="s">
        <v>156</v>
      </c>
      <c r="B212" s="82" t="s">
        <v>224</v>
      </c>
      <c r="C212" s="83"/>
      <c r="D212" s="83"/>
      <c r="E212" s="83"/>
      <c r="F212" s="83"/>
      <c r="G212" s="83"/>
      <c r="H212" s="84"/>
    </row>
    <row r="213" spans="1:9" s="33" customFormat="1" x14ac:dyDescent="0.25">
      <c r="A213" s="65" t="s">
        <v>156</v>
      </c>
      <c r="B213" s="82" t="s">
        <v>242</v>
      </c>
      <c r="C213" s="83"/>
      <c r="D213" s="83"/>
      <c r="E213" s="83"/>
      <c r="F213" s="83"/>
      <c r="G213" s="83"/>
      <c r="H213" s="84"/>
    </row>
    <row r="214" spans="1:9" s="33" customFormat="1" ht="33" hidden="1" customHeight="1" x14ac:dyDescent="0.25">
      <c r="A214" s="70" t="s">
        <v>156</v>
      </c>
      <c r="B214" s="79" t="s">
        <v>241</v>
      </c>
      <c r="C214" s="80"/>
      <c r="D214" s="80"/>
      <c r="E214" s="80"/>
      <c r="F214" s="80"/>
      <c r="G214" s="80"/>
      <c r="H214" s="81"/>
    </row>
    <row r="215" spans="1:9" s="33" customFormat="1" x14ac:dyDescent="0.25">
      <c r="A215" s="73" t="s">
        <v>156</v>
      </c>
      <c r="B215" s="82" t="s">
        <v>243</v>
      </c>
      <c r="C215" s="83"/>
      <c r="D215" s="83"/>
      <c r="E215" s="83"/>
      <c r="F215" s="83"/>
      <c r="G215" s="83"/>
      <c r="H215" s="84"/>
    </row>
    <row r="216" spans="1:9" x14ac:dyDescent="0.25">
      <c r="A216" s="171" t="s">
        <v>62</v>
      </c>
      <c r="B216" s="171"/>
      <c r="C216" s="171"/>
      <c r="D216" s="171"/>
      <c r="E216" s="171"/>
      <c r="F216" s="171"/>
      <c r="G216" s="171"/>
      <c r="H216" s="171"/>
    </row>
    <row r="217" spans="1:9" x14ac:dyDescent="0.25">
      <c r="A217" s="99" t="s">
        <v>63</v>
      </c>
      <c r="B217" s="99"/>
      <c r="C217" s="99"/>
      <c r="D217" s="99"/>
      <c r="E217" s="99"/>
      <c r="F217" s="99"/>
      <c r="G217" s="99"/>
      <c r="H217" s="99"/>
    </row>
    <row r="218" spans="1:9" ht="15.75" customHeight="1" x14ac:dyDescent="0.25">
      <c r="A218" s="191" t="s">
        <v>64</v>
      </c>
      <c r="B218" s="191"/>
      <c r="C218" s="191"/>
      <c r="D218" s="191"/>
      <c r="E218" s="191"/>
      <c r="F218" s="191"/>
      <c r="G218" s="191"/>
      <c r="H218" s="191"/>
    </row>
    <row r="219" spans="1:9" x14ac:dyDescent="0.25">
      <c r="A219" s="99" t="s">
        <v>65</v>
      </c>
      <c r="B219" s="99"/>
      <c r="C219" s="99"/>
      <c r="D219" s="99"/>
      <c r="E219" s="99"/>
      <c r="F219" s="99"/>
      <c r="G219" s="99"/>
      <c r="H219" s="99"/>
    </row>
    <row r="220" spans="1:9" x14ac:dyDescent="0.25">
      <c r="A220" s="99" t="s">
        <v>66</v>
      </c>
      <c r="B220" s="99"/>
      <c r="C220" s="99"/>
      <c r="D220" s="99"/>
      <c r="E220" s="99"/>
      <c r="F220" s="99"/>
      <c r="G220" s="99"/>
      <c r="H220" s="99"/>
    </row>
    <row r="221" spans="1:9" x14ac:dyDescent="0.25">
      <c r="A221" s="99" t="s">
        <v>130</v>
      </c>
      <c r="B221" s="99"/>
      <c r="C221" s="99"/>
      <c r="D221" s="99"/>
      <c r="E221" s="99"/>
      <c r="F221" s="99"/>
      <c r="G221" s="99"/>
      <c r="H221" s="99"/>
    </row>
    <row r="222" spans="1:9" x14ac:dyDescent="0.25">
      <c r="A222" s="128" t="s">
        <v>131</v>
      </c>
      <c r="B222" s="128"/>
      <c r="C222" s="128"/>
      <c r="D222" s="128"/>
      <c r="E222" s="128"/>
      <c r="F222" s="128"/>
      <c r="G222" s="128"/>
      <c r="H222" s="128"/>
    </row>
    <row r="223" spans="1:9" x14ac:dyDescent="0.25">
      <c r="A223" s="167" t="s">
        <v>79</v>
      </c>
      <c r="B223" s="167"/>
      <c r="C223" s="167" t="s">
        <v>245</v>
      </c>
      <c r="D223" s="167"/>
      <c r="E223" s="167" t="s">
        <v>108</v>
      </c>
      <c r="F223" s="167"/>
      <c r="G223" s="167" t="s">
        <v>235</v>
      </c>
      <c r="H223" s="167"/>
    </row>
    <row r="224" spans="1:9" x14ac:dyDescent="0.25">
      <c r="A224" s="166" t="s">
        <v>81</v>
      </c>
      <c r="B224" s="166"/>
      <c r="C224" s="166"/>
      <c r="D224" s="166"/>
      <c r="E224" s="166"/>
      <c r="F224" s="166"/>
      <c r="G224" s="166"/>
      <c r="H224" s="166"/>
    </row>
    <row r="225" spans="1:8" x14ac:dyDescent="0.25">
      <c r="A225" s="166"/>
      <c r="B225" s="166"/>
      <c r="C225" s="166"/>
      <c r="D225" s="166"/>
      <c r="E225" s="166"/>
      <c r="F225" s="166"/>
      <c r="G225" s="166"/>
      <c r="H225" s="166"/>
    </row>
    <row r="226" spans="1:8" x14ac:dyDescent="0.25">
      <c r="A226" s="166"/>
      <c r="B226" s="166"/>
      <c r="C226" s="166"/>
      <c r="D226" s="166"/>
      <c r="E226" s="166"/>
      <c r="F226" s="166"/>
      <c r="G226" s="166"/>
      <c r="H226" s="166"/>
    </row>
    <row r="227" spans="1:8" x14ac:dyDescent="0.25">
      <c r="A227" s="166"/>
      <c r="B227" s="166"/>
      <c r="C227" s="166"/>
      <c r="D227" s="166"/>
      <c r="E227" s="166"/>
      <c r="F227" s="166"/>
      <c r="G227" s="166"/>
      <c r="H227" s="166"/>
    </row>
    <row r="228" spans="1:8" x14ac:dyDescent="0.25">
      <c r="A228" s="36" t="s">
        <v>67</v>
      </c>
      <c r="B228" s="37"/>
      <c r="C228" s="37"/>
      <c r="D228" s="36" t="str">
        <f>E8</f>
        <v>Kaveri Heritage</v>
      </c>
      <c r="F228" s="37"/>
      <c r="G228" s="37"/>
      <c r="H228" s="37"/>
    </row>
    <row r="229" spans="1:8" x14ac:dyDescent="0.25">
      <c r="A229" s="37"/>
      <c r="B229" s="37"/>
      <c r="C229" s="37"/>
      <c r="D229" s="37"/>
      <c r="E229" s="37"/>
      <c r="F229" s="37"/>
      <c r="G229" s="37"/>
      <c r="H229" s="37"/>
    </row>
    <row r="230" spans="1:8" x14ac:dyDescent="0.25">
      <c r="A230" s="37"/>
      <c r="B230" s="37"/>
      <c r="C230" s="37"/>
      <c r="D230" s="37"/>
      <c r="E230" s="37"/>
      <c r="F230" s="37"/>
      <c r="G230" s="37"/>
      <c r="H230" s="37"/>
    </row>
    <row r="231" spans="1:8" ht="15" customHeight="1" x14ac:dyDescent="0.25"/>
    <row r="272" spans="1:8" x14ac:dyDescent="0.25">
      <c r="A272" s="39" t="s">
        <v>169</v>
      </c>
      <c r="B272" s="19"/>
      <c r="C272" s="19"/>
      <c r="D272" s="19"/>
      <c r="E272" s="19"/>
      <c r="F272" s="19"/>
      <c r="G272" s="19"/>
      <c r="H272" s="19"/>
    </row>
    <row r="316" spans="1:8" x14ac:dyDescent="0.25">
      <c r="A316" s="39" t="s">
        <v>68</v>
      </c>
      <c r="B316" s="19"/>
      <c r="C316" s="19"/>
      <c r="D316" s="19"/>
      <c r="E316" s="19"/>
      <c r="F316" s="19"/>
      <c r="G316" s="19"/>
      <c r="H316" s="19"/>
    </row>
  </sheetData>
  <mergeCells count="424">
    <mergeCell ref="B212:H212"/>
    <mergeCell ref="A195:H195"/>
    <mergeCell ref="A196:B196"/>
    <mergeCell ref="G196:H201"/>
    <mergeCell ref="L196:M196"/>
    <mergeCell ref="A197:B197"/>
    <mergeCell ref="L197:M197"/>
    <mergeCell ref="A198:B198"/>
    <mergeCell ref="L198:M198"/>
    <mergeCell ref="A199:B199"/>
    <mergeCell ref="L199:M199"/>
    <mergeCell ref="A200:B200"/>
    <mergeCell ref="L200:M200"/>
    <mergeCell ref="A201:B201"/>
    <mergeCell ref="L201:M201"/>
    <mergeCell ref="C196:F198"/>
    <mergeCell ref="C200:F201"/>
    <mergeCell ref="B206:H206"/>
    <mergeCell ref="B207:H207"/>
    <mergeCell ref="A202:H202"/>
    <mergeCell ref="A188:H188"/>
    <mergeCell ref="A189:B189"/>
    <mergeCell ref="G189:H194"/>
    <mergeCell ref="L189:M189"/>
    <mergeCell ref="A190:B190"/>
    <mergeCell ref="L190:M190"/>
    <mergeCell ref="A191:B191"/>
    <mergeCell ref="L191:M191"/>
    <mergeCell ref="A192:B192"/>
    <mergeCell ref="L192:M192"/>
    <mergeCell ref="A193:B193"/>
    <mergeCell ref="L193:M193"/>
    <mergeCell ref="A194:B194"/>
    <mergeCell ref="L194:M194"/>
    <mergeCell ref="A181:H181"/>
    <mergeCell ref="A182:B182"/>
    <mergeCell ref="G182:H187"/>
    <mergeCell ref="L182:M182"/>
    <mergeCell ref="A183:B183"/>
    <mergeCell ref="L183:M183"/>
    <mergeCell ref="A184:B184"/>
    <mergeCell ref="L184:M184"/>
    <mergeCell ref="A185:B185"/>
    <mergeCell ref="L185:M185"/>
    <mergeCell ref="A186:B186"/>
    <mergeCell ref="L186:M186"/>
    <mergeCell ref="A187:B187"/>
    <mergeCell ref="L187:M187"/>
    <mergeCell ref="C187:F187"/>
    <mergeCell ref="A174:H174"/>
    <mergeCell ref="A175:B175"/>
    <mergeCell ref="G175:H180"/>
    <mergeCell ref="L175:M175"/>
    <mergeCell ref="A176:B176"/>
    <mergeCell ref="L176:M176"/>
    <mergeCell ref="A177:B177"/>
    <mergeCell ref="L177:M177"/>
    <mergeCell ref="A178:B178"/>
    <mergeCell ref="L178:M178"/>
    <mergeCell ref="A179:B179"/>
    <mergeCell ref="L179:M179"/>
    <mergeCell ref="A180:B180"/>
    <mergeCell ref="L180:M180"/>
    <mergeCell ref="G168:H173"/>
    <mergeCell ref="L168:M168"/>
    <mergeCell ref="A169:B169"/>
    <mergeCell ref="L169:M169"/>
    <mergeCell ref="A170:B170"/>
    <mergeCell ref="L170:M170"/>
    <mergeCell ref="A171:B171"/>
    <mergeCell ref="L171:M171"/>
    <mergeCell ref="A172:B172"/>
    <mergeCell ref="L172:M172"/>
    <mergeCell ref="A173:B173"/>
    <mergeCell ref="L173:M173"/>
    <mergeCell ref="A168:B168"/>
    <mergeCell ref="L159:M159"/>
    <mergeCell ref="A160:H160"/>
    <mergeCell ref="A161:B161"/>
    <mergeCell ref="G161:H166"/>
    <mergeCell ref="L161:M161"/>
    <mergeCell ref="A162:B162"/>
    <mergeCell ref="L162:M162"/>
    <mergeCell ref="A163:B163"/>
    <mergeCell ref="L163:M163"/>
    <mergeCell ref="A164:B164"/>
    <mergeCell ref="L164:M164"/>
    <mergeCell ref="A165:B165"/>
    <mergeCell ref="L165:M165"/>
    <mergeCell ref="A166:B166"/>
    <mergeCell ref="L166:M166"/>
    <mergeCell ref="L154:M154"/>
    <mergeCell ref="A155:B155"/>
    <mergeCell ref="L155:M155"/>
    <mergeCell ref="A156:B156"/>
    <mergeCell ref="L156:M156"/>
    <mergeCell ref="A157:B157"/>
    <mergeCell ref="L157:M157"/>
    <mergeCell ref="A158:B158"/>
    <mergeCell ref="L158:M158"/>
    <mergeCell ref="A146:H146"/>
    <mergeCell ref="A147:B147"/>
    <mergeCell ref="G147:H152"/>
    <mergeCell ref="L147:M147"/>
    <mergeCell ref="A148:B148"/>
    <mergeCell ref="L148:M148"/>
    <mergeCell ref="A149:B149"/>
    <mergeCell ref="L149:M149"/>
    <mergeCell ref="A150:B150"/>
    <mergeCell ref="L150:M150"/>
    <mergeCell ref="A151:B151"/>
    <mergeCell ref="L151:M151"/>
    <mergeCell ref="A152:B152"/>
    <mergeCell ref="L152:M152"/>
    <mergeCell ref="L140:M140"/>
    <mergeCell ref="A141:B141"/>
    <mergeCell ref="L141:M141"/>
    <mergeCell ref="A142:B142"/>
    <mergeCell ref="L142:M142"/>
    <mergeCell ref="A143:B143"/>
    <mergeCell ref="L143:M143"/>
    <mergeCell ref="A144:B144"/>
    <mergeCell ref="L144:M144"/>
    <mergeCell ref="A140:B140"/>
    <mergeCell ref="G140:H145"/>
    <mergeCell ref="A145:B145"/>
    <mergeCell ref="L145:M145"/>
    <mergeCell ref="C144:F145"/>
    <mergeCell ref="L137:M137"/>
    <mergeCell ref="A138:B138"/>
    <mergeCell ref="L138:M138"/>
    <mergeCell ref="G133:H138"/>
    <mergeCell ref="A139:H139"/>
    <mergeCell ref="A129:H129"/>
    <mergeCell ref="A130:H130"/>
    <mergeCell ref="L136:M136"/>
    <mergeCell ref="L133:M133"/>
    <mergeCell ref="L134:M134"/>
    <mergeCell ref="L135:M135"/>
    <mergeCell ref="A136:B136"/>
    <mergeCell ref="A133:B133"/>
    <mergeCell ref="A135:B135"/>
    <mergeCell ref="A134:B134"/>
    <mergeCell ref="E42:H42"/>
    <mergeCell ref="A42:D42"/>
    <mergeCell ref="A221:H221"/>
    <mergeCell ref="A218:H218"/>
    <mergeCell ref="A114:B114"/>
    <mergeCell ref="D126:D127"/>
    <mergeCell ref="E126:E127"/>
    <mergeCell ref="G126:H127"/>
    <mergeCell ref="A90:B90"/>
    <mergeCell ref="A91:B91"/>
    <mergeCell ref="A92:B92"/>
    <mergeCell ref="A82:B82"/>
    <mergeCell ref="C82:H82"/>
    <mergeCell ref="A77:B77"/>
    <mergeCell ref="F97:H97"/>
    <mergeCell ref="G112:H112"/>
    <mergeCell ref="A49:B49"/>
    <mergeCell ref="C49:E49"/>
    <mergeCell ref="A120:H120"/>
    <mergeCell ref="G122:H123"/>
    <mergeCell ref="C52:E52"/>
    <mergeCell ref="G52:H52"/>
    <mergeCell ref="A131:H131"/>
    <mergeCell ref="A137:B137"/>
    <mergeCell ref="C112:D112"/>
    <mergeCell ref="E112:F112"/>
    <mergeCell ref="A124:H124"/>
    <mergeCell ref="C51:E51"/>
    <mergeCell ref="A59:C60"/>
    <mergeCell ref="D59:H59"/>
    <mergeCell ref="D60:H60"/>
    <mergeCell ref="C50:E50"/>
    <mergeCell ref="A50:B50"/>
    <mergeCell ref="A55:H55"/>
    <mergeCell ref="A56:C56"/>
    <mergeCell ref="A57:C57"/>
    <mergeCell ref="D57:H57"/>
    <mergeCell ref="A54:B54"/>
    <mergeCell ref="C54:E54"/>
    <mergeCell ref="G54:H54"/>
    <mergeCell ref="C111:D111"/>
    <mergeCell ref="F107:H107"/>
    <mergeCell ref="F105:H105"/>
    <mergeCell ref="A117:H117"/>
    <mergeCell ref="G111:H111"/>
    <mergeCell ref="A106:E106"/>
    <mergeCell ref="C84:H84"/>
    <mergeCell ref="A85:B85"/>
    <mergeCell ref="A153:H153"/>
    <mergeCell ref="A154:B154"/>
    <mergeCell ref="G154:H159"/>
    <mergeCell ref="A159:B159"/>
    <mergeCell ref="A167:H167"/>
    <mergeCell ref="B126:B127"/>
    <mergeCell ref="A95:B95"/>
    <mergeCell ref="C114:D114"/>
    <mergeCell ref="B118:B119"/>
    <mergeCell ref="A118:A119"/>
    <mergeCell ref="C126:C127"/>
    <mergeCell ref="A132:H132"/>
    <mergeCell ref="F106:H106"/>
    <mergeCell ref="E111:F111"/>
    <mergeCell ref="A111:B111"/>
    <mergeCell ref="E114:F114"/>
    <mergeCell ref="A116:H116"/>
    <mergeCell ref="G114:H114"/>
    <mergeCell ref="A125:H125"/>
    <mergeCell ref="A126:A127"/>
    <mergeCell ref="F100:H100"/>
    <mergeCell ref="A101:E101"/>
    <mergeCell ref="A128:H128"/>
    <mergeCell ref="F104:H104"/>
    <mergeCell ref="A224:H227"/>
    <mergeCell ref="A223:B223"/>
    <mergeCell ref="E223:F223"/>
    <mergeCell ref="C223:D223"/>
    <mergeCell ref="G223:H223"/>
    <mergeCell ref="A110:H110"/>
    <mergeCell ref="A108:E108"/>
    <mergeCell ref="F108:H108"/>
    <mergeCell ref="A109:E109"/>
    <mergeCell ref="F109:H109"/>
    <mergeCell ref="A115:B115"/>
    <mergeCell ref="A112:B112"/>
    <mergeCell ref="A219:H219"/>
    <mergeCell ref="A113:H113"/>
    <mergeCell ref="A222:H222"/>
    <mergeCell ref="A220:H220"/>
    <mergeCell ref="A216:H216"/>
    <mergeCell ref="A217:H217"/>
    <mergeCell ref="B211:H211"/>
    <mergeCell ref="B209:H209"/>
    <mergeCell ref="B205:H205"/>
    <mergeCell ref="B203:H203"/>
    <mergeCell ref="B204:H204"/>
    <mergeCell ref="B215:H21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37:H37"/>
    <mergeCell ref="A36:B36"/>
    <mergeCell ref="C36:E36"/>
    <mergeCell ref="A41:D41"/>
    <mergeCell ref="E41:H41"/>
    <mergeCell ref="F33:H33"/>
    <mergeCell ref="F34:H34"/>
    <mergeCell ref="A40:H40"/>
    <mergeCell ref="A61:C61"/>
    <mergeCell ref="A38:B38"/>
    <mergeCell ref="C38:H38"/>
    <mergeCell ref="A39:B39"/>
    <mergeCell ref="C39:H39"/>
    <mergeCell ref="A44:D44"/>
    <mergeCell ref="F36:H36"/>
    <mergeCell ref="A46:D46"/>
    <mergeCell ref="A47:H47"/>
    <mergeCell ref="D58:H58"/>
    <mergeCell ref="A58:C58"/>
    <mergeCell ref="G50:H50"/>
    <mergeCell ref="A51:B52"/>
    <mergeCell ref="G49:H49"/>
    <mergeCell ref="G51:H51"/>
    <mergeCell ref="D56:H56"/>
    <mergeCell ref="A43:D43"/>
    <mergeCell ref="E43:H43"/>
    <mergeCell ref="E44:H44"/>
    <mergeCell ref="E45:H45"/>
    <mergeCell ref="E46:H46"/>
    <mergeCell ref="A45:D45"/>
    <mergeCell ref="A78:B78"/>
    <mergeCell ref="A71:B71"/>
    <mergeCell ref="A74:B74"/>
    <mergeCell ref="A70:B70"/>
    <mergeCell ref="A68:B68"/>
    <mergeCell ref="C68:H68"/>
    <mergeCell ref="A76:B76"/>
    <mergeCell ref="A63:C63"/>
    <mergeCell ref="D63:H63"/>
    <mergeCell ref="C70:H70"/>
    <mergeCell ref="A73:B73"/>
    <mergeCell ref="A75:B75"/>
    <mergeCell ref="E71:F71"/>
    <mergeCell ref="A64:C64"/>
    <mergeCell ref="D64:H64"/>
    <mergeCell ref="A67:C67"/>
    <mergeCell ref="D67:H67"/>
    <mergeCell ref="A65:C65"/>
    <mergeCell ref="E85:F85"/>
    <mergeCell ref="G85:H85"/>
    <mergeCell ref="D61:H61"/>
    <mergeCell ref="E72:F81"/>
    <mergeCell ref="G72:H81"/>
    <mergeCell ref="A80:B80"/>
    <mergeCell ref="A81:B81"/>
    <mergeCell ref="D62:H62"/>
    <mergeCell ref="D65:H65"/>
    <mergeCell ref="A66:C66"/>
    <mergeCell ref="D66:H66"/>
    <mergeCell ref="A72:B72"/>
    <mergeCell ref="G71:H71"/>
    <mergeCell ref="A104:E104"/>
    <mergeCell ref="A99:E99"/>
    <mergeCell ref="A96:E96"/>
    <mergeCell ref="A62:C62"/>
    <mergeCell ref="L123:M123"/>
    <mergeCell ref="L122:M122"/>
    <mergeCell ref="A79:B79"/>
    <mergeCell ref="C115:D115"/>
    <mergeCell ref="E115:F115"/>
    <mergeCell ref="G115:H115"/>
    <mergeCell ref="F103:H103"/>
    <mergeCell ref="A97:E97"/>
    <mergeCell ref="A121:H121"/>
    <mergeCell ref="E118:E119"/>
    <mergeCell ref="G118:H119"/>
    <mergeCell ref="A86:B86"/>
    <mergeCell ref="E86:F95"/>
    <mergeCell ref="A93:B93"/>
    <mergeCell ref="A94:B94"/>
    <mergeCell ref="F96:H96"/>
    <mergeCell ref="F101:H101"/>
    <mergeCell ref="A107:E107"/>
    <mergeCell ref="C118:C119"/>
    <mergeCell ref="A84:B84"/>
    <mergeCell ref="A53:B53"/>
    <mergeCell ref="C53:E53"/>
    <mergeCell ref="G53:H53"/>
    <mergeCell ref="B214:H214"/>
    <mergeCell ref="B213:H213"/>
    <mergeCell ref="B210:H210"/>
    <mergeCell ref="A48:B48"/>
    <mergeCell ref="C48:H48"/>
    <mergeCell ref="B208:H208"/>
    <mergeCell ref="G86:H95"/>
    <mergeCell ref="A87:B87"/>
    <mergeCell ref="A88:B88"/>
    <mergeCell ref="A89:B89"/>
    <mergeCell ref="F98:H98"/>
    <mergeCell ref="A98:E98"/>
    <mergeCell ref="D118:D119"/>
    <mergeCell ref="A100:E100"/>
    <mergeCell ref="A122:B122"/>
    <mergeCell ref="A123:B123"/>
    <mergeCell ref="A102:E102"/>
    <mergeCell ref="F102:H102"/>
    <mergeCell ref="A103:E103"/>
    <mergeCell ref="A105:E105"/>
    <mergeCell ref="F99:H99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12" max="7" man="1"/>
    <brk id="227" max="16383" man="1"/>
    <brk id="271" max="16383" man="1"/>
    <brk id="31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6" zoomScale="85" zoomScaleNormal="85" workbookViewId="0">
      <selection activeCell="M35" sqref="M35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6" t="s">
        <v>109</v>
      </c>
      <c r="C3" s="196"/>
      <c r="D3" s="196"/>
      <c r="E3" s="196"/>
      <c r="F3" s="196"/>
      <c r="G3" s="196"/>
      <c r="H3" s="196"/>
    </row>
    <row r="4" spans="1:9" x14ac:dyDescent="0.25">
      <c r="A4" s="2"/>
      <c r="B4" s="3" t="s">
        <v>110</v>
      </c>
      <c r="C4" s="3" t="s">
        <v>111</v>
      </c>
      <c r="D4" s="3" t="s">
        <v>70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2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2025-07-11T09:47:03Z</cp:lastPrinted>
  <dcterms:created xsi:type="dcterms:W3CDTF">2019-07-16T09:29:46Z</dcterms:created>
  <dcterms:modified xsi:type="dcterms:W3CDTF">2025-07-11T09:47:05Z</dcterms:modified>
</cp:coreProperties>
</file>