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J88" i="1"/>
  <c r="J87" i="1"/>
  <c r="J86" i="1"/>
  <c r="I170" i="1" l="1"/>
  <c r="D163" i="1" l="1"/>
  <c r="F163" i="1" s="1"/>
  <c r="D164" i="1"/>
  <c r="F164" i="1" s="1"/>
  <c r="D165" i="1"/>
  <c r="D162" i="1"/>
  <c r="I143" i="1"/>
  <c r="D215" i="1"/>
  <c r="F215" i="1" s="1"/>
  <c r="D214" i="1"/>
  <c r="F214" i="1" s="1"/>
  <c r="D213" i="1"/>
  <c r="F213" i="1" s="1"/>
  <c r="D212" i="1"/>
  <c r="F212" i="1" s="1"/>
  <c r="D211" i="1"/>
  <c r="F211" i="1" s="1"/>
  <c r="G210" i="1"/>
  <c r="G211" i="1" s="1"/>
  <c r="G212" i="1" s="1"/>
  <c r="G213" i="1" s="1"/>
  <c r="G214" i="1" s="1"/>
  <c r="G215" i="1" s="1"/>
  <c r="D210" i="1"/>
  <c r="F210" i="1" s="1"/>
  <c r="D206" i="1"/>
  <c r="F206" i="1" s="1"/>
  <c r="D205" i="1"/>
  <c r="F205" i="1" s="1"/>
  <c r="D204" i="1"/>
  <c r="F204" i="1" s="1"/>
  <c r="G203" i="1"/>
  <c r="G204" i="1" s="1"/>
  <c r="G205" i="1" s="1"/>
  <c r="G206" i="1" s="1"/>
  <c r="G207" i="1" s="1"/>
  <c r="G208" i="1" s="1"/>
  <c r="D203" i="1"/>
  <c r="F203" i="1" s="1"/>
  <c r="F165" i="1"/>
  <c r="G162" i="1"/>
  <c r="G163" i="1" s="1"/>
  <c r="G164" i="1" s="1"/>
  <c r="G165" i="1" s="1"/>
  <c r="D160" i="1"/>
  <c r="F160" i="1" s="1"/>
  <c r="D159" i="1"/>
  <c r="F159" i="1" s="1"/>
  <c r="D158" i="1"/>
  <c r="F158" i="1" s="1"/>
  <c r="G157" i="1"/>
  <c r="G158" i="1" s="1"/>
  <c r="G159" i="1" s="1"/>
  <c r="G160" i="1" s="1"/>
  <c r="D157" i="1"/>
  <c r="F157" i="1" s="1"/>
  <c r="D199" i="1"/>
  <c r="F199" i="1" s="1"/>
  <c r="D198" i="1"/>
  <c r="F198" i="1" s="1"/>
  <c r="D197" i="1"/>
  <c r="F197" i="1" s="1"/>
  <c r="G196" i="1"/>
  <c r="G197" i="1" s="1"/>
  <c r="G198" i="1" s="1"/>
  <c r="G199" i="1" s="1"/>
  <c r="G200" i="1" s="1"/>
  <c r="G201" i="1" s="1"/>
  <c r="D196" i="1"/>
  <c r="F196" i="1" s="1"/>
  <c r="D155" i="1"/>
  <c r="F155" i="1" s="1"/>
  <c r="D154" i="1"/>
  <c r="F154" i="1" s="1"/>
  <c r="D153" i="1"/>
  <c r="F153" i="1" s="1"/>
  <c r="G152" i="1"/>
  <c r="G153" i="1" s="1"/>
  <c r="G154" i="1" s="1"/>
  <c r="G155" i="1" s="1"/>
  <c r="D152" i="1"/>
  <c r="F152" i="1" s="1"/>
  <c r="D150" i="1"/>
  <c r="D149" i="1"/>
  <c r="D148" i="1"/>
  <c r="D147" i="1"/>
  <c r="C106" i="1" l="1"/>
  <c r="F162" i="1"/>
  <c r="G106" i="1" s="1"/>
  <c r="E106" i="1"/>
  <c r="D190" i="1"/>
  <c r="F190" i="1" s="1"/>
  <c r="D189" i="1"/>
  <c r="F189" i="1" s="1"/>
  <c r="D194" i="1"/>
  <c r="F194" i="1" s="1"/>
  <c r="D193" i="1"/>
  <c r="F193" i="1" s="1"/>
  <c r="D192" i="1"/>
  <c r="F192" i="1" s="1"/>
  <c r="D191" i="1"/>
  <c r="F191" i="1" s="1"/>
  <c r="D187" i="1"/>
  <c r="D186" i="1"/>
  <c r="D185" i="1"/>
  <c r="D184" i="1"/>
  <c r="G189" i="1"/>
  <c r="G190" i="1" s="1"/>
  <c r="G191" i="1" s="1"/>
  <c r="G192" i="1" s="1"/>
  <c r="G193" i="1" s="1"/>
  <c r="G194" i="1" s="1"/>
  <c r="F187" i="1" l="1"/>
  <c r="F186" i="1"/>
  <c r="F185" i="1"/>
  <c r="F184" i="1"/>
  <c r="G182" i="1"/>
  <c r="G183" i="1" s="1"/>
  <c r="G184" i="1" s="1"/>
  <c r="G185" i="1" s="1"/>
  <c r="G186" i="1" s="1"/>
  <c r="G187" i="1" s="1"/>
  <c r="D144" i="1"/>
  <c r="D145" i="1"/>
  <c r="D143" i="1"/>
  <c r="D180" i="1"/>
  <c r="F180" i="1" s="1"/>
  <c r="G175" i="1"/>
  <c r="G176" i="1" s="1"/>
  <c r="G177" i="1" s="1"/>
  <c r="G178" i="1" s="1"/>
  <c r="G179" i="1" s="1"/>
  <c r="G180" i="1" s="1"/>
  <c r="D173" i="1"/>
  <c r="F173" i="1" s="1"/>
  <c r="D172" i="1"/>
  <c r="D170" i="1"/>
  <c r="D135" i="1"/>
  <c r="F135" i="1" s="1"/>
  <c r="G135" i="1"/>
  <c r="D124" i="1"/>
  <c r="F124" i="1" s="1"/>
  <c r="G124" i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A128" i="1"/>
  <c r="A129" i="1" s="1"/>
  <c r="A130" i="1" s="1"/>
  <c r="A131" i="1" s="1"/>
  <c r="A132" i="1" s="1"/>
  <c r="A133" i="1" s="1"/>
  <c r="G127" i="1"/>
  <c r="G128" i="1" s="1"/>
  <c r="G129" i="1" s="1"/>
  <c r="G130" i="1" s="1"/>
  <c r="G131" i="1" s="1"/>
  <c r="G132" i="1" s="1"/>
  <c r="G133" i="1" s="1"/>
  <c r="D122" i="1"/>
  <c r="F122" i="1" s="1"/>
  <c r="D121" i="1"/>
  <c r="F121" i="1" s="1"/>
  <c r="D120" i="1"/>
  <c r="D119" i="1"/>
  <c r="D118" i="1"/>
  <c r="D117" i="1"/>
  <c r="C101" i="1" l="1"/>
  <c r="C100" i="1"/>
  <c r="E100" i="1"/>
  <c r="G101" i="1"/>
  <c r="E101" i="1"/>
  <c r="C107" i="1"/>
  <c r="E107" i="1"/>
  <c r="E108" i="1"/>
  <c r="C108" i="1"/>
  <c r="E105" i="1"/>
  <c r="C105" i="1"/>
  <c r="E28" i="1"/>
  <c r="E109" i="1" l="1"/>
  <c r="E102" i="1"/>
  <c r="E110" i="1" s="1"/>
  <c r="C109" i="1"/>
  <c r="C102" i="1"/>
  <c r="F97" i="1"/>
  <c r="C110" i="1" l="1"/>
  <c r="F118" i="1"/>
  <c r="F119" i="1"/>
  <c r="F120" i="1"/>
  <c r="F117" i="1"/>
  <c r="G100" i="1" l="1"/>
  <c r="G102" i="1" s="1"/>
  <c r="B218" i="1"/>
  <c r="C14" i="1" l="1"/>
  <c r="F172" i="1" l="1"/>
  <c r="G108" i="1" s="1"/>
  <c r="F171" i="1"/>
  <c r="F170" i="1"/>
  <c r="G107" i="1" s="1"/>
  <c r="F150" i="1"/>
  <c r="F149" i="1"/>
  <c r="F148" i="1"/>
  <c r="F147" i="1"/>
  <c r="F144" i="1"/>
  <c r="F143" i="1"/>
  <c r="F145" i="1"/>
  <c r="G105" i="1" l="1"/>
  <c r="G109" i="1" s="1"/>
  <c r="G110" i="1" s="1"/>
  <c r="B21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240" i="1"/>
  <c r="G168" i="1"/>
  <c r="G169" i="1" s="1"/>
  <c r="G170" i="1" s="1"/>
  <c r="G171" i="1" s="1"/>
  <c r="G172" i="1" s="1"/>
  <c r="G173" i="1" s="1"/>
  <c r="G147" i="1"/>
  <c r="G148" i="1" s="1"/>
  <c r="G149" i="1" s="1"/>
  <c r="G150" i="1" s="1"/>
  <c r="G143" i="1"/>
  <c r="G144" i="1" s="1"/>
  <c r="G145" i="1" s="1"/>
  <c r="A144" i="1"/>
  <c r="A145" i="1" s="1"/>
  <c r="A118" i="1"/>
  <c r="A119" i="1" s="1"/>
  <c r="A120" i="1" s="1"/>
  <c r="A121" i="1" s="1"/>
  <c r="A122" i="1" s="1"/>
  <c r="G117" i="1"/>
  <c r="G118" i="1" s="1"/>
  <c r="G119" i="1" s="1"/>
  <c r="G120" i="1" s="1"/>
  <c r="G121" i="1" s="1"/>
  <c r="G122" i="1" s="1"/>
  <c r="J75" i="1"/>
  <c r="J74" i="1"/>
  <c r="J73" i="1"/>
  <c r="J72" i="1"/>
  <c r="D53" i="1"/>
  <c r="C48" i="1"/>
  <c r="C49" i="1" s="1"/>
  <c r="E41" i="1"/>
  <c r="E42" i="1" s="1"/>
  <c r="E25" i="1"/>
  <c r="E23" i="1"/>
  <c r="E7" i="1"/>
  <c r="E3" i="1"/>
  <c r="D58" i="1" s="1"/>
  <c r="H65" i="1"/>
  <c r="G12" i="5" l="1"/>
  <c r="D77" i="1"/>
  <c r="D75" i="1"/>
  <c r="D74" i="1"/>
  <c r="D73" i="1"/>
  <c r="D71" i="1"/>
  <c r="D70" i="1"/>
  <c r="D76" i="1"/>
  <c r="D72" i="1"/>
  <c r="J68" i="1"/>
  <c r="J69" i="1"/>
  <c r="C68" i="1" s="1"/>
  <c r="J67" i="1"/>
  <c r="J70" i="1"/>
  <c r="J71" i="1" s="1"/>
  <c r="J76" i="1" s="1"/>
  <c r="J77" i="1" s="1"/>
  <c r="C69" i="1" s="1"/>
  <c r="H79" i="1"/>
  <c r="J83" i="1" l="1"/>
  <c r="C82" i="1" s="1"/>
  <c r="D82" i="1" s="1"/>
  <c r="J81" i="1"/>
  <c r="D86" i="1"/>
  <c r="D88" i="1"/>
  <c r="D91" i="1"/>
  <c r="D87" i="1"/>
  <c r="D90" i="1"/>
  <c r="J82" i="1"/>
  <c r="J84" i="1"/>
  <c r="J85" i="1" s="1"/>
  <c r="J90" i="1" s="1"/>
  <c r="J91" i="1" s="1"/>
  <c r="C83" i="1" s="1"/>
  <c r="D89" i="1"/>
  <c r="D85" i="1"/>
  <c r="D84" i="1"/>
  <c r="E68" i="1"/>
  <c r="D69" i="1"/>
  <c r="G68" i="1"/>
  <c r="D62" i="1" s="1"/>
  <c r="D68" i="1"/>
  <c r="E82" i="1" l="1"/>
  <c r="I78" i="1" s="1"/>
  <c r="C80" i="1" s="1"/>
  <c r="D83" i="1"/>
  <c r="G82" i="1"/>
  <c r="I64" i="1"/>
  <c r="C66" i="1" s="1"/>
  <c r="F63" i="1"/>
  <c r="D63" i="1"/>
</calcChain>
</file>

<file path=xl/sharedStrings.xml><?xml version="1.0" encoding="utf-8"?>
<sst xmlns="http://schemas.openxmlformats.org/spreadsheetml/2006/main" count="462" uniqueCount="237">
  <si>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</si>
  <si>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</si>
  <si>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</si>
  <si>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</si>
  <si>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</si>
  <si>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</si>
  <si>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</si>
  <si>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</si>
  <si>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</si>
  <si>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</si>
  <si>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</si>
  <si>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</si>
  <si>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</si>
  <si>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</si>
  <si>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</si>
  <si>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</si>
  <si>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</si>
  <si>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</si>
  <si>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</si>
  <si>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</si>
  <si>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</si>
  <si>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</si>
  <si>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</si>
  <si>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</si>
  <si>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</si>
  <si>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</si>
  <si>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</si>
  <si>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</si>
  <si>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</si>
  <si>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</si>
  <si>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</si>
  <si>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</si>
  <si>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</si>
  <si>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</si>
  <si>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</si>
  <si>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</si>
  <si>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</si>
  <si>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</si>
  <si>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</si>
  <si>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</si>
  <si>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</si>
  <si>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</si>
  <si>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</si>
  <si>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</si>
  <si>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</si>
  <si>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</si>
  <si>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</si>
  <si>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</si>
  <si>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</si>
  <si>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</si>
  <si>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</si>
  <si>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</si>
  <si>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</si>
  <si>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</si>
  <si>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</si>
  <si>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</si>
  <si>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</si>
  <si>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</si>
  <si>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</si>
  <si>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</si>
  <si>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</si>
  <si>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</si>
  <si>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</si>
  <si>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</si>
  <si>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</si>
  <si>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</si>
  <si>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</si>
  <si>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</si>
  <si>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</si>
  <si>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</si>
  <si>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</si>
  <si>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</si>
  <si>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</si>
  <si>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</si>
  <si>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</si>
  <si>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</si>
  <si>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</si>
  <si>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</si>
  <si>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</si>
  <si>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</si>
  <si>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</si>
  <si>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</si>
  <si>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</si>
  <si>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</si>
  <si>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</si>
  <si>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</si>
  <si>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</si>
  <si>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</si>
  <si>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</si>
  <si>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</si>
  <si>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</si>
  <si>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</si>
  <si>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</si>
  <si>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</si>
  <si>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</si>
  <si>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</si>
  <si>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</si>
  <si>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</si>
  <si>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</si>
  <si>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</si>
  <si>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</si>
  <si>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</si>
  <si>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</si>
  <si>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</si>
  <si>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</si>
  <si>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</si>
  <si>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</si>
  <si>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</si>
  <si>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</si>
  <si>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</si>
  <si>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</si>
  <si>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</si>
  <si>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</si>
  <si>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</si>
  <si>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</si>
  <si>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</si>
  <si>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</si>
  <si>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</si>
  <si>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</si>
  <si>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</si>
  <si>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</si>
  <si>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</si>
  <si>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</si>
  <si>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</si>
  <si>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</si>
  <si>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</si>
  <si>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</si>
  <si>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</si>
  <si>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</si>
  <si>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</si>
  <si>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</si>
  <si>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</si>
  <si>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</si>
  <si>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</si>
  <si>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</si>
  <si>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</si>
  <si>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</si>
  <si>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</si>
  <si>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</si>
  <si>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</si>
  <si>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</si>
  <si>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</si>
  <si>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</si>
  <si>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</si>
  <si>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</si>
  <si>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</si>
  <si>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</si>
  <si>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</si>
  <si>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</si>
  <si>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</si>
  <si>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</si>
  <si>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</si>
  <si>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</si>
  <si>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</si>
  <si>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</si>
  <si>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</si>
  <si>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</si>
  <si>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Flat Per Sq. Ft.</t>
  </si>
  <si>
    <t>On Saleable Area</t>
  </si>
  <si>
    <t>Axis Goregaon</t>
  </si>
  <si>
    <t>Fairmont</t>
  </si>
  <si>
    <t>955421000/02225942037</t>
  </si>
  <si>
    <t>Village</t>
  </si>
  <si>
    <t>Kanjur</t>
  </si>
  <si>
    <t>Jungal Mangal Road</t>
  </si>
  <si>
    <t>Open Plot</t>
  </si>
  <si>
    <t>Internal Road</t>
  </si>
  <si>
    <t>JBD Cooperative Housing Society</t>
  </si>
  <si>
    <t>As per RERA - 30/12/2026</t>
  </si>
  <si>
    <t>Slum Rehabilitation Authority (SRA)</t>
  </si>
  <si>
    <t>2 Wings</t>
  </si>
  <si>
    <t>Kurla</t>
  </si>
  <si>
    <t>Mumbai</t>
  </si>
  <si>
    <t>Bhandup West</t>
  </si>
  <si>
    <t>Approved Plans, CC</t>
  </si>
  <si>
    <t>S/PVT/130/20160808/AP</t>
  </si>
  <si>
    <t>A Wing - Rehab Wing</t>
  </si>
  <si>
    <t>Ground Floor For Parking &amp; Commercial</t>
  </si>
  <si>
    <t>Shop</t>
  </si>
  <si>
    <t>Shop No.
(Rehab &amp; Sale)</t>
  </si>
  <si>
    <t>Rehab</t>
  </si>
  <si>
    <t>B Wing - Sale Wing</t>
  </si>
  <si>
    <t>1st Floor For Parking, Amenities &amp; Commercial</t>
  </si>
  <si>
    <t xml:space="preserve">1st Floor For Parking, Amenities &amp; Commercial </t>
  </si>
  <si>
    <t>Rehab Shop</t>
  </si>
  <si>
    <t>Parking Area</t>
  </si>
  <si>
    <t>1BHK</t>
  </si>
  <si>
    <t>-</t>
  </si>
  <si>
    <t>Sale</t>
  </si>
  <si>
    <t>2nd Floor For Parking &amp; Amenities</t>
  </si>
  <si>
    <t>Society Office</t>
  </si>
  <si>
    <t>Fitness Center</t>
  </si>
  <si>
    <t>2nd Floor For Parking &amp; Amenities (Society Office, Library &amp; Skill Development Center)</t>
  </si>
  <si>
    <t>3rd Floor (Part Parking Area)</t>
  </si>
  <si>
    <t>4th to 7th, 9th to 14th &amp; 16th to 21st Floor</t>
  </si>
  <si>
    <t>8th Floor (Part Refuge Area)</t>
  </si>
  <si>
    <t>Refuge Area</t>
  </si>
  <si>
    <t>15th Floor (Part Refuge Area)</t>
  </si>
  <si>
    <t>22nd Floor</t>
  </si>
  <si>
    <t>A Wing - Rehab Shops</t>
  </si>
  <si>
    <t>B Wing - Rehab Shops</t>
  </si>
  <si>
    <t>Sale Flats - 121, Rehab Flats - 74, Rehab Shops - 15</t>
  </si>
  <si>
    <t>Nainesh Tambe</t>
  </si>
  <si>
    <t>1bhk</t>
  </si>
  <si>
    <t>We considered Gross carpet area = Net carpet + Enclose balcony.</t>
  </si>
  <si>
    <t>110, 111 &amp; 112</t>
  </si>
  <si>
    <t>2KM from Bhandup Railway Station</t>
  </si>
  <si>
    <t>Slum</t>
  </si>
  <si>
    <t>A Wing (Rehab)
B Wing (Sale)</t>
  </si>
  <si>
    <t>A Wing - Rehab Flat</t>
  </si>
  <si>
    <t>A Wing - Sale Flat</t>
  </si>
  <si>
    <t>B Wing - Rehab Flat</t>
  </si>
  <si>
    <t>B Wing - Sale Flat</t>
  </si>
  <si>
    <t>Recommended rate of the Shop(Ground Floor) Per Sq. Ft.</t>
  </si>
  <si>
    <t>Recommended rate of the Shop(1st Floor) Per Sq. Ft.</t>
  </si>
  <si>
    <t>Shop rate is not given as al shops are rehab</t>
  </si>
  <si>
    <t>A &amp; B Wing = G + 1st to 22nd Floor</t>
  </si>
  <si>
    <t>A &amp; B Wing = G + 1st to 22nd Floor
B Wing = G + 1st to 22nd Floor</t>
  </si>
  <si>
    <t>This C.C is further extended for RCC Framework only for 20th to 22nd upper floors including LMR &amp; OHWT of sale wing B of composite building a per approved amended plans dated 26/08/2021.</t>
  </si>
  <si>
    <t>Site Person - Contact Details ( Name &amp; Contact No.)</t>
  </si>
  <si>
    <t>Trident Ozone LLP</t>
  </si>
  <si>
    <t>19.149697,72.932159</t>
  </si>
  <si>
    <t>Latitude, Longitude</t>
  </si>
  <si>
    <t>https://goo.gl/maps/3LTqrmm4bw393Br48</t>
  </si>
  <si>
    <t>Vitrified tiles flooring, Kitchen Platform, Decorative Entrance etc</t>
  </si>
  <si>
    <t>Location Link</t>
  </si>
  <si>
    <t>CTS No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</si>
  <si>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</si>
  <si>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Grand Total</t>
  </si>
  <si>
    <t>A Wing = G + 1st to 22nd Floor</t>
  </si>
  <si>
    <t>B Wing = G + 1st to 22nd Floor</t>
  </si>
  <si>
    <t>We have updated revised approved CC (on 07/10/2022).</t>
  </si>
  <si>
    <t>Construction work is in process at the time of Visit. (Internal Photo was not allowed)</t>
  </si>
  <si>
    <t>Mr. Akshay Utekar 8286335695</t>
  </si>
  <si>
    <t>Shruti Tathare</t>
  </si>
  <si>
    <t>P51800024818</t>
  </si>
  <si>
    <t>As checked on RERA portal on date 14/07/2025, we have observed that above project       "Fairmount" is kept under abeyance. Please check from your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</si>
</sst>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3"/>
      <color indexed="8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2">
    <xf numFmtId="0" fontId="0" fillId="0" borderId="0" xfId="0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9" fontId="9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8" fillId="0" borderId="6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17" fillId="0" borderId="9" xfId="0" applyFont="1" applyFill="1" applyBorder="1" applyProtection="1">
      <protection hidden="1"/>
    </xf>
    <xf numFmtId="0" fontId="7" fillId="0" borderId="1" xfId="1" applyFont="1" applyFill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/>
    <xf numFmtId="0" fontId="16" fillId="0" borderId="0" xfId="1" applyFont="1" applyFill="1"/>
    <xf numFmtId="0" fontId="13" fillId="0" borderId="0" xfId="1" applyFont="1" applyFill="1"/>
    <xf numFmtId="1" fontId="8" fillId="0" borderId="0" xfId="1" applyNumberFormat="1" applyFont="1" applyFill="1"/>
    <xf numFmtId="0" fontId="8" fillId="0" borderId="0" xfId="1" applyNumberFormat="1" applyFont="1" applyFill="1"/>
    <xf numFmtId="14" fontId="8" fillId="0" borderId="0" xfId="1" applyNumberFormat="1" applyFont="1" applyFill="1"/>
    <xf numFmtId="0" fontId="8" fillId="0" borderId="0" xfId="1" applyFont="1" applyFill="1" applyProtection="1">
      <protection hidden="1"/>
    </xf>
    <xf numFmtId="0" fontId="23" fillId="0" borderId="0" xfId="1" applyFont="1" applyFill="1"/>
    <xf numFmtId="0" fontId="8" fillId="0" borderId="7" xfId="1" applyFont="1" applyFill="1" applyBorder="1" applyProtection="1">
      <protection hidden="1"/>
    </xf>
    <xf numFmtId="0" fontId="8" fillId="0" borderId="8" xfId="1" applyFont="1" applyFill="1" applyBorder="1" applyProtection="1">
      <protection hidden="1"/>
    </xf>
    <xf numFmtId="0" fontId="8" fillId="0" borderId="8" xfId="1" applyFont="1" applyFill="1" applyBorder="1"/>
    <xf numFmtId="0" fontId="17" fillId="0" borderId="8" xfId="0" applyNumberFormat="1" applyFont="1" applyFill="1" applyBorder="1" applyProtection="1">
      <protection hidden="1"/>
    </xf>
    <xf numFmtId="1" fontId="0" fillId="0" borderId="8" xfId="0" applyNumberFormat="1" applyFill="1" applyBorder="1"/>
    <xf numFmtId="1" fontId="0" fillId="0" borderId="8" xfId="0" applyNumberFormat="1" applyFill="1" applyBorder="1" applyAlignment="1">
      <alignment horizontal="right"/>
    </xf>
    <xf numFmtId="1" fontId="0" fillId="0" borderId="10" xfId="0" applyNumberFormat="1" applyFill="1" applyBorder="1"/>
    <xf numFmtId="0" fontId="7" fillId="0" borderId="0" xfId="2" applyFont="1" applyFill="1"/>
    <xf numFmtId="0" fontId="8" fillId="0" borderId="0" xfId="0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0" fontId="13" fillId="0" borderId="0" xfId="1" applyFont="1" applyFill="1" applyBorder="1" applyProtection="1">
      <protection hidden="1"/>
    </xf>
    <xf numFmtId="0" fontId="13" fillId="0" borderId="8" xfId="1" applyFont="1" applyFill="1" applyBorder="1" applyProtection="1">
      <protection hidden="1"/>
    </xf>
    <xf numFmtId="2" fontId="8" fillId="0" borderId="0" xfId="1" applyNumberFormat="1" applyFont="1" applyFill="1" applyAlignment="1">
      <alignment horizontal="center" vertical="center"/>
    </xf>
    <xf numFmtId="168" fontId="8" fillId="0" borderId="0" xfId="1" applyNumberFormat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9" fillId="0" borderId="1" xfId="1" applyFont="1" applyFill="1" applyBorder="1" applyAlignment="1" applyProtection="1">
      <alignment vertical="top"/>
      <protection locked="0"/>
    </xf>
    <xf numFmtId="0" fontId="1" fillId="0" borderId="1" xfId="5" applyFont="1" applyBorder="1" applyAlignment="1">
      <alignment horizontal="center" vertical="center"/>
    </xf>
    <xf numFmtId="0" fontId="0" fillId="0" borderId="0" xfId="0" applyFill="1"/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2" borderId="0" xfId="1" applyFont="1" applyFill="1"/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24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24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24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1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1" fontId="9" fillId="0" borderId="12" xfId="1" applyNumberFormat="1" applyFont="1" applyFill="1" applyBorder="1" applyAlignment="1" applyProtection="1">
      <alignment horizontal="center" vertical="top" wrapText="1"/>
      <protection locked="0"/>
    </xf>
    <xf numFmtId="1" fontId="9" fillId="0" borderId="14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7" fillId="0" borderId="16" xfId="1" applyFont="1" applyFill="1" applyBorder="1" applyAlignment="1" applyProtection="1">
      <alignment horizontal="left" vertical="top" wrapText="1"/>
      <protection locked="0"/>
    </xf>
    <xf numFmtId="169" fontId="7" fillId="0" borderId="4" xfId="1" applyNumberFormat="1" applyFont="1" applyFill="1" applyBorder="1" applyAlignment="1" applyProtection="1">
      <alignment horizontal="left" vertical="top" wrapText="1"/>
      <protection locked="0"/>
    </xf>
    <xf numFmtId="169" fontId="7" fillId="0" borderId="5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/>
      <protection locked="0"/>
    </xf>
    <xf numFmtId="0" fontId="8" fillId="0" borderId="17" xfId="1" applyFont="1" applyFill="1" applyBorder="1" applyAlignment="1" applyProtection="1">
      <alignment horizontal="left" vertical="top"/>
      <protection locked="0"/>
    </xf>
    <xf numFmtId="0" fontId="8" fillId="0" borderId="13" xfId="1" applyFont="1" applyFill="1" applyBorder="1" applyAlignment="1" applyProtection="1">
      <alignment horizontal="left" vertical="top"/>
      <protection locked="0"/>
    </xf>
    <xf numFmtId="0" fontId="9" fillId="0" borderId="4" xfId="1" applyFont="1" applyFill="1" applyBorder="1" applyAlignment="1" applyProtection="1">
      <alignment horizontal="left" vertical="top" wrapText="1"/>
      <protection locked="0"/>
    </xf>
    <xf numFmtId="0" fontId="9" fillId="0" borderId="5" xfId="1" applyFont="1" applyFill="1" applyBorder="1" applyAlignment="1" applyProtection="1">
      <alignment horizontal="left" vertical="top" wrapText="1"/>
      <protection locked="0"/>
    </xf>
    <xf numFmtId="0" fontId="9" fillId="0" borderId="16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9" fillId="0" borderId="11" xfId="1" applyNumberFormat="1" applyFont="1" applyFill="1" applyBorder="1" applyAlignment="1" applyProtection="1">
      <alignment horizontal="center" vertical="top" wrapText="1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11" xfId="1" applyNumberFormat="1" applyFont="1" applyFill="1" applyBorder="1" applyAlignment="1" applyProtection="1">
      <alignment horizontal="center" vertical="top" wrapText="1"/>
      <protection locked="0"/>
    </xf>
    <xf numFmtId="1" fontId="9" fillId="0" borderId="13" xfId="1" applyNumberFormat="1" applyFont="1" applyFill="1" applyBorder="1" applyAlignment="1" applyProtection="1">
      <alignment horizontal="center" vertical="top" wrapText="1"/>
      <protection locked="0"/>
    </xf>
    <xf numFmtId="1" fontId="9" fillId="0" borderId="15" xfId="1" applyNumberFormat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0" applyNumberFormat="1" applyFont="1" applyFill="1" applyBorder="1" applyAlignment="1" applyProtection="1">
      <alignment vertical="top" wrapText="1"/>
      <protection locked="0"/>
    </xf>
    <xf numFmtId="1" fontId="9" fillId="0" borderId="16" xfId="0" applyNumberFormat="1" applyFont="1" applyFill="1" applyBorder="1" applyAlignment="1" applyProtection="1">
      <alignment vertical="top" wrapText="1"/>
      <protection locked="0"/>
    </xf>
    <xf numFmtId="1" fontId="9" fillId="0" borderId="5" xfId="0" applyNumberFormat="1" applyFont="1" applyFill="1" applyBorder="1" applyAlignment="1" applyProtection="1">
      <alignment vertical="top" wrapText="1"/>
      <protection locked="0"/>
    </xf>
    <xf numFmtId="1" fontId="14" fillId="0" borderId="4" xfId="0" applyNumberFormat="1" applyFont="1" applyFill="1" applyBorder="1" applyAlignment="1" applyProtection="1">
      <alignment vertical="top" wrapText="1"/>
      <protection locked="0"/>
    </xf>
    <xf numFmtId="1" fontId="14" fillId="0" borderId="16" xfId="0" applyNumberFormat="1" applyFont="1" applyFill="1" applyBorder="1" applyAlignment="1" applyProtection="1">
      <alignment vertical="top" wrapText="1"/>
      <protection locked="0"/>
    </xf>
    <xf numFmtId="1" fontId="14" fillId="0" borderId="5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9" fillId="0" borderId="4" xfId="1" applyFont="1" applyFill="1" applyBorder="1" applyAlignment="1" applyProtection="1">
      <alignment horizontal="left" vertical="top"/>
      <protection locked="0"/>
    </xf>
    <xf numFmtId="0" fontId="9" fillId="0" borderId="5" xfId="1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8" fillId="0" borderId="1" xfId="8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3" xfId="1" applyFont="1" applyFill="1" applyBorder="1" applyAlignment="1" applyProtection="1">
      <alignment horizontal="left" vertical="top" wrapText="1"/>
      <protection locked="0"/>
    </xf>
    <xf numFmtId="0" fontId="8" fillId="0" borderId="3" xfId="1" applyFont="1" applyFill="1" applyBorder="1" applyAlignment="1" applyProtection="1">
      <alignment horizontal="left" vertical="top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Fill="1" applyBorder="1" applyAlignment="1" applyProtection="1">
      <alignment horizontal="left" vertical="top" wrapText="1"/>
      <protection locked="0"/>
    </xf>
    <xf numFmtId="0" fontId="7" fillId="0" borderId="13" xfId="1" applyFont="1" applyFill="1" applyBorder="1" applyAlignment="1" applyProtection="1">
      <alignment horizontal="left" vertical="top" wrapText="1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7" fillId="0" borderId="15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9" fontId="7" fillId="0" borderId="16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left"/>
      <protection locked="0"/>
    </xf>
    <xf numFmtId="0" fontId="8" fillId="0" borderId="16" xfId="1" applyFont="1" applyFill="1" applyBorder="1" applyAlignment="1" applyProtection="1">
      <alignment horizontal="left"/>
      <protection locked="0"/>
    </xf>
    <xf numFmtId="0" fontId="8" fillId="0" borderId="5" xfId="1" applyFont="1" applyFill="1" applyBorder="1" applyAlignment="1" applyProtection="1">
      <alignment horizontal="left"/>
      <protection locked="0"/>
    </xf>
    <xf numFmtId="0" fontId="25" fillId="0" borderId="4" xfId="10" applyFill="1" applyBorder="1" applyAlignment="1" applyProtection="1">
      <alignment horizontal="left"/>
      <protection locked="0"/>
    </xf>
    <xf numFmtId="1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0" fontId="14" fillId="0" borderId="16" xfId="1" applyFont="1" applyFill="1" applyBorder="1" applyAlignment="1" applyProtection="1">
      <alignment horizontal="left" vertical="top"/>
      <protection locked="0"/>
    </xf>
    <xf numFmtId="0" fontId="14" fillId="0" borderId="5" xfId="1" applyFont="1" applyFill="1" applyBorder="1" applyAlignment="1" applyProtection="1">
      <alignment horizontal="left" vertical="top"/>
      <protection locked="0"/>
    </xf>
    <xf numFmtId="0" fontId="16" fillId="0" borderId="1" xfId="1" applyFont="1" applyFill="1" applyBorder="1" applyAlignment="1" applyProtection="1">
      <alignment horizontal="left" vertical="top"/>
      <protection locked="0"/>
    </xf>
    <xf numFmtId="1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302</xdr:row>
      <xdr:rowOff>3415</xdr:rowOff>
    </xdr:from>
    <xdr:to>
      <xdr:col>6</xdr:col>
      <xdr:colOff>668281</xdr:colOff>
      <xdr:row>320</xdr:row>
      <xdr:rowOff>2964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62649340"/>
          <a:ext cx="493548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190501</xdr:colOff>
      <xdr:row>283</xdr:row>
      <xdr:rowOff>19050</xdr:rowOff>
    </xdr:from>
    <xdr:to>
      <xdr:col>6</xdr:col>
      <xdr:colOff>668282</xdr:colOff>
      <xdr:row>301</xdr:row>
      <xdr:rowOff>18600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1" y="58864500"/>
          <a:ext cx="493548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533400</xdr:colOff>
      <xdr:row>241</xdr:row>
      <xdr:rowOff>28575</xdr:rowOff>
    </xdr:from>
    <xdr:to>
      <xdr:col>15</xdr:col>
      <xdr:colOff>660314</xdr:colOff>
      <xdr:row>282</xdr:row>
      <xdr:rowOff>102600</xdr:rowOff>
    </xdr:to>
    <xdr:grpSp>
      <xdr:nvGrpSpPr>
        <xdr:cNvPr id="7" name="Group 6"/>
        <xdr:cNvGrpSpPr/>
      </xdr:nvGrpSpPr>
      <xdr:grpSpPr>
        <a:xfrm>
          <a:off x="7058025" y="51968400"/>
          <a:ext cx="5746664" cy="8275050"/>
          <a:chOff x="447675" y="51749325"/>
          <a:chExt cx="5746664" cy="8275050"/>
        </a:xfrm>
      </xdr:grpSpPr>
      <xdr:pic>
        <xdr:nvPicPr>
          <xdr:cNvPr id="27" name="Picture 26" descr="https://vsjcllp.vsjadon.com/upload/insp-22606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05076" y="57947369"/>
            <a:ext cx="1562100" cy="20770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606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38175" y="55578374"/>
            <a:ext cx="1726446" cy="2295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2606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1850" y="51749325"/>
            <a:ext cx="2822489" cy="3752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6069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7675" y="55568849"/>
            <a:ext cx="1726446" cy="2295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6069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47925" y="55568849"/>
            <a:ext cx="1726446" cy="2295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/>
          <xdr:cNvGrpSpPr/>
        </xdr:nvGrpSpPr>
        <xdr:grpSpPr>
          <a:xfrm>
            <a:off x="447675" y="51749325"/>
            <a:ext cx="2851064" cy="3752850"/>
            <a:chOff x="447675" y="51749325"/>
            <a:chExt cx="2851064" cy="3752850"/>
          </a:xfrm>
        </xdr:grpSpPr>
        <xdr:pic>
          <xdr:nvPicPr>
            <xdr:cNvPr id="31" name="Picture 30" descr="https://vsjcllp.vsjadon.com/upload/insp-226069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6250" y="51749325"/>
              <a:ext cx="2822489" cy="37528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TextBox 9"/>
            <xdr:cNvSpPr txBox="1"/>
          </xdr:nvSpPr>
          <xdr:spPr>
            <a:xfrm>
              <a:off x="447675" y="51863626"/>
              <a:ext cx="714375" cy="35513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fr-FR" sz="12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  <a:endParaRPr lang="en-IN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37" name="TextBox 9"/>
            <xdr:cNvSpPr txBox="1"/>
          </xdr:nvSpPr>
          <xdr:spPr>
            <a:xfrm>
              <a:off x="2009775" y="51987450"/>
              <a:ext cx="714375" cy="35513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fr-FR" sz="12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  <a:endParaRPr lang="en-IN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8</xdr:col>
      <xdr:colOff>1002725</xdr:colOff>
      <xdr:row>24</xdr:row>
      <xdr:rowOff>133350</xdr:rowOff>
    </xdr:from>
    <xdr:to>
      <xdr:col>16</xdr:col>
      <xdr:colOff>74820</xdr:colOff>
      <xdr:row>37</xdr:row>
      <xdr:rowOff>104130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27350" y="5981700"/>
          <a:ext cx="5472895" cy="2561580"/>
        </a:xfrm>
        <a:prstGeom prst="rect">
          <a:avLst/>
        </a:prstGeom>
      </xdr:spPr>
    </xdr:pic>
    <xdr:clientData/>
  </xdr:twoCellAnchor>
  <xdr:twoCellAnchor>
    <xdr:from>
      <xdr:col>0</xdr:col>
      <xdr:colOff>390524</xdr:colOff>
      <xdr:row>240</xdr:row>
      <xdr:rowOff>85725</xdr:rowOff>
    </xdr:from>
    <xdr:to>
      <xdr:col>7</xdr:col>
      <xdr:colOff>412663</xdr:colOff>
      <xdr:row>281</xdr:row>
      <xdr:rowOff>140700</xdr:rowOff>
    </xdr:to>
    <xdr:grpSp>
      <xdr:nvGrpSpPr>
        <xdr:cNvPr id="8" name="Group 7"/>
        <xdr:cNvGrpSpPr/>
      </xdr:nvGrpSpPr>
      <xdr:grpSpPr>
        <a:xfrm>
          <a:off x="390524" y="51825525"/>
          <a:ext cx="5718089" cy="8246475"/>
          <a:chOff x="390524" y="51825525"/>
          <a:chExt cx="5718089" cy="8246475"/>
        </a:xfrm>
      </xdr:grpSpPr>
      <xdr:pic>
        <xdr:nvPicPr>
          <xdr:cNvPr id="16" name="Picture 15" descr="https://vsjcllp.vsjadon.com/upload/insp-23987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09825" y="5791200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987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4" y="51825525"/>
            <a:ext cx="2822489" cy="3752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987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19350" y="5567362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987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4" y="51825525"/>
            <a:ext cx="2822489" cy="37528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9877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14375" y="5567362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877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52900" y="5567362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LTqrmm4bw393Br4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3"/>
  <sheetViews>
    <sheetView tabSelected="1" view="pageBreakPreview" topLeftCell="A3" zoomScaleNormal="100" zoomScaleSheetLayoutView="100" workbookViewId="0">
      <selection activeCell="J13" sqref="J13"/>
    </sheetView>
  </sheetViews>
  <sheetFormatPr defaultColWidth="9.140625" defaultRowHeight="15.75" x14ac:dyDescent="0.25"/>
  <cols>
    <col min="1" max="1" width="11.42578125" style="43" customWidth="1"/>
    <col min="2" max="2" width="12" style="43" customWidth="1"/>
    <col min="3" max="3" width="12.7109375" style="43" customWidth="1"/>
    <col min="4" max="4" width="14.140625" style="43" customWidth="1"/>
    <col min="5" max="7" width="11.7109375" style="43" customWidth="1"/>
    <col min="8" max="8" width="12.42578125" style="43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55" t="s">
        <v>227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25">
      <c r="A3" s="121" t="s">
        <v>1</v>
      </c>
      <c r="B3" s="121"/>
      <c r="C3" s="121"/>
      <c r="D3" s="121"/>
      <c r="E3" s="121" t="str">
        <f ca="1">TEXT(TODAY(),"DD/MM/YYYY")</f>
        <v>14/07/2025</v>
      </c>
      <c r="F3" s="121"/>
      <c r="G3" s="121"/>
      <c r="H3" s="121"/>
    </row>
    <row r="4" spans="1:8" ht="15" customHeight="1" x14ac:dyDescent="0.25">
      <c r="A4" s="121" t="s">
        <v>2</v>
      </c>
      <c r="B4" s="121"/>
      <c r="C4" s="121"/>
      <c r="D4" s="121"/>
      <c r="E4" s="121" t="s">
        <v>159</v>
      </c>
      <c r="F4" s="121"/>
      <c r="G4" s="121"/>
      <c r="H4" s="121"/>
    </row>
    <row r="5" spans="1:8" x14ac:dyDescent="0.25">
      <c r="A5" s="121" t="s">
        <v>3</v>
      </c>
      <c r="B5" s="121"/>
      <c r="C5" s="121"/>
      <c r="D5" s="121"/>
      <c r="E5" s="89">
        <v>45849</v>
      </c>
      <c r="F5" s="156"/>
      <c r="G5" s="156"/>
      <c r="H5" s="90"/>
    </row>
    <row r="6" spans="1:8" ht="16.5" customHeight="1" x14ac:dyDescent="0.25">
      <c r="A6" s="121" t="s">
        <v>4</v>
      </c>
      <c r="B6" s="121"/>
      <c r="C6" s="121"/>
      <c r="D6" s="121"/>
      <c r="E6" s="121" t="s">
        <v>220</v>
      </c>
      <c r="F6" s="121"/>
      <c r="G6" s="121"/>
      <c r="H6" s="121"/>
    </row>
    <row r="7" spans="1:8" ht="15" customHeight="1" x14ac:dyDescent="0.25">
      <c r="A7" s="121" t="s">
        <v>5</v>
      </c>
      <c r="B7" s="121"/>
      <c r="C7" s="121"/>
      <c r="D7" s="121"/>
      <c r="E7" s="121" t="str">
        <f>E6</f>
        <v>Trident Ozone LLP</v>
      </c>
      <c r="F7" s="121"/>
      <c r="G7" s="121"/>
      <c r="H7" s="121"/>
    </row>
    <row r="8" spans="1:8" x14ac:dyDescent="0.25">
      <c r="A8" s="121" t="s">
        <v>6</v>
      </c>
      <c r="B8" s="121"/>
      <c r="C8" s="121"/>
      <c r="D8" s="121"/>
      <c r="E8" s="154" t="s">
        <v>160</v>
      </c>
      <c r="F8" s="154"/>
      <c r="G8" s="154"/>
      <c r="H8" s="154"/>
    </row>
    <row r="9" spans="1:8" x14ac:dyDescent="0.25">
      <c r="A9" s="121" t="s">
        <v>120</v>
      </c>
      <c r="B9" s="121"/>
      <c r="C9" s="121"/>
      <c r="D9" s="121"/>
      <c r="E9" s="121" t="s">
        <v>161</v>
      </c>
      <c r="F9" s="121"/>
      <c r="G9" s="121"/>
      <c r="H9" s="121"/>
    </row>
    <row r="10" spans="1:8" x14ac:dyDescent="0.25">
      <c r="A10" s="121" t="s">
        <v>219</v>
      </c>
      <c r="B10" s="121"/>
      <c r="C10" s="121"/>
      <c r="D10" s="121"/>
      <c r="E10" s="121" t="s">
        <v>233</v>
      </c>
      <c r="F10" s="121"/>
      <c r="G10" s="121"/>
      <c r="H10" s="121"/>
    </row>
    <row r="11" spans="1:8" ht="33" customHeight="1" x14ac:dyDescent="0.25">
      <c r="A11" s="121" t="s">
        <v>7</v>
      </c>
      <c r="B11" s="121"/>
      <c r="C11" s="121"/>
      <c r="D11" s="121"/>
      <c r="E11" s="120" t="s">
        <v>208</v>
      </c>
      <c r="F11" s="121"/>
      <c r="G11" s="121"/>
      <c r="H11" s="121"/>
    </row>
    <row r="12" spans="1:8" x14ac:dyDescent="0.25">
      <c r="A12" s="84" t="s">
        <v>8</v>
      </c>
      <c r="B12" s="84"/>
      <c r="C12" s="84"/>
      <c r="D12" s="84"/>
      <c r="E12" s="120" t="s">
        <v>174</v>
      </c>
      <c r="F12" s="120"/>
      <c r="G12" s="120"/>
      <c r="H12" s="120"/>
    </row>
    <row r="13" spans="1:8" x14ac:dyDescent="0.25">
      <c r="A13" s="84" t="s">
        <v>9</v>
      </c>
      <c r="B13" s="84"/>
      <c r="C13" s="84"/>
      <c r="D13" s="84"/>
      <c r="E13" s="120" t="s">
        <v>235</v>
      </c>
      <c r="F13" s="121"/>
      <c r="G13" s="121"/>
      <c r="H13" s="121"/>
    </row>
    <row r="14" spans="1:8" ht="33" customHeight="1" x14ac:dyDescent="0.25">
      <c r="A14" s="101" t="s">
        <v>10</v>
      </c>
      <c r="B14" s="101"/>
      <c r="C14" s="10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Fairmont, CTS No.110, 111 &amp; 112, near JBD Cooperative Housing Society, Jungal Mangal Road, Kanjur, Bhandup West, Kurla, Mumbai - 400078.</v>
      </c>
      <c r="D14" s="101"/>
      <c r="E14" s="101"/>
      <c r="F14" s="101"/>
      <c r="G14" s="101"/>
      <c r="H14" s="101"/>
    </row>
    <row r="15" spans="1:8" x14ac:dyDescent="0.25">
      <c r="A15" s="120" t="s">
        <v>226</v>
      </c>
      <c r="B15" s="120"/>
      <c r="C15" s="120" t="s">
        <v>205</v>
      </c>
      <c r="D15" s="120"/>
      <c r="E15" s="120"/>
      <c r="F15" s="120"/>
      <c r="G15" s="120"/>
      <c r="H15" s="120"/>
    </row>
    <row r="16" spans="1:8" ht="15.75" customHeight="1" x14ac:dyDescent="0.25">
      <c r="A16" s="101" t="s">
        <v>11</v>
      </c>
      <c r="B16" s="101"/>
      <c r="C16" s="121" t="s">
        <v>164</v>
      </c>
      <c r="D16" s="121"/>
      <c r="E16" s="101" t="s">
        <v>162</v>
      </c>
      <c r="F16" s="101"/>
      <c r="G16" s="120" t="s">
        <v>163</v>
      </c>
      <c r="H16" s="120"/>
    </row>
    <row r="17" spans="1:8" x14ac:dyDescent="0.25">
      <c r="A17" s="84" t="s">
        <v>13</v>
      </c>
      <c r="B17" s="84"/>
      <c r="C17" s="120" t="s">
        <v>173</v>
      </c>
      <c r="D17" s="120"/>
      <c r="E17" s="101" t="s">
        <v>12</v>
      </c>
      <c r="F17" s="101"/>
      <c r="G17" s="157" t="s">
        <v>172</v>
      </c>
      <c r="H17" s="157"/>
    </row>
    <row r="18" spans="1:8" x14ac:dyDescent="0.25">
      <c r="A18" s="84" t="s">
        <v>75</v>
      </c>
      <c r="B18" s="84"/>
      <c r="C18" s="120" t="s">
        <v>171</v>
      </c>
      <c r="D18" s="120"/>
      <c r="E18" s="101" t="s">
        <v>14</v>
      </c>
      <c r="F18" s="101"/>
      <c r="G18" s="120">
        <v>400078</v>
      </c>
      <c r="H18" s="120"/>
    </row>
    <row r="19" spans="1:8" ht="32.25" customHeight="1" x14ac:dyDescent="0.25">
      <c r="A19" s="84" t="s">
        <v>121</v>
      </c>
      <c r="B19" s="84"/>
      <c r="C19" s="120" t="s">
        <v>167</v>
      </c>
      <c r="D19" s="120"/>
      <c r="E19" s="101" t="s">
        <v>15</v>
      </c>
      <c r="F19" s="101"/>
      <c r="G19" s="120" t="s">
        <v>206</v>
      </c>
      <c r="H19" s="120"/>
    </row>
    <row r="20" spans="1:8" ht="15" customHeight="1" x14ac:dyDescent="0.25">
      <c r="A20" s="101" t="s">
        <v>78</v>
      </c>
      <c r="B20" s="101"/>
      <c r="C20" s="101"/>
      <c r="D20" s="101"/>
      <c r="E20" s="121" t="s">
        <v>16</v>
      </c>
      <c r="F20" s="121"/>
      <c r="G20" s="121"/>
      <c r="H20" s="121"/>
    </row>
    <row r="21" spans="1:8" ht="18.75" customHeight="1" x14ac:dyDescent="0.25">
      <c r="A21" s="101"/>
      <c r="B21" s="101"/>
      <c r="C21" s="101"/>
      <c r="D21" s="101"/>
      <c r="E21" s="121"/>
      <c r="F21" s="121"/>
      <c r="G21" s="121"/>
      <c r="H21" s="121"/>
    </row>
    <row r="22" spans="1:8" ht="15" customHeight="1" x14ac:dyDescent="0.25">
      <c r="A22" s="101" t="s">
        <v>17</v>
      </c>
      <c r="B22" s="101"/>
      <c r="C22" s="101"/>
      <c r="D22" s="101"/>
      <c r="E22" s="120" t="s">
        <v>18</v>
      </c>
      <c r="F22" s="120"/>
      <c r="G22" s="120"/>
      <c r="H22" s="120"/>
    </row>
    <row r="23" spans="1:8" ht="15" customHeight="1" x14ac:dyDescent="0.25">
      <c r="A23" s="84" t="s">
        <v>19</v>
      </c>
      <c r="B23" s="84"/>
      <c r="C23" s="84"/>
      <c r="D23" s="84"/>
      <c r="E23" s="120" t="str">
        <f>IF(AND(G17="Mumbai"),"Upper Class","Middle Class")</f>
        <v>Upper Class</v>
      </c>
      <c r="F23" s="120"/>
      <c r="G23" s="120"/>
      <c r="H23" s="120"/>
    </row>
    <row r="24" spans="1:8" x14ac:dyDescent="0.25">
      <c r="A24" s="84" t="s">
        <v>20</v>
      </c>
      <c r="B24" s="84"/>
      <c r="C24" s="84"/>
      <c r="D24" s="84"/>
      <c r="E24" s="120" t="s">
        <v>21</v>
      </c>
      <c r="F24" s="120"/>
      <c r="G24" s="120"/>
      <c r="H24" s="120"/>
    </row>
    <row r="25" spans="1:8" ht="15.75" customHeight="1" x14ac:dyDescent="0.25">
      <c r="A25" s="84" t="s">
        <v>22</v>
      </c>
      <c r="B25" s="84"/>
      <c r="C25" s="84"/>
      <c r="D25" s="84"/>
      <c r="E25" s="120" t="str">
        <f>IF(AND(G17="Mumbai"),"Developed","Developing")</f>
        <v>Developed</v>
      </c>
      <c r="F25" s="120"/>
      <c r="G25" s="120"/>
      <c r="H25" s="120"/>
    </row>
    <row r="26" spans="1:8" x14ac:dyDescent="0.25">
      <c r="A26" s="84" t="s">
        <v>23</v>
      </c>
      <c r="B26" s="84"/>
      <c r="C26" s="84"/>
      <c r="D26" s="84"/>
      <c r="E26" s="120" t="s">
        <v>24</v>
      </c>
      <c r="F26" s="120"/>
      <c r="G26" s="120"/>
      <c r="H26" s="120"/>
    </row>
    <row r="27" spans="1:8" ht="15.75" customHeight="1" x14ac:dyDescent="0.25">
      <c r="A27" s="84" t="s">
        <v>83</v>
      </c>
      <c r="B27" s="84"/>
      <c r="C27" s="84"/>
      <c r="D27" s="84"/>
      <c r="E27" s="120" t="s">
        <v>84</v>
      </c>
      <c r="F27" s="120"/>
      <c r="G27" s="120"/>
      <c r="H27" s="120"/>
    </row>
    <row r="28" spans="1:8" ht="15" customHeight="1" x14ac:dyDescent="0.25">
      <c r="A28" s="84" t="s">
        <v>33</v>
      </c>
      <c r="B28" s="84"/>
      <c r="C28" s="84"/>
      <c r="D28" s="84"/>
      <c r="E28" s="120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Residential + Commercial</v>
      </c>
      <c r="F28" s="120"/>
      <c r="G28" s="120"/>
      <c r="H28" s="120"/>
    </row>
    <row r="29" spans="1:8" ht="15.75" customHeight="1" x14ac:dyDescent="0.25">
      <c r="A29" s="84" t="s">
        <v>95</v>
      </c>
      <c r="B29" s="84"/>
      <c r="C29" s="84"/>
      <c r="D29" s="84"/>
      <c r="E29" s="120" t="s">
        <v>34</v>
      </c>
      <c r="F29" s="120"/>
      <c r="G29" s="120"/>
      <c r="H29" s="120"/>
    </row>
    <row r="30" spans="1:8" s="23" customFormat="1" x14ac:dyDescent="0.25">
      <c r="A30" s="162" t="s">
        <v>96</v>
      </c>
      <c r="B30" s="162"/>
      <c r="C30" s="161" t="s">
        <v>29</v>
      </c>
      <c r="D30" s="161"/>
      <c r="E30" s="161"/>
      <c r="F30" s="161" t="s">
        <v>31</v>
      </c>
      <c r="G30" s="161"/>
      <c r="H30" s="161"/>
    </row>
    <row r="31" spans="1:8" s="23" customFormat="1" x14ac:dyDescent="0.25">
      <c r="A31" s="158" t="s">
        <v>25</v>
      </c>
      <c r="B31" s="158" t="s">
        <v>30</v>
      </c>
      <c r="C31" s="159" t="s">
        <v>30</v>
      </c>
      <c r="D31" s="159"/>
      <c r="E31" s="159"/>
      <c r="F31" s="159" t="s">
        <v>166</v>
      </c>
      <c r="G31" s="159"/>
      <c r="H31" s="159"/>
    </row>
    <row r="32" spans="1:8" x14ac:dyDescent="0.25">
      <c r="A32" s="158" t="s">
        <v>26</v>
      </c>
      <c r="B32" s="158" t="s">
        <v>30</v>
      </c>
      <c r="C32" s="159" t="s">
        <v>30</v>
      </c>
      <c r="D32" s="159"/>
      <c r="E32" s="159"/>
      <c r="F32" s="159" t="s">
        <v>165</v>
      </c>
      <c r="G32" s="159"/>
      <c r="H32" s="159"/>
    </row>
    <row r="33" spans="1:8" s="23" customFormat="1" x14ac:dyDescent="0.25">
      <c r="A33" s="158" t="s">
        <v>28</v>
      </c>
      <c r="B33" s="158" t="s">
        <v>30</v>
      </c>
      <c r="C33" s="159" t="s">
        <v>30</v>
      </c>
      <c r="D33" s="159"/>
      <c r="E33" s="159"/>
      <c r="F33" s="159" t="s">
        <v>207</v>
      </c>
      <c r="G33" s="159"/>
      <c r="H33" s="159"/>
    </row>
    <row r="34" spans="1:8" x14ac:dyDescent="0.25">
      <c r="A34" s="158" t="s">
        <v>27</v>
      </c>
      <c r="B34" s="158" t="s">
        <v>30</v>
      </c>
      <c r="C34" s="159" t="s">
        <v>30</v>
      </c>
      <c r="D34" s="159"/>
      <c r="E34" s="159"/>
      <c r="F34" s="159" t="s">
        <v>164</v>
      </c>
      <c r="G34" s="159"/>
      <c r="H34" s="159"/>
    </row>
    <row r="35" spans="1:8" x14ac:dyDescent="0.25">
      <c r="A35" s="84" t="s">
        <v>32</v>
      </c>
      <c r="B35" s="84"/>
      <c r="C35" s="84"/>
      <c r="D35" s="84"/>
      <c r="E35" s="84"/>
      <c r="F35" s="84"/>
      <c r="G35" s="84"/>
      <c r="H35" s="84"/>
    </row>
    <row r="36" spans="1:8" ht="15.75" customHeight="1" x14ac:dyDescent="0.25">
      <c r="A36" s="127" t="s">
        <v>222</v>
      </c>
      <c r="B36" s="127"/>
      <c r="C36" s="163" t="s">
        <v>221</v>
      </c>
      <c r="D36" s="164"/>
      <c r="E36" s="164"/>
      <c r="F36" s="164"/>
      <c r="G36" s="164"/>
      <c r="H36" s="165"/>
    </row>
    <row r="37" spans="1:8" ht="15.75" customHeight="1" x14ac:dyDescent="0.25">
      <c r="A37" s="127" t="s">
        <v>225</v>
      </c>
      <c r="B37" s="127"/>
      <c r="C37" s="166" t="s">
        <v>223</v>
      </c>
      <c r="D37" s="164"/>
      <c r="E37" s="164"/>
      <c r="F37" s="164"/>
      <c r="G37" s="164"/>
      <c r="H37" s="165"/>
    </row>
    <row r="38" spans="1:8" x14ac:dyDescent="0.25">
      <c r="A38" s="136" t="s">
        <v>35</v>
      </c>
      <c r="B38" s="136"/>
      <c r="C38" s="136"/>
      <c r="D38" s="136"/>
      <c r="E38" s="136"/>
      <c r="F38" s="136"/>
      <c r="G38" s="136"/>
      <c r="H38" s="136"/>
    </row>
    <row r="39" spans="1:8" x14ac:dyDescent="0.25">
      <c r="A39" s="84" t="s">
        <v>36</v>
      </c>
      <c r="B39" s="84"/>
      <c r="C39" s="84"/>
      <c r="D39" s="84"/>
      <c r="E39" s="160">
        <v>1196.28</v>
      </c>
      <c r="F39" s="160"/>
      <c r="G39" s="160"/>
      <c r="H39" s="160"/>
    </row>
    <row r="40" spans="1:8" x14ac:dyDescent="0.25">
      <c r="A40" s="84" t="s">
        <v>37</v>
      </c>
      <c r="B40" s="84"/>
      <c r="C40" s="84"/>
      <c r="D40" s="84"/>
      <c r="E40" s="83">
        <v>4</v>
      </c>
      <c r="F40" s="83"/>
      <c r="G40" s="83"/>
      <c r="H40" s="83"/>
    </row>
    <row r="41" spans="1:8" x14ac:dyDescent="0.25">
      <c r="A41" s="84" t="s">
        <v>38</v>
      </c>
      <c r="B41" s="84"/>
      <c r="C41" s="84"/>
      <c r="D41" s="84"/>
      <c r="E41" s="83">
        <f>E43/E39-E40</f>
        <v>0.94654261544120111</v>
      </c>
      <c r="F41" s="83"/>
      <c r="G41" s="83"/>
      <c r="H41" s="83"/>
    </row>
    <row r="42" spans="1:8" x14ac:dyDescent="0.25">
      <c r="A42" s="84" t="s">
        <v>39</v>
      </c>
      <c r="B42" s="84"/>
      <c r="C42" s="84"/>
      <c r="D42" s="84"/>
      <c r="E42" s="83">
        <f>E40+E41</f>
        <v>4.9465426154412011</v>
      </c>
      <c r="F42" s="83"/>
      <c r="G42" s="83"/>
      <c r="H42" s="83"/>
    </row>
    <row r="43" spans="1:8" x14ac:dyDescent="0.25">
      <c r="A43" s="84" t="s">
        <v>94</v>
      </c>
      <c r="B43" s="84"/>
      <c r="C43" s="84"/>
      <c r="D43" s="84"/>
      <c r="E43" s="146">
        <v>5917.45</v>
      </c>
      <c r="F43" s="146"/>
      <c r="G43" s="146"/>
      <c r="H43" s="146"/>
    </row>
    <row r="44" spans="1:8" x14ac:dyDescent="0.25">
      <c r="A44" s="121" t="s">
        <v>40</v>
      </c>
      <c r="B44" s="121"/>
      <c r="C44" s="121"/>
      <c r="D44" s="121"/>
      <c r="E44" s="121" t="s">
        <v>170</v>
      </c>
      <c r="F44" s="121"/>
      <c r="G44" s="121"/>
      <c r="H44" s="121"/>
    </row>
    <row r="45" spans="1:8" x14ac:dyDescent="0.25">
      <c r="A45" s="136" t="s">
        <v>41</v>
      </c>
      <c r="B45" s="136"/>
      <c r="C45" s="136"/>
      <c r="D45" s="136"/>
      <c r="E45" s="136"/>
      <c r="F45" s="136"/>
      <c r="G45" s="136"/>
      <c r="H45" s="136"/>
    </row>
    <row r="46" spans="1:8" ht="33.75" customHeight="1" x14ac:dyDescent="0.25">
      <c r="A46" s="86" t="s">
        <v>150</v>
      </c>
      <c r="B46" s="87"/>
      <c r="C46" s="176" t="s">
        <v>169</v>
      </c>
      <c r="D46" s="177"/>
      <c r="E46" s="177"/>
      <c r="F46" s="177"/>
      <c r="G46" s="177"/>
      <c r="H46" s="178"/>
    </row>
    <row r="47" spans="1:8" ht="15.75" customHeight="1" x14ac:dyDescent="0.25">
      <c r="A47" s="86" t="s">
        <v>42</v>
      </c>
      <c r="B47" s="87"/>
      <c r="C47" s="86" t="s">
        <v>175</v>
      </c>
      <c r="D47" s="88"/>
      <c r="E47" s="87"/>
      <c r="F47" s="20" t="s">
        <v>43</v>
      </c>
      <c r="G47" s="89">
        <v>44434</v>
      </c>
      <c r="H47" s="90"/>
    </row>
    <row r="48" spans="1:8" x14ac:dyDescent="0.25">
      <c r="A48" s="86" t="s">
        <v>44</v>
      </c>
      <c r="B48" s="87"/>
      <c r="C48" s="86" t="str">
        <f>C47</f>
        <v>S/PVT/130/20160808/AP</v>
      </c>
      <c r="D48" s="88"/>
      <c r="E48" s="87"/>
      <c r="F48" s="20" t="s">
        <v>43</v>
      </c>
      <c r="G48" s="89">
        <v>44434</v>
      </c>
      <c r="H48" s="90"/>
    </row>
    <row r="49" spans="1:14" s="24" customFormat="1" ht="15.75" customHeight="1" x14ac:dyDescent="0.25">
      <c r="A49" s="150" t="s">
        <v>154</v>
      </c>
      <c r="B49" s="151"/>
      <c r="C49" s="86" t="str">
        <f>C48</f>
        <v>S/PVT/130/20160808/AP</v>
      </c>
      <c r="D49" s="88"/>
      <c r="E49" s="87"/>
      <c r="F49" s="20" t="s">
        <v>43</v>
      </c>
      <c r="G49" s="89">
        <v>44603</v>
      </c>
      <c r="H49" s="90"/>
    </row>
    <row r="50" spans="1:14" s="24" customFormat="1" ht="49.5" customHeight="1" x14ac:dyDescent="0.25">
      <c r="A50" s="152"/>
      <c r="B50" s="153"/>
      <c r="C50" s="86" t="s">
        <v>218</v>
      </c>
      <c r="D50" s="88"/>
      <c r="E50" s="88"/>
      <c r="F50" s="88"/>
      <c r="G50" s="88"/>
      <c r="H50" s="87"/>
    </row>
    <row r="51" spans="1:14" x14ac:dyDescent="0.25">
      <c r="A51" s="97" t="s">
        <v>45</v>
      </c>
      <c r="B51" s="98"/>
      <c r="C51" s="97" t="s">
        <v>103</v>
      </c>
      <c r="D51" s="99"/>
      <c r="E51" s="98"/>
      <c r="F51" s="53" t="s">
        <v>43</v>
      </c>
      <c r="G51" s="122" t="s">
        <v>30</v>
      </c>
      <c r="H51" s="123"/>
    </row>
    <row r="52" spans="1:14" x14ac:dyDescent="0.25">
      <c r="A52" s="100" t="s">
        <v>47</v>
      </c>
      <c r="B52" s="100"/>
      <c r="C52" s="100"/>
      <c r="D52" s="100"/>
      <c r="E52" s="100"/>
      <c r="F52" s="100"/>
      <c r="G52" s="100"/>
      <c r="H52" s="100"/>
    </row>
    <row r="53" spans="1:14" x14ac:dyDescent="0.25">
      <c r="A53" s="101" t="s">
        <v>93</v>
      </c>
      <c r="B53" s="101"/>
      <c r="C53" s="101"/>
      <c r="D53" s="91">
        <f>E43</f>
        <v>5917.45</v>
      </c>
      <c r="E53" s="91"/>
      <c r="F53" s="91"/>
      <c r="G53" s="91"/>
      <c r="H53" s="91"/>
    </row>
    <row r="54" spans="1:14" x14ac:dyDescent="0.25">
      <c r="A54" s="120" t="s">
        <v>48</v>
      </c>
      <c r="B54" s="121"/>
      <c r="C54" s="121"/>
      <c r="D54" s="91" t="s">
        <v>201</v>
      </c>
      <c r="E54" s="91"/>
      <c r="F54" s="91"/>
      <c r="G54" s="91"/>
      <c r="H54" s="91"/>
      <c r="I54" s="25"/>
    </row>
    <row r="55" spans="1:14" x14ac:dyDescent="0.25">
      <c r="A55" s="92" t="s">
        <v>49</v>
      </c>
      <c r="B55" s="93"/>
      <c r="C55" s="149"/>
      <c r="D55" s="147" t="s">
        <v>217</v>
      </c>
      <c r="E55" s="148"/>
      <c r="F55" s="148"/>
      <c r="G55" s="148"/>
      <c r="H55" s="148"/>
      <c r="I55" s="26"/>
    </row>
    <row r="56" spans="1:14" ht="15.75" customHeight="1" x14ac:dyDescent="0.25">
      <c r="A56" s="92" t="s">
        <v>91</v>
      </c>
      <c r="B56" s="93"/>
      <c r="C56" s="93"/>
      <c r="D56" s="94" t="s">
        <v>216</v>
      </c>
      <c r="E56" s="95"/>
      <c r="F56" s="95"/>
      <c r="G56" s="95"/>
      <c r="H56" s="96"/>
      <c r="I56" s="26"/>
    </row>
    <row r="57" spans="1:14" ht="15.75" customHeight="1" x14ac:dyDescent="0.25">
      <c r="A57" s="84" t="s">
        <v>46</v>
      </c>
      <c r="B57" s="84"/>
      <c r="C57" s="84"/>
      <c r="D57" s="143" t="s">
        <v>168</v>
      </c>
      <c r="E57" s="143"/>
      <c r="F57" s="143"/>
      <c r="G57" s="143"/>
      <c r="H57" s="143"/>
      <c r="J57" s="27"/>
      <c r="K57" s="25"/>
      <c r="N57" s="25"/>
    </row>
    <row r="58" spans="1:14" ht="15.75" customHeight="1" x14ac:dyDescent="0.25">
      <c r="A58" s="84" t="s">
        <v>89</v>
      </c>
      <c r="B58" s="84"/>
      <c r="C58" s="84"/>
      <c r="D58" s="145" t="str">
        <f>(IF(G51="NA","60 Years After Completion",IF(G51&lt;&gt;"NA",""&amp;60-ROUNDDOWN((E3-G51)/360,0)&amp;" Years"," ")))</f>
        <v>60 Years After Completion</v>
      </c>
      <c r="E58" s="145"/>
      <c r="F58" s="145"/>
      <c r="G58" s="145"/>
      <c r="H58" s="145"/>
      <c r="N58" s="25"/>
    </row>
    <row r="59" spans="1:14" ht="15.75" customHeight="1" x14ac:dyDescent="0.25">
      <c r="A59" s="84" t="s">
        <v>90</v>
      </c>
      <c r="B59" s="84"/>
      <c r="C59" s="84"/>
      <c r="D59" s="101" t="s">
        <v>24</v>
      </c>
      <c r="E59" s="101"/>
      <c r="F59" s="101"/>
      <c r="G59" s="101"/>
      <c r="H59" s="101"/>
      <c r="J59" s="28"/>
      <c r="K59" s="28"/>
    </row>
    <row r="60" spans="1:14" ht="15" customHeight="1" x14ac:dyDescent="0.25">
      <c r="A60" s="84" t="s">
        <v>76</v>
      </c>
      <c r="B60" s="84"/>
      <c r="C60" s="84"/>
      <c r="D60" s="120" t="s">
        <v>224</v>
      </c>
      <c r="E60" s="101"/>
      <c r="F60" s="101"/>
      <c r="G60" s="101"/>
      <c r="H60" s="101"/>
    </row>
    <row r="61" spans="1:14" x14ac:dyDescent="0.25">
      <c r="A61" s="101" t="s">
        <v>147</v>
      </c>
      <c r="B61" s="101"/>
      <c r="C61" s="101"/>
      <c r="D61" s="101" t="s">
        <v>30</v>
      </c>
      <c r="E61" s="101"/>
      <c r="F61" s="101"/>
      <c r="G61" s="101"/>
      <c r="H61" s="101"/>
      <c r="I61" s="29"/>
      <c r="J61" s="29"/>
      <c r="K61" s="29"/>
      <c r="L61" s="29"/>
      <c r="M61" s="29"/>
      <c r="N61" s="29"/>
    </row>
    <row r="62" spans="1:14" ht="15.75" customHeight="1" x14ac:dyDescent="0.25">
      <c r="A62" s="142" t="s">
        <v>88</v>
      </c>
      <c r="B62" s="142"/>
      <c r="C62" s="142"/>
      <c r="D62" s="141" t="str">
        <f ca="1">(IF(G68&gt;95%,"Nothing",IF(G68&gt;0%,"Cement, Aggregate, Steel, etc",IF(G68=0%,"Work not yet Started"))))</f>
        <v>Cement, Aggregate, Steel, etc</v>
      </c>
      <c r="E62" s="141"/>
      <c r="F62" s="141"/>
      <c r="G62" s="141"/>
      <c r="H62" s="141"/>
      <c r="J62" s="28"/>
    </row>
    <row r="63" spans="1:14" ht="33.75" customHeight="1" thickBot="1" x14ac:dyDescent="0.3">
      <c r="A63" s="140" t="s">
        <v>116</v>
      </c>
      <c r="B63" s="140"/>
      <c r="C63" s="140"/>
      <c r="D63" s="141" t="str">
        <f ca="1">(IF(D62="Nothing","Yes",IF(D62="Cement, Aggregate, Steel, etc","Under Construction",IF(D62="Work not yet Started","Work not yet Started"))))</f>
        <v>Under Construction</v>
      </c>
      <c r="E63" s="141"/>
      <c r="F63" s="141" t="str">
        <f ca="1">(IF(D62="Nothing","Yes",IF(D62="Cement, Aggregate, Steel, etc","Under Construction",IF(D62="Work not yet Started","Work not yet Started"))))</f>
        <v>Under Construction</v>
      </c>
      <c r="G63" s="141"/>
      <c r="H63" s="141"/>
    </row>
    <row r="64" spans="1:14" ht="15.75" customHeight="1" x14ac:dyDescent="0.25">
      <c r="A64" s="130" t="s">
        <v>139</v>
      </c>
      <c r="B64" s="130"/>
      <c r="C64" s="130" t="s">
        <v>229</v>
      </c>
      <c r="D64" s="130"/>
      <c r="E64" s="130"/>
      <c r="F64" s="130"/>
      <c r="G64" s="130"/>
      <c r="H64" s="130"/>
      <c r="I64" s="1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30"/>
    </row>
    <row r="65" spans="1:10" s="24" customFormat="1" x14ac:dyDescent="0.25">
      <c r="A65" s="57" t="s">
        <v>141</v>
      </c>
      <c r="B65" s="57">
        <v>0</v>
      </c>
      <c r="C65" s="57" t="s">
        <v>74</v>
      </c>
      <c r="D65" s="57">
        <v>1</v>
      </c>
      <c r="E65" s="57" t="s">
        <v>73</v>
      </c>
      <c r="F65" s="57">
        <v>0</v>
      </c>
      <c r="G65" s="57" t="s">
        <v>82</v>
      </c>
      <c r="H65" s="57">
        <f ca="1">--TRIM(RIGHT(SUBSTITUTE(LEFT(C64,_xlfn.AGGREGATE(16,6,FIND({0,1,2,3,4,5,6,7,8,9},C64,ROW(INDIRECT("1:"&amp;LEN(C64)))),1))," ",REPT(" ",LEN(C64))),LEN(C64)))</f>
        <v>22</v>
      </c>
      <c r="I65" s="45"/>
      <c r="J65" s="46"/>
    </row>
    <row r="66" spans="1:10" ht="34.5" customHeight="1" x14ac:dyDescent="0.25">
      <c r="A66" s="154" t="s">
        <v>92</v>
      </c>
      <c r="B66" s="154"/>
      <c r="C66" s="131" t="str">
        <f ca="1">(IF($G$51="NA",I64,"All work Completed. OC Received."))</f>
        <v>Plinth, RCC, Brick, Plaster, Flooring, Painting work Completed. Finishing work is in process.</v>
      </c>
      <c r="D66" s="131"/>
      <c r="E66" s="131"/>
      <c r="F66" s="131"/>
      <c r="G66" s="131"/>
      <c r="H66" s="131"/>
      <c r="I66" s="18" t="s">
        <v>102</v>
      </c>
      <c r="J66" s="31"/>
    </row>
    <row r="67" spans="1:10" ht="15.75" customHeight="1" x14ac:dyDescent="0.25">
      <c r="A67" s="85" t="s">
        <v>50</v>
      </c>
      <c r="B67" s="85"/>
      <c r="C67" s="56" t="s">
        <v>138</v>
      </c>
      <c r="D67" s="56" t="s">
        <v>85</v>
      </c>
      <c r="E67" s="85" t="s">
        <v>87</v>
      </c>
      <c r="F67" s="85"/>
      <c r="G67" s="85" t="s">
        <v>86</v>
      </c>
      <c r="H67" s="85"/>
      <c r="I67" s="16" t="s">
        <v>140</v>
      </c>
      <c r="J67" s="32">
        <f ca="1">H65*25%</f>
        <v>5.5</v>
      </c>
    </row>
    <row r="68" spans="1:10" x14ac:dyDescent="0.25">
      <c r="A68" s="85" t="s">
        <v>127</v>
      </c>
      <c r="B68" s="85"/>
      <c r="C68" s="56">
        <f ca="1">J69</f>
        <v>22</v>
      </c>
      <c r="D68" s="21">
        <f ca="1">((100/H65)*C68)/100</f>
        <v>1.0000000000000002</v>
      </c>
      <c r="E68" s="144">
        <f ca="1">(((C69/H65*10)+(40/(D65+F65+H65)*C70)+(7.5/(H65)*C71)+(7.5/(H65)*C72)+(10/H65*C73)+(10/H65*C74)+(5/H65*C75)+(5/H65*C76)+(5/H65*C77))/100)</f>
        <v>0.92045454545454541</v>
      </c>
      <c r="F68" s="144"/>
      <c r="G68" s="144">
        <f ca="1">((((C68/H65)*20)+((C69/H65)*25)+(30/(H65+F65+D65)*C70)+(5/H65*C71)+(5/H65*C72)+(5/H65*C73)+(5/H65*C74)+(0/H65*C75)+(0/H65*C76)+(5/H65*C77))/100)</f>
        <v>0.94772727272727264</v>
      </c>
      <c r="H68" s="144"/>
      <c r="I68" s="16" t="s">
        <v>97</v>
      </c>
      <c r="J68" s="33">
        <f ca="1">H65*50%</f>
        <v>11</v>
      </c>
    </row>
    <row r="69" spans="1:10" x14ac:dyDescent="0.25">
      <c r="A69" s="85" t="s">
        <v>51</v>
      </c>
      <c r="B69" s="85"/>
      <c r="C69" s="56">
        <f ca="1">J77</f>
        <v>22</v>
      </c>
      <c r="D69" s="21">
        <f ca="1">((100/H65)*C69)/100</f>
        <v>1.0000000000000002</v>
      </c>
      <c r="E69" s="144"/>
      <c r="F69" s="144"/>
      <c r="G69" s="144"/>
      <c r="H69" s="144"/>
      <c r="I69" s="16" t="s">
        <v>98</v>
      </c>
      <c r="J69" s="33">
        <f ca="1">H65</f>
        <v>22</v>
      </c>
    </row>
    <row r="70" spans="1:10" ht="15.75" customHeight="1" x14ac:dyDescent="0.25">
      <c r="A70" s="85" t="s">
        <v>128</v>
      </c>
      <c r="B70" s="85"/>
      <c r="C70" s="56">
        <v>23</v>
      </c>
      <c r="D70" s="21">
        <f ca="1">((100/(D65+F65+H65))*C70)/100</f>
        <v>1</v>
      </c>
      <c r="E70" s="144"/>
      <c r="F70" s="144"/>
      <c r="G70" s="144"/>
      <c r="H70" s="144"/>
      <c r="I70" s="16" t="s">
        <v>99</v>
      </c>
      <c r="J70" s="34">
        <f ca="1">(IF(B65&gt;1,(H65/(B65+2)),H65/4))</f>
        <v>5.5</v>
      </c>
    </row>
    <row r="71" spans="1:10" ht="15.75" customHeight="1" x14ac:dyDescent="0.25">
      <c r="A71" s="85" t="s">
        <v>135</v>
      </c>
      <c r="B71" s="85" t="s">
        <v>129</v>
      </c>
      <c r="C71" s="56">
        <v>22</v>
      </c>
      <c r="D71" s="21">
        <f ca="1">((100/H65)*C71)/100</f>
        <v>1.0000000000000002</v>
      </c>
      <c r="E71" s="144"/>
      <c r="F71" s="144"/>
      <c r="G71" s="144"/>
      <c r="H71" s="144"/>
      <c r="I71" s="16" t="s">
        <v>100</v>
      </c>
      <c r="J71" s="34">
        <f ca="1">(IF(B65&gt;1,(H65/(B65+2)+J70),H65/4+J70))</f>
        <v>11</v>
      </c>
    </row>
    <row r="72" spans="1:10" ht="15.75" customHeight="1" x14ac:dyDescent="0.25">
      <c r="A72" s="85" t="s">
        <v>136</v>
      </c>
      <c r="B72" s="85" t="s">
        <v>129</v>
      </c>
      <c r="C72" s="56">
        <v>22</v>
      </c>
      <c r="D72" s="21">
        <f ca="1">((100/H65)*C72)/100</f>
        <v>1.0000000000000002</v>
      </c>
      <c r="E72" s="144"/>
      <c r="F72" s="144"/>
      <c r="G72" s="144"/>
      <c r="H72" s="144"/>
      <c r="I72" s="16" t="s">
        <v>145</v>
      </c>
      <c r="J72" s="34">
        <f>(IF(B65&gt;1,(H65/(B65+2)+J71),0))</f>
        <v>0</v>
      </c>
    </row>
    <row r="73" spans="1:10" ht="15" customHeight="1" x14ac:dyDescent="0.25">
      <c r="A73" s="85" t="s">
        <v>134</v>
      </c>
      <c r="B73" s="85" t="s">
        <v>131</v>
      </c>
      <c r="C73" s="56">
        <v>22</v>
      </c>
      <c r="D73" s="21">
        <f ca="1">((100/(H65))*C73)/100</f>
        <v>1.0000000000000002</v>
      </c>
      <c r="E73" s="144"/>
      <c r="F73" s="144"/>
      <c r="G73" s="144"/>
      <c r="H73" s="144"/>
      <c r="I73" s="16" t="s">
        <v>142</v>
      </c>
      <c r="J73" s="34">
        <f>(IF(B65&gt;2,(H65/(B65+2)+J72),0))</f>
        <v>0</v>
      </c>
    </row>
    <row r="74" spans="1:10" ht="15.75" customHeight="1" x14ac:dyDescent="0.25">
      <c r="A74" s="85" t="s">
        <v>130</v>
      </c>
      <c r="B74" s="85" t="s">
        <v>130</v>
      </c>
      <c r="C74" s="56">
        <v>21</v>
      </c>
      <c r="D74" s="21">
        <f ca="1">((100/H65)*C74)/100</f>
        <v>0.9545454545454547</v>
      </c>
      <c r="E74" s="144"/>
      <c r="F74" s="144"/>
      <c r="G74" s="144"/>
      <c r="H74" s="144"/>
      <c r="I74" s="16" t="s">
        <v>143</v>
      </c>
      <c r="J74" s="35">
        <f>(IF(B65&gt;3,(H65/(B65+2)+J73),0))</f>
        <v>0</v>
      </c>
    </row>
    <row r="75" spans="1:10" ht="15.75" customHeight="1" x14ac:dyDescent="0.25">
      <c r="A75" s="85" t="s">
        <v>137</v>
      </c>
      <c r="B75" s="85"/>
      <c r="C75" s="56">
        <v>21</v>
      </c>
      <c r="D75" s="21">
        <f ca="1">((100/H65)*C75)/100</f>
        <v>0.9545454545454547</v>
      </c>
      <c r="E75" s="144"/>
      <c r="F75" s="144"/>
      <c r="G75" s="144"/>
      <c r="H75" s="144"/>
      <c r="I75" s="16" t="s">
        <v>144</v>
      </c>
      <c r="J75" s="34">
        <f>(IF(B65&gt;4,(H65/(B65+2)+J74),0))</f>
        <v>0</v>
      </c>
    </row>
    <row r="76" spans="1:10" ht="15.75" customHeight="1" x14ac:dyDescent="0.25">
      <c r="A76" s="85" t="s">
        <v>132</v>
      </c>
      <c r="B76" s="85" t="s">
        <v>132</v>
      </c>
      <c r="C76" s="56">
        <v>12</v>
      </c>
      <c r="D76" s="21">
        <f ca="1">((100/(H65))*C76)/100</f>
        <v>0.54545454545454541</v>
      </c>
      <c r="E76" s="144"/>
      <c r="F76" s="144"/>
      <c r="G76" s="144"/>
      <c r="H76" s="144"/>
      <c r="I76" s="16" t="s">
        <v>146</v>
      </c>
      <c r="J76" s="34">
        <f ca="1">(IF(B65=1,(H65/(B65+3)+J71),IF(B65=0,(H65/4+J71),IF(B65&gt;1,0))))</f>
        <v>16.5</v>
      </c>
    </row>
    <row r="77" spans="1:10" ht="16.5" thickBot="1" x14ac:dyDescent="0.3">
      <c r="A77" s="85" t="s">
        <v>133</v>
      </c>
      <c r="B77" s="85"/>
      <c r="C77" s="56">
        <v>0</v>
      </c>
      <c r="D77" s="21">
        <f ca="1">((100/(H65))*C77)/100</f>
        <v>0</v>
      </c>
      <c r="E77" s="144"/>
      <c r="F77" s="144"/>
      <c r="G77" s="144"/>
      <c r="H77" s="144"/>
      <c r="I77" s="19" t="s">
        <v>101</v>
      </c>
      <c r="J77" s="36">
        <f ca="1">(IF(B65&gt;1.5,(H65/(B65+2)+J71+MAX(0,J72-J71)+MAX(0,J73-J72)+MAX(0,J74-J73)+MAX(0,J75-J74)+MAX(0,J76-J75)),IF(B65=1,(H65/(B65+3)+J76),IF(B65=0,H65/4+J76))))</f>
        <v>22</v>
      </c>
    </row>
    <row r="78" spans="1:10" ht="15.75" customHeight="1" x14ac:dyDescent="0.25">
      <c r="A78" s="130" t="s">
        <v>139</v>
      </c>
      <c r="B78" s="130"/>
      <c r="C78" s="130" t="s">
        <v>230</v>
      </c>
      <c r="D78" s="130"/>
      <c r="E78" s="130"/>
      <c r="F78" s="130"/>
      <c r="G78" s="130"/>
      <c r="H78" s="130"/>
      <c r="I78" s="1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Slab Completed, Brickwork Completed, Internal Plaster Completed, External Plaster Completed, Flooring upto 19 Floor Completed, Painting upto 14 Floor Completed, Finishing upto 5 Floor Completed.</v>
      </c>
      <c r="J78" s="30"/>
    </row>
    <row r="79" spans="1:10" s="24" customFormat="1" x14ac:dyDescent="0.25">
      <c r="A79" s="61" t="s">
        <v>141</v>
      </c>
      <c r="B79" s="61">
        <v>0</v>
      </c>
      <c r="C79" s="61" t="s">
        <v>74</v>
      </c>
      <c r="D79" s="61">
        <v>1</v>
      </c>
      <c r="E79" s="61" t="s">
        <v>73</v>
      </c>
      <c r="F79" s="61">
        <v>0</v>
      </c>
      <c r="G79" s="61" t="s">
        <v>82</v>
      </c>
      <c r="H79" s="61">
        <f ca="1">--TRIM(RIGHT(SUBSTITUTE(LEFT(C78,_xlfn.AGGREGATE(16,6,FIND({0,1,2,3,4,5,6,7,8,9},C78,ROW(INDIRECT("1:"&amp;LEN(C78)))),1))," ",REPT(" ",LEN(C78))),LEN(C78)))</f>
        <v>22</v>
      </c>
      <c r="I79" s="45"/>
      <c r="J79" s="46"/>
    </row>
    <row r="80" spans="1:10" ht="64.5" customHeight="1" x14ac:dyDescent="0.25">
      <c r="A80" s="154" t="s">
        <v>92</v>
      </c>
      <c r="B80" s="154"/>
      <c r="C80" s="131" t="str">
        <f ca="1">(IF($G$51="NA",I78,"All work Completed. OC Received."))</f>
        <v>Excavation work Completed. Plinth work completed, RCC Slab Completed, Brickwork Completed, Internal Plaster Completed, External Plaster Completed, Flooring upto 19 Floor Completed, Painting upto 14 Floor Completed, Finishing upto 5 Floor Completed.</v>
      </c>
      <c r="D80" s="131"/>
      <c r="E80" s="131"/>
      <c r="F80" s="131"/>
      <c r="G80" s="131"/>
      <c r="H80" s="131"/>
      <c r="I80" s="18" t="s">
        <v>102</v>
      </c>
      <c r="J80" s="31"/>
    </row>
    <row r="81" spans="1:11" ht="15.75" customHeight="1" x14ac:dyDescent="0.25">
      <c r="A81" s="85" t="s">
        <v>50</v>
      </c>
      <c r="B81" s="85"/>
      <c r="C81" s="60" t="s">
        <v>138</v>
      </c>
      <c r="D81" s="60" t="s">
        <v>85</v>
      </c>
      <c r="E81" s="85" t="s">
        <v>87</v>
      </c>
      <c r="F81" s="85"/>
      <c r="G81" s="85" t="s">
        <v>86</v>
      </c>
      <c r="H81" s="85"/>
      <c r="I81" s="16" t="s">
        <v>140</v>
      </c>
      <c r="J81" s="32">
        <f ca="1">H79*25%</f>
        <v>5.5</v>
      </c>
    </row>
    <row r="82" spans="1:11" x14ac:dyDescent="0.25">
      <c r="A82" s="85" t="s">
        <v>127</v>
      </c>
      <c r="B82" s="85"/>
      <c r="C82" s="60">
        <f ca="1">J83</f>
        <v>22</v>
      </c>
      <c r="D82" s="21">
        <f ca="1">((100/H79)*C82)/100</f>
        <v>1.0000000000000002</v>
      </c>
      <c r="E82" s="144">
        <f ca="1">(((C83/H79*10)+(40/(D79+F79+H79)*C84)+(7.5/(H79)*C85)+(7.5/(H79)*C86)+(10/H79*C87)+(10/H79*C88)+(5/H79*C89)+(5/H79*C90)+(5/H79*C91))/100)</f>
        <v>0.87954545454545463</v>
      </c>
      <c r="F82" s="144"/>
      <c r="G82" s="144">
        <f ca="1">((((C82/H79)*20)+((C83/H79)*25)+(30/(H79+F79+D79)*C84)+(5/H79*C85)+(5/H79*C86)+(5/H79*C87)+(5/H79*C88)+(0/H79*C89)+(0/H79*C90)+(5/H79*C91))/100)</f>
        <v>0.94318181818181812</v>
      </c>
      <c r="H82" s="144"/>
      <c r="I82" s="16" t="s">
        <v>97</v>
      </c>
      <c r="J82" s="33">
        <f ca="1">H79*50%</f>
        <v>11</v>
      </c>
    </row>
    <row r="83" spans="1:11" x14ac:dyDescent="0.25">
      <c r="A83" s="85" t="s">
        <v>51</v>
      </c>
      <c r="B83" s="85"/>
      <c r="C83" s="60">
        <f ca="1">J91</f>
        <v>22</v>
      </c>
      <c r="D83" s="21">
        <f ca="1">((100/H79)*C83)/100</f>
        <v>1.0000000000000002</v>
      </c>
      <c r="E83" s="144"/>
      <c r="F83" s="144"/>
      <c r="G83" s="144"/>
      <c r="H83" s="144"/>
      <c r="I83" s="16" t="s">
        <v>98</v>
      </c>
      <c r="J83" s="33">
        <f ca="1">H79</f>
        <v>22</v>
      </c>
    </row>
    <row r="84" spans="1:11" ht="15.75" customHeight="1" x14ac:dyDescent="0.25">
      <c r="A84" s="85" t="s">
        <v>128</v>
      </c>
      <c r="B84" s="85"/>
      <c r="C84" s="60">
        <v>23</v>
      </c>
      <c r="D84" s="21">
        <f ca="1">((100/(D79+F79+H79))*C84)/100</f>
        <v>1</v>
      </c>
      <c r="E84" s="144"/>
      <c r="F84" s="144"/>
      <c r="G84" s="144"/>
      <c r="H84" s="144"/>
      <c r="I84" s="16" t="s">
        <v>99</v>
      </c>
      <c r="J84" s="34">
        <f ca="1">(IF(B79&gt;1,(H79/(B79+2)),H79/4))</f>
        <v>5.5</v>
      </c>
    </row>
    <row r="85" spans="1:11" ht="15.75" customHeight="1" x14ac:dyDescent="0.25">
      <c r="A85" s="85" t="s">
        <v>135</v>
      </c>
      <c r="B85" s="85" t="s">
        <v>129</v>
      </c>
      <c r="C85" s="60">
        <v>22</v>
      </c>
      <c r="D85" s="21">
        <f ca="1">((100/H79)*C85)/100</f>
        <v>1.0000000000000002</v>
      </c>
      <c r="E85" s="144"/>
      <c r="F85" s="144"/>
      <c r="G85" s="144"/>
      <c r="H85" s="144"/>
      <c r="I85" s="16" t="s">
        <v>100</v>
      </c>
      <c r="J85" s="34">
        <f ca="1">(IF(B79&gt;1,(H79/(B79+2)+J84),H79/4+J84))</f>
        <v>11</v>
      </c>
    </row>
    <row r="86" spans="1:11" ht="15.75" customHeight="1" x14ac:dyDescent="0.25">
      <c r="A86" s="85" t="s">
        <v>136</v>
      </c>
      <c r="B86" s="85" t="s">
        <v>129</v>
      </c>
      <c r="C86" s="60">
        <v>22</v>
      </c>
      <c r="D86" s="21">
        <f ca="1">((100/H79)*C86)/100</f>
        <v>1.0000000000000002</v>
      </c>
      <c r="E86" s="144"/>
      <c r="F86" s="144"/>
      <c r="G86" s="144"/>
      <c r="H86" s="144"/>
      <c r="I86" s="16" t="s">
        <v>145</v>
      </c>
      <c r="J86" s="34">
        <f>(IF(B79&gt;1,(H79/(B79+2)+J85),0))</f>
        <v>0</v>
      </c>
    </row>
    <row r="87" spans="1:11" ht="15" customHeight="1" x14ac:dyDescent="0.25">
      <c r="A87" s="85" t="s">
        <v>134</v>
      </c>
      <c r="B87" s="85" t="s">
        <v>131</v>
      </c>
      <c r="C87" s="60">
        <v>22</v>
      </c>
      <c r="D87" s="21">
        <f ca="1">((100/(H79))*C87)/100</f>
        <v>1.0000000000000002</v>
      </c>
      <c r="E87" s="144"/>
      <c r="F87" s="144"/>
      <c r="G87" s="144"/>
      <c r="H87" s="144"/>
      <c r="I87" s="16" t="s">
        <v>142</v>
      </c>
      <c r="J87" s="34">
        <f>(IF(B79&gt;2,(H79/(B79+2)+J86),0))</f>
        <v>0</v>
      </c>
    </row>
    <row r="88" spans="1:11" ht="15.75" customHeight="1" x14ac:dyDescent="0.25">
      <c r="A88" s="85" t="s">
        <v>130</v>
      </c>
      <c r="B88" s="85" t="s">
        <v>130</v>
      </c>
      <c r="C88" s="60">
        <v>19</v>
      </c>
      <c r="D88" s="21">
        <f ca="1">((100/H79)*C88)/100</f>
        <v>0.86363636363636376</v>
      </c>
      <c r="E88" s="144"/>
      <c r="F88" s="144"/>
      <c r="G88" s="144"/>
      <c r="H88" s="144"/>
      <c r="I88" s="16" t="s">
        <v>143</v>
      </c>
      <c r="J88" s="35">
        <f>(IF(B79&gt;3,(H79/(B79+2)+J87),0))</f>
        <v>0</v>
      </c>
    </row>
    <row r="89" spans="1:11" ht="15.75" customHeight="1" x14ac:dyDescent="0.25">
      <c r="A89" s="85" t="s">
        <v>137</v>
      </c>
      <c r="B89" s="85"/>
      <c r="C89" s="60">
        <v>14</v>
      </c>
      <c r="D89" s="21">
        <f ca="1">((100/H79)*C89)/100</f>
        <v>0.63636363636363635</v>
      </c>
      <c r="E89" s="144"/>
      <c r="F89" s="144"/>
      <c r="G89" s="144"/>
      <c r="H89" s="144"/>
      <c r="I89" s="16" t="s">
        <v>144</v>
      </c>
      <c r="J89" s="34">
        <f>(IF(B79&gt;4,(H79/(B79+2)+J88),0))</f>
        <v>0</v>
      </c>
    </row>
    <row r="90" spans="1:11" ht="15.75" customHeight="1" x14ac:dyDescent="0.25">
      <c r="A90" s="85" t="s">
        <v>132</v>
      </c>
      <c r="B90" s="85" t="s">
        <v>132</v>
      </c>
      <c r="C90" s="60">
        <v>5</v>
      </c>
      <c r="D90" s="21">
        <f ca="1">((100/(H79))*C90)/100</f>
        <v>0.22727272727272729</v>
      </c>
      <c r="E90" s="144"/>
      <c r="F90" s="144"/>
      <c r="G90" s="144"/>
      <c r="H90" s="144"/>
      <c r="I90" s="16" t="s">
        <v>146</v>
      </c>
      <c r="J90" s="34">
        <f ca="1">(IF(B79=1,(H79/(B79+3)+J85),IF(B79=0,(H79/4+J85),IF(B79&gt;1,0))))</f>
        <v>16.5</v>
      </c>
    </row>
    <row r="91" spans="1:11" ht="16.5" thickBot="1" x14ac:dyDescent="0.3">
      <c r="A91" s="85" t="s">
        <v>133</v>
      </c>
      <c r="B91" s="85"/>
      <c r="C91" s="60">
        <v>0</v>
      </c>
      <c r="D91" s="21">
        <f ca="1">((100/(H79))*C91)/100</f>
        <v>0</v>
      </c>
      <c r="E91" s="144"/>
      <c r="F91" s="144"/>
      <c r="G91" s="144"/>
      <c r="H91" s="144"/>
      <c r="I91" s="19" t="s">
        <v>101</v>
      </c>
      <c r="J91" s="36">
        <f ca="1">(IF(B79&gt;1.5,(H79/(B79+2)+J85+MAX(0,J86-J85)+MAX(0,J87-J86)+MAX(0,J88-J87)+MAX(0,J89-J88)+MAX(0,J90-J89)),IF(B79=1,(H79/(B79+3)+J90),IF(B79=0,H79/4+J90))))</f>
        <v>22</v>
      </c>
    </row>
    <row r="92" spans="1:11" x14ac:dyDescent="0.25">
      <c r="A92" s="136" t="s">
        <v>156</v>
      </c>
      <c r="B92" s="136"/>
      <c r="C92" s="136"/>
      <c r="D92" s="136"/>
      <c r="E92" s="136"/>
      <c r="F92" s="127" t="s">
        <v>158</v>
      </c>
      <c r="G92" s="127"/>
      <c r="H92" s="127"/>
    </row>
    <row r="93" spans="1:11" x14ac:dyDescent="0.25">
      <c r="A93" s="84" t="s">
        <v>157</v>
      </c>
      <c r="B93" s="84"/>
      <c r="C93" s="84"/>
      <c r="D93" s="84"/>
      <c r="E93" s="84"/>
      <c r="F93" s="110">
        <v>12300</v>
      </c>
      <c r="G93" s="110"/>
      <c r="H93" s="110"/>
      <c r="I93" s="23"/>
    </row>
    <row r="94" spans="1:11" hidden="1" x14ac:dyDescent="0.25">
      <c r="A94" s="179" t="s">
        <v>213</v>
      </c>
      <c r="B94" s="179"/>
      <c r="C94" s="179"/>
      <c r="D94" s="179"/>
      <c r="E94" s="179"/>
      <c r="F94" s="110">
        <v>22000</v>
      </c>
      <c r="G94" s="110"/>
      <c r="H94" s="110"/>
    </row>
    <row r="95" spans="1:11" hidden="1" x14ac:dyDescent="0.25">
      <c r="A95" s="179" t="s">
        <v>214</v>
      </c>
      <c r="B95" s="179"/>
      <c r="C95" s="179"/>
      <c r="D95" s="179"/>
      <c r="E95" s="179"/>
      <c r="F95" s="110">
        <v>20000</v>
      </c>
      <c r="G95" s="110"/>
      <c r="H95" s="110"/>
    </row>
    <row r="96" spans="1:11" x14ac:dyDescent="0.25">
      <c r="A96" s="84" t="s">
        <v>52</v>
      </c>
      <c r="B96" s="84"/>
      <c r="C96" s="84"/>
      <c r="D96" s="84"/>
      <c r="E96" s="84"/>
      <c r="F96" s="110">
        <v>600000</v>
      </c>
      <c r="G96" s="110"/>
      <c r="H96" s="110"/>
      <c r="I96" s="58" t="s">
        <v>215</v>
      </c>
      <c r="J96" s="58"/>
      <c r="K96" s="58"/>
    </row>
    <row r="97" spans="1:8" s="37" customFormat="1" x14ac:dyDescent="0.25">
      <c r="A97" s="136" t="s">
        <v>53</v>
      </c>
      <c r="B97" s="136"/>
      <c r="C97" s="136"/>
      <c r="D97" s="136"/>
      <c r="E97" s="136"/>
      <c r="F97" s="110">
        <f>F93*0.8</f>
        <v>9840</v>
      </c>
      <c r="G97" s="110"/>
      <c r="H97" s="110"/>
    </row>
    <row r="98" spans="1:8" s="38" customFormat="1" ht="15.75" customHeight="1" x14ac:dyDescent="0.25">
      <c r="A98" s="135" t="s">
        <v>77</v>
      </c>
      <c r="B98" s="135"/>
      <c r="C98" s="135"/>
      <c r="D98" s="135"/>
      <c r="E98" s="135"/>
      <c r="F98" s="135"/>
      <c r="G98" s="135"/>
      <c r="H98" s="135"/>
    </row>
    <row r="99" spans="1:8" s="38" customFormat="1" ht="15.75" customHeight="1" x14ac:dyDescent="0.25">
      <c r="A99" s="103" t="s">
        <v>54</v>
      </c>
      <c r="B99" s="103"/>
      <c r="C99" s="126" t="s">
        <v>80</v>
      </c>
      <c r="D99" s="126"/>
      <c r="E99" s="124" t="s">
        <v>55</v>
      </c>
      <c r="F99" s="124"/>
      <c r="G99" s="103" t="s">
        <v>56</v>
      </c>
      <c r="H99" s="103"/>
    </row>
    <row r="100" spans="1:8" s="38" customFormat="1" x14ac:dyDescent="0.25">
      <c r="A100" s="138" t="s">
        <v>199</v>
      </c>
      <c r="B100" s="138"/>
      <c r="C100" s="128">
        <f>COUNT(D117:D122)+COUNT(D124)</f>
        <v>7</v>
      </c>
      <c r="D100" s="129"/>
      <c r="E100" s="111">
        <f>SUM(D117:D122)+SUM(D124)</f>
        <v>1611.0478800000001</v>
      </c>
      <c r="F100" s="112"/>
      <c r="G100" s="111">
        <f>SUM(F117:F122)+SUM(F124)</f>
        <v>2577.6766079999998</v>
      </c>
      <c r="H100" s="112"/>
    </row>
    <row r="101" spans="1:8" s="38" customFormat="1" x14ac:dyDescent="0.25">
      <c r="A101" s="138" t="s">
        <v>200</v>
      </c>
      <c r="B101" s="138"/>
      <c r="C101" s="128">
        <f>COUNT(D127:D133)+COUNT(D135)</f>
        <v>8</v>
      </c>
      <c r="D101" s="129"/>
      <c r="E101" s="111">
        <f t="shared" ref="E101" si="0">SUM(D127:D133)+SUM(D135)</f>
        <v>1808.9978399999998</v>
      </c>
      <c r="F101" s="112"/>
      <c r="G101" s="111">
        <f>SUM(F127:F133)+SUM(F135)</f>
        <v>2894.3965439999997</v>
      </c>
      <c r="H101" s="112"/>
    </row>
    <row r="102" spans="1:8" s="38" customFormat="1" x14ac:dyDescent="0.25">
      <c r="A102" s="135" t="s">
        <v>149</v>
      </c>
      <c r="B102" s="135"/>
      <c r="C102" s="171">
        <f t="shared" ref="C102" si="1">SUM(C100:D101)</f>
        <v>15</v>
      </c>
      <c r="D102" s="126"/>
      <c r="E102" s="172">
        <f>SUM(E100:F101)</f>
        <v>3420.0457200000001</v>
      </c>
      <c r="F102" s="124"/>
      <c r="G102" s="103">
        <f>SUM(G100:H101)</f>
        <v>5472.073151999999</v>
      </c>
      <c r="H102" s="103"/>
    </row>
    <row r="103" spans="1:8" s="38" customFormat="1" x14ac:dyDescent="0.25">
      <c r="A103" s="135" t="s">
        <v>72</v>
      </c>
      <c r="B103" s="135"/>
      <c r="C103" s="135"/>
      <c r="D103" s="135"/>
      <c r="E103" s="135"/>
      <c r="F103" s="135"/>
      <c r="G103" s="135"/>
      <c r="H103" s="135"/>
    </row>
    <row r="104" spans="1:8" s="38" customFormat="1" ht="15.75" customHeight="1" x14ac:dyDescent="0.25">
      <c r="A104" s="103" t="s">
        <v>54</v>
      </c>
      <c r="B104" s="103"/>
      <c r="C104" s="126" t="s">
        <v>80</v>
      </c>
      <c r="D104" s="126"/>
      <c r="E104" s="124" t="s">
        <v>55</v>
      </c>
      <c r="F104" s="124"/>
      <c r="G104" s="103" t="s">
        <v>56</v>
      </c>
      <c r="H104" s="103"/>
    </row>
    <row r="105" spans="1:8" s="38" customFormat="1" x14ac:dyDescent="0.25">
      <c r="A105" s="138" t="s">
        <v>209</v>
      </c>
      <c r="B105" s="138"/>
      <c r="C105" s="129">
        <f>COUNT(D143:D145)+COUNT(D147:D150)*16+COUNT(D153:D155)+COUNT(D158:D160)</f>
        <v>73</v>
      </c>
      <c r="D105" s="129"/>
      <c r="E105" s="111">
        <f>SUM(D143:D145)+SUM(D147:D150)*16+SUM(D153:D155)+SUM(D158:D160)</f>
        <v>27855.617400000003</v>
      </c>
      <c r="F105" s="111"/>
      <c r="G105" s="111">
        <f>SUM(F143:F145)+SUM(F147:F150)*16+SUM(F153:F155)+SUM(F158:F160)</f>
        <v>43176.206970000007</v>
      </c>
      <c r="H105" s="111"/>
    </row>
    <row r="106" spans="1:8" s="38" customFormat="1" x14ac:dyDescent="0.25">
      <c r="A106" s="138" t="s">
        <v>210</v>
      </c>
      <c r="B106" s="138"/>
      <c r="C106" s="128">
        <f>COUNT(D162:D165)</f>
        <v>4</v>
      </c>
      <c r="D106" s="129"/>
      <c r="E106" s="111">
        <f>SUM(D162:D165)</f>
        <v>1575.8496</v>
      </c>
      <c r="F106" s="112"/>
      <c r="G106" s="111">
        <f>SUM(F162:F165)</f>
        <v>2442.5668800000003</v>
      </c>
      <c r="H106" s="112"/>
    </row>
    <row r="107" spans="1:8" s="38" customFormat="1" x14ac:dyDescent="0.25">
      <c r="A107" s="138" t="s">
        <v>211</v>
      </c>
      <c r="B107" s="138"/>
      <c r="C107" s="128">
        <f>COUNT(D170)</f>
        <v>1</v>
      </c>
      <c r="D107" s="129"/>
      <c r="E107" s="111">
        <f>SUM(D170)</f>
        <v>300.10031999999995</v>
      </c>
      <c r="F107" s="112"/>
      <c r="G107" s="111">
        <f>SUM(F170)</f>
        <v>465.15549599999991</v>
      </c>
      <c r="H107" s="112"/>
    </row>
    <row r="108" spans="1:8" s="38" customFormat="1" x14ac:dyDescent="0.25">
      <c r="A108" s="138" t="s">
        <v>212</v>
      </c>
      <c r="B108" s="138"/>
      <c r="C108" s="129">
        <f>COUNT(D172:D173)+COUNT(D180)+COUNT(D184:D187)+COUNT(D189:D194)*16+COUNT(D196:D199)+COUNT(D203:D206)+COUNT(D210:D215)</f>
        <v>117</v>
      </c>
      <c r="D108" s="129"/>
      <c r="E108" s="111">
        <f>SUM(D172:D173)+SUM(D180)+SUM(D184:D187)+SUM(D189:D194)*16+SUM(D196:D199)+SUM(D203:D206)+SUM(D210:D215)</f>
        <v>37460.872799999997</v>
      </c>
      <c r="F108" s="111"/>
      <c r="G108" s="111">
        <f>SUM(F172:F173)+SUM(F180)+SUM(F184:F187)+SUM(F189:F194)*16+SUM(F196:F199)+SUM(F203:F206)+SUM(F210:F215)</f>
        <v>58064.352840000007</v>
      </c>
      <c r="H108" s="111"/>
    </row>
    <row r="109" spans="1:8" s="38" customFormat="1" ht="16.5" thickBot="1" x14ac:dyDescent="0.3">
      <c r="A109" s="167" t="s">
        <v>149</v>
      </c>
      <c r="B109" s="167"/>
      <c r="C109" s="170">
        <f>SUM(C105:D108)</f>
        <v>195</v>
      </c>
      <c r="D109" s="170"/>
      <c r="E109" s="168">
        <f>SUM(E105:F108)</f>
        <v>67192.440119999999</v>
      </c>
      <c r="F109" s="169"/>
      <c r="G109" s="180">
        <f>SUM(G105:H108)</f>
        <v>104148.28218600001</v>
      </c>
      <c r="H109" s="180"/>
    </row>
    <row r="110" spans="1:8" s="38" customFormat="1" ht="16.5" thickBot="1" x14ac:dyDescent="0.3">
      <c r="A110" s="173" t="s">
        <v>228</v>
      </c>
      <c r="B110" s="174"/>
      <c r="C110" s="72">
        <f>C102+C109</f>
        <v>210</v>
      </c>
      <c r="D110" s="175"/>
      <c r="E110" s="72">
        <f>E102+E109</f>
        <v>70612.485839999994</v>
      </c>
      <c r="F110" s="175"/>
      <c r="G110" s="72">
        <f>G102+G109</f>
        <v>109620.35533800001</v>
      </c>
      <c r="H110" s="73"/>
    </row>
    <row r="111" spans="1:8" s="37" customFormat="1" x14ac:dyDescent="0.25">
      <c r="A111" s="125" t="s">
        <v>57</v>
      </c>
      <c r="B111" s="125"/>
      <c r="C111" s="125"/>
      <c r="D111" s="125"/>
      <c r="E111" s="125"/>
      <c r="F111" s="125"/>
      <c r="G111" s="125"/>
      <c r="H111" s="125"/>
    </row>
    <row r="112" spans="1:8" x14ac:dyDescent="0.25">
      <c r="A112" s="127" t="s">
        <v>58</v>
      </c>
      <c r="B112" s="127"/>
      <c r="C112" s="127"/>
      <c r="D112" s="127"/>
      <c r="E112" s="127"/>
      <c r="F112" s="127"/>
      <c r="G112" s="127"/>
      <c r="H112" s="127"/>
    </row>
    <row r="113" spans="1:14" ht="47.25" customHeight="1" x14ac:dyDescent="0.25">
      <c r="A113" s="104" t="s">
        <v>117</v>
      </c>
      <c r="B113" s="104" t="s">
        <v>179</v>
      </c>
      <c r="C113" s="104" t="s">
        <v>59</v>
      </c>
      <c r="D113" s="104" t="s">
        <v>60</v>
      </c>
      <c r="E113" s="106" t="s">
        <v>155</v>
      </c>
      <c r="F113" s="50" t="s">
        <v>148</v>
      </c>
      <c r="G113" s="81" t="s">
        <v>62</v>
      </c>
      <c r="H113" s="108"/>
    </row>
    <row r="114" spans="1:14" s="52" customFormat="1" x14ac:dyDescent="0.25">
      <c r="A114" s="105"/>
      <c r="B114" s="105"/>
      <c r="C114" s="105"/>
      <c r="D114" s="105"/>
      <c r="E114" s="107"/>
      <c r="F114" s="15">
        <v>0.6</v>
      </c>
      <c r="G114" s="82"/>
      <c r="H114" s="109"/>
    </row>
    <row r="115" spans="1:14" s="52" customFormat="1" ht="16.5" x14ac:dyDescent="0.25">
      <c r="A115" s="66" t="s">
        <v>176</v>
      </c>
      <c r="B115" s="67"/>
      <c r="C115" s="67"/>
      <c r="D115" s="67"/>
      <c r="E115" s="67"/>
      <c r="F115" s="67"/>
      <c r="G115" s="67"/>
      <c r="H115" s="68"/>
      <c r="J115" s="39"/>
    </row>
    <row r="116" spans="1:14" s="52" customFormat="1" x14ac:dyDescent="0.25">
      <c r="A116" s="69" t="s">
        <v>177</v>
      </c>
      <c r="B116" s="70"/>
      <c r="C116" s="70"/>
      <c r="D116" s="70"/>
      <c r="E116" s="70"/>
      <c r="F116" s="70"/>
      <c r="G116" s="70"/>
      <c r="H116" s="71"/>
      <c r="J116" s="39"/>
    </row>
    <row r="117" spans="1:14" s="52" customFormat="1" x14ac:dyDescent="0.25">
      <c r="A117" s="49">
        <v>1</v>
      </c>
      <c r="B117" s="49" t="s">
        <v>180</v>
      </c>
      <c r="C117" s="49" t="s">
        <v>178</v>
      </c>
      <c r="D117" s="49">
        <f>19.52*10.764</f>
        <v>210.11327999999997</v>
      </c>
      <c r="E117" s="49">
        <v>0</v>
      </c>
      <c r="F117" s="49">
        <f>(D117+E117)*(($F$114)+1)</f>
        <v>336.18124799999998</v>
      </c>
      <c r="G117" s="63" t="str">
        <f>A116</f>
        <v>Ground Floor For Parking &amp; Commercial</v>
      </c>
      <c r="H117" s="64"/>
      <c r="I117" s="39"/>
      <c r="L117" s="80"/>
      <c r="M117" s="80"/>
      <c r="N117" s="39"/>
    </row>
    <row r="118" spans="1:14" s="52" customFormat="1" x14ac:dyDescent="0.25">
      <c r="A118" s="49">
        <f t="shared" ref="A118:A122" si="2">A117+1</f>
        <v>2</v>
      </c>
      <c r="B118" s="49" t="s">
        <v>180</v>
      </c>
      <c r="C118" s="49" t="s">
        <v>178</v>
      </c>
      <c r="D118" s="49">
        <f>20.44*10.764</f>
        <v>220.01616000000001</v>
      </c>
      <c r="E118" s="49">
        <v>0</v>
      </c>
      <c r="F118" s="49">
        <f t="shared" ref="F118:F120" si="3">(D118+E118)*(($F$114)+1)</f>
        <v>352.02585600000003</v>
      </c>
      <c r="G118" s="63" t="str">
        <f t="shared" ref="G118:G122" si="4">G117</f>
        <v>Ground Floor For Parking &amp; Commercial</v>
      </c>
      <c r="H118" s="64"/>
      <c r="I118" s="39"/>
      <c r="L118" s="80"/>
      <c r="M118" s="80"/>
      <c r="N118" s="39"/>
    </row>
    <row r="119" spans="1:14" s="52" customFormat="1" x14ac:dyDescent="0.25">
      <c r="A119" s="49">
        <f t="shared" si="2"/>
        <v>3</v>
      </c>
      <c r="B119" s="49" t="s">
        <v>180</v>
      </c>
      <c r="C119" s="49" t="s">
        <v>178</v>
      </c>
      <c r="D119" s="49">
        <f>22.33*10.764</f>
        <v>240.36011999999997</v>
      </c>
      <c r="E119" s="49">
        <v>0</v>
      </c>
      <c r="F119" s="49">
        <f t="shared" si="3"/>
        <v>384.57619199999999</v>
      </c>
      <c r="G119" s="63" t="str">
        <f t="shared" si="4"/>
        <v>Ground Floor For Parking &amp; Commercial</v>
      </c>
      <c r="H119" s="64"/>
      <c r="I119" s="39"/>
      <c r="L119" s="80"/>
      <c r="M119" s="80"/>
      <c r="N119" s="39"/>
    </row>
    <row r="120" spans="1:14" s="52" customFormat="1" x14ac:dyDescent="0.25">
      <c r="A120" s="49">
        <f t="shared" si="2"/>
        <v>4</v>
      </c>
      <c r="B120" s="49" t="s">
        <v>180</v>
      </c>
      <c r="C120" s="49" t="s">
        <v>178</v>
      </c>
      <c r="D120" s="49">
        <f>21.06*10.764</f>
        <v>226.68983999999998</v>
      </c>
      <c r="E120" s="49">
        <v>0</v>
      </c>
      <c r="F120" s="49">
        <f t="shared" si="3"/>
        <v>362.70374399999997</v>
      </c>
      <c r="G120" s="63" t="str">
        <f t="shared" si="4"/>
        <v>Ground Floor For Parking &amp; Commercial</v>
      </c>
      <c r="H120" s="64"/>
      <c r="I120" s="39"/>
      <c r="L120" s="80"/>
      <c r="M120" s="80"/>
      <c r="N120" s="39"/>
    </row>
    <row r="121" spans="1:14" s="52" customFormat="1" x14ac:dyDescent="0.25">
      <c r="A121" s="49">
        <f t="shared" si="2"/>
        <v>5</v>
      </c>
      <c r="B121" s="49" t="s">
        <v>180</v>
      </c>
      <c r="C121" s="49" t="s">
        <v>178</v>
      </c>
      <c r="D121" s="49">
        <f>26.63*10.764</f>
        <v>286.64531999999997</v>
      </c>
      <c r="E121" s="49">
        <v>0</v>
      </c>
      <c r="F121" s="49">
        <f t="shared" ref="F121:F122" si="5">(D121+E121)*(($F$114)+1)</f>
        <v>458.63251199999996</v>
      </c>
      <c r="G121" s="63" t="str">
        <f t="shared" si="4"/>
        <v>Ground Floor For Parking &amp; Commercial</v>
      </c>
      <c r="H121" s="64"/>
      <c r="I121" s="39"/>
      <c r="L121" s="80"/>
      <c r="M121" s="80"/>
      <c r="N121" s="39"/>
    </row>
    <row r="122" spans="1:14" s="52" customFormat="1" x14ac:dyDescent="0.25">
      <c r="A122" s="49">
        <f t="shared" si="2"/>
        <v>6</v>
      </c>
      <c r="B122" s="49" t="s">
        <v>180</v>
      </c>
      <c r="C122" s="49" t="s">
        <v>178</v>
      </c>
      <c r="D122" s="49">
        <f>18.58*10.764</f>
        <v>199.99511999999996</v>
      </c>
      <c r="E122" s="49">
        <v>0</v>
      </c>
      <c r="F122" s="49">
        <f t="shared" si="5"/>
        <v>319.99219199999993</v>
      </c>
      <c r="G122" s="63" t="str">
        <f t="shared" si="4"/>
        <v>Ground Floor For Parking &amp; Commercial</v>
      </c>
      <c r="H122" s="64"/>
      <c r="I122" s="39"/>
      <c r="L122" s="80"/>
      <c r="M122" s="80"/>
      <c r="N122" s="39"/>
    </row>
    <row r="123" spans="1:14" s="52" customFormat="1" x14ac:dyDescent="0.25">
      <c r="A123" s="69" t="s">
        <v>182</v>
      </c>
      <c r="B123" s="70"/>
      <c r="C123" s="70"/>
      <c r="D123" s="70"/>
      <c r="E123" s="70"/>
      <c r="F123" s="70"/>
      <c r="G123" s="70"/>
      <c r="H123" s="71"/>
      <c r="J123" s="39"/>
    </row>
    <row r="124" spans="1:14" s="52" customFormat="1" x14ac:dyDescent="0.25">
      <c r="A124" s="49">
        <v>2</v>
      </c>
      <c r="B124" s="49" t="s">
        <v>180</v>
      </c>
      <c r="C124" s="49" t="s">
        <v>178</v>
      </c>
      <c r="D124" s="49">
        <f>21.11*10.764</f>
        <v>227.22803999999999</v>
      </c>
      <c r="E124" s="49">
        <v>0</v>
      </c>
      <c r="F124" s="49">
        <f>(D124+E124)*(($F$114)+1)</f>
        <v>363.564864</v>
      </c>
      <c r="G124" s="63" t="str">
        <f>A123</f>
        <v>1st Floor For Parking, Amenities &amp; Commercial</v>
      </c>
      <c r="H124" s="64"/>
      <c r="I124" s="39"/>
      <c r="L124" s="80"/>
      <c r="M124" s="80"/>
      <c r="N124" s="39"/>
    </row>
    <row r="125" spans="1:14" s="52" customFormat="1" ht="16.5" x14ac:dyDescent="0.25">
      <c r="A125" s="66" t="s">
        <v>181</v>
      </c>
      <c r="B125" s="67"/>
      <c r="C125" s="67"/>
      <c r="D125" s="67"/>
      <c r="E125" s="67"/>
      <c r="F125" s="67"/>
      <c r="G125" s="67"/>
      <c r="H125" s="68"/>
      <c r="J125" s="39"/>
    </row>
    <row r="126" spans="1:14" s="52" customFormat="1" x14ac:dyDescent="0.25">
      <c r="A126" s="69" t="s">
        <v>177</v>
      </c>
      <c r="B126" s="70"/>
      <c r="C126" s="70"/>
      <c r="D126" s="70"/>
      <c r="E126" s="70"/>
      <c r="F126" s="70"/>
      <c r="G126" s="70"/>
      <c r="H126" s="71"/>
      <c r="J126" s="39"/>
    </row>
    <row r="127" spans="1:14" s="52" customFormat="1" x14ac:dyDescent="0.25">
      <c r="A127" s="49">
        <v>7</v>
      </c>
      <c r="B127" s="49" t="s">
        <v>180</v>
      </c>
      <c r="C127" s="49" t="s">
        <v>178</v>
      </c>
      <c r="D127" s="49">
        <f>18.77*10.764</f>
        <v>202.04028</v>
      </c>
      <c r="E127" s="49">
        <v>0</v>
      </c>
      <c r="F127" s="49">
        <f>(D127+E127)*(($F$114)+1)</f>
        <v>323.26444800000002</v>
      </c>
      <c r="G127" s="63" t="str">
        <f>A126</f>
        <v>Ground Floor For Parking &amp; Commercial</v>
      </c>
      <c r="H127" s="64"/>
      <c r="I127" s="39"/>
      <c r="L127" s="80"/>
      <c r="M127" s="80"/>
      <c r="N127" s="39"/>
    </row>
    <row r="128" spans="1:14" s="52" customFormat="1" x14ac:dyDescent="0.25">
      <c r="A128" s="49">
        <f t="shared" ref="A128:A133" si="6">A127+1</f>
        <v>8</v>
      </c>
      <c r="B128" s="49" t="s">
        <v>180</v>
      </c>
      <c r="C128" s="49" t="s">
        <v>178</v>
      </c>
      <c r="D128" s="49">
        <f>12.75*10.764</f>
        <v>137.24099999999999</v>
      </c>
      <c r="E128" s="49">
        <v>0</v>
      </c>
      <c r="F128" s="49">
        <f t="shared" ref="F128:F132" si="7">(D128+E128)*(($F$114)+1)</f>
        <v>219.5856</v>
      </c>
      <c r="G128" s="63" t="str">
        <f t="shared" ref="G128:G133" si="8">G127</f>
        <v>Ground Floor For Parking &amp; Commercial</v>
      </c>
      <c r="H128" s="64"/>
      <c r="I128" s="39"/>
      <c r="L128" s="80"/>
      <c r="M128" s="80"/>
      <c r="N128" s="39"/>
    </row>
    <row r="129" spans="1:14" s="52" customFormat="1" x14ac:dyDescent="0.25">
      <c r="A129" s="49">
        <f t="shared" si="6"/>
        <v>9</v>
      </c>
      <c r="B129" s="49" t="s">
        <v>180</v>
      </c>
      <c r="C129" s="49" t="s">
        <v>178</v>
      </c>
      <c r="D129" s="49">
        <f>26.74*10.764</f>
        <v>287.82935999999995</v>
      </c>
      <c r="E129" s="49">
        <v>0</v>
      </c>
      <c r="F129" s="49">
        <f t="shared" si="7"/>
        <v>460.52697599999993</v>
      </c>
      <c r="G129" s="63" t="str">
        <f t="shared" si="8"/>
        <v>Ground Floor For Parking &amp; Commercial</v>
      </c>
      <c r="H129" s="64"/>
      <c r="I129" s="39"/>
      <c r="L129" s="80"/>
      <c r="M129" s="80"/>
      <c r="N129" s="39"/>
    </row>
    <row r="130" spans="1:14" s="52" customFormat="1" x14ac:dyDescent="0.25">
      <c r="A130" s="49">
        <f t="shared" si="6"/>
        <v>10</v>
      </c>
      <c r="B130" s="49" t="s">
        <v>180</v>
      </c>
      <c r="C130" s="49" t="s">
        <v>178</v>
      </c>
      <c r="D130" s="49">
        <f>19.94*10.764</f>
        <v>214.63416000000001</v>
      </c>
      <c r="E130" s="49">
        <v>0</v>
      </c>
      <c r="F130" s="49">
        <f t="shared" si="7"/>
        <v>343.41465600000004</v>
      </c>
      <c r="G130" s="63" t="str">
        <f t="shared" si="8"/>
        <v>Ground Floor For Parking &amp; Commercial</v>
      </c>
      <c r="H130" s="64"/>
      <c r="I130" s="39"/>
      <c r="L130" s="80"/>
      <c r="M130" s="80"/>
      <c r="N130" s="39"/>
    </row>
    <row r="131" spans="1:14" s="52" customFormat="1" x14ac:dyDescent="0.25">
      <c r="A131" s="49">
        <f t="shared" si="6"/>
        <v>11</v>
      </c>
      <c r="B131" s="49" t="s">
        <v>180</v>
      </c>
      <c r="C131" s="49" t="s">
        <v>178</v>
      </c>
      <c r="D131" s="49">
        <f>21.07*10.764</f>
        <v>226.79747999999998</v>
      </c>
      <c r="E131" s="49">
        <v>0</v>
      </c>
      <c r="F131" s="49">
        <f t="shared" si="7"/>
        <v>362.875968</v>
      </c>
      <c r="G131" s="63" t="str">
        <f t="shared" si="8"/>
        <v>Ground Floor For Parking &amp; Commercial</v>
      </c>
      <c r="H131" s="64"/>
      <c r="I131" s="39"/>
      <c r="L131" s="80"/>
      <c r="M131" s="80"/>
      <c r="N131" s="39"/>
    </row>
    <row r="132" spans="1:14" s="52" customFormat="1" x14ac:dyDescent="0.25">
      <c r="A132" s="49">
        <f t="shared" si="6"/>
        <v>12</v>
      </c>
      <c r="B132" s="49" t="s">
        <v>180</v>
      </c>
      <c r="C132" s="49" t="s">
        <v>178</v>
      </c>
      <c r="D132" s="49">
        <f>24.02*10.764</f>
        <v>258.55127999999996</v>
      </c>
      <c r="E132" s="49">
        <v>0</v>
      </c>
      <c r="F132" s="49">
        <f t="shared" si="7"/>
        <v>413.68204799999995</v>
      </c>
      <c r="G132" s="63" t="str">
        <f t="shared" si="8"/>
        <v>Ground Floor For Parking &amp; Commercial</v>
      </c>
      <c r="H132" s="64"/>
      <c r="I132" s="39"/>
      <c r="L132" s="80"/>
      <c r="M132" s="80"/>
      <c r="N132" s="39"/>
    </row>
    <row r="133" spans="1:14" s="52" customFormat="1" x14ac:dyDescent="0.25">
      <c r="A133" s="49">
        <f t="shared" si="6"/>
        <v>13</v>
      </c>
      <c r="B133" s="49" t="s">
        <v>180</v>
      </c>
      <c r="C133" s="49" t="s">
        <v>178</v>
      </c>
      <c r="D133" s="49">
        <f>20.75*10.764</f>
        <v>223.35299999999998</v>
      </c>
      <c r="E133" s="49">
        <v>0</v>
      </c>
      <c r="F133" s="49">
        <f t="shared" ref="F133" si="9">(D133+E133)*(($F$114)+1)</f>
        <v>357.3648</v>
      </c>
      <c r="G133" s="63" t="str">
        <f t="shared" si="8"/>
        <v>Ground Floor For Parking &amp; Commercial</v>
      </c>
      <c r="H133" s="64"/>
      <c r="I133" s="39"/>
      <c r="L133" s="80"/>
      <c r="M133" s="80"/>
      <c r="N133" s="39"/>
    </row>
    <row r="134" spans="1:14" s="52" customFormat="1" x14ac:dyDescent="0.25">
      <c r="A134" s="69" t="s">
        <v>182</v>
      </c>
      <c r="B134" s="70"/>
      <c r="C134" s="70"/>
      <c r="D134" s="70"/>
      <c r="E134" s="70"/>
      <c r="F134" s="70"/>
      <c r="G134" s="70"/>
      <c r="H134" s="71"/>
      <c r="J134" s="39"/>
    </row>
    <row r="135" spans="1:14" s="52" customFormat="1" x14ac:dyDescent="0.25">
      <c r="A135" s="49">
        <v>4</v>
      </c>
      <c r="B135" s="49" t="s">
        <v>180</v>
      </c>
      <c r="C135" s="49" t="s">
        <v>178</v>
      </c>
      <c r="D135" s="49">
        <f>24.02*10.764</f>
        <v>258.55127999999996</v>
      </c>
      <c r="E135" s="49">
        <v>0</v>
      </c>
      <c r="F135" s="49">
        <f>(D135+E135)*(($F$114)+1)</f>
        <v>413.68204799999995</v>
      </c>
      <c r="G135" s="63" t="str">
        <f>A134</f>
        <v>1st Floor For Parking, Amenities &amp; Commercial</v>
      </c>
      <c r="H135" s="64"/>
      <c r="I135" s="39"/>
      <c r="L135" s="80"/>
      <c r="M135" s="80"/>
      <c r="N135" s="39"/>
    </row>
    <row r="136" spans="1:14" s="52" customFormat="1" x14ac:dyDescent="0.25">
      <c r="A136" s="63"/>
      <c r="B136" s="65"/>
      <c r="C136" s="65"/>
      <c r="D136" s="65"/>
      <c r="E136" s="65"/>
      <c r="F136" s="65"/>
      <c r="G136" s="65"/>
      <c r="H136" s="64"/>
      <c r="I136" s="39"/>
      <c r="N136" s="39"/>
    </row>
    <row r="137" spans="1:14" ht="47.25" customHeight="1" x14ac:dyDescent="0.25">
      <c r="A137" s="81" t="s">
        <v>118</v>
      </c>
      <c r="B137" s="81" t="s">
        <v>119</v>
      </c>
      <c r="C137" s="104" t="s">
        <v>59</v>
      </c>
      <c r="D137" s="104" t="s">
        <v>60</v>
      </c>
      <c r="E137" s="106" t="s">
        <v>61</v>
      </c>
      <c r="F137" s="50" t="s">
        <v>148</v>
      </c>
      <c r="G137" s="81" t="s">
        <v>62</v>
      </c>
      <c r="H137" s="108"/>
      <c r="I137" s="39"/>
    </row>
    <row r="138" spans="1:14" s="52" customFormat="1" x14ac:dyDescent="0.25">
      <c r="A138" s="82"/>
      <c r="B138" s="82"/>
      <c r="C138" s="105"/>
      <c r="D138" s="105"/>
      <c r="E138" s="107"/>
      <c r="F138" s="15">
        <v>0.55000000000000004</v>
      </c>
      <c r="G138" s="82"/>
      <c r="H138" s="109"/>
      <c r="I138" s="39"/>
    </row>
    <row r="139" spans="1:14" s="52" customFormat="1" ht="16.5" x14ac:dyDescent="0.25">
      <c r="A139" s="66" t="s">
        <v>176</v>
      </c>
      <c r="B139" s="67"/>
      <c r="C139" s="67"/>
      <c r="D139" s="67"/>
      <c r="E139" s="67"/>
      <c r="F139" s="67"/>
      <c r="G139" s="67"/>
      <c r="H139" s="68"/>
      <c r="J139" s="39"/>
    </row>
    <row r="140" spans="1:14" s="52" customFormat="1" hidden="1" x14ac:dyDescent="0.25">
      <c r="A140" s="69" t="s">
        <v>183</v>
      </c>
      <c r="B140" s="70"/>
      <c r="C140" s="70"/>
      <c r="D140" s="70"/>
      <c r="E140" s="70"/>
      <c r="F140" s="70"/>
      <c r="G140" s="70"/>
      <c r="H140" s="71"/>
      <c r="J140" s="39"/>
    </row>
    <row r="141" spans="1:14" s="52" customFormat="1" x14ac:dyDescent="0.25">
      <c r="A141" s="69" t="s">
        <v>192</v>
      </c>
      <c r="B141" s="70"/>
      <c r="C141" s="70"/>
      <c r="D141" s="70"/>
      <c r="E141" s="70"/>
      <c r="F141" s="70"/>
      <c r="G141" s="70"/>
      <c r="H141" s="71"/>
      <c r="J141" s="39"/>
    </row>
    <row r="142" spans="1:14" s="52" customFormat="1" x14ac:dyDescent="0.25">
      <c r="A142" s="137" t="s">
        <v>193</v>
      </c>
      <c r="B142" s="137"/>
      <c r="C142" s="137"/>
      <c r="D142" s="137"/>
      <c r="E142" s="137"/>
      <c r="F142" s="137"/>
      <c r="G142" s="137"/>
      <c r="H142" s="137"/>
      <c r="I142" s="39"/>
      <c r="L142" s="80"/>
      <c r="M142" s="80"/>
    </row>
    <row r="143" spans="1:14" s="52" customFormat="1" x14ac:dyDescent="0.25">
      <c r="A143" s="49">
        <v>1</v>
      </c>
      <c r="B143" s="49" t="s">
        <v>180</v>
      </c>
      <c r="C143" s="49" t="s">
        <v>186</v>
      </c>
      <c r="D143" s="49">
        <f>(28.01+(1.2*(2.7+2+1.5)))*10.764</f>
        <v>381.5838</v>
      </c>
      <c r="E143" s="49">
        <v>0</v>
      </c>
      <c r="F143" s="49">
        <f t="shared" ref="F143:F144" si="10">D143*(($F$138)+1)+(IF(E143&lt;101,E143,IF(E143&lt;201,E143/2,IF(E143&lt;=301,E143/3,E143/4))))</f>
        <v>591.45488999999998</v>
      </c>
      <c r="G143" s="113" t="str">
        <f>A142</f>
        <v>3rd Floor (Part Parking Area)</v>
      </c>
      <c r="H143" s="113"/>
      <c r="I143" s="48">
        <f>2.7*3+1.5*1.2+1.2*1.2+1.05*0.9+2*2.5+3.65*2.75</f>
        <v>27.322500000000005</v>
      </c>
      <c r="N143" s="39"/>
    </row>
    <row r="144" spans="1:14" s="52" customFormat="1" x14ac:dyDescent="0.25">
      <c r="A144" s="49">
        <f>A143+1</f>
        <v>2</v>
      </c>
      <c r="B144" s="49" t="s">
        <v>180</v>
      </c>
      <c r="C144" s="49" t="s">
        <v>186</v>
      </c>
      <c r="D144" s="49">
        <f t="shared" ref="D144:D145" si="11">(28.01+(1.2*(2.7+2+1.5)))*10.764</f>
        <v>381.5838</v>
      </c>
      <c r="E144" s="49">
        <v>0</v>
      </c>
      <c r="F144" s="49">
        <f t="shared" si="10"/>
        <v>591.45488999999998</v>
      </c>
      <c r="G144" s="113" t="str">
        <f>G143</f>
        <v>3rd Floor (Part Parking Area)</v>
      </c>
      <c r="H144" s="113"/>
      <c r="I144" s="39"/>
      <c r="N144" s="39"/>
    </row>
    <row r="145" spans="1:16" s="52" customFormat="1" x14ac:dyDescent="0.25">
      <c r="A145" s="49">
        <f t="shared" ref="A145" si="12">A144+1</f>
        <v>3</v>
      </c>
      <c r="B145" s="49" t="s">
        <v>180</v>
      </c>
      <c r="C145" s="49" t="s">
        <v>186</v>
      </c>
      <c r="D145" s="49">
        <f t="shared" si="11"/>
        <v>381.5838</v>
      </c>
      <c r="E145" s="49">
        <v>0</v>
      </c>
      <c r="F145" s="49">
        <f>D145*(($F$138)+1)+(IF(E145&lt;101,E145,IF(E145&lt;201,E145/2,IF(E145&lt;=301,E145/3,E145/4))))</f>
        <v>591.45488999999998</v>
      </c>
      <c r="G145" s="113" t="str">
        <f>G144</f>
        <v>3rd Floor (Part Parking Area)</v>
      </c>
      <c r="H145" s="113"/>
      <c r="I145" s="39"/>
      <c r="N145" s="39"/>
    </row>
    <row r="146" spans="1:16" s="52" customFormat="1" ht="15.75" customHeight="1" x14ac:dyDescent="0.25">
      <c r="A146" s="69" t="s">
        <v>194</v>
      </c>
      <c r="B146" s="70"/>
      <c r="C146" s="70"/>
      <c r="D146" s="70"/>
      <c r="E146" s="70"/>
      <c r="F146" s="70"/>
      <c r="G146" s="70"/>
      <c r="H146" s="71"/>
      <c r="I146" s="39"/>
      <c r="P146" s="40"/>
    </row>
    <row r="147" spans="1:16" s="52" customFormat="1" ht="15.75" customHeight="1" x14ac:dyDescent="0.25">
      <c r="A147" s="49">
        <v>1</v>
      </c>
      <c r="B147" s="49" t="s">
        <v>180</v>
      </c>
      <c r="C147" s="49" t="s">
        <v>186</v>
      </c>
      <c r="D147" s="49">
        <f>(28.01+(1.2*(2.7+2+1.5)))*10.764</f>
        <v>381.5838</v>
      </c>
      <c r="E147" s="49">
        <v>0</v>
      </c>
      <c r="F147" s="49">
        <f>D147*(($F$138)+1)+(IF(E147&lt;101,E147,IF(E147&lt;201,E147/2,IF(E147&lt;=301,E147/3,E147/4))))</f>
        <v>591.45488999999998</v>
      </c>
      <c r="G147" s="63" t="str">
        <f>A146</f>
        <v>4th to 7th, 9th to 14th &amp; 16th to 21st Floor</v>
      </c>
      <c r="H147" s="64"/>
      <c r="I147" s="39"/>
    </row>
    <row r="148" spans="1:16" s="52" customFormat="1" ht="15.75" customHeight="1" x14ac:dyDescent="0.25">
      <c r="A148" s="49">
        <v>2</v>
      </c>
      <c r="B148" s="49" t="s">
        <v>180</v>
      </c>
      <c r="C148" s="49" t="s">
        <v>186</v>
      </c>
      <c r="D148" s="49">
        <f t="shared" ref="D148:D150" si="13">(28.01+(1.2*(2.7+2+1.5)))*10.764</f>
        <v>381.5838</v>
      </c>
      <c r="E148" s="49">
        <v>0</v>
      </c>
      <c r="F148" s="49">
        <f>D148*(($F$138)+1)+(IF(E148&lt;101,E148,IF(E148&lt;201,E148/2,IF(E148&lt;=301,E148/3,E148/4))))</f>
        <v>591.45488999999998</v>
      </c>
      <c r="G148" s="63" t="str">
        <f>G147</f>
        <v>4th to 7th, 9th to 14th &amp; 16th to 21st Floor</v>
      </c>
      <c r="H148" s="64"/>
      <c r="I148" s="39"/>
    </row>
    <row r="149" spans="1:16" s="52" customFormat="1" ht="15.75" customHeight="1" x14ac:dyDescent="0.25">
      <c r="A149" s="49">
        <v>3</v>
      </c>
      <c r="B149" s="49" t="s">
        <v>180</v>
      </c>
      <c r="C149" s="49" t="s">
        <v>186</v>
      </c>
      <c r="D149" s="49">
        <f t="shared" si="13"/>
        <v>381.5838</v>
      </c>
      <c r="E149" s="49">
        <v>0</v>
      </c>
      <c r="F149" s="49">
        <f>D149*(($F$138)+1)+(IF(E149&lt;101,E149,IF(E149&lt;201,E149/2,IF(E149&lt;=301,E149/3,E149/4))))</f>
        <v>591.45488999999998</v>
      </c>
      <c r="G149" s="63" t="str">
        <f>G148</f>
        <v>4th to 7th, 9th to 14th &amp; 16th to 21st Floor</v>
      </c>
      <c r="H149" s="64"/>
      <c r="I149" s="39"/>
    </row>
    <row r="150" spans="1:16" s="52" customFormat="1" ht="15.75" customHeight="1" x14ac:dyDescent="0.25">
      <c r="A150" s="49">
        <v>4</v>
      </c>
      <c r="B150" s="49" t="s">
        <v>180</v>
      </c>
      <c r="C150" s="49" t="s">
        <v>186</v>
      </c>
      <c r="D150" s="49">
        <f t="shared" si="13"/>
        <v>381.5838</v>
      </c>
      <c r="E150" s="49">
        <v>0</v>
      </c>
      <c r="F150" s="49">
        <f>D150*(($F$138)+1)+(IF(E150&lt;101,E150,IF(E150&lt;201,E150/2,IF(E150&lt;=301,E150/3,E150/4))))</f>
        <v>591.45488999999998</v>
      </c>
      <c r="G150" s="63" t="str">
        <f>G149</f>
        <v>4th to 7th, 9th to 14th &amp; 16th to 21st Floor</v>
      </c>
      <c r="H150" s="64"/>
      <c r="I150" s="39"/>
    </row>
    <row r="151" spans="1:16" s="52" customFormat="1" ht="15.75" customHeight="1" x14ac:dyDescent="0.25">
      <c r="A151" s="69" t="s">
        <v>195</v>
      </c>
      <c r="B151" s="70"/>
      <c r="C151" s="70"/>
      <c r="D151" s="70"/>
      <c r="E151" s="70"/>
      <c r="F151" s="70"/>
      <c r="G151" s="70"/>
      <c r="H151" s="71"/>
      <c r="I151" s="39"/>
      <c r="P151" s="40"/>
    </row>
    <row r="152" spans="1:16" s="52" customFormat="1" ht="15.75" customHeight="1" x14ac:dyDescent="0.25">
      <c r="A152" s="49">
        <v>1</v>
      </c>
      <c r="B152" s="49" t="s">
        <v>187</v>
      </c>
      <c r="C152" s="63" t="s">
        <v>196</v>
      </c>
      <c r="D152" s="65">
        <f>(28.01+(1.2*(2.7+2+1.5)))*10.764</f>
        <v>381.5838</v>
      </c>
      <c r="E152" s="65">
        <v>0</v>
      </c>
      <c r="F152" s="64">
        <f>D152*(($F$138)+1)+(IF(E152&lt;101,E152,IF(E152&lt;201,E152/2,IF(E152&lt;=301,E152/3,E152/4))))</f>
        <v>591.45488999999998</v>
      </c>
      <c r="G152" s="63" t="str">
        <f>A151</f>
        <v>8th Floor (Part Refuge Area)</v>
      </c>
      <c r="H152" s="64"/>
      <c r="I152" s="39"/>
    </row>
    <row r="153" spans="1:16" s="52" customFormat="1" ht="15.75" customHeight="1" x14ac:dyDescent="0.25">
      <c r="A153" s="49">
        <v>2</v>
      </c>
      <c r="B153" s="49" t="s">
        <v>180</v>
      </c>
      <c r="C153" s="49" t="s">
        <v>186</v>
      </c>
      <c r="D153" s="49">
        <f t="shared" ref="D153:D155" si="14">(28.01+(1.2*(2.7+2+1.5)))*10.764</f>
        <v>381.5838</v>
      </c>
      <c r="E153" s="49">
        <v>0</v>
      </c>
      <c r="F153" s="49">
        <f>D153*(($F$138)+1)+(IF(E153&lt;101,E153,IF(E153&lt;201,E153/2,IF(E153&lt;=301,E153/3,E153/4))))</f>
        <v>591.45488999999998</v>
      </c>
      <c r="G153" s="63" t="str">
        <f>G152</f>
        <v>8th Floor (Part Refuge Area)</v>
      </c>
      <c r="H153" s="64"/>
      <c r="I153" s="39"/>
    </row>
    <row r="154" spans="1:16" s="52" customFormat="1" ht="15.75" customHeight="1" x14ac:dyDescent="0.25">
      <c r="A154" s="49">
        <v>3</v>
      </c>
      <c r="B154" s="49" t="s">
        <v>180</v>
      </c>
      <c r="C154" s="49" t="s">
        <v>186</v>
      </c>
      <c r="D154" s="49">
        <f t="shared" si="14"/>
        <v>381.5838</v>
      </c>
      <c r="E154" s="49">
        <v>0</v>
      </c>
      <c r="F154" s="49">
        <f>D154*(($F$138)+1)+(IF(E154&lt;101,E154,IF(E154&lt;201,E154/2,IF(E154&lt;=301,E154/3,E154/4))))</f>
        <v>591.45488999999998</v>
      </c>
      <c r="G154" s="63" t="str">
        <f>G153</f>
        <v>8th Floor (Part Refuge Area)</v>
      </c>
      <c r="H154" s="64"/>
      <c r="I154" s="39"/>
    </row>
    <row r="155" spans="1:16" s="52" customFormat="1" ht="15.75" customHeight="1" x14ac:dyDescent="0.25">
      <c r="A155" s="49">
        <v>4</v>
      </c>
      <c r="B155" s="49" t="s">
        <v>180</v>
      </c>
      <c r="C155" s="49" t="s">
        <v>186</v>
      </c>
      <c r="D155" s="49">
        <f t="shared" si="14"/>
        <v>381.5838</v>
      </c>
      <c r="E155" s="49">
        <v>0</v>
      </c>
      <c r="F155" s="49">
        <f>D155*(($F$138)+1)+(IF(E155&lt;101,E155,IF(E155&lt;201,E155/2,IF(E155&lt;=301,E155/3,E155/4))))</f>
        <v>591.45488999999998</v>
      </c>
      <c r="G155" s="63" t="str">
        <f>G154</f>
        <v>8th Floor (Part Refuge Area)</v>
      </c>
      <c r="H155" s="64"/>
      <c r="I155" s="39"/>
    </row>
    <row r="156" spans="1:16" s="52" customFormat="1" ht="15.75" customHeight="1" x14ac:dyDescent="0.25">
      <c r="A156" s="69" t="s">
        <v>197</v>
      </c>
      <c r="B156" s="70"/>
      <c r="C156" s="70"/>
      <c r="D156" s="70"/>
      <c r="E156" s="70"/>
      <c r="F156" s="70"/>
      <c r="G156" s="70"/>
      <c r="H156" s="71"/>
      <c r="I156" s="39"/>
      <c r="P156" s="40"/>
    </row>
    <row r="157" spans="1:16" s="52" customFormat="1" ht="15.75" customHeight="1" x14ac:dyDescent="0.25">
      <c r="A157" s="49">
        <v>1</v>
      </c>
      <c r="B157" s="49" t="s">
        <v>187</v>
      </c>
      <c r="C157" s="63" t="s">
        <v>196</v>
      </c>
      <c r="D157" s="65">
        <f>(28.01+(1.2*(2.7+2+1.5)))*10.764</f>
        <v>381.5838</v>
      </c>
      <c r="E157" s="65">
        <v>0</v>
      </c>
      <c r="F157" s="64">
        <f>D157*(($F$138)+1)+(IF(E157&lt;101,E157,IF(E157&lt;201,E157/2,IF(E157&lt;=301,E157/3,E157/4))))</f>
        <v>591.45488999999998</v>
      </c>
      <c r="G157" s="63" t="str">
        <f>A156</f>
        <v>15th Floor (Part Refuge Area)</v>
      </c>
      <c r="H157" s="64"/>
      <c r="I157" s="39"/>
    </row>
    <row r="158" spans="1:16" s="52" customFormat="1" ht="15.75" customHeight="1" x14ac:dyDescent="0.25">
      <c r="A158" s="49">
        <v>2</v>
      </c>
      <c r="B158" s="49" t="s">
        <v>180</v>
      </c>
      <c r="C158" s="49" t="s">
        <v>186</v>
      </c>
      <c r="D158" s="49">
        <f t="shared" ref="D158:D160" si="15">(28.01+(1.2*(2.7+2+1.5)))*10.764</f>
        <v>381.5838</v>
      </c>
      <c r="E158" s="49">
        <v>0</v>
      </c>
      <c r="F158" s="49">
        <f>D158*(($F$138)+1)+(IF(E158&lt;101,E158,IF(E158&lt;201,E158/2,IF(E158&lt;=301,E158/3,E158/4))))</f>
        <v>591.45488999999998</v>
      </c>
      <c r="G158" s="63" t="str">
        <f>G157</f>
        <v>15th Floor (Part Refuge Area)</v>
      </c>
      <c r="H158" s="64"/>
      <c r="I158" s="39"/>
    </row>
    <row r="159" spans="1:16" s="52" customFormat="1" ht="15.75" customHeight="1" x14ac:dyDescent="0.25">
      <c r="A159" s="49">
        <v>3</v>
      </c>
      <c r="B159" s="49" t="s">
        <v>180</v>
      </c>
      <c r="C159" s="49" t="s">
        <v>186</v>
      </c>
      <c r="D159" s="49">
        <f t="shared" si="15"/>
        <v>381.5838</v>
      </c>
      <c r="E159" s="49">
        <v>0</v>
      </c>
      <c r="F159" s="49">
        <f>D159*(($F$138)+1)+(IF(E159&lt;101,E159,IF(E159&lt;201,E159/2,IF(E159&lt;=301,E159/3,E159/4))))</f>
        <v>591.45488999999998</v>
      </c>
      <c r="G159" s="63" t="str">
        <f>G158</f>
        <v>15th Floor (Part Refuge Area)</v>
      </c>
      <c r="H159" s="64"/>
      <c r="I159" s="39"/>
    </row>
    <row r="160" spans="1:16" s="52" customFormat="1" ht="15.75" customHeight="1" x14ac:dyDescent="0.25">
      <c r="A160" s="49">
        <v>4</v>
      </c>
      <c r="B160" s="49" t="s">
        <v>180</v>
      </c>
      <c r="C160" s="49" t="s">
        <v>186</v>
      </c>
      <c r="D160" s="49">
        <f t="shared" si="15"/>
        <v>381.5838</v>
      </c>
      <c r="E160" s="49">
        <v>0</v>
      </c>
      <c r="F160" s="49">
        <f>D160*(($F$138)+1)+(IF(E160&lt;101,E160,IF(E160&lt;201,E160/2,IF(E160&lt;=301,E160/3,E160/4))))</f>
        <v>591.45488999999998</v>
      </c>
      <c r="G160" s="63" t="str">
        <f>G159</f>
        <v>15th Floor (Part Refuge Area)</v>
      </c>
      <c r="H160" s="64"/>
      <c r="I160" s="39"/>
    </row>
    <row r="161" spans="1:16" s="52" customFormat="1" ht="15.75" customHeight="1" x14ac:dyDescent="0.25">
      <c r="A161" s="69" t="s">
        <v>198</v>
      </c>
      <c r="B161" s="70"/>
      <c r="C161" s="70"/>
      <c r="D161" s="70"/>
      <c r="E161" s="70"/>
      <c r="F161" s="70"/>
      <c r="G161" s="70"/>
      <c r="H161" s="71"/>
      <c r="I161" s="39"/>
      <c r="P161" s="40"/>
    </row>
    <row r="162" spans="1:16" s="52" customFormat="1" ht="15.75" customHeight="1" x14ac:dyDescent="0.25">
      <c r="A162" s="49">
        <v>1</v>
      </c>
      <c r="B162" s="49" t="s">
        <v>188</v>
      </c>
      <c r="C162" s="49" t="s">
        <v>186</v>
      </c>
      <c r="D162" s="49">
        <f>(29.16+(1.2*(2.7+2+1.5)))*10.764</f>
        <v>393.9624</v>
      </c>
      <c r="E162" s="49">
        <v>0</v>
      </c>
      <c r="F162" s="49">
        <f>D162*(($F$138)+1)+(IF(E162&lt;101,E162,IF(E162&lt;201,E162/2,IF(E162&lt;=301,E162/3,E162/4))))</f>
        <v>610.64172000000008</v>
      </c>
      <c r="G162" s="63" t="str">
        <f>A161</f>
        <v>22nd Floor</v>
      </c>
      <c r="H162" s="64"/>
      <c r="I162" s="55"/>
    </row>
    <row r="163" spans="1:16" s="52" customFormat="1" ht="15.75" customHeight="1" x14ac:dyDescent="0.25">
      <c r="A163" s="49">
        <v>2</v>
      </c>
      <c r="B163" s="49" t="s">
        <v>188</v>
      </c>
      <c r="C163" s="49" t="s">
        <v>186</v>
      </c>
      <c r="D163" s="49">
        <f t="shared" ref="D163:D165" si="16">(29.16+(1.2*(2.7+2+1.5)))*10.764</f>
        <v>393.9624</v>
      </c>
      <c r="E163" s="49">
        <v>0</v>
      </c>
      <c r="F163" s="49">
        <f>D163*(($F$138)+1)+(IF(E163&lt;101,E163,IF(E163&lt;201,E163/2,IF(E163&lt;=301,E163/3,E163/4))))</f>
        <v>610.64172000000008</v>
      </c>
      <c r="G163" s="63" t="str">
        <f>G162</f>
        <v>22nd Floor</v>
      </c>
      <c r="H163" s="64"/>
      <c r="I163" s="39"/>
    </row>
    <row r="164" spans="1:16" s="52" customFormat="1" ht="15.75" customHeight="1" x14ac:dyDescent="0.25">
      <c r="A164" s="49">
        <v>3</v>
      </c>
      <c r="B164" s="49" t="s">
        <v>188</v>
      </c>
      <c r="C164" s="49" t="s">
        <v>186</v>
      </c>
      <c r="D164" s="49">
        <f t="shared" si="16"/>
        <v>393.9624</v>
      </c>
      <c r="E164" s="49">
        <v>0</v>
      </c>
      <c r="F164" s="49">
        <f>D164*(($F$138)+1)+(IF(E164&lt;101,E164,IF(E164&lt;201,E164/2,IF(E164&lt;=301,E164/3,E164/4))))</f>
        <v>610.64172000000008</v>
      </c>
      <c r="G164" s="63" t="str">
        <f>G163</f>
        <v>22nd Floor</v>
      </c>
      <c r="H164" s="64"/>
      <c r="I164" s="39"/>
    </row>
    <row r="165" spans="1:16" s="52" customFormat="1" ht="15.75" customHeight="1" x14ac:dyDescent="0.25">
      <c r="A165" s="49">
        <v>4</v>
      </c>
      <c r="B165" s="49" t="s">
        <v>188</v>
      </c>
      <c r="C165" s="49" t="s">
        <v>186</v>
      </c>
      <c r="D165" s="49">
        <f t="shared" si="16"/>
        <v>393.9624</v>
      </c>
      <c r="E165" s="49">
        <v>0</v>
      </c>
      <c r="F165" s="49">
        <f>D165*(($F$138)+1)+(IF(E165&lt;101,E165,IF(E165&lt;201,E165/2,IF(E165&lt;=301,E165/3,E165/4))))</f>
        <v>610.64172000000008</v>
      </c>
      <c r="G165" s="63" t="str">
        <f>G164</f>
        <v>22nd Floor</v>
      </c>
      <c r="H165" s="64"/>
      <c r="I165" s="39"/>
    </row>
    <row r="166" spans="1:16" s="52" customFormat="1" ht="16.5" x14ac:dyDescent="0.25">
      <c r="A166" s="66" t="s">
        <v>181</v>
      </c>
      <c r="B166" s="67"/>
      <c r="C166" s="67"/>
      <c r="D166" s="67"/>
      <c r="E166" s="67"/>
      <c r="F166" s="67"/>
      <c r="G166" s="67"/>
      <c r="H166" s="68"/>
      <c r="J166" s="39"/>
    </row>
    <row r="167" spans="1:16" s="52" customFormat="1" x14ac:dyDescent="0.25">
      <c r="A167" s="69" t="s">
        <v>183</v>
      </c>
      <c r="B167" s="70"/>
      <c r="C167" s="70"/>
      <c r="D167" s="70"/>
      <c r="E167" s="70"/>
      <c r="F167" s="70"/>
      <c r="G167" s="70"/>
      <c r="H167" s="71"/>
      <c r="I167" s="39"/>
      <c r="P167" s="40"/>
    </row>
    <row r="168" spans="1:16" s="52" customFormat="1" x14ac:dyDescent="0.25">
      <c r="A168" s="49">
        <v>1</v>
      </c>
      <c r="B168" s="49" t="s">
        <v>187</v>
      </c>
      <c r="C168" s="74" t="s">
        <v>185</v>
      </c>
      <c r="D168" s="75"/>
      <c r="E168" s="75"/>
      <c r="F168" s="76"/>
      <c r="G168" s="63" t="str">
        <f>A167</f>
        <v xml:space="preserve">1st Floor For Parking, Amenities &amp; Commercial </v>
      </c>
      <c r="H168" s="64"/>
      <c r="I168" s="39"/>
    </row>
    <row r="169" spans="1:16" s="52" customFormat="1" x14ac:dyDescent="0.25">
      <c r="A169" s="49">
        <v>2</v>
      </c>
      <c r="B169" s="49" t="s">
        <v>187</v>
      </c>
      <c r="C169" s="77"/>
      <c r="D169" s="78"/>
      <c r="E169" s="78"/>
      <c r="F169" s="79"/>
      <c r="G169" s="63" t="str">
        <f t="shared" ref="G169:G173" si="17">G168</f>
        <v xml:space="preserve">1st Floor For Parking, Amenities &amp; Commercial </v>
      </c>
      <c r="H169" s="64"/>
      <c r="I169" s="39"/>
    </row>
    <row r="170" spans="1:16" s="52" customFormat="1" x14ac:dyDescent="0.25">
      <c r="A170" s="49">
        <v>3</v>
      </c>
      <c r="B170" s="49" t="s">
        <v>180</v>
      </c>
      <c r="C170" s="49" t="s">
        <v>186</v>
      </c>
      <c r="D170" s="49">
        <f>27.88*10.764</f>
        <v>300.10031999999995</v>
      </c>
      <c r="E170" s="49">
        <v>0</v>
      </c>
      <c r="F170" s="49">
        <f>D170*(($F$138)+1)+(IF(E170&lt;101,E170,IF(E170&lt;201,E170/2,IF(E170&lt;=301,E170/3,E170/4))))</f>
        <v>465.15549599999991</v>
      </c>
      <c r="G170" s="63" t="str">
        <f t="shared" si="17"/>
        <v xml:space="preserve">1st Floor For Parking, Amenities &amp; Commercial </v>
      </c>
      <c r="H170" s="64"/>
      <c r="I170" s="47">
        <f>(4.4*2.8+2.6*2.05+1.65*1.1+2.6*2.6+0.9*1.2)</f>
        <v>27.305</v>
      </c>
    </row>
    <row r="171" spans="1:16" s="52" customFormat="1" x14ac:dyDescent="0.25">
      <c r="A171" s="49">
        <v>4</v>
      </c>
      <c r="B171" s="49" t="s">
        <v>187</v>
      </c>
      <c r="C171" s="63" t="s">
        <v>184</v>
      </c>
      <c r="D171" s="65"/>
      <c r="E171" s="65">
        <v>0</v>
      </c>
      <c r="F171" s="64">
        <f>D171*(($F$138)+1)+(IF(E171&lt;101,E171,IF(E171&lt;201,E171/2,IF(E171&lt;=301,E171/3,E171/4))))</f>
        <v>0</v>
      </c>
      <c r="G171" s="63" t="str">
        <f t="shared" si="17"/>
        <v xml:space="preserve">1st Floor For Parking, Amenities &amp; Commercial </v>
      </c>
      <c r="H171" s="64"/>
      <c r="I171" s="39"/>
    </row>
    <row r="172" spans="1:16" s="52" customFormat="1" x14ac:dyDescent="0.25">
      <c r="A172" s="49">
        <v>5</v>
      </c>
      <c r="B172" s="49" t="s">
        <v>188</v>
      </c>
      <c r="C172" s="49" t="s">
        <v>186</v>
      </c>
      <c r="D172" s="49">
        <f>29.7*10.764</f>
        <v>319.69079999999997</v>
      </c>
      <c r="E172" s="49">
        <v>0</v>
      </c>
      <c r="F172" s="49">
        <f>D172*(($F$138)+1)+(IF(E172&lt;101,E172,IF(E172&lt;201,E172/2,IF(E172&lt;=301,E172/3,E172/4))))</f>
        <v>495.52073999999999</v>
      </c>
      <c r="G172" s="63" t="str">
        <f t="shared" si="17"/>
        <v xml:space="preserve">1st Floor For Parking, Amenities &amp; Commercial </v>
      </c>
      <c r="H172" s="64"/>
      <c r="I172" s="39"/>
    </row>
    <row r="173" spans="1:16" s="52" customFormat="1" x14ac:dyDescent="0.25">
      <c r="A173" s="49">
        <v>6</v>
      </c>
      <c r="B173" s="49" t="s">
        <v>188</v>
      </c>
      <c r="C173" s="49" t="s">
        <v>186</v>
      </c>
      <c r="D173" s="49">
        <f>29.93*10.764</f>
        <v>322.16651999999999</v>
      </c>
      <c r="E173" s="49">
        <v>0</v>
      </c>
      <c r="F173" s="49">
        <f>D173*(($F$138)+1)+(IF(E173&lt;101,E173,IF(E173&lt;201,E173/2,IF(E173&lt;=301,E173/3,E173/4))))</f>
        <v>499.35810600000002</v>
      </c>
      <c r="G173" s="63" t="str">
        <f t="shared" si="17"/>
        <v xml:space="preserve">1st Floor For Parking, Amenities &amp; Commercial </v>
      </c>
      <c r="H173" s="64"/>
      <c r="I173" s="39"/>
    </row>
    <row r="174" spans="1:16" s="52" customFormat="1" x14ac:dyDescent="0.25">
      <c r="A174" s="69" t="s">
        <v>189</v>
      </c>
      <c r="B174" s="70"/>
      <c r="C174" s="70"/>
      <c r="D174" s="70"/>
      <c r="E174" s="70"/>
      <c r="F174" s="70"/>
      <c r="G174" s="70"/>
      <c r="H174" s="71"/>
      <c r="I174" s="39"/>
      <c r="P174" s="40"/>
    </row>
    <row r="175" spans="1:16" s="52" customFormat="1" x14ac:dyDescent="0.25">
      <c r="A175" s="49">
        <v>1</v>
      </c>
      <c r="B175" s="49" t="s">
        <v>187</v>
      </c>
      <c r="C175" s="74" t="s">
        <v>185</v>
      </c>
      <c r="D175" s="75"/>
      <c r="E175" s="75"/>
      <c r="F175" s="76"/>
      <c r="G175" s="63" t="str">
        <f>A174</f>
        <v>2nd Floor For Parking &amp; Amenities</v>
      </c>
      <c r="H175" s="64"/>
      <c r="I175" s="39"/>
    </row>
    <row r="176" spans="1:16" s="52" customFormat="1" ht="15.75" customHeight="1" x14ac:dyDescent="0.25">
      <c r="A176" s="49">
        <v>2</v>
      </c>
      <c r="B176" s="49" t="s">
        <v>187</v>
      </c>
      <c r="C176" s="77"/>
      <c r="D176" s="78"/>
      <c r="E176" s="78"/>
      <c r="F176" s="79"/>
      <c r="G176" s="63" t="str">
        <f t="shared" ref="G176:G180" si="18">G175</f>
        <v>2nd Floor For Parking &amp; Amenities</v>
      </c>
      <c r="H176" s="64"/>
      <c r="I176" s="39"/>
    </row>
    <row r="177" spans="1:16" s="52" customFormat="1" x14ac:dyDescent="0.25">
      <c r="A177" s="49">
        <v>3</v>
      </c>
      <c r="B177" s="49" t="s">
        <v>187</v>
      </c>
      <c r="C177" s="63" t="s">
        <v>190</v>
      </c>
      <c r="D177" s="65"/>
      <c r="E177" s="65"/>
      <c r="F177" s="64"/>
      <c r="G177" s="63" t="str">
        <f t="shared" si="18"/>
        <v>2nd Floor For Parking &amp; Amenities</v>
      </c>
      <c r="H177" s="64"/>
      <c r="I177" s="47"/>
    </row>
    <row r="178" spans="1:16" s="52" customFormat="1" x14ac:dyDescent="0.25">
      <c r="A178" s="49">
        <v>4</v>
      </c>
      <c r="B178" s="49" t="s">
        <v>187</v>
      </c>
      <c r="C178" s="74" t="s">
        <v>191</v>
      </c>
      <c r="D178" s="75"/>
      <c r="E178" s="75"/>
      <c r="F178" s="76"/>
      <c r="G178" s="63" t="str">
        <f t="shared" si="18"/>
        <v>2nd Floor For Parking &amp; Amenities</v>
      </c>
      <c r="H178" s="64"/>
      <c r="I178" s="39"/>
    </row>
    <row r="179" spans="1:16" s="52" customFormat="1" x14ac:dyDescent="0.25">
      <c r="A179" s="49">
        <v>5</v>
      </c>
      <c r="B179" s="49" t="s">
        <v>187</v>
      </c>
      <c r="C179" s="77"/>
      <c r="D179" s="78"/>
      <c r="E179" s="78"/>
      <c r="F179" s="79"/>
      <c r="G179" s="63" t="str">
        <f t="shared" si="18"/>
        <v>2nd Floor For Parking &amp; Amenities</v>
      </c>
      <c r="H179" s="64"/>
      <c r="I179" s="39"/>
    </row>
    <row r="180" spans="1:16" s="52" customFormat="1" x14ac:dyDescent="0.25">
      <c r="A180" s="49">
        <v>6</v>
      </c>
      <c r="B180" s="49" t="s">
        <v>188</v>
      </c>
      <c r="C180" s="49" t="s">
        <v>186</v>
      </c>
      <c r="D180" s="49">
        <f>29.93*10.764</f>
        <v>322.16651999999999</v>
      </c>
      <c r="E180" s="49">
        <v>0</v>
      </c>
      <c r="F180" s="49">
        <f>D180*(($F$138)+1)+(IF(E180&lt;101,E180,IF(E180&lt;201,E180/2,IF(E180&lt;=301,E180/3,E180/4))))</f>
        <v>499.35810600000002</v>
      </c>
      <c r="G180" s="63" t="str">
        <f t="shared" si="18"/>
        <v>2nd Floor For Parking &amp; Amenities</v>
      </c>
      <c r="H180" s="64"/>
      <c r="I180" s="39"/>
    </row>
    <row r="181" spans="1:16" s="52" customFormat="1" x14ac:dyDescent="0.25">
      <c r="A181" s="69" t="s">
        <v>193</v>
      </c>
      <c r="B181" s="70"/>
      <c r="C181" s="70"/>
      <c r="D181" s="70"/>
      <c r="E181" s="70"/>
      <c r="F181" s="70"/>
      <c r="G181" s="70"/>
      <c r="H181" s="71"/>
      <c r="I181" s="39"/>
      <c r="P181" s="40"/>
    </row>
    <row r="182" spans="1:16" s="52" customFormat="1" x14ac:dyDescent="0.25">
      <c r="A182" s="49">
        <v>1</v>
      </c>
      <c r="B182" s="49" t="s">
        <v>187</v>
      </c>
      <c r="C182" s="74" t="s">
        <v>185</v>
      </c>
      <c r="D182" s="75"/>
      <c r="E182" s="75"/>
      <c r="F182" s="76"/>
      <c r="G182" s="63" t="str">
        <f>A181</f>
        <v>3rd Floor (Part Parking Area)</v>
      </c>
      <c r="H182" s="64"/>
      <c r="I182" s="39"/>
    </row>
    <row r="183" spans="1:16" s="52" customFormat="1" x14ac:dyDescent="0.25">
      <c r="A183" s="49">
        <v>2</v>
      </c>
      <c r="B183" s="49" t="s">
        <v>187</v>
      </c>
      <c r="C183" s="77"/>
      <c r="D183" s="78"/>
      <c r="E183" s="78"/>
      <c r="F183" s="79"/>
      <c r="G183" s="63" t="str">
        <f>G182</f>
        <v>3rd Floor (Part Parking Area)</v>
      </c>
      <c r="H183" s="64"/>
      <c r="I183" s="39"/>
    </row>
    <row r="184" spans="1:16" s="52" customFormat="1" x14ac:dyDescent="0.25">
      <c r="A184" s="49">
        <v>3</v>
      </c>
      <c r="B184" s="49" t="s">
        <v>188</v>
      </c>
      <c r="C184" s="49" t="s">
        <v>186</v>
      </c>
      <c r="D184" s="49">
        <f>29.7*10.764</f>
        <v>319.69079999999997</v>
      </c>
      <c r="E184" s="49">
        <v>0</v>
      </c>
      <c r="F184" s="49">
        <f>D184*(($F$138)+1)+(IF(E184&lt;101,E184,IF(E184&lt;201,E184/2,IF(E184&lt;=301,E184/3,E184/4))))</f>
        <v>495.52073999999999</v>
      </c>
      <c r="G184" s="63" t="str">
        <f>G183</f>
        <v>3rd Floor (Part Parking Area)</v>
      </c>
      <c r="H184" s="64"/>
      <c r="I184" s="39"/>
    </row>
    <row r="185" spans="1:16" s="52" customFormat="1" x14ac:dyDescent="0.25">
      <c r="A185" s="49">
        <v>4</v>
      </c>
      <c r="B185" s="49" t="s">
        <v>188</v>
      </c>
      <c r="C185" s="49" t="s">
        <v>186</v>
      </c>
      <c r="D185" s="49">
        <f>29.83*10.764</f>
        <v>321.09011999999996</v>
      </c>
      <c r="E185" s="49">
        <v>0</v>
      </c>
      <c r="F185" s="49">
        <f>D185*(($F$138)+1)+(IF(E185&lt;101,E185,IF(E185&lt;201,E185/2,IF(E185&lt;=301,E185/3,E185/4))))</f>
        <v>497.68968599999994</v>
      </c>
      <c r="G185" s="63" t="str">
        <f>G184</f>
        <v>3rd Floor (Part Parking Area)</v>
      </c>
      <c r="H185" s="64"/>
      <c r="I185" s="39"/>
    </row>
    <row r="186" spans="1:16" s="52" customFormat="1" x14ac:dyDescent="0.25">
      <c r="A186" s="49">
        <v>5</v>
      </c>
      <c r="B186" s="49" t="s">
        <v>188</v>
      </c>
      <c r="C186" s="49" t="s">
        <v>186</v>
      </c>
      <c r="D186" s="49">
        <f>29.7*10.764</f>
        <v>319.69079999999997</v>
      </c>
      <c r="E186" s="49">
        <v>0</v>
      </c>
      <c r="F186" s="49">
        <f>D186*(($F$138)+1)+(IF(E186&lt;101,E186,IF(E186&lt;201,E186/2,IF(E186&lt;=301,E186/3,E186/4))))</f>
        <v>495.52073999999999</v>
      </c>
      <c r="G186" s="63" t="str">
        <f>G185</f>
        <v>3rd Floor (Part Parking Area)</v>
      </c>
      <c r="H186" s="64"/>
      <c r="I186" s="39"/>
    </row>
    <row r="187" spans="1:16" s="52" customFormat="1" x14ac:dyDescent="0.25">
      <c r="A187" s="49">
        <v>6</v>
      </c>
      <c r="B187" s="49" t="s">
        <v>188</v>
      </c>
      <c r="C187" s="49" t="s">
        <v>186</v>
      </c>
      <c r="D187" s="49">
        <f>29.93*10.764</f>
        <v>322.16651999999999</v>
      </c>
      <c r="E187" s="49">
        <v>0</v>
      </c>
      <c r="F187" s="49">
        <f>D187*(($F$138)+1)+(IF(E187&lt;101,E187,IF(E187&lt;201,E187/2,IF(E187&lt;=301,E187/3,E187/4))))</f>
        <v>499.35810600000002</v>
      </c>
      <c r="G187" s="63" t="str">
        <f>G186</f>
        <v>3rd Floor (Part Parking Area)</v>
      </c>
      <c r="H187" s="64"/>
      <c r="I187" s="39"/>
    </row>
    <row r="188" spans="1:16" s="52" customFormat="1" x14ac:dyDescent="0.25">
      <c r="A188" s="69" t="s">
        <v>194</v>
      </c>
      <c r="B188" s="70"/>
      <c r="C188" s="70"/>
      <c r="D188" s="70"/>
      <c r="E188" s="70"/>
      <c r="F188" s="70"/>
      <c r="G188" s="70"/>
      <c r="H188" s="71"/>
      <c r="I188" s="39"/>
      <c r="P188" s="40"/>
    </row>
    <row r="189" spans="1:16" s="52" customFormat="1" x14ac:dyDescent="0.25">
      <c r="A189" s="49">
        <v>1</v>
      </c>
      <c r="B189" s="49" t="s">
        <v>188</v>
      </c>
      <c r="C189" s="49" t="s">
        <v>186</v>
      </c>
      <c r="D189" s="49">
        <f>29.6*10.764</f>
        <v>318.61439999999999</v>
      </c>
      <c r="E189" s="49">
        <v>0</v>
      </c>
      <c r="F189" s="49">
        <f t="shared" ref="F189:F194" si="19">D189*(($F$138)+1)+(IF(E189&lt;101,E189,IF(E189&lt;201,E189/2,IF(E189&lt;=301,E189/3,E189/4))))</f>
        <v>493.85232000000002</v>
      </c>
      <c r="G189" s="63" t="str">
        <f>A188</f>
        <v>4th to 7th, 9th to 14th &amp; 16th to 21st Floor</v>
      </c>
      <c r="H189" s="64"/>
      <c r="I189" s="39"/>
    </row>
    <row r="190" spans="1:16" s="52" customFormat="1" x14ac:dyDescent="0.25">
      <c r="A190" s="49">
        <v>2</v>
      </c>
      <c r="B190" s="49" t="s">
        <v>188</v>
      </c>
      <c r="C190" s="49" t="s">
        <v>186</v>
      </c>
      <c r="D190" s="49">
        <f>29.7*10.764</f>
        <v>319.69079999999997</v>
      </c>
      <c r="E190" s="49">
        <v>0</v>
      </c>
      <c r="F190" s="49">
        <f t="shared" si="19"/>
        <v>495.52073999999999</v>
      </c>
      <c r="G190" s="63" t="str">
        <f>G189</f>
        <v>4th to 7th, 9th to 14th &amp; 16th to 21st Floor</v>
      </c>
      <c r="H190" s="64"/>
      <c r="I190" s="39"/>
    </row>
    <row r="191" spans="1:16" s="52" customFormat="1" x14ac:dyDescent="0.25">
      <c r="A191" s="49">
        <v>3</v>
      </c>
      <c r="B191" s="49" t="s">
        <v>188</v>
      </c>
      <c r="C191" s="49" t="s">
        <v>186</v>
      </c>
      <c r="D191" s="49">
        <f>29.7*10.764</f>
        <v>319.69079999999997</v>
      </c>
      <c r="E191" s="49">
        <v>0</v>
      </c>
      <c r="F191" s="49">
        <f t="shared" si="19"/>
        <v>495.52073999999999</v>
      </c>
      <c r="G191" s="63" t="str">
        <f>G190</f>
        <v>4th to 7th, 9th to 14th &amp; 16th to 21st Floor</v>
      </c>
      <c r="H191" s="64"/>
      <c r="I191" s="39"/>
    </row>
    <row r="192" spans="1:16" s="52" customFormat="1" x14ac:dyDescent="0.25">
      <c r="A192" s="49">
        <v>4</v>
      </c>
      <c r="B192" s="49" t="s">
        <v>188</v>
      </c>
      <c r="C192" s="49" t="s">
        <v>186</v>
      </c>
      <c r="D192" s="49">
        <f>29.83*10.764</f>
        <v>321.09011999999996</v>
      </c>
      <c r="E192" s="49">
        <v>0</v>
      </c>
      <c r="F192" s="49">
        <f t="shared" si="19"/>
        <v>497.68968599999994</v>
      </c>
      <c r="G192" s="63" t="str">
        <f>G191</f>
        <v>4th to 7th, 9th to 14th &amp; 16th to 21st Floor</v>
      </c>
      <c r="H192" s="64"/>
      <c r="I192" s="39"/>
    </row>
    <row r="193" spans="1:16" s="52" customFormat="1" x14ac:dyDescent="0.25">
      <c r="A193" s="49">
        <v>5</v>
      </c>
      <c r="B193" s="49" t="s">
        <v>188</v>
      </c>
      <c r="C193" s="49" t="s">
        <v>186</v>
      </c>
      <c r="D193" s="49">
        <f>29.7*10.764</f>
        <v>319.69079999999997</v>
      </c>
      <c r="E193" s="49">
        <v>0</v>
      </c>
      <c r="F193" s="49">
        <f t="shared" si="19"/>
        <v>495.52073999999999</v>
      </c>
      <c r="G193" s="63" t="str">
        <f>G192</f>
        <v>4th to 7th, 9th to 14th &amp; 16th to 21st Floor</v>
      </c>
      <c r="H193" s="64"/>
      <c r="I193" s="39"/>
    </row>
    <row r="194" spans="1:16" s="52" customFormat="1" x14ac:dyDescent="0.25">
      <c r="A194" s="49">
        <v>6</v>
      </c>
      <c r="B194" s="49" t="s">
        <v>188</v>
      </c>
      <c r="C194" s="49" t="s">
        <v>186</v>
      </c>
      <c r="D194" s="49">
        <f>29.93*10.764</f>
        <v>322.16651999999999</v>
      </c>
      <c r="E194" s="49">
        <v>0</v>
      </c>
      <c r="F194" s="49">
        <f t="shared" si="19"/>
        <v>499.35810600000002</v>
      </c>
      <c r="G194" s="63" t="str">
        <f>G193</f>
        <v>4th to 7th, 9th to 14th &amp; 16th to 21st Floor</v>
      </c>
      <c r="H194" s="64"/>
      <c r="I194" s="39"/>
    </row>
    <row r="195" spans="1:16" s="52" customFormat="1" x14ac:dyDescent="0.25">
      <c r="A195" s="69" t="s">
        <v>195</v>
      </c>
      <c r="B195" s="70"/>
      <c r="C195" s="70"/>
      <c r="D195" s="70"/>
      <c r="E195" s="70"/>
      <c r="F195" s="70"/>
      <c r="G195" s="70"/>
      <c r="H195" s="71"/>
      <c r="I195" s="39"/>
      <c r="P195" s="40"/>
    </row>
    <row r="196" spans="1:16" s="52" customFormat="1" x14ac:dyDescent="0.25">
      <c r="A196" s="49">
        <v>1</v>
      </c>
      <c r="B196" s="49" t="s">
        <v>188</v>
      </c>
      <c r="C196" s="49" t="s">
        <v>186</v>
      </c>
      <c r="D196" s="49">
        <f>29.6*10.764</f>
        <v>318.61439999999999</v>
      </c>
      <c r="E196" s="49">
        <v>0</v>
      </c>
      <c r="F196" s="49">
        <f>D196*(($F$138)+1)+(IF(E196&lt;101,E196,IF(E196&lt;201,E196/2,IF(E196&lt;=301,E196/3,E196/4))))</f>
        <v>493.85232000000002</v>
      </c>
      <c r="G196" s="63" t="str">
        <f>A195</f>
        <v>8th Floor (Part Refuge Area)</v>
      </c>
      <c r="H196" s="64"/>
      <c r="I196" s="39"/>
    </row>
    <row r="197" spans="1:16" s="52" customFormat="1" x14ac:dyDescent="0.25">
      <c r="A197" s="49">
        <v>2</v>
      </c>
      <c r="B197" s="49" t="s">
        <v>188</v>
      </c>
      <c r="C197" s="49" t="s">
        <v>186</v>
      </c>
      <c r="D197" s="49">
        <f>29.7*10.764</f>
        <v>319.69079999999997</v>
      </c>
      <c r="E197" s="49">
        <v>0</v>
      </c>
      <c r="F197" s="49">
        <f>D197*(($F$138)+1)+(IF(E197&lt;101,E197,IF(E197&lt;201,E197/2,IF(E197&lt;=301,E197/3,E197/4))))</f>
        <v>495.52073999999999</v>
      </c>
      <c r="G197" s="63" t="str">
        <f>G196</f>
        <v>8th Floor (Part Refuge Area)</v>
      </c>
      <c r="H197" s="64"/>
      <c r="I197" s="39"/>
    </row>
    <row r="198" spans="1:16" s="52" customFormat="1" x14ac:dyDescent="0.25">
      <c r="A198" s="49">
        <v>3</v>
      </c>
      <c r="B198" s="49" t="s">
        <v>188</v>
      </c>
      <c r="C198" s="49" t="s">
        <v>186</v>
      </c>
      <c r="D198" s="49">
        <f>29.7*10.764</f>
        <v>319.69079999999997</v>
      </c>
      <c r="E198" s="49">
        <v>0</v>
      </c>
      <c r="F198" s="49">
        <f>D198*(($F$138)+1)+(IF(E198&lt;101,E198,IF(E198&lt;201,E198/2,IF(E198&lt;=301,E198/3,E198/4))))</f>
        <v>495.52073999999999</v>
      </c>
      <c r="G198" s="63" t="str">
        <f>G197</f>
        <v>8th Floor (Part Refuge Area)</v>
      </c>
      <c r="H198" s="64"/>
      <c r="I198" s="39"/>
    </row>
    <row r="199" spans="1:16" s="52" customFormat="1" x14ac:dyDescent="0.25">
      <c r="A199" s="49">
        <v>4</v>
      </c>
      <c r="B199" s="49" t="s">
        <v>188</v>
      </c>
      <c r="C199" s="49" t="s">
        <v>186</v>
      </c>
      <c r="D199" s="49">
        <f>29.83*10.764</f>
        <v>321.09011999999996</v>
      </c>
      <c r="E199" s="49">
        <v>0</v>
      </c>
      <c r="F199" s="49">
        <f>D199*(($F$138)+1)+(IF(E199&lt;101,E199,IF(E199&lt;201,E199/2,IF(E199&lt;=301,E199/3,E199/4))))</f>
        <v>497.68968599999994</v>
      </c>
      <c r="G199" s="63" t="str">
        <f>G198</f>
        <v>8th Floor (Part Refuge Area)</v>
      </c>
      <c r="H199" s="64"/>
      <c r="I199" s="39"/>
    </row>
    <row r="200" spans="1:16" s="52" customFormat="1" x14ac:dyDescent="0.25">
      <c r="A200" s="49">
        <v>5</v>
      </c>
      <c r="B200" s="49" t="s">
        <v>187</v>
      </c>
      <c r="C200" s="74" t="s">
        <v>196</v>
      </c>
      <c r="D200" s="75"/>
      <c r="E200" s="75"/>
      <c r="F200" s="76"/>
      <c r="G200" s="63" t="str">
        <f>G199</f>
        <v>8th Floor (Part Refuge Area)</v>
      </c>
      <c r="H200" s="64"/>
      <c r="I200" s="39"/>
    </row>
    <row r="201" spans="1:16" s="52" customFormat="1" x14ac:dyDescent="0.25">
      <c r="A201" s="49">
        <v>6</v>
      </c>
      <c r="B201" s="49" t="s">
        <v>187</v>
      </c>
      <c r="C201" s="77"/>
      <c r="D201" s="78"/>
      <c r="E201" s="78"/>
      <c r="F201" s="79"/>
      <c r="G201" s="63" t="str">
        <f>G200</f>
        <v>8th Floor (Part Refuge Area)</v>
      </c>
      <c r="H201" s="64"/>
      <c r="I201" s="39"/>
    </row>
    <row r="202" spans="1:16" s="52" customFormat="1" x14ac:dyDescent="0.25">
      <c r="A202" s="69" t="s">
        <v>197</v>
      </c>
      <c r="B202" s="70"/>
      <c r="C202" s="70"/>
      <c r="D202" s="70"/>
      <c r="E202" s="70"/>
      <c r="F202" s="70"/>
      <c r="G202" s="70"/>
      <c r="H202" s="71"/>
      <c r="I202" s="39"/>
      <c r="P202" s="40"/>
    </row>
    <row r="203" spans="1:16" s="52" customFormat="1" x14ac:dyDescent="0.25">
      <c r="A203" s="49">
        <v>1</v>
      </c>
      <c r="B203" s="49" t="s">
        <v>188</v>
      </c>
      <c r="C203" s="49" t="s">
        <v>186</v>
      </c>
      <c r="D203" s="49">
        <f>29.6*10.764</f>
        <v>318.61439999999999</v>
      </c>
      <c r="E203" s="49">
        <v>0</v>
      </c>
      <c r="F203" s="49">
        <f t="shared" ref="F203:F206" si="20">D203*(($F$138)+1)+(IF(E203&lt;101,E203,IF(E203&lt;201,E203/2,IF(E203&lt;=301,E203/3,E203/4))))</f>
        <v>493.85232000000002</v>
      </c>
      <c r="G203" s="63" t="str">
        <f>A202</f>
        <v>15th Floor (Part Refuge Area)</v>
      </c>
      <c r="H203" s="64"/>
      <c r="I203" s="39"/>
    </row>
    <row r="204" spans="1:16" s="52" customFormat="1" x14ac:dyDescent="0.25">
      <c r="A204" s="49">
        <v>2</v>
      </c>
      <c r="B204" s="49" t="s">
        <v>188</v>
      </c>
      <c r="C204" s="49" t="s">
        <v>186</v>
      </c>
      <c r="D204" s="49">
        <f>29.7*10.764</f>
        <v>319.69079999999997</v>
      </c>
      <c r="E204" s="49">
        <v>0</v>
      </c>
      <c r="F204" s="49">
        <f t="shared" si="20"/>
        <v>495.52073999999999</v>
      </c>
      <c r="G204" s="63" t="str">
        <f>G203</f>
        <v>15th Floor (Part Refuge Area)</v>
      </c>
      <c r="H204" s="64"/>
      <c r="I204" s="39"/>
    </row>
    <row r="205" spans="1:16" s="52" customFormat="1" x14ac:dyDescent="0.25">
      <c r="A205" s="49">
        <v>3</v>
      </c>
      <c r="B205" s="49" t="s">
        <v>188</v>
      </c>
      <c r="C205" s="49" t="s">
        <v>186</v>
      </c>
      <c r="D205" s="49">
        <f>29.7*10.764</f>
        <v>319.69079999999997</v>
      </c>
      <c r="E205" s="49">
        <v>0</v>
      </c>
      <c r="F205" s="49">
        <f t="shared" si="20"/>
        <v>495.52073999999999</v>
      </c>
      <c r="G205" s="63" t="str">
        <f>G204</f>
        <v>15th Floor (Part Refuge Area)</v>
      </c>
      <c r="H205" s="64"/>
      <c r="I205" s="39"/>
    </row>
    <row r="206" spans="1:16" s="52" customFormat="1" x14ac:dyDescent="0.25">
      <c r="A206" s="49">
        <v>4</v>
      </c>
      <c r="B206" s="49" t="s">
        <v>188</v>
      </c>
      <c r="C206" s="49" t="s">
        <v>186</v>
      </c>
      <c r="D206" s="49">
        <f>29.83*10.764</f>
        <v>321.09011999999996</v>
      </c>
      <c r="E206" s="49">
        <v>0</v>
      </c>
      <c r="F206" s="49">
        <f t="shared" si="20"/>
        <v>497.68968599999994</v>
      </c>
      <c r="G206" s="63" t="str">
        <f>G205</f>
        <v>15th Floor (Part Refuge Area)</v>
      </c>
      <c r="H206" s="64"/>
      <c r="I206" s="39"/>
    </row>
    <row r="207" spans="1:16" s="52" customFormat="1" x14ac:dyDescent="0.25">
      <c r="A207" s="49">
        <v>5</v>
      </c>
      <c r="B207" s="49" t="s">
        <v>187</v>
      </c>
      <c r="C207" s="74" t="s">
        <v>196</v>
      </c>
      <c r="D207" s="75"/>
      <c r="E207" s="75"/>
      <c r="F207" s="76"/>
      <c r="G207" s="63" t="str">
        <f>G206</f>
        <v>15th Floor (Part Refuge Area)</v>
      </c>
      <c r="H207" s="64"/>
      <c r="I207" s="39"/>
    </row>
    <row r="208" spans="1:16" s="52" customFormat="1" x14ac:dyDescent="0.25">
      <c r="A208" s="49">
        <v>6</v>
      </c>
      <c r="B208" s="49" t="s">
        <v>187</v>
      </c>
      <c r="C208" s="77"/>
      <c r="D208" s="78"/>
      <c r="E208" s="78"/>
      <c r="F208" s="79"/>
      <c r="G208" s="63" t="str">
        <f>G207</f>
        <v>15th Floor (Part Refuge Area)</v>
      </c>
      <c r="H208" s="64"/>
      <c r="I208" s="39"/>
    </row>
    <row r="209" spans="1:16" s="52" customFormat="1" x14ac:dyDescent="0.25">
      <c r="A209" s="69" t="s">
        <v>198</v>
      </c>
      <c r="B209" s="70"/>
      <c r="C209" s="70"/>
      <c r="D209" s="70"/>
      <c r="E209" s="70"/>
      <c r="F209" s="70"/>
      <c r="G209" s="70"/>
      <c r="H209" s="71"/>
      <c r="I209" s="39"/>
      <c r="P209" s="40"/>
    </row>
    <row r="210" spans="1:16" s="52" customFormat="1" x14ac:dyDescent="0.25">
      <c r="A210" s="49">
        <v>1</v>
      </c>
      <c r="B210" s="49" t="s">
        <v>188</v>
      </c>
      <c r="C210" s="49" t="s">
        <v>186</v>
      </c>
      <c r="D210" s="49">
        <f>29.6*10.764</f>
        <v>318.61439999999999</v>
      </c>
      <c r="E210" s="49">
        <v>0</v>
      </c>
      <c r="F210" s="49">
        <f t="shared" ref="F210:F215" si="21">D210*(($F$138)+1)+(IF(E210&lt;101,E210,IF(E210&lt;201,E210/2,IF(E210&lt;=301,E210/3,E210/4))))</f>
        <v>493.85232000000002</v>
      </c>
      <c r="G210" s="63" t="str">
        <f>A209</f>
        <v>22nd Floor</v>
      </c>
      <c r="H210" s="64"/>
      <c r="I210" s="39"/>
    </row>
    <row r="211" spans="1:16" s="52" customFormat="1" x14ac:dyDescent="0.25">
      <c r="A211" s="49">
        <v>2</v>
      </c>
      <c r="B211" s="49" t="s">
        <v>188</v>
      </c>
      <c r="C211" s="49" t="s">
        <v>186</v>
      </c>
      <c r="D211" s="49">
        <f>29.7*10.764</f>
        <v>319.69079999999997</v>
      </c>
      <c r="E211" s="49">
        <v>0</v>
      </c>
      <c r="F211" s="49">
        <f t="shared" si="21"/>
        <v>495.52073999999999</v>
      </c>
      <c r="G211" s="63" t="str">
        <f>G210</f>
        <v>22nd Floor</v>
      </c>
      <c r="H211" s="64"/>
      <c r="I211" s="39"/>
    </row>
    <row r="212" spans="1:16" s="52" customFormat="1" x14ac:dyDescent="0.25">
      <c r="A212" s="49">
        <v>3</v>
      </c>
      <c r="B212" s="49" t="s">
        <v>188</v>
      </c>
      <c r="C212" s="49" t="s">
        <v>186</v>
      </c>
      <c r="D212" s="49">
        <f>29.7*10.764</f>
        <v>319.69079999999997</v>
      </c>
      <c r="E212" s="49">
        <v>0</v>
      </c>
      <c r="F212" s="49">
        <f t="shared" si="21"/>
        <v>495.52073999999999</v>
      </c>
      <c r="G212" s="63" t="str">
        <f>G211</f>
        <v>22nd Floor</v>
      </c>
      <c r="H212" s="64"/>
      <c r="I212" s="39"/>
    </row>
    <row r="213" spans="1:16" s="52" customFormat="1" x14ac:dyDescent="0.25">
      <c r="A213" s="49">
        <v>4</v>
      </c>
      <c r="B213" s="49" t="s">
        <v>188</v>
      </c>
      <c r="C213" s="49" t="s">
        <v>186</v>
      </c>
      <c r="D213" s="49">
        <f>29.83*10.764</f>
        <v>321.09011999999996</v>
      </c>
      <c r="E213" s="49">
        <v>0</v>
      </c>
      <c r="F213" s="49">
        <f t="shared" si="21"/>
        <v>497.68968599999994</v>
      </c>
      <c r="G213" s="63" t="str">
        <f>G212</f>
        <v>22nd Floor</v>
      </c>
      <c r="H213" s="64"/>
      <c r="I213" s="39"/>
    </row>
    <row r="214" spans="1:16" s="52" customFormat="1" x14ac:dyDescent="0.25">
      <c r="A214" s="49">
        <v>5</v>
      </c>
      <c r="B214" s="49" t="s">
        <v>188</v>
      </c>
      <c r="C214" s="49" t="s">
        <v>186</v>
      </c>
      <c r="D214" s="49">
        <f>29.7*10.764</f>
        <v>319.69079999999997</v>
      </c>
      <c r="E214" s="49">
        <v>0</v>
      </c>
      <c r="F214" s="49">
        <f t="shared" si="21"/>
        <v>495.52073999999999</v>
      </c>
      <c r="G214" s="63" t="str">
        <f>G213</f>
        <v>22nd Floor</v>
      </c>
      <c r="H214" s="64"/>
      <c r="I214" s="39"/>
    </row>
    <row r="215" spans="1:16" s="52" customFormat="1" x14ac:dyDescent="0.25">
      <c r="A215" s="49">
        <v>6</v>
      </c>
      <c r="B215" s="49" t="s">
        <v>188</v>
      </c>
      <c r="C215" s="49" t="s">
        <v>186</v>
      </c>
      <c r="D215" s="49">
        <f>29.93*10.764</f>
        <v>322.16651999999999</v>
      </c>
      <c r="E215" s="49">
        <v>0</v>
      </c>
      <c r="F215" s="49">
        <f t="shared" si="21"/>
        <v>499.35810600000002</v>
      </c>
      <c r="G215" s="63" t="str">
        <f>G214</f>
        <v>22nd Floor</v>
      </c>
      <c r="H215" s="64"/>
      <c r="I215" s="39"/>
    </row>
    <row r="216" spans="1:16" s="38" customFormat="1" x14ac:dyDescent="0.25">
      <c r="A216" s="139" t="s">
        <v>70</v>
      </c>
      <c r="B216" s="139"/>
      <c r="C216" s="139"/>
      <c r="D216" s="139"/>
      <c r="E216" s="139"/>
      <c r="F216" s="139"/>
      <c r="G216" s="139"/>
      <c r="H216" s="139"/>
    </row>
    <row r="217" spans="1:16" s="38" customFormat="1" x14ac:dyDescent="0.25">
      <c r="A217" s="51" t="s">
        <v>152</v>
      </c>
      <c r="B217" s="117" t="s">
        <v>232</v>
      </c>
      <c r="C217" s="118"/>
      <c r="D217" s="118"/>
      <c r="E217" s="118"/>
      <c r="F217" s="118"/>
      <c r="G217" s="118"/>
      <c r="H217" s="119"/>
    </row>
    <row r="218" spans="1:16" s="38" customFormat="1" x14ac:dyDescent="0.25">
      <c r="A218" s="51" t="s">
        <v>152</v>
      </c>
      <c r="B218" s="117" t="str">
        <f>(IF(F137="Saleable area Loading :","We have considered Saleable area of Flats as per our Calculation.","We considered Saleable area of Flat as per Builder area Sheet."))</f>
        <v>We have considered Saleable area of Flats as per our Calculation.</v>
      </c>
      <c r="C218" s="118"/>
      <c r="D218" s="118"/>
      <c r="E218" s="118"/>
      <c r="F218" s="118"/>
      <c r="G218" s="118"/>
      <c r="H218" s="119"/>
    </row>
    <row r="219" spans="1:16" s="38" customFormat="1" x14ac:dyDescent="0.25">
      <c r="A219" s="51" t="s">
        <v>152</v>
      </c>
      <c r="B219" s="117" t="str">
        <f>(IF(F113="Saleable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9" s="118"/>
      <c r="D219" s="118"/>
      <c r="E219" s="118"/>
      <c r="F219" s="118"/>
      <c r="G219" s="118"/>
      <c r="H219" s="119"/>
    </row>
    <row r="220" spans="1:16" s="38" customFormat="1" x14ac:dyDescent="0.25">
      <c r="A220" s="51" t="s">
        <v>152</v>
      </c>
      <c r="B220" s="114" t="s">
        <v>122</v>
      </c>
      <c r="C220" s="115"/>
      <c r="D220" s="115"/>
      <c r="E220" s="115"/>
      <c r="F220" s="115"/>
      <c r="G220" s="115"/>
      <c r="H220" s="116"/>
    </row>
    <row r="221" spans="1:16" s="38" customFormat="1" x14ac:dyDescent="0.25">
      <c r="A221" s="51" t="s">
        <v>152</v>
      </c>
      <c r="B221" s="114" t="s">
        <v>204</v>
      </c>
      <c r="C221" s="115"/>
      <c r="D221" s="115"/>
      <c r="E221" s="115"/>
      <c r="F221" s="115"/>
      <c r="G221" s="115"/>
      <c r="H221" s="116"/>
    </row>
    <row r="222" spans="1:16" s="38" customFormat="1" x14ac:dyDescent="0.25">
      <c r="A222" s="51" t="s">
        <v>152</v>
      </c>
      <c r="B222" s="114" t="s">
        <v>151</v>
      </c>
      <c r="C222" s="115"/>
      <c r="D222" s="115"/>
      <c r="E222" s="115"/>
      <c r="F222" s="115"/>
      <c r="G222" s="115"/>
      <c r="H222" s="116"/>
    </row>
    <row r="223" spans="1:16" s="38" customFormat="1" x14ac:dyDescent="0.25">
      <c r="A223" s="51" t="s">
        <v>152</v>
      </c>
      <c r="B223" s="114" t="s">
        <v>123</v>
      </c>
      <c r="C223" s="115"/>
      <c r="D223" s="115"/>
      <c r="E223" s="115"/>
      <c r="F223" s="115"/>
      <c r="G223" s="115"/>
      <c r="H223" s="116"/>
    </row>
    <row r="224" spans="1:16" s="38" customFormat="1" ht="34.5" customHeight="1" x14ac:dyDescent="0.25">
      <c r="A224" s="51" t="s">
        <v>152</v>
      </c>
      <c r="B224" s="114" t="s">
        <v>153</v>
      </c>
      <c r="C224" s="115"/>
      <c r="D224" s="115"/>
      <c r="E224" s="115"/>
      <c r="F224" s="115"/>
      <c r="G224" s="115"/>
      <c r="H224" s="116"/>
    </row>
    <row r="225" spans="1:8" s="38" customFormat="1" x14ac:dyDescent="0.25">
      <c r="A225" s="51" t="s">
        <v>152</v>
      </c>
      <c r="B225" s="114" t="s">
        <v>124</v>
      </c>
      <c r="C225" s="115"/>
      <c r="D225" s="115"/>
      <c r="E225" s="115"/>
      <c r="F225" s="115"/>
      <c r="G225" s="115"/>
      <c r="H225" s="116"/>
    </row>
    <row r="226" spans="1:8" s="38" customFormat="1" x14ac:dyDescent="0.25">
      <c r="A226" s="62" t="s">
        <v>152</v>
      </c>
      <c r="B226" s="117" t="s">
        <v>231</v>
      </c>
      <c r="C226" s="118"/>
      <c r="D226" s="118"/>
      <c r="E226" s="118"/>
      <c r="F226" s="118"/>
      <c r="G226" s="118"/>
      <c r="H226" s="119"/>
    </row>
    <row r="227" spans="1:8" s="38" customFormat="1" ht="33" customHeight="1" x14ac:dyDescent="0.25">
      <c r="A227" s="59" t="s">
        <v>152</v>
      </c>
      <c r="B227" s="117" t="s">
        <v>236</v>
      </c>
      <c r="C227" s="118"/>
      <c r="D227" s="118"/>
      <c r="E227" s="118"/>
      <c r="F227" s="118"/>
      <c r="G227" s="118"/>
      <c r="H227" s="119"/>
    </row>
    <row r="228" spans="1:8" x14ac:dyDescent="0.25">
      <c r="A228" s="100" t="s">
        <v>63</v>
      </c>
      <c r="B228" s="100"/>
      <c r="C228" s="100"/>
      <c r="D228" s="100"/>
      <c r="E228" s="100"/>
      <c r="F228" s="100"/>
      <c r="G228" s="100"/>
      <c r="H228" s="100"/>
    </row>
    <row r="229" spans="1:8" x14ac:dyDescent="0.25">
      <c r="A229" s="84" t="s">
        <v>64</v>
      </c>
      <c r="B229" s="84"/>
      <c r="C229" s="84"/>
      <c r="D229" s="84"/>
      <c r="E229" s="84"/>
      <c r="F229" s="84"/>
      <c r="G229" s="84"/>
      <c r="H229" s="84"/>
    </row>
    <row r="230" spans="1:8" ht="15.75" customHeight="1" x14ac:dyDescent="0.25">
      <c r="A230" s="102" t="s">
        <v>65</v>
      </c>
      <c r="B230" s="102"/>
      <c r="C230" s="102"/>
      <c r="D230" s="102"/>
      <c r="E230" s="102"/>
      <c r="F230" s="102"/>
      <c r="G230" s="102"/>
      <c r="H230" s="102"/>
    </row>
    <row r="231" spans="1:8" x14ac:dyDescent="0.25">
      <c r="A231" s="84" t="s">
        <v>66</v>
      </c>
      <c r="B231" s="84"/>
      <c r="C231" s="84"/>
      <c r="D231" s="84"/>
      <c r="E231" s="84"/>
      <c r="F231" s="84"/>
      <c r="G231" s="84"/>
      <c r="H231" s="84"/>
    </row>
    <row r="232" spans="1:8" x14ac:dyDescent="0.25">
      <c r="A232" s="84" t="s">
        <v>67</v>
      </c>
      <c r="B232" s="84"/>
      <c r="C232" s="84"/>
      <c r="D232" s="84"/>
      <c r="E232" s="84"/>
      <c r="F232" s="84"/>
      <c r="G232" s="84"/>
      <c r="H232" s="84"/>
    </row>
    <row r="233" spans="1:8" x14ac:dyDescent="0.25">
      <c r="A233" s="84" t="s">
        <v>125</v>
      </c>
      <c r="B233" s="84"/>
      <c r="C233" s="84"/>
      <c r="D233" s="84"/>
      <c r="E233" s="84"/>
      <c r="F233" s="84"/>
      <c r="G233" s="84"/>
      <c r="H233" s="84"/>
    </row>
    <row r="234" spans="1:8" ht="35.25" customHeight="1" x14ac:dyDescent="0.25">
      <c r="A234" s="101" t="s">
        <v>126</v>
      </c>
      <c r="B234" s="101"/>
      <c r="C234" s="101"/>
      <c r="D234" s="101"/>
      <c r="E234" s="101"/>
      <c r="F234" s="101"/>
      <c r="G234" s="101"/>
      <c r="H234" s="101"/>
    </row>
    <row r="235" spans="1:8" x14ac:dyDescent="0.25">
      <c r="A235" s="133" t="s">
        <v>79</v>
      </c>
      <c r="B235" s="133"/>
      <c r="C235" s="133" t="s">
        <v>202</v>
      </c>
      <c r="D235" s="133"/>
      <c r="E235" s="133" t="s">
        <v>104</v>
      </c>
      <c r="F235" s="133"/>
      <c r="G235" s="134" t="s">
        <v>234</v>
      </c>
      <c r="H235" s="134"/>
    </row>
    <row r="236" spans="1:8" x14ac:dyDescent="0.25">
      <c r="A236" s="132" t="s">
        <v>81</v>
      </c>
      <c r="B236" s="132"/>
      <c r="C236" s="132"/>
      <c r="D236" s="132"/>
      <c r="E236" s="132"/>
      <c r="F236" s="132"/>
      <c r="G236" s="132"/>
      <c r="H236" s="132"/>
    </row>
    <row r="237" spans="1:8" x14ac:dyDescent="0.25">
      <c r="A237" s="132"/>
      <c r="B237" s="132"/>
      <c r="C237" s="132"/>
      <c r="D237" s="132"/>
      <c r="E237" s="132"/>
      <c r="F237" s="132"/>
      <c r="G237" s="132"/>
      <c r="H237" s="132"/>
    </row>
    <row r="238" spans="1:8" x14ac:dyDescent="0.25">
      <c r="A238" s="132"/>
      <c r="B238" s="132"/>
      <c r="C238" s="132"/>
      <c r="D238" s="132"/>
      <c r="E238" s="132"/>
      <c r="F238" s="132"/>
      <c r="G238" s="132"/>
      <c r="H238" s="132"/>
    </row>
    <row r="239" spans="1:8" x14ac:dyDescent="0.25">
      <c r="A239" s="132"/>
      <c r="B239" s="132"/>
      <c r="C239" s="132"/>
      <c r="D239" s="132"/>
      <c r="E239" s="132"/>
      <c r="F239" s="132"/>
      <c r="G239" s="132"/>
      <c r="H239" s="132"/>
    </row>
    <row r="240" spans="1:8" x14ac:dyDescent="0.25">
      <c r="A240" s="41" t="s">
        <v>68</v>
      </c>
      <c r="B240" s="42"/>
      <c r="C240" s="42"/>
      <c r="D240" s="41" t="str">
        <f>E8</f>
        <v>Fairmont</v>
      </c>
      <c r="F240" s="42"/>
      <c r="G240" s="42"/>
      <c r="H240" s="42"/>
    </row>
    <row r="241" spans="1:8" x14ac:dyDescent="0.25">
      <c r="A241" s="42"/>
      <c r="B241" s="42"/>
      <c r="C241" s="42"/>
      <c r="D241" s="42"/>
      <c r="E241" s="42"/>
      <c r="F241" s="42"/>
      <c r="G241" s="42"/>
      <c r="H241" s="42"/>
    </row>
    <row r="242" spans="1:8" x14ac:dyDescent="0.25">
      <c r="A242" s="42"/>
      <c r="B242" s="42"/>
      <c r="C242" s="42"/>
      <c r="D242" s="42"/>
      <c r="E242" s="42"/>
      <c r="F242" s="42"/>
      <c r="G242" s="42"/>
      <c r="H242" s="42"/>
    </row>
    <row r="243" spans="1:8" ht="15" customHeight="1" x14ac:dyDescent="0.25"/>
    <row r="282" spans="1:1" ht="16.5" customHeight="1" x14ac:dyDescent="0.25"/>
    <row r="283" spans="1:1" x14ac:dyDescent="0.25">
      <c r="A283" s="44" t="s">
        <v>69</v>
      </c>
    </row>
  </sheetData>
  <mergeCells count="393">
    <mergeCell ref="B226:H226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B227:H227"/>
    <mergeCell ref="A9:D9"/>
    <mergeCell ref="E9:H9"/>
    <mergeCell ref="B224:H224"/>
    <mergeCell ref="A46:B46"/>
    <mergeCell ref="C46:H46"/>
    <mergeCell ref="B222:H222"/>
    <mergeCell ref="F94:H94"/>
    <mergeCell ref="A94:E94"/>
    <mergeCell ref="G148:H148"/>
    <mergeCell ref="G143:H143"/>
    <mergeCell ref="D113:D114"/>
    <mergeCell ref="A101:B101"/>
    <mergeCell ref="G149:H149"/>
    <mergeCell ref="G147:H147"/>
    <mergeCell ref="G109:H109"/>
    <mergeCell ref="C101:D101"/>
    <mergeCell ref="E101:F101"/>
    <mergeCell ref="G101:H101"/>
    <mergeCell ref="G200:H200"/>
    <mergeCell ref="G201:H201"/>
    <mergeCell ref="C200:F201"/>
    <mergeCell ref="C207:F208"/>
    <mergeCell ref="A95:E95"/>
    <mergeCell ref="F95:H95"/>
    <mergeCell ref="G121:H121"/>
    <mergeCell ref="A102:B102"/>
    <mergeCell ref="C102:D102"/>
    <mergeCell ref="E102:F102"/>
    <mergeCell ref="G102:H102"/>
    <mergeCell ref="A108:B108"/>
    <mergeCell ref="C108:D108"/>
    <mergeCell ref="E108:F108"/>
    <mergeCell ref="G108:H108"/>
    <mergeCell ref="C104:D104"/>
    <mergeCell ref="G104:H104"/>
    <mergeCell ref="A106:B106"/>
    <mergeCell ref="C106:D106"/>
    <mergeCell ref="E106:F106"/>
    <mergeCell ref="G106:H106"/>
    <mergeCell ref="A107:B107"/>
    <mergeCell ref="C107:D107"/>
    <mergeCell ref="E107:F107"/>
    <mergeCell ref="G107:H107"/>
    <mergeCell ref="A110:B110"/>
    <mergeCell ref="C110:D110"/>
    <mergeCell ref="E110:F110"/>
    <mergeCell ref="B218:H218"/>
    <mergeCell ref="B220:H220"/>
    <mergeCell ref="B221:H221"/>
    <mergeCell ref="G168:H168"/>
    <mergeCell ref="G175:H175"/>
    <mergeCell ref="G176:H176"/>
    <mergeCell ref="G177:H177"/>
    <mergeCell ref="G178:H178"/>
    <mergeCell ref="G185:H185"/>
    <mergeCell ref="G186:H186"/>
    <mergeCell ref="G187:H187"/>
    <mergeCell ref="G179:H179"/>
    <mergeCell ref="G180:H180"/>
    <mergeCell ref="C177:F177"/>
    <mergeCell ref="C178:F179"/>
    <mergeCell ref="A181:H181"/>
    <mergeCell ref="G182:H182"/>
    <mergeCell ref="G199:H199"/>
    <mergeCell ref="G213:H213"/>
    <mergeCell ref="G214:H214"/>
    <mergeCell ref="G215:H215"/>
    <mergeCell ref="A202:H202"/>
    <mergeCell ref="A174:H174"/>
    <mergeCell ref="G210:H210"/>
    <mergeCell ref="A57:C57"/>
    <mergeCell ref="A58:C58"/>
    <mergeCell ref="L120:M120"/>
    <mergeCell ref="L119:M119"/>
    <mergeCell ref="L118:M118"/>
    <mergeCell ref="L117:M117"/>
    <mergeCell ref="A75:B75"/>
    <mergeCell ref="C105:D105"/>
    <mergeCell ref="E105:F105"/>
    <mergeCell ref="G105:H105"/>
    <mergeCell ref="A93:E93"/>
    <mergeCell ref="A116:H116"/>
    <mergeCell ref="E113:E114"/>
    <mergeCell ref="G113:H114"/>
    <mergeCell ref="G119:H119"/>
    <mergeCell ref="G117:H117"/>
    <mergeCell ref="G118:H118"/>
    <mergeCell ref="G120:H120"/>
    <mergeCell ref="A109:B109"/>
    <mergeCell ref="E109:F109"/>
    <mergeCell ref="C109:D109"/>
    <mergeCell ref="A92:E92"/>
    <mergeCell ref="F92:H92"/>
    <mergeCell ref="A115:H11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D57:H57"/>
    <mergeCell ref="E68:F77"/>
    <mergeCell ref="G68:H77"/>
    <mergeCell ref="A76:B76"/>
    <mergeCell ref="A77:B77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4:B74"/>
    <mergeCell ref="A67:B67"/>
    <mergeCell ref="A70:B70"/>
    <mergeCell ref="A66:B66"/>
    <mergeCell ref="A64:B64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A236:H239"/>
    <mergeCell ref="A235:B235"/>
    <mergeCell ref="E235:F235"/>
    <mergeCell ref="C235:D235"/>
    <mergeCell ref="G235:H235"/>
    <mergeCell ref="A98:H98"/>
    <mergeCell ref="A96:E96"/>
    <mergeCell ref="F96:H96"/>
    <mergeCell ref="A97:E97"/>
    <mergeCell ref="F97:H97"/>
    <mergeCell ref="A142:H142"/>
    <mergeCell ref="A105:B105"/>
    <mergeCell ref="A100:B100"/>
    <mergeCell ref="A231:H231"/>
    <mergeCell ref="A103:H103"/>
    <mergeCell ref="A234:H234"/>
    <mergeCell ref="A232:H232"/>
    <mergeCell ref="A216:H216"/>
    <mergeCell ref="G159:H159"/>
    <mergeCell ref="C113:C114"/>
    <mergeCell ref="B137:B138"/>
    <mergeCell ref="A156:H156"/>
    <mergeCell ref="A146:H146"/>
    <mergeCell ref="B223:H223"/>
    <mergeCell ref="A54:C54"/>
    <mergeCell ref="D54:H54"/>
    <mergeCell ref="G51:H51"/>
    <mergeCell ref="C50:H50"/>
    <mergeCell ref="A228:H228"/>
    <mergeCell ref="A229:H229"/>
    <mergeCell ref="E104:F104"/>
    <mergeCell ref="E99:F99"/>
    <mergeCell ref="A111:H111"/>
    <mergeCell ref="G145:H145"/>
    <mergeCell ref="A99:B99"/>
    <mergeCell ref="C99:D99"/>
    <mergeCell ref="G158:H158"/>
    <mergeCell ref="A112:H112"/>
    <mergeCell ref="G99:H99"/>
    <mergeCell ref="C100:D100"/>
    <mergeCell ref="C64:H64"/>
    <mergeCell ref="A72:B72"/>
    <mergeCell ref="A59:C59"/>
    <mergeCell ref="D59:H59"/>
    <mergeCell ref="C66:H66"/>
    <mergeCell ref="A69:B69"/>
    <mergeCell ref="A71:B71"/>
    <mergeCell ref="E67:F67"/>
    <mergeCell ref="A233:H233"/>
    <mergeCell ref="A230:H230"/>
    <mergeCell ref="G160:H160"/>
    <mergeCell ref="A104:B104"/>
    <mergeCell ref="D137:D138"/>
    <mergeCell ref="E137:E138"/>
    <mergeCell ref="G137:H138"/>
    <mergeCell ref="F93:H93"/>
    <mergeCell ref="G100:H100"/>
    <mergeCell ref="E100:F100"/>
    <mergeCell ref="G144:H144"/>
    <mergeCell ref="B113:B114"/>
    <mergeCell ref="A113:A114"/>
    <mergeCell ref="C137:C138"/>
    <mergeCell ref="B225:H225"/>
    <mergeCell ref="G157:H157"/>
    <mergeCell ref="B219:H219"/>
    <mergeCell ref="G170:H170"/>
    <mergeCell ref="G169:H169"/>
    <mergeCell ref="A167:H167"/>
    <mergeCell ref="G172:H172"/>
    <mergeCell ref="G171:H171"/>
    <mergeCell ref="B217:H217"/>
    <mergeCell ref="A139:H139"/>
    <mergeCell ref="L121:M121"/>
    <mergeCell ref="G122:H122"/>
    <mergeCell ref="L122:M122"/>
    <mergeCell ref="A125:H125"/>
    <mergeCell ref="A126:H126"/>
    <mergeCell ref="E40:H40"/>
    <mergeCell ref="A40:D40"/>
    <mergeCell ref="A73:B73"/>
    <mergeCell ref="A47:B47"/>
    <mergeCell ref="C47:E47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123:H123"/>
    <mergeCell ref="G124:H124"/>
    <mergeCell ref="A48:B48"/>
    <mergeCell ref="A52:H52"/>
    <mergeCell ref="A53:C53"/>
    <mergeCell ref="L124:M124"/>
    <mergeCell ref="L135:M135"/>
    <mergeCell ref="A134:H134"/>
    <mergeCell ref="G135:H135"/>
    <mergeCell ref="L127:M127"/>
    <mergeCell ref="G128:H128"/>
    <mergeCell ref="L128:M128"/>
    <mergeCell ref="G129:H129"/>
    <mergeCell ref="L129:M129"/>
    <mergeCell ref="G130:H130"/>
    <mergeCell ref="L130:M130"/>
    <mergeCell ref="G131:H131"/>
    <mergeCell ref="L131:M131"/>
    <mergeCell ref="G127:H127"/>
    <mergeCell ref="G132:H132"/>
    <mergeCell ref="L132:M132"/>
    <mergeCell ref="G133:H133"/>
    <mergeCell ref="L133:M133"/>
    <mergeCell ref="L142:M142"/>
    <mergeCell ref="A136:H136"/>
    <mergeCell ref="A137:A138"/>
    <mergeCell ref="G150:H150"/>
    <mergeCell ref="A140:H140"/>
    <mergeCell ref="A151:H151"/>
    <mergeCell ref="G152:H152"/>
    <mergeCell ref="G153:H153"/>
    <mergeCell ref="A141:H141"/>
    <mergeCell ref="G212:H212"/>
    <mergeCell ref="A195:H195"/>
    <mergeCell ref="G196:H196"/>
    <mergeCell ref="G197:H197"/>
    <mergeCell ref="G198:H198"/>
    <mergeCell ref="G208:H208"/>
    <mergeCell ref="G207:H207"/>
    <mergeCell ref="G110:H110"/>
    <mergeCell ref="C175:F176"/>
    <mergeCell ref="C168:F169"/>
    <mergeCell ref="C182:F183"/>
    <mergeCell ref="G203:H203"/>
    <mergeCell ref="G204:H204"/>
    <mergeCell ref="G205:H205"/>
    <mergeCell ref="G206:H206"/>
    <mergeCell ref="A209:H209"/>
    <mergeCell ref="G192:H192"/>
    <mergeCell ref="G193:H193"/>
    <mergeCell ref="G194:H194"/>
    <mergeCell ref="G183:H183"/>
    <mergeCell ref="G184:H184"/>
    <mergeCell ref="A188:H188"/>
    <mergeCell ref="G189:H189"/>
    <mergeCell ref="C157:F157"/>
    <mergeCell ref="G190:H190"/>
    <mergeCell ref="G191:H191"/>
    <mergeCell ref="G154:H154"/>
    <mergeCell ref="G155:H155"/>
    <mergeCell ref="C152:F152"/>
    <mergeCell ref="A166:H166"/>
    <mergeCell ref="C171:F171"/>
    <mergeCell ref="G173:H173"/>
    <mergeCell ref="G211:H211"/>
    <mergeCell ref="A161:H161"/>
    <mergeCell ref="G162:H162"/>
    <mergeCell ref="G163:H163"/>
    <mergeCell ref="G164:H164"/>
    <mergeCell ref="G165:H165"/>
  </mergeCells>
  <dataValidations count="1">
    <dataValidation type="list" allowBlank="1" showInputMessage="1" showErrorMessage="1" sqref="G235:H235">
      <formula1>"Kunal Kadam,Pranita Mhatre,Shruti Fule,Pooja Kawale,Gaurav Panchal,Shruti Tathare, Hitakshi Mhatre, Sachin Sawant"</formula1>
    </dataValidation>
  </dataValidation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3" max="16383" man="1"/>
    <brk id="239" max="16383" man="1"/>
    <brk id="2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D6" sqref="D6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81" t="s">
        <v>105</v>
      </c>
      <c r="C3" s="181"/>
      <c r="D3" s="181"/>
      <c r="E3" s="181"/>
      <c r="F3" s="181"/>
      <c r="G3" s="181"/>
      <c r="H3" s="181"/>
    </row>
    <row r="4" spans="1:9" x14ac:dyDescent="0.25">
      <c r="A4" s="3"/>
      <c r="B4" s="4" t="s">
        <v>106</v>
      </c>
      <c r="C4" s="4" t="s">
        <v>107</v>
      </c>
      <c r="D4" s="4" t="s">
        <v>71</v>
      </c>
      <c r="E4" s="4" t="s">
        <v>108</v>
      </c>
      <c r="F4" s="4" t="s">
        <v>114</v>
      </c>
      <c r="G4" s="4" t="s">
        <v>115</v>
      </c>
      <c r="H4" s="4" t="s">
        <v>109</v>
      </c>
    </row>
    <row r="5" spans="1:9" ht="15" customHeight="1" x14ac:dyDescent="0.25">
      <c r="A5" s="3"/>
      <c r="B5" s="6" t="s">
        <v>110</v>
      </c>
      <c r="C5" s="7"/>
      <c r="D5" s="54" t="s">
        <v>203</v>
      </c>
      <c r="E5" s="6">
        <v>382</v>
      </c>
      <c r="F5" s="8">
        <f>E5*1.6</f>
        <v>611.20000000000005</v>
      </c>
      <c r="G5" s="8">
        <f>H5/F5</f>
        <v>0</v>
      </c>
      <c r="H5" s="9"/>
    </row>
    <row r="6" spans="1:9" x14ac:dyDescent="0.25">
      <c r="A6" s="3"/>
      <c r="B6" s="6" t="s">
        <v>110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110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110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110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111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111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112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113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2025-07-14T05:49:23Z</cp:lastPrinted>
  <dcterms:created xsi:type="dcterms:W3CDTF">2019-07-16T09:29:46Z</dcterms:created>
  <dcterms:modified xsi:type="dcterms:W3CDTF">2025-07-14T05:49:37Z</dcterms:modified>
</cp:coreProperties>
</file>