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" i="1" l="1"/>
  <c r="D308" i="1"/>
  <c r="F308" i="1" s="1"/>
  <c r="D307" i="1"/>
  <c r="F307" i="1" s="1"/>
  <c r="D306" i="1"/>
  <c r="F306" i="1" s="1"/>
  <c r="A296" i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G295" i="1"/>
  <c r="D293" i="1"/>
  <c r="F293" i="1" s="1"/>
  <c r="D292" i="1"/>
  <c r="F292" i="1" s="1"/>
  <c r="D291" i="1"/>
  <c r="F291" i="1" s="1"/>
  <c r="D290" i="1"/>
  <c r="F290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A280" i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G279" i="1"/>
  <c r="D279" i="1"/>
  <c r="F279" i="1" s="1"/>
  <c r="D252" i="1"/>
  <c r="F252" i="1" s="1"/>
  <c r="D251" i="1"/>
  <c r="F251" i="1" s="1"/>
  <c r="D261" i="1"/>
  <c r="F261" i="1" s="1"/>
  <c r="D260" i="1"/>
  <c r="F260" i="1" s="1"/>
  <c r="D259" i="1"/>
  <c r="D258" i="1"/>
  <c r="F258" i="1" s="1"/>
  <c r="D270" i="1"/>
  <c r="D267" i="1"/>
  <c r="D277" i="1"/>
  <c r="F277" i="1" s="1"/>
  <c r="D274" i="1"/>
  <c r="F274" i="1" s="1"/>
  <c r="D275" i="1"/>
  <c r="F275" i="1" s="1"/>
  <c r="D276" i="1"/>
  <c r="F276" i="1" s="1"/>
  <c r="D273" i="1"/>
  <c r="F273" i="1" s="1"/>
  <c r="D272" i="1"/>
  <c r="F272" i="1" s="1"/>
  <c r="D266" i="1"/>
  <c r="F266" i="1" s="1"/>
  <c r="D265" i="1"/>
  <c r="F265" i="1" s="1"/>
  <c r="D264" i="1"/>
  <c r="D271" i="1"/>
  <c r="F271" i="1" s="1"/>
  <c r="D269" i="1"/>
  <c r="F269" i="1" s="1"/>
  <c r="D268" i="1"/>
  <c r="F268" i="1" s="1"/>
  <c r="D263" i="1"/>
  <c r="F263" i="1" s="1"/>
  <c r="G263" i="1"/>
  <c r="F270" i="1"/>
  <c r="F267" i="1"/>
  <c r="F259" i="1"/>
  <c r="F264" i="1"/>
  <c r="A264" i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56" i="1"/>
  <c r="A257" i="1" s="1"/>
  <c r="A258" i="1" s="1"/>
  <c r="A259" i="1" s="1"/>
  <c r="A260" i="1" s="1"/>
  <c r="A261" i="1" s="1"/>
  <c r="I255" i="1"/>
  <c r="A252" i="1"/>
  <c r="A253" i="1" s="1"/>
  <c r="A254" i="1" s="1"/>
  <c r="I251" i="1"/>
  <c r="D250" i="1"/>
  <c r="F250" i="1" s="1"/>
  <c r="D248" i="1"/>
  <c r="F248" i="1" s="1"/>
  <c r="A248" i="1"/>
  <c r="A249" i="1" s="1"/>
  <c r="A250" i="1" s="1"/>
  <c r="I247" i="1"/>
  <c r="G247" i="1"/>
  <c r="D247" i="1"/>
  <c r="F247" i="1" s="1"/>
  <c r="D244" i="1"/>
  <c r="F244" i="1" s="1"/>
  <c r="D243" i="1"/>
  <c r="F243" i="1" s="1"/>
  <c r="D242" i="1"/>
  <c r="F242" i="1" s="1"/>
  <c r="D240" i="1"/>
  <c r="F240" i="1" s="1"/>
  <c r="D239" i="1"/>
  <c r="F239" i="1" s="1"/>
  <c r="D238" i="1"/>
  <c r="F238" i="1" s="1"/>
  <c r="D235" i="1"/>
  <c r="F235" i="1" s="1"/>
  <c r="D233" i="1"/>
  <c r="F233" i="1" s="1"/>
  <c r="D232" i="1"/>
  <c r="F232" i="1" s="1"/>
  <c r="D231" i="1"/>
  <c r="F231" i="1" s="1"/>
  <c r="D228" i="1"/>
  <c r="D202" i="1"/>
  <c r="D236" i="1"/>
  <c r="F236" i="1" s="1"/>
  <c r="D229" i="1"/>
  <c r="F229" i="1" s="1"/>
  <c r="A243" i="1"/>
  <c r="A244" i="1" s="1"/>
  <c r="G242" i="1"/>
  <c r="A239" i="1"/>
  <c r="A240" i="1" s="1"/>
  <c r="G238" i="1"/>
  <c r="A236" i="1"/>
  <c r="G235" i="1"/>
  <c r="A232" i="1"/>
  <c r="A233" i="1" s="1"/>
  <c r="G231" i="1"/>
  <c r="A229" i="1"/>
  <c r="I228" i="1"/>
  <c r="G228" i="1"/>
  <c r="D225" i="1"/>
  <c r="F225" i="1" s="1"/>
  <c r="D224" i="1"/>
  <c r="F224" i="1" s="1"/>
  <c r="D223" i="1"/>
  <c r="F223" i="1" s="1"/>
  <c r="A223" i="1"/>
  <c r="A224" i="1" s="1"/>
  <c r="A225" i="1" s="1"/>
  <c r="G222" i="1"/>
  <c r="D222" i="1"/>
  <c r="F222" i="1" s="1"/>
  <c r="D220" i="1"/>
  <c r="F220" i="1" s="1"/>
  <c r="D219" i="1"/>
  <c r="F219" i="1" s="1"/>
  <c r="D218" i="1"/>
  <c r="F218" i="1" s="1"/>
  <c r="A218" i="1"/>
  <c r="A219" i="1" s="1"/>
  <c r="A220" i="1" s="1"/>
  <c r="G217" i="1"/>
  <c r="D217" i="1"/>
  <c r="F217" i="1" s="1"/>
  <c r="D215" i="1"/>
  <c r="F215" i="1" s="1"/>
  <c r="D213" i="1"/>
  <c r="F213" i="1" s="1"/>
  <c r="A213" i="1"/>
  <c r="A214" i="1" s="1"/>
  <c r="A215" i="1" s="1"/>
  <c r="G212" i="1"/>
  <c r="D212" i="1"/>
  <c r="F212" i="1" s="1"/>
  <c r="D209" i="1"/>
  <c r="D210" i="1"/>
  <c r="D208" i="1"/>
  <c r="D207" i="1"/>
  <c r="I202" i="1"/>
  <c r="D205" i="1"/>
  <c r="F205" i="1" s="1"/>
  <c r="D203" i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D178" i="1"/>
  <c r="D177" i="1"/>
  <c r="D176" i="1"/>
  <c r="D175" i="1"/>
  <c r="D174" i="1"/>
  <c r="A193" i="1"/>
  <c r="A194" i="1" s="1"/>
  <c r="A189" i="1"/>
  <c r="A190" i="1" s="1"/>
  <c r="A191" i="1" s="1"/>
  <c r="A187" i="1"/>
  <c r="A181" i="1"/>
  <c r="A182" i="1" s="1"/>
  <c r="D172" i="1"/>
  <c r="F172" i="1" s="1"/>
  <c r="D171" i="1"/>
  <c r="F171" i="1" s="1"/>
  <c r="D170" i="1"/>
  <c r="F170" i="1" s="1"/>
  <c r="J169" i="1" s="1"/>
  <c r="D169" i="1"/>
  <c r="F169" i="1" s="1"/>
  <c r="D168" i="1"/>
  <c r="F168" i="1" s="1"/>
  <c r="D167" i="1"/>
  <c r="F167" i="1" s="1"/>
  <c r="D166" i="1"/>
  <c r="F166" i="1" s="1"/>
  <c r="J170" i="1" s="1"/>
  <c r="D165" i="1"/>
  <c r="F165" i="1" s="1"/>
  <c r="D164" i="1"/>
  <c r="F164" i="1" s="1"/>
  <c r="J163" i="1" s="1"/>
  <c r="D163" i="1"/>
  <c r="F163" i="1" s="1"/>
  <c r="D162" i="1"/>
  <c r="F162" i="1" s="1"/>
  <c r="D161" i="1"/>
  <c r="F161" i="1" s="1"/>
  <c r="D160" i="1"/>
  <c r="F160" i="1" s="1"/>
  <c r="J164" i="1" s="1"/>
  <c r="D159" i="1"/>
  <c r="F159" i="1" s="1"/>
  <c r="D157" i="1"/>
  <c r="F157" i="1" s="1"/>
  <c r="I170" i="1"/>
  <c r="I164" i="1"/>
  <c r="J160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I159" i="1"/>
  <c r="G159" i="1"/>
  <c r="D156" i="1"/>
  <c r="F156" i="1" s="1"/>
  <c r="D155" i="1"/>
  <c r="F155" i="1" s="1"/>
  <c r="D154" i="1"/>
  <c r="F154" i="1" s="1"/>
  <c r="D153" i="1"/>
  <c r="F153" i="1" s="1"/>
  <c r="J152" i="1" s="1"/>
  <c r="D152" i="1"/>
  <c r="F152" i="1" s="1"/>
  <c r="D151" i="1"/>
  <c r="F151" i="1" s="1"/>
  <c r="I153" i="1"/>
  <c r="D150" i="1"/>
  <c r="D149" i="1"/>
  <c r="D148" i="1"/>
  <c r="D147" i="1"/>
  <c r="D146" i="1"/>
  <c r="D145" i="1"/>
  <c r="D144" i="1"/>
  <c r="D143" i="1"/>
  <c r="D142" i="1"/>
  <c r="C95" i="1"/>
  <c r="G49" i="1"/>
  <c r="C125" i="1" l="1"/>
  <c r="E126" i="1"/>
  <c r="C130" i="1"/>
  <c r="C126" i="1"/>
  <c r="C127" i="1" s="1"/>
  <c r="C131" i="1"/>
  <c r="E125" i="1"/>
  <c r="E130" i="1"/>
  <c r="C132" i="1"/>
  <c r="G132" i="1"/>
  <c r="E131" i="1"/>
  <c r="E132" i="1"/>
  <c r="F228" i="1"/>
  <c r="G131" i="1" s="1"/>
  <c r="I126" i="1"/>
  <c r="F210" i="1" l="1"/>
  <c r="F209" i="1"/>
  <c r="F208" i="1"/>
  <c r="J143" i="1"/>
  <c r="A208" i="1"/>
  <c r="A209" i="1" s="1"/>
  <c r="A210" i="1" s="1"/>
  <c r="G207" i="1"/>
  <c r="F207" i="1"/>
  <c r="G202" i="1"/>
  <c r="J126" i="1" l="1"/>
  <c r="F179" i="1"/>
  <c r="F177" i="1"/>
  <c r="F175" i="1"/>
  <c r="F178" i="1"/>
  <c r="F176" i="1"/>
  <c r="A175" i="1"/>
  <c r="A176" i="1" s="1"/>
  <c r="A177" i="1" s="1"/>
  <c r="A178" i="1" s="1"/>
  <c r="A179" i="1" s="1"/>
  <c r="G174" i="1"/>
  <c r="F174" i="1"/>
  <c r="I147" i="1"/>
  <c r="F150" i="1"/>
  <c r="F148" i="1"/>
  <c r="F147" i="1"/>
  <c r="J146" i="1" s="1"/>
  <c r="F146" i="1"/>
  <c r="F145" i="1"/>
  <c r="F144" i="1"/>
  <c r="I142" i="1"/>
  <c r="F149" i="1"/>
  <c r="J153" i="1" s="1"/>
  <c r="C49" i="1"/>
  <c r="C50" i="1" s="1"/>
  <c r="G126" i="1" l="1"/>
  <c r="E127" i="1"/>
  <c r="C133" i="1"/>
  <c r="C134" i="1" s="1"/>
  <c r="E133" i="1"/>
  <c r="D61" i="1"/>
  <c r="E29" i="1"/>
  <c r="B311" i="1"/>
  <c r="C67" i="1"/>
  <c r="B68" i="1" s="1"/>
  <c r="E24" i="1"/>
  <c r="E26" i="1" l="1"/>
  <c r="C14" i="1"/>
  <c r="E134" i="1" l="1"/>
  <c r="E42" i="1" l="1"/>
  <c r="E43" i="1" s="1"/>
  <c r="F203" i="1" l="1"/>
  <c r="F202" i="1"/>
  <c r="A203" i="1"/>
  <c r="A204" i="1" s="1"/>
  <c r="G130" i="1" l="1"/>
  <c r="G133" i="1" s="1"/>
  <c r="A205" i="1"/>
  <c r="F122" i="1"/>
  <c r="F143" i="1" l="1"/>
  <c r="J147" i="1" s="1"/>
  <c r="F142" i="1"/>
  <c r="G125" i="1" s="1"/>
  <c r="G127" i="1" l="1"/>
  <c r="G134" i="1" l="1"/>
  <c r="B3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3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G142" i="1"/>
  <c r="C81" i="1"/>
  <c r="B82" i="1" s="1"/>
  <c r="D54" i="1"/>
  <c r="E3" i="1"/>
  <c r="H68" i="1"/>
  <c r="D80" i="1" l="1"/>
  <c r="D78" i="1"/>
  <c r="D77" i="1"/>
  <c r="D76" i="1"/>
  <c r="D74" i="1"/>
  <c r="J67" i="1"/>
  <c r="D79" i="1"/>
  <c r="D75" i="1"/>
  <c r="J71" i="1"/>
  <c r="J72" i="1"/>
  <c r="C71" i="1" s="1"/>
  <c r="J70" i="1"/>
  <c r="J73" i="1"/>
  <c r="H82" i="1"/>
  <c r="D93" i="1" l="1"/>
  <c r="D90" i="1"/>
  <c r="J84" i="1"/>
  <c r="J86" i="1"/>
  <c r="C85" i="1" s="1"/>
  <c r="D85" i="1" s="1"/>
  <c r="J87" i="1"/>
  <c r="J88" i="1" s="1"/>
  <c r="J93" i="1" s="1"/>
  <c r="D94" i="1"/>
  <c r="D91" i="1"/>
  <c r="D89" i="1"/>
  <c r="J81" i="1"/>
  <c r="J83" i="1" s="1"/>
  <c r="D88" i="1"/>
  <c r="J85" i="1"/>
  <c r="D92" i="1"/>
  <c r="J74" i="1"/>
  <c r="J79" i="1" s="1"/>
  <c r="J89" i="1"/>
  <c r="J90" i="1" s="1"/>
  <c r="J91" i="1" s="1"/>
  <c r="J92" i="1" s="1"/>
  <c r="J75" i="1"/>
  <c r="J76" i="1" s="1"/>
  <c r="J77" i="1" s="1"/>
  <c r="J78" i="1" s="1"/>
  <c r="D87" i="1"/>
  <c r="D73" i="1"/>
  <c r="J69" i="1"/>
  <c r="D71" i="1"/>
  <c r="J80" i="1" l="1"/>
  <c r="G71" i="1" s="1"/>
  <c r="J94" i="1"/>
  <c r="C86" i="1" l="1"/>
  <c r="J82" i="1" s="1"/>
  <c r="D65" i="1"/>
  <c r="D66" i="1" s="1"/>
  <c r="J68" i="1"/>
  <c r="D72" i="1"/>
  <c r="E71" i="1"/>
  <c r="I68" i="1" l="1"/>
  <c r="I69" i="1" s="1"/>
  <c r="I67" i="1" s="1"/>
  <c r="C69" i="1" s="1"/>
  <c r="G85" i="1"/>
  <c r="E85" i="1"/>
  <c r="D86" i="1"/>
  <c r="I82" i="1" s="1"/>
  <c r="I83" i="1" s="1"/>
  <c r="F66" i="1"/>
  <c r="B96" i="1" l="1"/>
  <c r="I81" i="1"/>
  <c r="C83" i="1" s="1"/>
  <c r="H96" i="1"/>
  <c r="D107" i="1" l="1"/>
  <c r="D105" i="1"/>
  <c r="D103" i="1"/>
  <c r="D101" i="1"/>
  <c r="J99" i="1"/>
  <c r="J100" i="1"/>
  <c r="C99" i="1" s="1"/>
  <c r="J98" i="1"/>
  <c r="J95" i="1"/>
  <c r="J97" i="1" s="1"/>
  <c r="D108" i="1"/>
  <c r="D106" i="1"/>
  <c r="D104" i="1"/>
  <c r="D102" i="1"/>
  <c r="J105" i="1"/>
  <c r="J103" i="1"/>
  <c r="J101" i="1"/>
  <c r="J102" i="1" s="1"/>
  <c r="J107" i="1" s="1"/>
  <c r="J108" i="1" s="1"/>
  <c r="C100" i="1" s="1"/>
  <c r="J106" i="1"/>
  <c r="J104" i="1"/>
  <c r="E99" i="1" l="1"/>
  <c r="D100" i="1"/>
  <c r="G99" i="1"/>
  <c r="D99" i="1"/>
  <c r="I96" i="1" l="1"/>
  <c r="I97" i="1" s="1"/>
  <c r="J96" i="1"/>
  <c r="I95" i="1" l="1"/>
  <c r="C97" i="1" s="1"/>
</calcChain>
</file>

<file path=xl/sharedStrings.xml><?xml version="1.0" encoding="utf-8"?>
<sst xmlns="http://schemas.openxmlformats.org/spreadsheetml/2006/main" count="539" uniqueCount="260">
  <si>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</si>
  <si>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</si>
  <si>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</si>
  <si>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</si>
  <si>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</si>
  <si>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</si>
  <si>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</si>
  <si>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</si>
  <si>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</si>
  <si>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</si>
  <si>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</si>
  <si>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</si>
  <si>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</si>
  <si>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</si>
  <si>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</si>
  <si>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</si>
  <si>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</si>
  <si>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</si>
  <si>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</si>
  <si>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</si>
  <si>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</si>
  <si>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</si>
  <si>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</si>
  <si>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</si>
  <si>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</si>
  <si>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</si>
  <si>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</si>
  <si>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</si>
  <si>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</si>
  <si>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</si>
  <si>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</si>
  <si>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</si>
  <si>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</si>
  <si>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</si>
  <si>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</si>
  <si>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</si>
  <si>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</si>
  <si>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</si>
  <si>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</si>
  <si>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</si>
  <si>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</si>
  <si>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</si>
  <si>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</si>
  <si>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</si>
  <si>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</si>
  <si>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</si>
  <si>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</si>
  <si>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</si>
  <si>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</si>
  <si>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</si>
  <si>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</si>
  <si>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</si>
  <si>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</si>
  <si>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</si>
  <si>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</si>
  <si>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</si>
  <si>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</si>
  <si>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</si>
  <si>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</si>
  <si>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</si>
  <si>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</si>
  <si>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</si>
  <si>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</si>
  <si>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</si>
  <si>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</si>
  <si>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</si>
  <si>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</si>
  <si>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</si>
  <si>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</si>
  <si>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</si>
  <si>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</si>
  <si>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</si>
  <si>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</si>
  <si>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</si>
  <si>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</si>
  <si>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</si>
  <si>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</si>
  <si>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</si>
  <si>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</si>
  <si>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</si>
  <si>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</si>
  <si>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</si>
  <si>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</si>
  <si>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</si>
  <si>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</si>
  <si>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</si>
  <si>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</si>
  <si>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</si>
  <si>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</si>
  <si>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</si>
  <si>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</si>
  <si>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</si>
  <si>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</si>
  <si>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</si>
  <si>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</si>
  <si>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</si>
  <si>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</si>
  <si>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</si>
  <si>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</si>
  <si>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</si>
  <si>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</si>
  <si>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</si>
  <si>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</si>
  <si>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</si>
  <si>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</si>
  <si>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</si>
  <si>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</si>
  <si>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</si>
  <si>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</si>
  <si>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</si>
  <si>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</si>
  <si>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</si>
  <si>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</si>
  <si>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</si>
  <si>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</si>
  <si>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</si>
  <si>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</si>
  <si>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</si>
  <si>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</si>
  <si>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</si>
  <si>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</si>
  <si>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</si>
  <si>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</si>
  <si>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</si>
  <si>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</si>
  <si>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</si>
  <si>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</si>
  <si>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</si>
  <si>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</si>
  <si>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</si>
  <si>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</si>
  <si>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</si>
  <si>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</si>
  <si>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</si>
  <si>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</si>
  <si>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</si>
  <si>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</si>
  <si>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</si>
  <si>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</si>
  <si>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</si>
  <si>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</si>
  <si>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</si>
  <si>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</si>
  <si>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</si>
  <si>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</si>
  <si>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</si>
  <si>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</si>
  <si>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</si>
  <si>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</si>
  <si>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</si>
  <si>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</si>
  <si>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</si>
  <si>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</si>
  <si>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</si>
  <si>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</si>
  <si>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</si>
  <si>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</si>
  <si>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</si>
  <si>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</si>
  <si>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</si>
  <si>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</si>
  <si>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</si>
  <si>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</si>
  <si>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</si>
  <si>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</si>
  <si>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</si>
  <si>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</si>
  <si>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</si>
  <si>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</si>
  <si>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</si>
  <si>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</si>
  <si>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</si>
  <si>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</si>
  <si>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</si>
  <si>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of the builder</t>
  </si>
  <si>
    <t>My Home Foundation Group</t>
  </si>
  <si>
    <t>Puri SeleQt</t>
  </si>
  <si>
    <t>P51800049868</t>
  </si>
  <si>
    <t>CTS No</t>
  </si>
  <si>
    <t>116 (PT), 116/1 to 3, 116/5 to 17</t>
  </si>
  <si>
    <t>Andheri</t>
  </si>
  <si>
    <t>Mumbai</t>
  </si>
  <si>
    <t>Mogra</t>
  </si>
  <si>
    <t>https://goo.gl/maps/ZegXGSReowTJvEeB6</t>
  </si>
  <si>
    <t>RK Paramhans Road</t>
  </si>
  <si>
    <t>1.8 KM from Andheri Railway Station</t>
  </si>
  <si>
    <t>Andheri (East)</t>
  </si>
  <si>
    <t>Natwar Nagar</t>
  </si>
  <si>
    <t>Raaj Chamber</t>
  </si>
  <si>
    <t>Building</t>
  </si>
  <si>
    <t>Neechem Industries</t>
  </si>
  <si>
    <t>Approved Plans, CC, Cost Sheet</t>
  </si>
  <si>
    <t>Slum Rehabilitation Authority (SRA)</t>
  </si>
  <si>
    <t>SRA/ENG/K-E/PVT/0257/20211118/
AP/C</t>
  </si>
  <si>
    <t>This CC is granted for work up to Plinth Level.</t>
  </si>
  <si>
    <t>As per RERA - 31/12/2025</t>
  </si>
  <si>
    <t>Basement Floor For Meter Room &amp; Parking</t>
  </si>
  <si>
    <t>Shop</t>
  </si>
  <si>
    <t>Office</t>
  </si>
  <si>
    <t>2nd Floor Commercial &amp; Parking</t>
  </si>
  <si>
    <t>3rd &amp; 4th Podium Floor For Parking</t>
  </si>
  <si>
    <t>Wing A</t>
  </si>
  <si>
    <t xml:space="preserve"> </t>
  </si>
  <si>
    <t>1BHK</t>
  </si>
  <si>
    <t>Wing B</t>
  </si>
  <si>
    <t>2BHK</t>
  </si>
  <si>
    <t>Refuge Area</t>
  </si>
  <si>
    <t>We considered Gross carpet area = Net carpet + Enclose Balcony.</t>
  </si>
  <si>
    <t>Swimming Pool, Multipurpose play court, Banquet hall, Mini theater, Fitness Center</t>
  </si>
  <si>
    <t>Mr. Sunil Manoharlal Puri</t>
  </si>
  <si>
    <t>022 49634477/022 4002 2116</t>
  </si>
  <si>
    <t>Cost Sheet</t>
  </si>
  <si>
    <t xml:space="preserve">https://www.99acres.com/puri-seleqt-andheri-east-mumbai-andheri-dahisar-npxid-r407476 </t>
  </si>
  <si>
    <t>28000 to 30000</t>
  </si>
  <si>
    <t>Recommended rate of the Shop Per Sq. Ft. (Gr + 1st Floor)</t>
  </si>
  <si>
    <t>Recommended rate of the Shop Per Sq. Ft. (Ground Floor)</t>
  </si>
  <si>
    <t>B &amp; C Wing = 1B + G + 1st to 2nd floor + 4P + 5th (E-Deck) + 6th to 16th Floor</t>
  </si>
  <si>
    <t>A Wing = 1B + G + 1st to 2nd floor + 4P + 5th (E-Deck) + 6th to 16th Floor</t>
  </si>
  <si>
    <t>04 Building</t>
  </si>
  <si>
    <t>Wing A, B, C &amp; D</t>
  </si>
  <si>
    <t>D Wing = 1B + G + 1st to 2nd floor + 4P + 5th (E-Deck) + 6th to 16th Floor</t>
  </si>
  <si>
    <t>A &amp; B Wing = 1B + G + 1st to 2nd floor + 3rd to 4th (Podium) + 5th (E-Deck) + 6th to 16th Floor
C Wing = 1B + G + 1st to 2nd floor + 3rd to 4th (Podium) + 5th (E-Deck) + 6th to 14th Floor
D Wing = 1B + G + 1st to 2nd floor + 3rd to 4th (Podium) + 5th (E-Deck) + 6th to 13th Floor</t>
  </si>
  <si>
    <t>Wing A to D</t>
  </si>
  <si>
    <t xml:space="preserve">Shop </t>
  </si>
  <si>
    <t xml:space="preserve">Ground Floor For Entrance Lobby, Commercial &amp; Parking </t>
  </si>
  <si>
    <t xml:space="preserve">1st Floor For Entrance Lobby, Commercial &amp; Parking </t>
  </si>
  <si>
    <t>Shop Duplex with 1st Floor</t>
  </si>
  <si>
    <t>9A</t>
  </si>
  <si>
    <t>10A</t>
  </si>
  <si>
    <t>5th E-Deck Floor</t>
  </si>
  <si>
    <t>6th Floor For Refuge Area &amp; Residential</t>
  </si>
  <si>
    <t>3BHK</t>
  </si>
  <si>
    <t>7th to 12th Floor</t>
  </si>
  <si>
    <t>13th Floor (Part Refuge Area)</t>
  </si>
  <si>
    <t>4BHK</t>
  </si>
  <si>
    <t>14th Floor</t>
  </si>
  <si>
    <t>15th &amp; 16th Floor</t>
  </si>
  <si>
    <t>Wing C + D</t>
  </si>
  <si>
    <t>Library</t>
  </si>
  <si>
    <t>Balwadi</t>
  </si>
  <si>
    <t>Health Care Center</t>
  </si>
  <si>
    <t>Wel Fare Center</t>
  </si>
  <si>
    <t>PTC</t>
  </si>
  <si>
    <t>Society Office</t>
  </si>
  <si>
    <t>Terrace Area</t>
  </si>
  <si>
    <t>Wing C + D 
PTC Flats</t>
  </si>
  <si>
    <t xml:space="preserve">Wing A Sale </t>
  </si>
  <si>
    <t>Wing B Sale</t>
  </si>
  <si>
    <t xml:space="preserve">We have updated approved plan (on.03/02/2024).
</t>
  </si>
  <si>
    <t>Sale Flats - 73, Shops - 30, Offices - 21, PTC Flats - 112</t>
  </si>
  <si>
    <t>14th Floor (Part Terrace Area)</t>
  </si>
  <si>
    <t>19.124056,72.850333</t>
  </si>
  <si>
    <t> D- wing Excavation 50% done Site person extra work given</t>
  </si>
  <si>
    <t> D- wing Footing in process done Site person extra work given</t>
  </si>
  <si>
    <t>Please provide revised approved CC, As the construction work goes beyond the CC permission.</t>
  </si>
  <si>
    <t>Mr. Rohan 9112696111</t>
  </si>
  <si>
    <t>Shruti Tathare</t>
  </si>
  <si>
    <t>Pratik Niwate</t>
  </si>
  <si>
    <t>Office No. 1031, Wing J, Akshar Business Park, Plot No. 03 Sector 25, Near APMC Market, Vashi, Navi
Mumbai, Maharashtra 400703 TEL: 022-46090378/79/80
E mail : vsjcapf@gmail.com. Web site : www.vsjadon.com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</si>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</sst>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2727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26" fillId="0" borderId="0" xfId="10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7" fillId="2" borderId="0" xfId="1" applyNumberFormat="1" applyFont="1" applyFill="1"/>
    <xf numFmtId="0" fontId="27" fillId="2" borderId="0" xfId="0" applyFont="1" applyFill="1"/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303068</xdr:colOff>
      <xdr:row>422</xdr:row>
      <xdr:rowOff>0</xdr:rowOff>
    </xdr:from>
    <xdr:to>
      <xdr:col>6</xdr:col>
      <xdr:colOff>488336</xdr:colOff>
      <xdr:row>436</xdr:row>
      <xdr:rowOff>91774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5068" y="61947136"/>
          <a:ext cx="433297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309584</xdr:colOff>
      <xdr:row>437</xdr:row>
      <xdr:rowOff>51780</xdr:rowOff>
    </xdr:from>
    <xdr:to>
      <xdr:col>6</xdr:col>
      <xdr:colOff>488336</xdr:colOff>
      <xdr:row>451</xdr:row>
      <xdr:rowOff>143551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1584" y="64986303"/>
          <a:ext cx="432645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495279</xdr:colOff>
      <xdr:row>442</xdr:row>
      <xdr:rowOff>52045</xdr:rowOff>
    </xdr:from>
    <xdr:to>
      <xdr:col>4</xdr:col>
      <xdr:colOff>365393</xdr:colOff>
      <xdr:row>445</xdr:row>
      <xdr:rowOff>28223</xdr:rowOff>
    </xdr:to>
    <xdr:sp macro="" textlink="">
      <xdr:nvSpPr>
        <xdr:cNvPr id="4" name="Rectangle 3"/>
        <xdr:cNvSpPr/>
      </xdr:nvSpPr>
      <xdr:spPr>
        <a:xfrm rot="362849">
          <a:off x="2902506" y="65982363"/>
          <a:ext cx="813955" cy="57365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196057</xdr:colOff>
      <xdr:row>399</xdr:row>
      <xdr:rowOff>632</xdr:rowOff>
    </xdr:from>
    <xdr:to>
      <xdr:col>5</xdr:col>
      <xdr:colOff>504307</xdr:colOff>
      <xdr:row>411</xdr:row>
      <xdr:rowOff>70895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971573" y="83511138"/>
          <a:ext cx="2455654" cy="287585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928782</xdr:colOff>
      <xdr:row>403</xdr:row>
      <xdr:rowOff>107298</xdr:rowOff>
    </xdr:from>
    <xdr:to>
      <xdr:col>4</xdr:col>
      <xdr:colOff>278974</xdr:colOff>
      <xdr:row>404</xdr:row>
      <xdr:rowOff>124240</xdr:rowOff>
    </xdr:to>
    <xdr:sp macro="" textlink="">
      <xdr:nvSpPr>
        <xdr:cNvPr id="15" name="Rectangle 14"/>
        <xdr:cNvSpPr/>
      </xdr:nvSpPr>
      <xdr:spPr>
        <a:xfrm rot="541153">
          <a:off x="3339021" y="84623037"/>
          <a:ext cx="294410" cy="21572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1088571</xdr:colOff>
      <xdr:row>134</xdr:row>
      <xdr:rowOff>149679</xdr:rowOff>
    </xdr:from>
    <xdr:to>
      <xdr:col>16</xdr:col>
      <xdr:colOff>211577</xdr:colOff>
      <xdr:row>140</xdr:row>
      <xdr:rowOff>18126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2642" y="30942643"/>
          <a:ext cx="5565989" cy="1487697"/>
        </a:xfrm>
        <a:prstGeom prst="rect">
          <a:avLst/>
        </a:prstGeom>
      </xdr:spPr>
    </xdr:pic>
    <xdr:clientData/>
  </xdr:twoCellAnchor>
  <xdr:twoCellAnchor>
    <xdr:from>
      <xdr:col>9</xdr:col>
      <xdr:colOff>22514</xdr:colOff>
      <xdr:row>334</xdr:row>
      <xdr:rowOff>143741</xdr:rowOff>
    </xdr:from>
    <xdr:to>
      <xdr:col>10</xdr:col>
      <xdr:colOff>689264</xdr:colOff>
      <xdr:row>337</xdr:row>
      <xdr:rowOff>195695</xdr:rowOff>
    </xdr:to>
    <xdr:sp macro="" textlink="">
      <xdr:nvSpPr>
        <xdr:cNvPr id="26" name="Rectangle 25"/>
        <xdr:cNvSpPr/>
      </xdr:nvSpPr>
      <xdr:spPr>
        <a:xfrm>
          <a:off x="8196696" y="50158650"/>
          <a:ext cx="1428750" cy="6407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Wing B</a:t>
          </a:r>
        </a:p>
      </xdr:txBody>
    </xdr:sp>
    <xdr:clientData/>
  </xdr:twoCellAnchor>
  <xdr:twoCellAnchor editAs="oneCell">
    <xdr:from>
      <xdr:col>0</xdr:col>
      <xdr:colOff>165652</xdr:colOff>
      <xdr:row>377</xdr:row>
      <xdr:rowOff>8283</xdr:rowOff>
    </xdr:from>
    <xdr:to>
      <xdr:col>7</xdr:col>
      <xdr:colOff>1127465</xdr:colOff>
      <xdr:row>398</xdr:row>
      <xdr:rowOff>81848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52" y="79355674"/>
          <a:ext cx="6651965" cy="424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161925</xdr:colOff>
      <xdr:row>360</xdr:row>
      <xdr:rowOff>142875</xdr:rowOff>
    </xdr:from>
    <xdr:to>
      <xdr:col>14</xdr:col>
      <xdr:colOff>192936</xdr:colOff>
      <xdr:row>372</xdr:row>
      <xdr:rowOff>82575</xdr:rowOff>
    </xdr:to>
    <xdr:pic>
      <xdr:nvPicPr>
        <xdr:cNvPr id="19" name="Picture 18" descr="https://vsjcllp.vsjadon.com/upload/insp-196453-92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6342875"/>
          <a:ext cx="3117111" cy="234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400050</xdr:colOff>
      <xdr:row>333</xdr:row>
      <xdr:rowOff>155575</xdr:rowOff>
    </xdr:from>
    <xdr:to>
      <xdr:col>15</xdr:col>
      <xdr:colOff>49311</xdr:colOff>
      <xdr:row>373</xdr:row>
      <xdr:rowOff>20114</xdr:rowOff>
    </xdr:to>
    <xdr:grpSp>
      <xdr:nvGrpSpPr>
        <xdr:cNvPr id="5" name="Group 4"/>
        <xdr:cNvGrpSpPr/>
      </xdr:nvGrpSpPr>
      <xdr:grpSpPr>
        <a:xfrm>
          <a:off x="7419975" y="70964425"/>
          <a:ext cx="5316636" cy="7856014"/>
          <a:chOff x="932703" y="68946059"/>
          <a:chExt cx="5567274" cy="7639740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633" y="68946059"/>
            <a:ext cx="2705344" cy="266974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2703" y="68946059"/>
            <a:ext cx="2698994" cy="266974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2174" y="74451946"/>
            <a:ext cx="2877548" cy="213385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0258" y="74451946"/>
            <a:ext cx="2156506" cy="213385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2703" y="71703485"/>
            <a:ext cx="2698994" cy="26633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633" y="71703485"/>
            <a:ext cx="2705344" cy="26633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0" name="TextBox 15"/>
          <xdr:cNvSpPr txBox="1"/>
        </xdr:nvSpPr>
        <xdr:spPr>
          <a:xfrm>
            <a:off x="2563159" y="69140294"/>
            <a:ext cx="922173" cy="3648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  <xdr:sp macro="" textlink="">
        <xdr:nvSpPr>
          <xdr:cNvPr id="51" name="TextBox 12"/>
          <xdr:cNvSpPr txBox="1"/>
        </xdr:nvSpPr>
        <xdr:spPr>
          <a:xfrm>
            <a:off x="4370989" y="69011053"/>
            <a:ext cx="1284246" cy="3648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 &amp; C</a:t>
            </a:r>
            <a:endParaRPr lang="en-IN" b="1"/>
          </a:p>
        </xdr:txBody>
      </xdr:sp>
      <xdr:sp macro="" textlink="">
        <xdr:nvSpPr>
          <xdr:cNvPr id="52" name="TextBox 12"/>
          <xdr:cNvSpPr txBox="1"/>
        </xdr:nvSpPr>
        <xdr:spPr>
          <a:xfrm>
            <a:off x="1758652" y="76161964"/>
            <a:ext cx="912672" cy="3592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D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114299</xdr:colOff>
      <xdr:row>333</xdr:row>
      <xdr:rowOff>66675</xdr:rowOff>
    </xdr:from>
    <xdr:to>
      <xdr:col>7</xdr:col>
      <xdr:colOff>1233487</xdr:colOff>
      <xdr:row>373</xdr:row>
      <xdr:rowOff>45450</xdr:rowOff>
    </xdr:to>
    <xdr:grpSp>
      <xdr:nvGrpSpPr>
        <xdr:cNvPr id="7" name="Group 6"/>
        <xdr:cNvGrpSpPr/>
      </xdr:nvGrpSpPr>
      <xdr:grpSpPr>
        <a:xfrm>
          <a:off x="114299" y="70875525"/>
          <a:ext cx="6815138" cy="7970250"/>
          <a:chOff x="142874" y="70646925"/>
          <a:chExt cx="6815138" cy="7970250"/>
        </a:xfrm>
      </xdr:grpSpPr>
      <xdr:grpSp>
        <xdr:nvGrpSpPr>
          <xdr:cNvPr id="6" name="Group 5"/>
          <xdr:cNvGrpSpPr/>
        </xdr:nvGrpSpPr>
        <xdr:grpSpPr>
          <a:xfrm>
            <a:off x="142874" y="70646925"/>
            <a:ext cx="6815138" cy="7970250"/>
            <a:chOff x="142874" y="70646925"/>
            <a:chExt cx="6815138" cy="7970250"/>
          </a:xfrm>
        </xdr:grpSpPr>
        <xdr:pic>
          <xdr:nvPicPr>
            <xdr:cNvPr id="34" name="Picture 33" descr="https://vsjcllp.vsjadon.com/upload/insp-239879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90825" y="76457175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https://vsjcllp.vsjadon.com/upload/insp-239879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5300" y="73694925"/>
              <a:ext cx="2014538" cy="26860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39879-84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43449" y="70646925"/>
              <a:ext cx="2214563" cy="29527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39879-85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38399" y="70646925"/>
              <a:ext cx="2214563" cy="29527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39879-104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4" y="70656450"/>
              <a:ext cx="2214563" cy="29527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39879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90800" y="73694925"/>
              <a:ext cx="2014538" cy="26860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39879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95825" y="73694925"/>
              <a:ext cx="2014538" cy="26860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7" name="TextBox 15"/>
          <xdr:cNvSpPr txBox="1"/>
        </xdr:nvSpPr>
        <xdr:spPr>
          <a:xfrm>
            <a:off x="1466849" y="70704075"/>
            <a:ext cx="880657" cy="37515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99acres.com/puri-seleqt-andheri-east-mumbai-andheri-dahisar-npxid-r407476" TargetMode="External"/><Relationship Id="rId1" Type="http://schemas.openxmlformats.org/officeDocument/2006/relationships/hyperlink" Target="https://goo.gl/maps/ZegXGSReowTJvEeB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1"/>
  <sheetViews>
    <sheetView tabSelected="1" view="pageBreakPreview" zoomScaleNormal="100" zoomScaleSheetLayoutView="100" zoomScalePageLayoutView="70" workbookViewId="0">
      <selection activeCell="I318" sqref="I31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9.85546875" style="40" customWidth="1"/>
    <col min="9" max="9" width="17.4257812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80" t="s">
        <v>258</v>
      </c>
      <c r="B1" s="180"/>
      <c r="C1" s="180"/>
      <c r="D1" s="180"/>
      <c r="E1" s="180"/>
      <c r="F1" s="180"/>
      <c r="G1" s="180"/>
      <c r="H1" s="180"/>
    </row>
    <row r="2" spans="1:8" ht="16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x14ac:dyDescent="0.25">
      <c r="A3" s="146" t="s">
        <v>1</v>
      </c>
      <c r="B3" s="146"/>
      <c r="C3" s="146"/>
      <c r="D3" s="146"/>
      <c r="E3" s="146" t="str">
        <f ca="1">TEXT(TODAY(),"DD/MM/YYYY")</f>
        <v>14/07/2025</v>
      </c>
      <c r="F3" s="146"/>
      <c r="G3" s="146"/>
      <c r="H3" s="146"/>
    </row>
    <row r="4" spans="1:8" x14ac:dyDescent="0.25">
      <c r="A4" s="146" t="s">
        <v>2</v>
      </c>
      <c r="B4" s="146"/>
      <c r="C4" s="146"/>
      <c r="D4" s="146"/>
      <c r="E4" s="146" t="s">
        <v>173</v>
      </c>
      <c r="F4" s="146"/>
      <c r="G4" s="146"/>
      <c r="H4" s="146"/>
    </row>
    <row r="5" spans="1:8" x14ac:dyDescent="0.25">
      <c r="A5" s="146" t="s">
        <v>3</v>
      </c>
      <c r="B5" s="146"/>
      <c r="C5" s="146"/>
      <c r="D5" s="146"/>
      <c r="E5" s="181">
        <v>45847</v>
      </c>
      <c r="F5" s="146"/>
      <c r="G5" s="146"/>
      <c r="H5" s="146"/>
    </row>
    <row r="6" spans="1:8" ht="16.5" customHeight="1" x14ac:dyDescent="0.25">
      <c r="A6" s="146" t="s">
        <v>174</v>
      </c>
      <c r="B6" s="146"/>
      <c r="C6" s="146"/>
      <c r="D6" s="146"/>
      <c r="E6" s="146" t="s">
        <v>209</v>
      </c>
      <c r="F6" s="146"/>
      <c r="G6" s="146"/>
      <c r="H6" s="146"/>
    </row>
    <row r="7" spans="1:8" x14ac:dyDescent="0.25">
      <c r="A7" s="146" t="s">
        <v>4</v>
      </c>
      <c r="B7" s="146"/>
      <c r="C7" s="146"/>
      <c r="D7" s="146"/>
      <c r="E7" s="146" t="s">
        <v>175</v>
      </c>
      <c r="F7" s="146"/>
      <c r="G7" s="146"/>
      <c r="H7" s="146"/>
    </row>
    <row r="8" spans="1:8" x14ac:dyDescent="0.25">
      <c r="A8" s="146" t="s">
        <v>5</v>
      </c>
      <c r="B8" s="146"/>
      <c r="C8" s="146"/>
      <c r="D8" s="146"/>
      <c r="E8" s="89" t="s">
        <v>176</v>
      </c>
      <c r="F8" s="90"/>
      <c r="G8" s="90"/>
      <c r="H8" s="91"/>
    </row>
    <row r="9" spans="1:8" x14ac:dyDescent="0.25">
      <c r="A9" s="146" t="s">
        <v>171</v>
      </c>
      <c r="B9" s="146"/>
      <c r="C9" s="146"/>
      <c r="D9" s="146"/>
      <c r="E9" s="146" t="s">
        <v>210</v>
      </c>
      <c r="F9" s="146"/>
      <c r="G9" s="146"/>
      <c r="H9" s="146"/>
    </row>
    <row r="10" spans="1:8" x14ac:dyDescent="0.25">
      <c r="A10" s="146" t="s">
        <v>172</v>
      </c>
      <c r="B10" s="146"/>
      <c r="C10" s="146"/>
      <c r="D10" s="146"/>
      <c r="E10" s="146" t="s">
        <v>255</v>
      </c>
      <c r="F10" s="146"/>
      <c r="G10" s="146"/>
      <c r="H10" s="146"/>
    </row>
    <row r="11" spans="1:8" x14ac:dyDescent="0.25">
      <c r="A11" s="146" t="s">
        <v>6</v>
      </c>
      <c r="B11" s="146"/>
      <c r="C11" s="146"/>
      <c r="D11" s="146"/>
      <c r="E11" s="146" t="s">
        <v>219</v>
      </c>
      <c r="F11" s="146"/>
      <c r="G11" s="146"/>
      <c r="H11" s="146"/>
    </row>
    <row r="12" spans="1:8" x14ac:dyDescent="0.25">
      <c r="A12" s="100" t="s">
        <v>7</v>
      </c>
      <c r="B12" s="100"/>
      <c r="C12" s="100"/>
      <c r="D12" s="100"/>
      <c r="E12" s="149" t="s">
        <v>191</v>
      </c>
      <c r="F12" s="149"/>
      <c r="G12" s="149"/>
      <c r="H12" s="149"/>
    </row>
    <row r="13" spans="1:8" x14ac:dyDescent="0.25">
      <c r="A13" s="100" t="s">
        <v>8</v>
      </c>
      <c r="B13" s="100"/>
      <c r="C13" s="100"/>
      <c r="D13" s="100"/>
      <c r="E13" s="149" t="s">
        <v>177</v>
      </c>
      <c r="F13" s="146"/>
      <c r="G13" s="146"/>
      <c r="H13" s="146"/>
    </row>
    <row r="14" spans="1:8" ht="30.75" customHeight="1" x14ac:dyDescent="0.25">
      <c r="A14" s="148" t="s">
        <v>9</v>
      </c>
      <c r="B14" s="148"/>
      <c r="C14" s="14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Puri SeleQt, CTS No.116 (PT), 116/1 to 3, 116/5 to 17, near Raaj Chamber, RK Paramhans Road, Natwar Nagar, Mogra, Andheri (East), Andheri, Mumbai - 400069.</v>
      </c>
      <c r="D14" s="148"/>
      <c r="E14" s="148"/>
      <c r="F14" s="148"/>
      <c r="G14" s="148"/>
      <c r="H14" s="148"/>
    </row>
    <row r="15" spans="1:8" x14ac:dyDescent="0.25">
      <c r="A15" s="149" t="s">
        <v>178</v>
      </c>
      <c r="B15" s="149"/>
      <c r="C15" s="149" t="s">
        <v>179</v>
      </c>
      <c r="D15" s="149"/>
      <c r="E15" s="149"/>
      <c r="F15" s="149"/>
      <c r="G15" s="149"/>
      <c r="H15" s="149"/>
    </row>
    <row r="16" spans="1:8" ht="15.75" customHeight="1" x14ac:dyDescent="0.25">
      <c r="A16" s="149" t="s">
        <v>167</v>
      </c>
      <c r="B16" s="149"/>
      <c r="C16" s="149" t="s">
        <v>187</v>
      </c>
      <c r="D16" s="149"/>
      <c r="E16" s="149"/>
      <c r="F16" s="149"/>
      <c r="G16" s="149"/>
      <c r="H16" s="149"/>
    </row>
    <row r="17" spans="1:8" ht="15.75" customHeight="1" x14ac:dyDescent="0.25">
      <c r="A17" s="148" t="s">
        <v>10</v>
      </c>
      <c r="B17" s="148"/>
      <c r="C17" s="146" t="s">
        <v>184</v>
      </c>
      <c r="D17" s="146"/>
      <c r="E17" s="148" t="s">
        <v>74</v>
      </c>
      <c r="F17" s="148"/>
      <c r="G17" s="149" t="s">
        <v>182</v>
      </c>
      <c r="H17" s="149"/>
    </row>
    <row r="18" spans="1:8" x14ac:dyDescent="0.25">
      <c r="A18" s="100" t="s">
        <v>12</v>
      </c>
      <c r="B18" s="100"/>
      <c r="C18" s="149" t="s">
        <v>186</v>
      </c>
      <c r="D18" s="149"/>
      <c r="E18" s="148" t="s">
        <v>11</v>
      </c>
      <c r="F18" s="148"/>
      <c r="G18" s="179" t="s">
        <v>181</v>
      </c>
      <c r="H18" s="179"/>
    </row>
    <row r="19" spans="1:8" x14ac:dyDescent="0.25">
      <c r="A19" s="100" t="s">
        <v>75</v>
      </c>
      <c r="B19" s="100"/>
      <c r="C19" s="149" t="s">
        <v>180</v>
      </c>
      <c r="D19" s="149"/>
      <c r="E19" s="148" t="s">
        <v>13</v>
      </c>
      <c r="F19" s="148"/>
      <c r="G19" s="149">
        <v>400069</v>
      </c>
      <c r="H19" s="149"/>
    </row>
    <row r="20" spans="1:8" ht="33" customHeight="1" x14ac:dyDescent="0.25">
      <c r="A20" s="100" t="s">
        <v>126</v>
      </c>
      <c r="B20" s="100"/>
      <c r="C20" s="149" t="s">
        <v>188</v>
      </c>
      <c r="D20" s="149"/>
      <c r="E20" s="148" t="s">
        <v>14</v>
      </c>
      <c r="F20" s="148"/>
      <c r="G20" s="149" t="s">
        <v>185</v>
      </c>
      <c r="H20" s="149"/>
    </row>
    <row r="21" spans="1:8" ht="15" customHeight="1" x14ac:dyDescent="0.25">
      <c r="A21" s="148" t="s">
        <v>78</v>
      </c>
      <c r="B21" s="148"/>
      <c r="C21" s="148"/>
      <c r="D21" s="148"/>
      <c r="E21" s="146" t="s">
        <v>15</v>
      </c>
      <c r="F21" s="146"/>
      <c r="G21" s="146"/>
      <c r="H21" s="146"/>
    </row>
    <row r="22" spans="1:8" ht="18.75" customHeight="1" x14ac:dyDescent="0.25">
      <c r="A22" s="148"/>
      <c r="B22" s="148"/>
      <c r="C22" s="148"/>
      <c r="D22" s="148"/>
      <c r="E22" s="146"/>
      <c r="F22" s="146"/>
      <c r="G22" s="146"/>
      <c r="H22" s="146"/>
    </row>
    <row r="23" spans="1:8" ht="15" customHeight="1" x14ac:dyDescent="0.25">
      <c r="A23" s="148" t="s">
        <v>16</v>
      </c>
      <c r="B23" s="148"/>
      <c r="C23" s="148"/>
      <c r="D23" s="148"/>
      <c r="E23" s="149" t="s">
        <v>17</v>
      </c>
      <c r="F23" s="149"/>
      <c r="G23" s="149"/>
      <c r="H23" s="149"/>
    </row>
    <row r="24" spans="1:8" ht="15" customHeight="1" x14ac:dyDescent="0.25">
      <c r="A24" s="100" t="s">
        <v>18</v>
      </c>
      <c r="B24" s="100"/>
      <c r="C24" s="100"/>
      <c r="D24" s="100"/>
      <c r="E24" s="176" t="str">
        <f>IF(AND(G18="Mumbai"),"Upper Class","Middle Class")</f>
        <v>Upper Class</v>
      </c>
      <c r="F24" s="176"/>
      <c r="G24" s="176"/>
      <c r="H24" s="176"/>
    </row>
    <row r="25" spans="1:8" x14ac:dyDescent="0.25">
      <c r="A25" s="100" t="s">
        <v>19</v>
      </c>
      <c r="B25" s="100"/>
      <c r="C25" s="100"/>
      <c r="D25" s="100"/>
      <c r="E25" s="149" t="s">
        <v>20</v>
      </c>
      <c r="F25" s="149"/>
      <c r="G25" s="149"/>
      <c r="H25" s="149"/>
    </row>
    <row r="26" spans="1:8" ht="15.75" customHeight="1" x14ac:dyDescent="0.25">
      <c r="A26" s="100" t="s">
        <v>21</v>
      </c>
      <c r="B26" s="100"/>
      <c r="C26" s="100"/>
      <c r="D26" s="100"/>
      <c r="E26" s="176" t="str">
        <f>IF(AND(G18="Mumbai"),"Developed","Developing")</f>
        <v>Developed</v>
      </c>
      <c r="F26" s="176"/>
      <c r="G26" s="176"/>
      <c r="H26" s="176"/>
    </row>
    <row r="27" spans="1:8" x14ac:dyDescent="0.25">
      <c r="A27" s="100" t="s">
        <v>22</v>
      </c>
      <c r="B27" s="100"/>
      <c r="C27" s="100"/>
      <c r="D27" s="100"/>
      <c r="E27" s="149" t="s">
        <v>23</v>
      </c>
      <c r="F27" s="149"/>
      <c r="G27" s="149"/>
      <c r="H27" s="149"/>
    </row>
    <row r="28" spans="1:8" ht="15.75" customHeight="1" x14ac:dyDescent="0.25">
      <c r="A28" s="100" t="s">
        <v>83</v>
      </c>
      <c r="B28" s="100"/>
      <c r="C28" s="100"/>
      <c r="D28" s="100"/>
      <c r="E28" s="149" t="s">
        <v>84</v>
      </c>
      <c r="F28" s="149"/>
      <c r="G28" s="149"/>
      <c r="H28" s="149"/>
    </row>
    <row r="29" spans="1:8" ht="15" customHeight="1" x14ac:dyDescent="0.25">
      <c r="A29" s="100" t="s">
        <v>32</v>
      </c>
      <c r="B29" s="100"/>
      <c r="C29" s="100"/>
      <c r="D29" s="100"/>
      <c r="E29" s="17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76"/>
      <c r="G29" s="176"/>
      <c r="H29" s="176"/>
    </row>
    <row r="30" spans="1:8" ht="15.75" customHeight="1" x14ac:dyDescent="0.25">
      <c r="A30" s="100" t="s">
        <v>95</v>
      </c>
      <c r="B30" s="100"/>
      <c r="C30" s="100"/>
      <c r="D30" s="100"/>
      <c r="E30" s="149" t="s">
        <v>33</v>
      </c>
      <c r="F30" s="149"/>
      <c r="G30" s="149"/>
      <c r="H30" s="149"/>
    </row>
    <row r="31" spans="1:8" s="22" customFormat="1" x14ac:dyDescent="0.25">
      <c r="A31" s="178" t="s">
        <v>96</v>
      </c>
      <c r="B31" s="178"/>
      <c r="C31" s="177" t="s">
        <v>28</v>
      </c>
      <c r="D31" s="177"/>
      <c r="E31" s="177"/>
      <c r="F31" s="177" t="s">
        <v>30</v>
      </c>
      <c r="G31" s="177"/>
      <c r="H31" s="177"/>
    </row>
    <row r="32" spans="1:8" s="22" customFormat="1" x14ac:dyDescent="0.25">
      <c r="A32" s="154" t="s">
        <v>24</v>
      </c>
      <c r="B32" s="154" t="s">
        <v>29</v>
      </c>
      <c r="C32" s="155" t="s">
        <v>29</v>
      </c>
      <c r="D32" s="155"/>
      <c r="E32" s="155"/>
      <c r="F32" s="155" t="s">
        <v>189</v>
      </c>
      <c r="G32" s="155"/>
      <c r="H32" s="155"/>
    </row>
    <row r="33" spans="1:8" x14ac:dyDescent="0.25">
      <c r="A33" s="154" t="s">
        <v>25</v>
      </c>
      <c r="B33" s="154" t="s">
        <v>29</v>
      </c>
      <c r="C33" s="155" t="s">
        <v>29</v>
      </c>
      <c r="D33" s="155"/>
      <c r="E33" s="155"/>
      <c r="F33" s="155" t="s">
        <v>188</v>
      </c>
      <c r="G33" s="155"/>
      <c r="H33" s="155"/>
    </row>
    <row r="34" spans="1:8" s="22" customFormat="1" x14ac:dyDescent="0.25">
      <c r="A34" s="154" t="s">
        <v>27</v>
      </c>
      <c r="B34" s="154" t="s">
        <v>29</v>
      </c>
      <c r="C34" s="155" t="s">
        <v>29</v>
      </c>
      <c r="D34" s="155"/>
      <c r="E34" s="155"/>
      <c r="F34" s="155" t="s">
        <v>190</v>
      </c>
      <c r="G34" s="155"/>
      <c r="H34" s="155"/>
    </row>
    <row r="35" spans="1:8" x14ac:dyDescent="0.25">
      <c r="A35" s="154" t="s">
        <v>26</v>
      </c>
      <c r="B35" s="154" t="s">
        <v>29</v>
      </c>
      <c r="C35" s="155" t="s">
        <v>29</v>
      </c>
      <c r="D35" s="155"/>
      <c r="E35" s="155"/>
      <c r="F35" s="155" t="s">
        <v>184</v>
      </c>
      <c r="G35" s="155"/>
      <c r="H35" s="155"/>
    </row>
    <row r="36" spans="1:8" x14ac:dyDescent="0.25">
      <c r="A36" s="100" t="s">
        <v>31</v>
      </c>
      <c r="B36" s="100"/>
      <c r="C36" s="100"/>
      <c r="D36" s="100"/>
      <c r="E36" s="100"/>
      <c r="F36" s="100"/>
      <c r="G36" s="100"/>
      <c r="H36" s="100"/>
    </row>
    <row r="37" spans="1:8" ht="15.75" customHeight="1" x14ac:dyDescent="0.25">
      <c r="A37" s="100" t="s">
        <v>169</v>
      </c>
      <c r="B37" s="100"/>
      <c r="C37" s="164" t="s">
        <v>251</v>
      </c>
      <c r="D37" s="164"/>
      <c r="E37" s="164"/>
      <c r="F37" s="164"/>
      <c r="G37" s="164"/>
      <c r="H37" s="164"/>
    </row>
    <row r="38" spans="1:8" x14ac:dyDescent="0.25">
      <c r="A38" s="100" t="s">
        <v>166</v>
      </c>
      <c r="B38" s="100"/>
      <c r="C38" s="165" t="s">
        <v>183</v>
      </c>
      <c r="D38" s="149"/>
      <c r="E38" s="149"/>
      <c r="F38" s="149"/>
      <c r="G38" s="149"/>
      <c r="H38" s="149"/>
    </row>
    <row r="39" spans="1:8" x14ac:dyDescent="0.25">
      <c r="A39" s="164" t="s">
        <v>34</v>
      </c>
      <c r="B39" s="164"/>
      <c r="C39" s="164"/>
      <c r="D39" s="164"/>
      <c r="E39" s="164"/>
      <c r="F39" s="164"/>
      <c r="G39" s="164"/>
      <c r="H39" s="164"/>
    </row>
    <row r="40" spans="1:8" x14ac:dyDescent="0.25">
      <c r="A40" s="100" t="s">
        <v>35</v>
      </c>
      <c r="B40" s="100"/>
      <c r="C40" s="100"/>
      <c r="D40" s="100"/>
      <c r="E40" s="156">
        <v>2956.2</v>
      </c>
      <c r="F40" s="156"/>
      <c r="G40" s="156"/>
      <c r="H40" s="156"/>
    </row>
    <row r="41" spans="1:8" x14ac:dyDescent="0.25">
      <c r="A41" s="100" t="s">
        <v>36</v>
      </c>
      <c r="B41" s="100"/>
      <c r="C41" s="100"/>
      <c r="D41" s="100"/>
      <c r="E41" s="175">
        <v>4</v>
      </c>
      <c r="F41" s="175"/>
      <c r="G41" s="175"/>
      <c r="H41" s="175"/>
    </row>
    <row r="42" spans="1:8" x14ac:dyDescent="0.25">
      <c r="A42" s="100" t="s">
        <v>37</v>
      </c>
      <c r="B42" s="100"/>
      <c r="C42" s="100"/>
      <c r="D42" s="100"/>
      <c r="E42" s="175">
        <f>E44/E40-E41</f>
        <v>0.35847371625735747</v>
      </c>
      <c r="F42" s="175"/>
      <c r="G42" s="175"/>
      <c r="H42" s="175"/>
    </row>
    <row r="43" spans="1:8" x14ac:dyDescent="0.25">
      <c r="A43" s="100" t="s">
        <v>38</v>
      </c>
      <c r="B43" s="100"/>
      <c r="C43" s="100"/>
      <c r="D43" s="100"/>
      <c r="E43" s="175">
        <f>E41+E42</f>
        <v>4.3584737162573575</v>
      </c>
      <c r="F43" s="175"/>
      <c r="G43" s="175"/>
      <c r="H43" s="175"/>
    </row>
    <row r="44" spans="1:8" x14ac:dyDescent="0.25">
      <c r="A44" s="100" t="s">
        <v>94</v>
      </c>
      <c r="B44" s="100"/>
      <c r="C44" s="100"/>
      <c r="D44" s="100"/>
      <c r="E44" s="145">
        <v>12884.52</v>
      </c>
      <c r="F44" s="145"/>
      <c r="G44" s="145"/>
      <c r="H44" s="145"/>
    </row>
    <row r="45" spans="1:8" x14ac:dyDescent="0.25">
      <c r="A45" s="146" t="s">
        <v>39</v>
      </c>
      <c r="B45" s="146"/>
      <c r="C45" s="146"/>
      <c r="D45" s="146"/>
      <c r="E45" s="146" t="s">
        <v>218</v>
      </c>
      <c r="F45" s="146"/>
      <c r="G45" s="146"/>
      <c r="H45" s="146"/>
    </row>
    <row r="46" spans="1:8" x14ac:dyDescent="0.25">
      <c r="A46" s="164" t="s">
        <v>40</v>
      </c>
      <c r="B46" s="164"/>
      <c r="C46" s="164"/>
      <c r="D46" s="164"/>
      <c r="E46" s="164"/>
      <c r="F46" s="164"/>
      <c r="G46" s="164"/>
      <c r="H46" s="164"/>
    </row>
    <row r="47" spans="1:8" ht="33.75" customHeight="1" x14ac:dyDescent="0.25">
      <c r="A47" s="87" t="s">
        <v>155</v>
      </c>
      <c r="B47" s="88"/>
      <c r="C47" s="89" t="s">
        <v>192</v>
      </c>
      <c r="D47" s="90"/>
      <c r="E47" s="90"/>
      <c r="F47" s="90"/>
      <c r="G47" s="90"/>
      <c r="H47" s="91"/>
    </row>
    <row r="48" spans="1:8" ht="33" customHeight="1" x14ac:dyDescent="0.25">
      <c r="A48" s="87" t="s">
        <v>41</v>
      </c>
      <c r="B48" s="88"/>
      <c r="C48" s="87" t="s">
        <v>193</v>
      </c>
      <c r="D48" s="152"/>
      <c r="E48" s="88"/>
      <c r="F48" s="18" t="s">
        <v>42</v>
      </c>
      <c r="G48" s="153">
        <v>45238</v>
      </c>
      <c r="H48" s="88"/>
    </row>
    <row r="49" spans="1:14" ht="31.5" customHeight="1" x14ac:dyDescent="0.25">
      <c r="A49" s="87" t="s">
        <v>43</v>
      </c>
      <c r="B49" s="88"/>
      <c r="C49" s="87" t="str">
        <f>C48</f>
        <v>SRA/ENG/K-E/PVT/0257/20211118/
AP/C</v>
      </c>
      <c r="D49" s="152"/>
      <c r="E49" s="88"/>
      <c r="F49" s="18" t="s">
        <v>42</v>
      </c>
      <c r="G49" s="153">
        <f>G48</f>
        <v>45238</v>
      </c>
      <c r="H49" s="88"/>
    </row>
    <row r="50" spans="1:14" s="23" customFormat="1" ht="31.5" customHeight="1" x14ac:dyDescent="0.25">
      <c r="A50" s="171" t="s">
        <v>159</v>
      </c>
      <c r="B50" s="172"/>
      <c r="C50" s="87" t="str">
        <f>C49</f>
        <v>SRA/ENG/K-E/PVT/0257/20211118/
AP/C</v>
      </c>
      <c r="D50" s="152"/>
      <c r="E50" s="88"/>
      <c r="F50" s="18" t="s">
        <v>42</v>
      </c>
      <c r="G50" s="153">
        <v>44811</v>
      </c>
      <c r="H50" s="88"/>
    </row>
    <row r="51" spans="1:14" s="23" customFormat="1" x14ac:dyDescent="0.25">
      <c r="A51" s="173"/>
      <c r="B51" s="174"/>
      <c r="C51" s="87" t="s">
        <v>194</v>
      </c>
      <c r="D51" s="152"/>
      <c r="E51" s="152"/>
      <c r="F51" s="152"/>
      <c r="G51" s="152"/>
      <c r="H51" s="88"/>
    </row>
    <row r="52" spans="1:14" x14ac:dyDescent="0.25">
      <c r="A52" s="161" t="s">
        <v>44</v>
      </c>
      <c r="B52" s="162"/>
      <c r="C52" s="161" t="s">
        <v>108</v>
      </c>
      <c r="D52" s="163"/>
      <c r="E52" s="162"/>
      <c r="F52" s="46" t="s">
        <v>42</v>
      </c>
      <c r="G52" s="150" t="s">
        <v>29</v>
      </c>
      <c r="H52" s="151"/>
    </row>
    <row r="53" spans="1:14" x14ac:dyDescent="0.25">
      <c r="A53" s="147" t="s">
        <v>46</v>
      </c>
      <c r="B53" s="147"/>
      <c r="C53" s="147"/>
      <c r="D53" s="147"/>
      <c r="E53" s="147"/>
      <c r="F53" s="147"/>
      <c r="G53" s="147"/>
      <c r="H53" s="147"/>
    </row>
    <row r="54" spans="1:14" x14ac:dyDescent="0.25">
      <c r="A54" s="148" t="s">
        <v>93</v>
      </c>
      <c r="B54" s="148"/>
      <c r="C54" s="148"/>
      <c r="D54" s="100">
        <f>E44</f>
        <v>12884.52</v>
      </c>
      <c r="E54" s="100"/>
      <c r="F54" s="100"/>
      <c r="G54" s="100"/>
      <c r="H54" s="100"/>
    </row>
    <row r="55" spans="1:14" x14ac:dyDescent="0.25">
      <c r="A55" s="149" t="s">
        <v>47</v>
      </c>
      <c r="B55" s="146"/>
      <c r="C55" s="146"/>
      <c r="D55" s="146" t="s">
        <v>249</v>
      </c>
      <c r="E55" s="146"/>
      <c r="F55" s="146"/>
      <c r="G55" s="146"/>
      <c r="H55" s="146"/>
      <c r="I55" s="24"/>
    </row>
    <row r="56" spans="1:14" ht="96.75" customHeight="1" x14ac:dyDescent="0.25">
      <c r="A56" s="168" t="s">
        <v>48</v>
      </c>
      <c r="B56" s="169"/>
      <c r="C56" s="170"/>
      <c r="D56" s="166" t="s">
        <v>221</v>
      </c>
      <c r="E56" s="167"/>
      <c r="F56" s="167"/>
      <c r="G56" s="167"/>
      <c r="H56" s="167"/>
    </row>
    <row r="57" spans="1:14" x14ac:dyDescent="0.25">
      <c r="A57" s="149" t="s">
        <v>91</v>
      </c>
      <c r="B57" s="149"/>
      <c r="C57" s="149"/>
      <c r="D57" s="149" t="s">
        <v>217</v>
      </c>
      <c r="E57" s="149"/>
      <c r="F57" s="149"/>
      <c r="G57" s="149"/>
      <c r="H57" s="149"/>
    </row>
    <row r="58" spans="1:14" ht="31.5" customHeight="1" x14ac:dyDescent="0.25">
      <c r="A58" s="149"/>
      <c r="B58" s="149"/>
      <c r="C58" s="149"/>
      <c r="D58" s="149" t="s">
        <v>216</v>
      </c>
      <c r="E58" s="149"/>
      <c r="F58" s="149"/>
      <c r="G58" s="149"/>
      <c r="H58" s="149"/>
    </row>
    <row r="59" spans="1:14" x14ac:dyDescent="0.25">
      <c r="A59" s="149"/>
      <c r="B59" s="149"/>
      <c r="C59" s="149"/>
      <c r="D59" s="149" t="s">
        <v>220</v>
      </c>
      <c r="E59" s="149"/>
      <c r="F59" s="149"/>
      <c r="G59" s="149"/>
      <c r="H59" s="149"/>
    </row>
    <row r="60" spans="1:14" ht="15.75" customHeight="1" x14ac:dyDescent="0.25">
      <c r="A60" s="100" t="s">
        <v>45</v>
      </c>
      <c r="B60" s="100"/>
      <c r="C60" s="100"/>
      <c r="D60" s="148" t="s">
        <v>195</v>
      </c>
      <c r="E60" s="148"/>
      <c r="F60" s="148"/>
      <c r="G60" s="148"/>
      <c r="H60" s="148"/>
      <c r="J60" s="25"/>
      <c r="K60" s="24"/>
      <c r="N60" s="24"/>
    </row>
    <row r="61" spans="1:14" ht="15.75" customHeight="1" x14ac:dyDescent="0.25">
      <c r="A61" s="100" t="s">
        <v>89</v>
      </c>
      <c r="B61" s="100"/>
      <c r="C61" s="100"/>
      <c r="D61" s="195" t="str">
        <f>(IF(G52="NA","60 Years After Completion",IF(G52&lt;&gt;"NA",""&amp;60-ROUNDDOWN((E3-G52)/360,0)&amp;" Years"," ")))</f>
        <v>60 Years After Completion</v>
      </c>
      <c r="E61" s="195"/>
      <c r="F61" s="195"/>
      <c r="G61" s="195"/>
      <c r="H61" s="195"/>
      <c r="N61" s="24"/>
    </row>
    <row r="62" spans="1:14" ht="15.75" customHeight="1" x14ac:dyDescent="0.25">
      <c r="A62" s="100" t="s">
        <v>90</v>
      </c>
      <c r="B62" s="100"/>
      <c r="C62" s="100"/>
      <c r="D62" s="148" t="s">
        <v>23</v>
      </c>
      <c r="E62" s="148"/>
      <c r="F62" s="148"/>
      <c r="G62" s="148"/>
      <c r="H62" s="148"/>
      <c r="J62" s="26"/>
      <c r="K62" s="26"/>
    </row>
    <row r="63" spans="1:14" ht="33.75" customHeight="1" x14ac:dyDescent="0.25">
      <c r="A63" s="100" t="s">
        <v>76</v>
      </c>
      <c r="B63" s="100"/>
      <c r="C63" s="100"/>
      <c r="D63" s="149" t="s">
        <v>208</v>
      </c>
      <c r="E63" s="148"/>
      <c r="F63" s="148"/>
      <c r="G63" s="148"/>
      <c r="H63" s="148"/>
    </row>
    <row r="64" spans="1:14" x14ac:dyDescent="0.25">
      <c r="A64" s="148" t="s">
        <v>152</v>
      </c>
      <c r="B64" s="148"/>
      <c r="C64" s="148"/>
      <c r="D64" s="148" t="s">
        <v>29</v>
      </c>
      <c r="E64" s="148"/>
      <c r="F64" s="148"/>
      <c r="G64" s="148"/>
      <c r="H64" s="148"/>
      <c r="I64" s="27"/>
      <c r="J64" s="27"/>
      <c r="K64" s="27"/>
      <c r="L64" s="27"/>
      <c r="M64" s="27"/>
      <c r="N64" s="27"/>
    </row>
    <row r="65" spans="1:10" ht="15.75" customHeight="1" x14ac:dyDescent="0.25">
      <c r="A65" s="100" t="s">
        <v>88</v>
      </c>
      <c r="B65" s="100"/>
      <c r="C65" s="100"/>
      <c r="D65" s="149" t="str">
        <f ca="1">(IF(G71&gt;95%,"Nothing",IF(G71&gt;0%,"Cement, Aggregate, Steel, etc",IF(G71=0%,"Work not yet Started"))))</f>
        <v>Cement, Aggregate, Steel, etc</v>
      </c>
      <c r="E65" s="149"/>
      <c r="F65" s="149"/>
      <c r="G65" s="149"/>
      <c r="H65" s="149"/>
      <c r="J65" s="26"/>
    </row>
    <row r="66" spans="1:10" ht="33.75" customHeight="1" thickBot="1" x14ac:dyDescent="0.3">
      <c r="A66" s="148" t="s">
        <v>121</v>
      </c>
      <c r="B66" s="148"/>
      <c r="C66" s="148"/>
      <c r="D66" s="149" t="str">
        <f ca="1">(IF(D65="Nothing","Yes",IF(D65="Cement, Aggregate, Steel, etc","Under Construction",IF(D65="Work not yet Started","Work not yet Started"))))</f>
        <v>Under Construction</v>
      </c>
      <c r="E66" s="149"/>
      <c r="F66" s="149" t="str">
        <f ca="1">(IF(D65="Nothing","Yes",IF(D65="Cement, Aggregate, Steel, etc","Under Construction",IF(D65="Work not yet Started","Work not yet Started"))))</f>
        <v>Under Construction</v>
      </c>
      <c r="G66" s="149"/>
      <c r="H66" s="149"/>
    </row>
    <row r="67" spans="1:10" ht="15.75" customHeight="1" x14ac:dyDescent="0.25">
      <c r="A67" s="157" t="s">
        <v>144</v>
      </c>
      <c r="B67" s="157"/>
      <c r="C67" s="157" t="str">
        <f>D57</f>
        <v>A Wing = 1B + G + 1st to 2nd floor + 4P + 5th (E-Deck) + 6th to 16th Floor</v>
      </c>
      <c r="D67" s="157"/>
      <c r="E67" s="157"/>
      <c r="F67" s="157"/>
      <c r="G67" s="157"/>
      <c r="H67" s="157"/>
      <c r="I67" s="80" t="str">
        <f ca="1">IF(D80=100%,"All work Completed. Possession granted to the Building.",IF(D79=100%,"All work Completed, Waiting for OC",I68&amp;""&amp;I69&amp;""&amp;J68&amp;""&amp;J67&amp;" "&amp;J69))</f>
        <v>Excavation, Plinth Completed, RCC upto 14 Slab, Brickwork upto 6 Floor, Internal Plaster upto 2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14 Slab, Brickwork upto 6 Floor, Internal Plaster upto 2 Floor</v>
      </c>
    </row>
    <row r="68" spans="1:10" x14ac:dyDescent="0.25">
      <c r="A68" s="74" t="s">
        <v>146</v>
      </c>
      <c r="B68" s="74">
        <f>IF(AND(ISNUMBER(SEARCH("1B",C67))),1,IF(AND(ISNUMBER(SEARCH("2B",C67))),2,IF(AND(ISNUMBER(SEARCH("3B",C67))),3,IF(AND(ISNUMBER(SEARCH("4B",C67))),4,IF(ISNUMBER(SEARCH("5B",C67)),5,0)))))</f>
        <v>1</v>
      </c>
      <c r="C68" s="74" t="s">
        <v>73</v>
      </c>
      <c r="D68" s="74">
        <v>1</v>
      </c>
      <c r="E68" s="74" t="s">
        <v>72</v>
      </c>
      <c r="F68" s="74">
        <v>0</v>
      </c>
      <c r="G68" s="49" t="s">
        <v>82</v>
      </c>
      <c r="H68" s="74">
        <f ca="1">--TRIM(RIGHT(SUBSTITUTE(LEFT(C67,_xlfn.AGGREGATE(16,6,FIND({0,1,2,3,4,5,6,7,8,9},C67,ROW(INDIRECT("1:"&amp;LEN(C67)))),1))," ",REPT(" ",LEN(C67))),LEN(C67)))</f>
        <v>16</v>
      </c>
      <c r="I68" s="8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75" customHeight="1" x14ac:dyDescent="0.25">
      <c r="A69" s="142" t="s">
        <v>92</v>
      </c>
      <c r="B69" s="143"/>
      <c r="C69" s="139" t="str">
        <f ca="1">I67</f>
        <v>Excavation, Plinth Completed, RCC upto 14 Slab, Brickwork upto 6 Floor, Internal Plaster upto 2 Floor Completed</v>
      </c>
      <c r="D69" s="139"/>
      <c r="E69" s="139"/>
      <c r="F69" s="139"/>
      <c r="G69" s="139"/>
      <c r="H69" s="140"/>
      <c r="I69" s="52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25">
      <c r="A70" s="98" t="s">
        <v>49</v>
      </c>
      <c r="B70" s="99"/>
      <c r="C70" s="44" t="s">
        <v>143</v>
      </c>
      <c r="D70" s="44" t="s">
        <v>85</v>
      </c>
      <c r="E70" s="99" t="s">
        <v>87</v>
      </c>
      <c r="F70" s="99"/>
      <c r="G70" s="99" t="s">
        <v>86</v>
      </c>
      <c r="H70" s="144"/>
      <c r="I70" s="14" t="s">
        <v>145</v>
      </c>
      <c r="J70" s="28">
        <f ca="1">H68*25%</f>
        <v>4</v>
      </c>
    </row>
    <row r="71" spans="1:10" x14ac:dyDescent="0.25">
      <c r="A71" s="98" t="s">
        <v>132</v>
      </c>
      <c r="B71" s="99"/>
      <c r="C71" s="44">
        <f ca="1">J72</f>
        <v>16</v>
      </c>
      <c r="D71" s="19">
        <f ca="1">((100/H68)*C71)/100</f>
        <v>1</v>
      </c>
      <c r="E71" s="92">
        <f ca="1">(((C72/H68*10)+(40/(D68+F68+H68)*C73)+(7.5/(H68)*C74)+(7.5/(H68)*C75)+(10/H68*C76)+(10/H68*C77)+(5/H68*C78)+(5/H68*C79)+(5/H68*C80))/100)</f>
        <v>0.46691176470588241</v>
      </c>
      <c r="F71" s="158"/>
      <c r="G71" s="92">
        <f ca="1">((((C71/H68)*20)+((C72/H68)*25)+(30/(H68+F68+D68)*C73)+(5/H68*C74)+(5/H68*C75)+(5/H68*C76)+(5/H68*C77)+(0/H68*C78)+(0/H68*C79)+(5/H68*C80))/100)</f>
        <v>0.72205882352941175</v>
      </c>
      <c r="H71" s="93"/>
      <c r="I71" s="14" t="s">
        <v>103</v>
      </c>
      <c r="J71" s="29">
        <f ca="1">H68*50%</f>
        <v>8</v>
      </c>
    </row>
    <row r="72" spans="1:10" x14ac:dyDescent="0.25">
      <c r="A72" s="98" t="s">
        <v>50</v>
      </c>
      <c r="B72" s="99"/>
      <c r="C72" s="55">
        <v>16</v>
      </c>
      <c r="D72" s="19">
        <f ca="1">((100/H68)*C72)/100</f>
        <v>1</v>
      </c>
      <c r="E72" s="94"/>
      <c r="F72" s="159"/>
      <c r="G72" s="94"/>
      <c r="H72" s="95"/>
      <c r="I72" s="14" t="s">
        <v>104</v>
      </c>
      <c r="J72" s="29">
        <f ca="1">H68</f>
        <v>16</v>
      </c>
    </row>
    <row r="73" spans="1:10" ht="15.75" customHeight="1" x14ac:dyDescent="0.25">
      <c r="A73" s="98" t="s">
        <v>133</v>
      </c>
      <c r="B73" s="99"/>
      <c r="C73" s="44">
        <v>14</v>
      </c>
      <c r="D73" s="19">
        <f ca="1">((100/(D68+F68+H68))*C73)/100</f>
        <v>0.82352941176470595</v>
      </c>
      <c r="E73" s="94"/>
      <c r="F73" s="159"/>
      <c r="G73" s="94"/>
      <c r="H73" s="95"/>
      <c r="I73" s="14" t="s">
        <v>105</v>
      </c>
      <c r="J73" s="30">
        <f ca="1">(IF(B68&gt;1,(H68/(B68+2)),H68/4))</f>
        <v>4</v>
      </c>
    </row>
    <row r="74" spans="1:10" ht="15.75" customHeight="1" x14ac:dyDescent="0.25">
      <c r="A74" s="98" t="s">
        <v>140</v>
      </c>
      <c r="B74" s="99" t="s">
        <v>134</v>
      </c>
      <c r="C74" s="44">
        <v>6</v>
      </c>
      <c r="D74" s="19">
        <f ca="1">((100/H68)*C74)/100</f>
        <v>0.375</v>
      </c>
      <c r="E74" s="94"/>
      <c r="F74" s="159"/>
      <c r="G74" s="94"/>
      <c r="H74" s="95"/>
      <c r="I74" s="14" t="s">
        <v>106</v>
      </c>
      <c r="J74" s="30">
        <f ca="1">(IF(B68&gt;1,(H68/(B68+2)+J73),H68/4+J73))</f>
        <v>8</v>
      </c>
    </row>
    <row r="75" spans="1:10" ht="15.75" customHeight="1" x14ac:dyDescent="0.25">
      <c r="A75" s="98" t="s">
        <v>141</v>
      </c>
      <c r="B75" s="99" t="s">
        <v>134</v>
      </c>
      <c r="C75" s="44">
        <v>2</v>
      </c>
      <c r="D75" s="19">
        <f ca="1">((100/H68)*C75)/100</f>
        <v>0.125</v>
      </c>
      <c r="E75" s="94"/>
      <c r="F75" s="159"/>
      <c r="G75" s="94"/>
      <c r="H75" s="95"/>
      <c r="I75" s="14" t="s">
        <v>150</v>
      </c>
      <c r="J75" s="30">
        <f>(IF(B68&gt;1,(H68/(B68+2)+J74),0))</f>
        <v>0</v>
      </c>
    </row>
    <row r="76" spans="1:10" ht="15" customHeight="1" x14ac:dyDescent="0.25">
      <c r="A76" s="98" t="s">
        <v>139</v>
      </c>
      <c r="B76" s="99" t="s">
        <v>136</v>
      </c>
      <c r="C76" s="44">
        <v>0</v>
      </c>
      <c r="D76" s="19">
        <f ca="1">((100/(H68))*C76)/100</f>
        <v>0</v>
      </c>
      <c r="E76" s="94"/>
      <c r="F76" s="159"/>
      <c r="G76" s="94"/>
      <c r="H76" s="95"/>
      <c r="I76" s="14" t="s">
        <v>147</v>
      </c>
      <c r="J76" s="30">
        <f>(IF(B68&gt;2,(H68/(B68+2)+J75),0))</f>
        <v>0</v>
      </c>
    </row>
    <row r="77" spans="1:10" ht="15.75" customHeight="1" x14ac:dyDescent="0.25">
      <c r="A77" s="98" t="s">
        <v>135</v>
      </c>
      <c r="B77" s="99" t="s">
        <v>135</v>
      </c>
      <c r="C77" s="44">
        <v>0</v>
      </c>
      <c r="D77" s="19">
        <f ca="1">((100/H68)*C77)/100</f>
        <v>0</v>
      </c>
      <c r="E77" s="94"/>
      <c r="F77" s="159"/>
      <c r="G77" s="94"/>
      <c r="H77" s="95"/>
      <c r="I77" s="14" t="s">
        <v>148</v>
      </c>
      <c r="J77" s="31">
        <f>(IF(B68&gt;3,(H68/(B68+2)+J76),0))</f>
        <v>0</v>
      </c>
    </row>
    <row r="78" spans="1:10" ht="15.75" customHeight="1" x14ac:dyDescent="0.25">
      <c r="A78" s="98" t="s">
        <v>142</v>
      </c>
      <c r="B78" s="99"/>
      <c r="C78" s="44">
        <v>0</v>
      </c>
      <c r="D78" s="19">
        <f ca="1">((100/H68)*C78)/100</f>
        <v>0</v>
      </c>
      <c r="E78" s="94"/>
      <c r="F78" s="159"/>
      <c r="G78" s="94"/>
      <c r="H78" s="95"/>
      <c r="I78" s="14" t="s">
        <v>149</v>
      </c>
      <c r="J78" s="30">
        <f>(IF(B68&gt;4,(H68/(B68+2)+J77),0))</f>
        <v>0</v>
      </c>
    </row>
    <row r="79" spans="1:10" ht="15.75" customHeight="1" x14ac:dyDescent="0.25">
      <c r="A79" s="98" t="s">
        <v>137</v>
      </c>
      <c r="B79" s="99" t="s">
        <v>137</v>
      </c>
      <c r="C79" s="44">
        <v>0</v>
      </c>
      <c r="D79" s="19">
        <f ca="1">((100/(H68))*C79)/100</f>
        <v>0</v>
      </c>
      <c r="E79" s="94"/>
      <c r="F79" s="159"/>
      <c r="G79" s="94"/>
      <c r="H79" s="95"/>
      <c r="I79" s="14" t="s">
        <v>151</v>
      </c>
      <c r="J79" s="30">
        <f ca="1">(IF(B68=1,(H68/(B68+3)+J74),IF(B68=0,(H68/4+J74),IF(B68&gt;1,0))))</f>
        <v>12</v>
      </c>
    </row>
    <row r="80" spans="1:10" ht="16.5" thickBot="1" x14ac:dyDescent="0.3">
      <c r="A80" s="132" t="s">
        <v>138</v>
      </c>
      <c r="B80" s="133"/>
      <c r="C80" s="45">
        <v>0</v>
      </c>
      <c r="D80" s="20">
        <f ca="1">((100/(H68))*C80)/100</f>
        <v>0</v>
      </c>
      <c r="E80" s="96"/>
      <c r="F80" s="160"/>
      <c r="G80" s="96"/>
      <c r="H80" s="97"/>
      <c r="I80" s="15" t="s">
        <v>107</v>
      </c>
      <c r="J80" s="32">
        <f ca="1">(IF(B68&gt;1.5,(H68/(B68+2)+J74+MAX(0,J75-J74)+MAX(0,J76-J75)+MAX(0,J77-J76)+MAX(0,J78-J77)+MAX(0,J79-J78)),IF(B68=1,(H68/(B68+3)+J79),IF(B68=0,H68/4+J79))))</f>
        <v>16</v>
      </c>
    </row>
    <row r="81" spans="1:10" ht="15.75" customHeight="1" x14ac:dyDescent="0.25">
      <c r="A81" s="134" t="s">
        <v>144</v>
      </c>
      <c r="B81" s="135"/>
      <c r="C81" s="136" t="str">
        <f>D58</f>
        <v>B &amp; C Wing = 1B + G + 1st to 2nd floor + 4P + 5th (E-Deck) + 6th to 16th Floor</v>
      </c>
      <c r="D81" s="137"/>
      <c r="E81" s="137"/>
      <c r="F81" s="137"/>
      <c r="G81" s="137"/>
      <c r="H81" s="138"/>
      <c r="I81" s="50" t="str">
        <f ca="1">IF(D94=100%,"All work Completed. Possession granted to the Building.",IF(D93=100%,"All work Completed, Waiting for OC",I82&amp;""&amp;I83&amp;""&amp;J82&amp;""&amp;J81&amp;" "&amp;J83))</f>
        <v>Excavation, Plinth Completed, RCC upto 14 Slab, Brickwork upto 6 Floor, Internal Plaster upto 3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14 Slab, Brickwork upto 6 Floor, Internal Plaster upto 3 Floor</v>
      </c>
    </row>
    <row r="82" spans="1:10" x14ac:dyDescent="0.25">
      <c r="A82" s="16" t="s">
        <v>146</v>
      </c>
      <c r="B82" s="54">
        <f>IF(AND(ISNUMBER(SEARCH("1B",C81))),1,IF(AND(ISNUMBER(SEARCH("2B",C81))),2,IF(AND(ISNUMBER(SEARCH("3B",C81))),3,IF(AND(ISNUMBER(SEARCH("4B",C81))),4,IF(ISNUMBER(SEARCH("5B",C81)),5,0)))))</f>
        <v>1</v>
      </c>
      <c r="C82" s="48" t="s">
        <v>73</v>
      </c>
      <c r="D82" s="48">
        <v>1</v>
      </c>
      <c r="E82" s="48" t="s">
        <v>72</v>
      </c>
      <c r="F82" s="58">
        <v>0</v>
      </c>
      <c r="G82" s="49" t="s">
        <v>82</v>
      </c>
      <c r="H82" s="17">
        <f ca="1">--TRIM(RIGHT(SUBSTITUTE(LEFT(C81,_xlfn.AGGREGATE(16,6,FIND({0,1,2,3,4,5,6,7,8,9},C81,ROW(INDIRECT("1:"&amp;LEN(C81)))),1))," ",REPT(" ",LEN(C81))),LEN(C81)))</f>
        <v>16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25">
      <c r="A83" s="142" t="s">
        <v>92</v>
      </c>
      <c r="B83" s="143"/>
      <c r="C83" s="139" t="str">
        <f ca="1">(IF($G$52="NA",I81,"All work Completed. OC Received."))</f>
        <v>Excavation, Plinth Completed, RCC upto 14 Slab, Brickwork upto 6 Floor, Internal Plaster upto 3 Floor Completed</v>
      </c>
      <c r="D83" s="139"/>
      <c r="E83" s="139"/>
      <c r="F83" s="139"/>
      <c r="G83" s="139"/>
      <c r="H83" s="140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customHeight="1" x14ac:dyDescent="0.25">
      <c r="A84" s="98" t="s">
        <v>49</v>
      </c>
      <c r="B84" s="99"/>
      <c r="C84" s="44" t="s">
        <v>143</v>
      </c>
      <c r="D84" s="44" t="s">
        <v>85</v>
      </c>
      <c r="E84" s="99" t="s">
        <v>87</v>
      </c>
      <c r="F84" s="99"/>
      <c r="G84" s="99" t="s">
        <v>86</v>
      </c>
      <c r="H84" s="144"/>
      <c r="I84" s="14" t="s">
        <v>145</v>
      </c>
      <c r="J84" s="28">
        <f ca="1">H82*25%</f>
        <v>4</v>
      </c>
    </row>
    <row r="85" spans="1:10" x14ac:dyDescent="0.25">
      <c r="A85" s="98" t="s">
        <v>132</v>
      </c>
      <c r="B85" s="99"/>
      <c r="C85" s="44">
        <f ca="1">J86</f>
        <v>16</v>
      </c>
      <c r="D85" s="19">
        <f ca="1">((100/H82)*C85)/100</f>
        <v>1</v>
      </c>
      <c r="E85" s="92">
        <f ca="1">(((C86/H82*10)+(40/(D82+F82+H82)*C87)+(7.5/(H82)*C88)+(7.5/(H82)*C89)+(10/H82*C90)+(10/H82*C91)+(5/H82*C92)+(5/H82*C93)+(5/H82*C94))/100)</f>
        <v>0.47159926470588237</v>
      </c>
      <c r="F85" s="158"/>
      <c r="G85" s="92">
        <f ca="1">((((C85/H82)*20)+((C86/H82)*25)+(30/(H82+F82+D82)*C87)+(5/H82*C88)+(5/H82*C89)+(5/H82*C90)+(5/H82*C91)+(0/H82*C92)+(0/H82*C93)+(5/H82*C94))/100)</f>
        <v>0.72518382352941169</v>
      </c>
      <c r="H85" s="93"/>
      <c r="I85" s="14" t="s">
        <v>103</v>
      </c>
      <c r="J85" s="29">
        <f ca="1">H82*50%</f>
        <v>8</v>
      </c>
    </row>
    <row r="86" spans="1:10" x14ac:dyDescent="0.25">
      <c r="A86" s="98" t="s">
        <v>50</v>
      </c>
      <c r="B86" s="99"/>
      <c r="C86" s="55">
        <f ca="1">J94</f>
        <v>16</v>
      </c>
      <c r="D86" s="19">
        <f ca="1">((100/H82)*C86)/100</f>
        <v>1</v>
      </c>
      <c r="E86" s="94"/>
      <c r="F86" s="159"/>
      <c r="G86" s="94"/>
      <c r="H86" s="95"/>
      <c r="I86" s="14" t="s">
        <v>104</v>
      </c>
      <c r="J86" s="29">
        <f ca="1">H82</f>
        <v>16</v>
      </c>
    </row>
    <row r="87" spans="1:10" ht="15.75" customHeight="1" x14ac:dyDescent="0.25">
      <c r="A87" s="98" t="s">
        <v>133</v>
      </c>
      <c r="B87" s="99"/>
      <c r="C87" s="44">
        <v>14</v>
      </c>
      <c r="D87" s="19">
        <f ca="1">((100/(D82+F82+H82))*C87)/100</f>
        <v>0.82352941176470595</v>
      </c>
      <c r="E87" s="94"/>
      <c r="F87" s="159"/>
      <c r="G87" s="94"/>
      <c r="H87" s="95"/>
      <c r="I87" s="14" t="s">
        <v>105</v>
      </c>
      <c r="J87" s="30">
        <f ca="1">(IF(B82&gt;1,(H82/(B82+2)),H82/4))</f>
        <v>4</v>
      </c>
    </row>
    <row r="88" spans="1:10" ht="15.75" customHeight="1" x14ac:dyDescent="0.25">
      <c r="A88" s="98" t="s">
        <v>140</v>
      </c>
      <c r="B88" s="99" t="s">
        <v>134</v>
      </c>
      <c r="C88" s="44">
        <v>6</v>
      </c>
      <c r="D88" s="19">
        <f ca="1">((100/H82)*C88)/100</f>
        <v>0.375</v>
      </c>
      <c r="E88" s="94"/>
      <c r="F88" s="159"/>
      <c r="G88" s="94"/>
      <c r="H88" s="95"/>
      <c r="I88" s="14" t="s">
        <v>106</v>
      </c>
      <c r="J88" s="30">
        <f ca="1">(IF(B82&gt;1,(H82/(B82+2)+J87),H82/4+J87))</f>
        <v>8</v>
      </c>
    </row>
    <row r="89" spans="1:10" ht="15.75" customHeight="1" x14ac:dyDescent="0.25">
      <c r="A89" s="98" t="s">
        <v>141</v>
      </c>
      <c r="B89" s="99" t="s">
        <v>134</v>
      </c>
      <c r="C89" s="44">
        <v>3</v>
      </c>
      <c r="D89" s="19">
        <f ca="1">((100/H82)*C89)/100</f>
        <v>0.1875</v>
      </c>
      <c r="E89" s="94"/>
      <c r="F89" s="159"/>
      <c r="G89" s="94"/>
      <c r="H89" s="95"/>
      <c r="I89" s="14" t="s">
        <v>150</v>
      </c>
      <c r="J89" s="30">
        <f>(IF(B82&gt;1,(H82/(B82+2)+J88),0))</f>
        <v>0</v>
      </c>
    </row>
    <row r="90" spans="1:10" ht="15" customHeight="1" x14ac:dyDescent="0.25">
      <c r="A90" s="98" t="s">
        <v>139</v>
      </c>
      <c r="B90" s="99" t="s">
        <v>136</v>
      </c>
      <c r="C90" s="44">
        <v>0</v>
      </c>
      <c r="D90" s="19">
        <f ca="1">((100/(H82))*C90)/100</f>
        <v>0</v>
      </c>
      <c r="E90" s="94"/>
      <c r="F90" s="159"/>
      <c r="G90" s="94"/>
      <c r="H90" s="95"/>
      <c r="I90" s="14" t="s">
        <v>147</v>
      </c>
      <c r="J90" s="30">
        <f>(IF(B82&gt;2,(H82/(B82+2)+J89),0))</f>
        <v>0</v>
      </c>
    </row>
    <row r="91" spans="1:10" ht="15.75" customHeight="1" x14ac:dyDescent="0.25">
      <c r="A91" s="98" t="s">
        <v>135</v>
      </c>
      <c r="B91" s="99" t="s">
        <v>135</v>
      </c>
      <c r="C91" s="44">
        <v>0</v>
      </c>
      <c r="D91" s="19">
        <f ca="1">((100/H82)*C91)/100</f>
        <v>0</v>
      </c>
      <c r="E91" s="94"/>
      <c r="F91" s="159"/>
      <c r="G91" s="94"/>
      <c r="H91" s="95"/>
      <c r="I91" s="14" t="s">
        <v>148</v>
      </c>
      <c r="J91" s="31">
        <f>(IF(B82&gt;3,(H82/(B82+2)+J90),0))</f>
        <v>0</v>
      </c>
    </row>
    <row r="92" spans="1:10" ht="15.75" customHeight="1" x14ac:dyDescent="0.25">
      <c r="A92" s="98" t="s">
        <v>142</v>
      </c>
      <c r="B92" s="99"/>
      <c r="C92" s="44">
        <v>0</v>
      </c>
      <c r="D92" s="19">
        <f ca="1">((100/H82)*C92)/100</f>
        <v>0</v>
      </c>
      <c r="E92" s="94"/>
      <c r="F92" s="159"/>
      <c r="G92" s="94"/>
      <c r="H92" s="95"/>
      <c r="I92" s="14" t="s">
        <v>149</v>
      </c>
      <c r="J92" s="30">
        <f>(IF(B82&gt;4,(H82/(B82+2)+J91),0))</f>
        <v>0</v>
      </c>
    </row>
    <row r="93" spans="1:10" ht="15.75" customHeight="1" x14ac:dyDescent="0.25">
      <c r="A93" s="98" t="s">
        <v>137</v>
      </c>
      <c r="B93" s="99" t="s">
        <v>137</v>
      </c>
      <c r="C93" s="44">
        <v>0</v>
      </c>
      <c r="D93" s="19">
        <f ca="1">((100/(H82))*C93)/100</f>
        <v>0</v>
      </c>
      <c r="E93" s="94"/>
      <c r="F93" s="159"/>
      <c r="G93" s="94"/>
      <c r="H93" s="95"/>
      <c r="I93" s="14" t="s">
        <v>151</v>
      </c>
      <c r="J93" s="30">
        <f ca="1">(IF(B82=1,(H82/(B82+3)+J88),IF(B82=0,(H82/4+J88),IF(B82&gt;1,0))))</f>
        <v>12</v>
      </c>
    </row>
    <row r="94" spans="1:10" ht="16.5" thickBot="1" x14ac:dyDescent="0.3">
      <c r="A94" s="132" t="s">
        <v>138</v>
      </c>
      <c r="B94" s="133"/>
      <c r="C94" s="45">
        <v>0</v>
      </c>
      <c r="D94" s="20">
        <f ca="1">((100/(H82))*C94)/100</f>
        <v>0</v>
      </c>
      <c r="E94" s="96"/>
      <c r="F94" s="160"/>
      <c r="G94" s="96"/>
      <c r="H94" s="97"/>
      <c r="I94" s="15" t="s">
        <v>107</v>
      </c>
      <c r="J94" s="32">
        <f ca="1">(IF(B82&gt;1.5,(H82/(B82+2)+J88+MAX(0,J89-J88)+MAX(0,J90-J89)+MAX(0,J91-J90)+MAX(0,J92-J91)+MAX(0,J93-J92)),IF(B82=1,(H82/(B82+3)+J93),IF(B82=0,H82/4+J93))))</f>
        <v>16</v>
      </c>
    </row>
    <row r="95" spans="1:10" ht="15.75" customHeight="1" x14ac:dyDescent="0.25">
      <c r="A95" s="134" t="s">
        <v>144</v>
      </c>
      <c r="B95" s="135"/>
      <c r="C95" s="136" t="str">
        <f>D59</f>
        <v>D Wing = 1B + G + 1st to 2nd floor + 4P + 5th (E-Deck) + 6th to 16th Floor</v>
      </c>
      <c r="D95" s="137"/>
      <c r="E95" s="137"/>
      <c r="F95" s="137"/>
      <c r="G95" s="137"/>
      <c r="H95" s="138"/>
      <c r="I95" s="50" t="str">
        <f ca="1">IF(D108=100%,"All work Completed. Possession granted to the Building.",IF(D107=100%,"All work Completed, Waiting for OC",I96&amp;""&amp;I97&amp;""&amp;J96&amp;""&amp;J95&amp;" "&amp;J97))</f>
        <v>Excavation, Plinth Completed, RCC upto 10 Slab, Brickwork upto 2 Floor Completed</v>
      </c>
      <c r="J95" s="51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10 Slab, Brickwork upto 2 Floor</v>
      </c>
    </row>
    <row r="96" spans="1:10" x14ac:dyDescent="0.25">
      <c r="A96" s="16" t="s">
        <v>146</v>
      </c>
      <c r="B96" s="69">
        <f>IF(AND(ISNUMBER(SEARCH("1B",C95))),1,IF(AND(ISNUMBER(SEARCH("2B",C95))),2,IF(AND(ISNUMBER(SEARCH("3B",C95))),3,IF(AND(ISNUMBER(SEARCH("4B",C95))),4,IF(ISNUMBER(SEARCH("5B",C95)),5,0)))))</f>
        <v>1</v>
      </c>
      <c r="C96" s="69" t="s">
        <v>73</v>
      </c>
      <c r="D96" s="69">
        <v>1</v>
      </c>
      <c r="E96" s="69" t="s">
        <v>72</v>
      </c>
      <c r="F96" s="69">
        <v>0</v>
      </c>
      <c r="G96" s="49" t="s">
        <v>82</v>
      </c>
      <c r="H96" s="17">
        <f ca="1">--TRIM(RIGHT(SUBSTITUTE(LEFT(C95,_xlfn.AGGREGATE(16,6,FIND({0,1,2,3,4,5,6,7,8,9},C95,ROW(INDIRECT("1:"&amp;LEN(C95)))),1))," ",REPT(" ",LEN(C95))),LEN(C95)))</f>
        <v>16</v>
      </c>
      <c r="I96" s="52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53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5" x14ac:dyDescent="0.25">
      <c r="A97" s="142" t="s">
        <v>92</v>
      </c>
      <c r="B97" s="143"/>
      <c r="C97" s="139" t="str">
        <f ca="1">(IF($G$52="NA",I95,"All work Completed. OC Received."))</f>
        <v>Excavation, Plinth Completed, RCC upto 10 Slab, Brickwork upto 2 Floor Completed</v>
      </c>
      <c r="D97" s="139"/>
      <c r="E97" s="139"/>
      <c r="F97" s="139"/>
      <c r="G97" s="139"/>
      <c r="H97" s="140"/>
      <c r="I97" s="52" t="str">
        <f ca="1">IF(I96&lt;&gt;""," Completed","")</f>
        <v xml:space="preserve"> Completed</v>
      </c>
      <c r="J97" s="53" t="str">
        <f ca="1">IF(J95&lt;&gt;"","Completed","")</f>
        <v>Completed</v>
      </c>
    </row>
    <row r="98" spans="1:15" ht="15.75" customHeight="1" x14ac:dyDescent="0.25">
      <c r="A98" s="98" t="s">
        <v>49</v>
      </c>
      <c r="B98" s="99"/>
      <c r="C98" s="68" t="s">
        <v>143</v>
      </c>
      <c r="D98" s="68" t="s">
        <v>85</v>
      </c>
      <c r="E98" s="99" t="s">
        <v>87</v>
      </c>
      <c r="F98" s="99"/>
      <c r="G98" s="99" t="s">
        <v>86</v>
      </c>
      <c r="H98" s="144"/>
      <c r="I98" s="14" t="s">
        <v>145</v>
      </c>
      <c r="J98" s="28">
        <f ca="1">H96*25%</f>
        <v>4</v>
      </c>
      <c r="K98" s="71">
        <v>45505</v>
      </c>
      <c r="L98" s="72" t="s">
        <v>252</v>
      </c>
      <c r="M98" s="73"/>
      <c r="N98" s="73"/>
      <c r="O98" s="73"/>
    </row>
    <row r="99" spans="1:15" x14ac:dyDescent="0.25">
      <c r="A99" s="98" t="s">
        <v>132</v>
      </c>
      <c r="B99" s="99"/>
      <c r="C99" s="68">
        <f ca="1">J100</f>
        <v>16</v>
      </c>
      <c r="D99" s="19">
        <f ca="1">((100/H96)*C99)/100</f>
        <v>1</v>
      </c>
      <c r="E99" s="92">
        <f ca="1">(((C100/H96*10)+(40/(D96+F96+H96)*C101)+(7.5/(H96)*C102)+(7.5/(H96)*C103)+(10/H96*C104)+(10/H96*C105)+(5/H96*C106)+(5/H96*C107)+(5/H96*C108))/100)</f>
        <v>0.34466911764705882</v>
      </c>
      <c r="F99" s="158"/>
      <c r="G99" s="92">
        <f ca="1">((((C99/H96)*20)+((C100/H96)*25)+(30/(H96+F96+D96)*C101)+(5/H96*C102)+(5/H96*C103)+(5/H96*C104)+(5/H96*C105)+(0/H96*C106)+(0/H96*C107)+(5/H96*C108))/100)</f>
        <v>0.63272058823529409</v>
      </c>
      <c r="H99" s="93"/>
      <c r="I99" s="14" t="s">
        <v>103</v>
      </c>
      <c r="J99" s="29">
        <f ca="1">H96*50%</f>
        <v>8</v>
      </c>
      <c r="K99" s="71">
        <v>45575</v>
      </c>
      <c r="L99" s="72" t="s">
        <v>253</v>
      </c>
    </row>
    <row r="100" spans="1:15" x14ac:dyDescent="0.25">
      <c r="A100" s="98" t="s">
        <v>50</v>
      </c>
      <c r="B100" s="99"/>
      <c r="C100" s="55">
        <f ca="1">J108</f>
        <v>16</v>
      </c>
      <c r="D100" s="19">
        <f ca="1">((100/H96)*C100)/100</f>
        <v>1</v>
      </c>
      <c r="E100" s="94"/>
      <c r="F100" s="159"/>
      <c r="G100" s="94"/>
      <c r="H100" s="95"/>
      <c r="I100" s="14" t="s">
        <v>104</v>
      </c>
      <c r="J100" s="29">
        <f ca="1">H96</f>
        <v>16</v>
      </c>
    </row>
    <row r="101" spans="1:15" ht="15.75" customHeight="1" x14ac:dyDescent="0.25">
      <c r="A101" s="98" t="s">
        <v>133</v>
      </c>
      <c r="B101" s="99"/>
      <c r="C101" s="68">
        <v>10</v>
      </c>
      <c r="D101" s="19">
        <f ca="1">((100/(D96+F96+H96))*C101)/100</f>
        <v>0.58823529411764708</v>
      </c>
      <c r="E101" s="94"/>
      <c r="F101" s="159"/>
      <c r="G101" s="94"/>
      <c r="H101" s="95"/>
      <c r="I101" s="14" t="s">
        <v>105</v>
      </c>
      <c r="J101" s="30">
        <f ca="1">(IF(B96&gt;1,(H96/(B96+2)),H96/4))</f>
        <v>4</v>
      </c>
    </row>
    <row r="102" spans="1:15" ht="15.75" customHeight="1" x14ac:dyDescent="0.25">
      <c r="A102" s="98" t="s">
        <v>140</v>
      </c>
      <c r="B102" s="99" t="s">
        <v>134</v>
      </c>
      <c r="C102" s="68">
        <v>2</v>
      </c>
      <c r="D102" s="19">
        <f ca="1">((100/H96)*C102)/100</f>
        <v>0.125</v>
      </c>
      <c r="E102" s="94"/>
      <c r="F102" s="159"/>
      <c r="G102" s="94"/>
      <c r="H102" s="95"/>
      <c r="I102" s="14" t="s">
        <v>106</v>
      </c>
      <c r="J102" s="30">
        <f ca="1">(IF(B96&gt;1,(H96/(B96+2)+J101),H96/4+J101))</f>
        <v>8</v>
      </c>
    </row>
    <row r="103" spans="1:15" ht="15.75" customHeight="1" x14ac:dyDescent="0.25">
      <c r="A103" s="98" t="s">
        <v>141</v>
      </c>
      <c r="B103" s="99" t="s">
        <v>134</v>
      </c>
      <c r="C103" s="68">
        <v>0</v>
      </c>
      <c r="D103" s="19">
        <f ca="1">((100/H96)*C103)/100</f>
        <v>0</v>
      </c>
      <c r="E103" s="94"/>
      <c r="F103" s="159"/>
      <c r="G103" s="94"/>
      <c r="H103" s="95"/>
      <c r="I103" s="14" t="s">
        <v>150</v>
      </c>
      <c r="J103" s="30">
        <f>(IF(B96&gt;1,(H96/(B96+2)+J102),0))</f>
        <v>0</v>
      </c>
    </row>
    <row r="104" spans="1:15" ht="15" customHeight="1" x14ac:dyDescent="0.25">
      <c r="A104" s="98" t="s">
        <v>139</v>
      </c>
      <c r="B104" s="99" t="s">
        <v>136</v>
      </c>
      <c r="C104" s="68">
        <v>0</v>
      </c>
      <c r="D104" s="19">
        <f ca="1">((100/(H96))*C104)/100</f>
        <v>0</v>
      </c>
      <c r="E104" s="94"/>
      <c r="F104" s="159"/>
      <c r="G104" s="94"/>
      <c r="H104" s="95"/>
      <c r="I104" s="14" t="s">
        <v>147</v>
      </c>
      <c r="J104" s="30">
        <f>(IF(B96&gt;2,(H96/(B96+2)+J103),0))</f>
        <v>0</v>
      </c>
    </row>
    <row r="105" spans="1:15" ht="15.75" customHeight="1" x14ac:dyDescent="0.25">
      <c r="A105" s="98" t="s">
        <v>135</v>
      </c>
      <c r="B105" s="99" t="s">
        <v>135</v>
      </c>
      <c r="C105" s="68">
        <v>0</v>
      </c>
      <c r="D105" s="19">
        <f ca="1">((100/H96)*C105)/100</f>
        <v>0</v>
      </c>
      <c r="E105" s="94"/>
      <c r="F105" s="159"/>
      <c r="G105" s="94"/>
      <c r="H105" s="95"/>
      <c r="I105" s="14" t="s">
        <v>148</v>
      </c>
      <c r="J105" s="31">
        <f>(IF(B96&gt;3,(H96/(B96+2)+J104),0))</f>
        <v>0</v>
      </c>
    </row>
    <row r="106" spans="1:15" ht="15.75" customHeight="1" x14ac:dyDescent="0.25">
      <c r="A106" s="98" t="s">
        <v>142</v>
      </c>
      <c r="B106" s="99"/>
      <c r="C106" s="68">
        <v>0</v>
      </c>
      <c r="D106" s="19">
        <f ca="1">((100/H96)*C106)/100</f>
        <v>0</v>
      </c>
      <c r="E106" s="94"/>
      <c r="F106" s="159"/>
      <c r="G106" s="94"/>
      <c r="H106" s="95"/>
      <c r="I106" s="14" t="s">
        <v>149</v>
      </c>
      <c r="J106" s="30">
        <f>(IF(B96&gt;4,(H96/(B96+2)+J105),0))</f>
        <v>0</v>
      </c>
    </row>
    <row r="107" spans="1:15" ht="15.75" customHeight="1" x14ac:dyDescent="0.25">
      <c r="A107" s="98" t="s">
        <v>137</v>
      </c>
      <c r="B107" s="99" t="s">
        <v>137</v>
      </c>
      <c r="C107" s="68">
        <v>0</v>
      </c>
      <c r="D107" s="19">
        <f ca="1">((100/(H96))*C107)/100</f>
        <v>0</v>
      </c>
      <c r="E107" s="94"/>
      <c r="F107" s="159"/>
      <c r="G107" s="94"/>
      <c r="H107" s="95"/>
      <c r="I107" s="14" t="s">
        <v>151</v>
      </c>
      <c r="J107" s="30">
        <f ca="1">(IF(B96=1,(H96/(B96+3)+J102),IF(B96=0,(H96/4+J102),IF(B96&gt;1,0))))</f>
        <v>12</v>
      </c>
    </row>
    <row r="108" spans="1:15" ht="16.5" thickBot="1" x14ac:dyDescent="0.3">
      <c r="A108" s="196" t="s">
        <v>138</v>
      </c>
      <c r="B108" s="197"/>
      <c r="C108" s="76">
        <v>0</v>
      </c>
      <c r="D108" s="77">
        <f ca="1">((100/(H96))*C108)/100</f>
        <v>0</v>
      </c>
      <c r="E108" s="94"/>
      <c r="F108" s="159"/>
      <c r="G108" s="94"/>
      <c r="H108" s="95"/>
      <c r="I108" s="15" t="s">
        <v>107</v>
      </c>
      <c r="J108" s="32">
        <f ca="1">(IF(B96&gt;1.5,(H96/(B96+2)+J102+MAX(0,J103-J102)+MAX(0,J104-J103)+MAX(0,J105-J104)+MAX(0,J106-J105)+MAX(0,J107-J106)),IF(B96=1,(H96/(B96+3)+J107),IF(B96=0,H96/4+J107))))</f>
        <v>16</v>
      </c>
    </row>
    <row r="109" spans="1:15" x14ac:dyDescent="0.25">
      <c r="A109" s="164" t="s">
        <v>161</v>
      </c>
      <c r="B109" s="164"/>
      <c r="C109" s="164"/>
      <c r="D109" s="164"/>
      <c r="E109" s="164"/>
      <c r="F109" s="141" t="s">
        <v>165</v>
      </c>
      <c r="G109" s="141"/>
      <c r="H109" s="141"/>
    </row>
    <row r="110" spans="1:15" x14ac:dyDescent="0.25">
      <c r="A110" s="100" t="s">
        <v>163</v>
      </c>
      <c r="B110" s="100"/>
      <c r="C110" s="100"/>
      <c r="D110" s="100"/>
      <c r="E110" s="100"/>
      <c r="F110" s="207">
        <v>18000</v>
      </c>
      <c r="G110" s="207"/>
      <c r="H110" s="207"/>
    </row>
    <row r="111" spans="1:15" x14ac:dyDescent="0.25">
      <c r="A111" s="100" t="s">
        <v>215</v>
      </c>
      <c r="B111" s="100"/>
      <c r="C111" s="100"/>
      <c r="D111" s="100"/>
      <c r="E111" s="100"/>
      <c r="F111" s="86">
        <v>35000</v>
      </c>
      <c r="G111" s="86"/>
      <c r="H111" s="86"/>
    </row>
    <row r="112" spans="1:15" x14ac:dyDescent="0.25">
      <c r="A112" s="100" t="s">
        <v>214</v>
      </c>
      <c r="B112" s="100"/>
      <c r="C112" s="100"/>
      <c r="D112" s="100"/>
      <c r="E112" s="100"/>
      <c r="F112" s="86">
        <v>30000</v>
      </c>
      <c r="G112" s="86"/>
      <c r="H112" s="86"/>
    </row>
    <row r="113" spans="1:10" x14ac:dyDescent="0.25">
      <c r="A113" s="100" t="s">
        <v>164</v>
      </c>
      <c r="B113" s="100"/>
      <c r="C113" s="100"/>
      <c r="D113" s="100"/>
      <c r="E113" s="100"/>
      <c r="F113" s="86">
        <v>25000</v>
      </c>
      <c r="G113" s="86"/>
      <c r="H113" s="86"/>
    </row>
    <row r="114" spans="1:10" s="33" customFormat="1" hidden="1" x14ac:dyDescent="0.25">
      <c r="A114" s="100" t="s">
        <v>162</v>
      </c>
      <c r="B114" s="100"/>
      <c r="C114" s="100"/>
      <c r="D114" s="100"/>
      <c r="E114" s="100"/>
      <c r="F114" s="86"/>
      <c r="G114" s="86"/>
      <c r="H114" s="86"/>
    </row>
    <row r="115" spans="1:10" s="33" customFormat="1" x14ac:dyDescent="0.25">
      <c r="A115" s="100" t="s">
        <v>97</v>
      </c>
      <c r="B115" s="100"/>
      <c r="C115" s="100"/>
      <c r="D115" s="100"/>
      <c r="E115" s="100"/>
      <c r="F115" s="86">
        <v>500000</v>
      </c>
      <c r="G115" s="86"/>
      <c r="H115" s="86"/>
    </row>
    <row r="116" spans="1:10" s="33" customFormat="1" hidden="1" x14ac:dyDescent="0.25">
      <c r="A116" s="100" t="s">
        <v>98</v>
      </c>
      <c r="B116" s="100"/>
      <c r="C116" s="100"/>
      <c r="D116" s="100"/>
      <c r="E116" s="100"/>
      <c r="F116" s="86"/>
      <c r="G116" s="86"/>
      <c r="H116" s="86"/>
    </row>
    <row r="117" spans="1:10" s="33" customFormat="1" hidden="1" x14ac:dyDescent="0.25">
      <c r="A117" s="100" t="s">
        <v>99</v>
      </c>
      <c r="B117" s="100"/>
      <c r="C117" s="100"/>
      <c r="D117" s="100"/>
      <c r="E117" s="100"/>
      <c r="F117" s="86"/>
      <c r="G117" s="86"/>
      <c r="H117" s="86"/>
    </row>
    <row r="118" spans="1:10" s="33" customFormat="1" x14ac:dyDescent="0.25">
      <c r="A118" s="100" t="s">
        <v>100</v>
      </c>
      <c r="B118" s="100"/>
      <c r="C118" s="100"/>
      <c r="D118" s="100"/>
      <c r="E118" s="100"/>
      <c r="F118" s="86">
        <v>65000</v>
      </c>
      <c r="G118" s="86"/>
      <c r="H118" s="86"/>
    </row>
    <row r="119" spans="1:10" s="33" customFormat="1" x14ac:dyDescent="0.25">
      <c r="A119" s="100" t="s">
        <v>101</v>
      </c>
      <c r="B119" s="100"/>
      <c r="C119" s="100"/>
      <c r="D119" s="100"/>
      <c r="E119" s="100"/>
      <c r="F119" s="86">
        <v>30000</v>
      </c>
      <c r="G119" s="86"/>
      <c r="H119" s="86"/>
    </row>
    <row r="120" spans="1:10" s="33" customFormat="1" x14ac:dyDescent="0.25">
      <c r="A120" s="100" t="s">
        <v>102</v>
      </c>
      <c r="B120" s="100"/>
      <c r="C120" s="100"/>
      <c r="D120" s="100"/>
      <c r="E120" s="100"/>
      <c r="F120" s="86">
        <v>150000</v>
      </c>
      <c r="G120" s="86"/>
      <c r="H120" s="86"/>
    </row>
    <row r="121" spans="1:10" x14ac:dyDescent="0.25">
      <c r="A121" s="100" t="s">
        <v>51</v>
      </c>
      <c r="B121" s="100"/>
      <c r="C121" s="100"/>
      <c r="D121" s="100"/>
      <c r="E121" s="100"/>
      <c r="F121" s="86">
        <v>800000</v>
      </c>
      <c r="G121" s="86"/>
      <c r="H121" s="86"/>
    </row>
    <row r="122" spans="1:10" s="34" customFormat="1" x14ac:dyDescent="0.25">
      <c r="A122" s="164" t="s">
        <v>52</v>
      </c>
      <c r="B122" s="164"/>
      <c r="C122" s="164"/>
      <c r="D122" s="164"/>
      <c r="E122" s="164"/>
      <c r="F122" s="86">
        <f>F110*0.8</f>
        <v>14400</v>
      </c>
      <c r="G122" s="86"/>
      <c r="H122" s="86"/>
    </row>
    <row r="123" spans="1:10" s="35" customFormat="1" ht="15.75" customHeight="1" x14ac:dyDescent="0.25">
      <c r="A123" s="111" t="s">
        <v>77</v>
      </c>
      <c r="B123" s="111"/>
      <c r="C123" s="111"/>
      <c r="D123" s="111"/>
      <c r="E123" s="111"/>
      <c r="F123" s="111"/>
      <c r="G123" s="111"/>
      <c r="H123" s="111"/>
    </row>
    <row r="124" spans="1:10" s="35" customFormat="1" ht="15.75" customHeight="1" x14ac:dyDescent="0.25">
      <c r="A124" s="105" t="s">
        <v>53</v>
      </c>
      <c r="B124" s="105"/>
      <c r="C124" s="85" t="s">
        <v>80</v>
      </c>
      <c r="D124" s="85"/>
      <c r="E124" s="186" t="s">
        <v>54</v>
      </c>
      <c r="F124" s="186"/>
      <c r="G124" s="105" t="s">
        <v>55</v>
      </c>
      <c r="H124" s="105"/>
      <c r="I124" s="63" t="s">
        <v>211</v>
      </c>
      <c r="J124" s="63" t="s">
        <v>116</v>
      </c>
    </row>
    <row r="125" spans="1:10" s="35" customFormat="1" x14ac:dyDescent="0.25">
      <c r="A125" s="130" t="s">
        <v>222</v>
      </c>
      <c r="B125" s="57" t="s">
        <v>197</v>
      </c>
      <c r="C125" s="128">
        <f>COUNT(D142:D157,D159:D172)</f>
        <v>30</v>
      </c>
      <c r="D125" s="205"/>
      <c r="E125" s="109">
        <f>SUM(D142:D157,D159:D172)</f>
        <v>23379.137823599998</v>
      </c>
      <c r="F125" s="110"/>
      <c r="G125" s="109">
        <f>SUM(F142:F157,F159:F172)</f>
        <v>37406.620517759991</v>
      </c>
      <c r="H125" s="110"/>
      <c r="I125" s="35" t="s">
        <v>213</v>
      </c>
    </row>
    <row r="126" spans="1:10" s="35" customFormat="1" x14ac:dyDescent="0.25">
      <c r="A126" s="131"/>
      <c r="B126" s="57" t="s">
        <v>198</v>
      </c>
      <c r="C126" s="128">
        <f>COUNT(D174:D194)</f>
        <v>21</v>
      </c>
      <c r="D126" s="205"/>
      <c r="E126" s="109">
        <f>SUM(D174:D194)</f>
        <v>11378.193839999994</v>
      </c>
      <c r="F126" s="110"/>
      <c r="G126" s="109">
        <f>SUM(F174:F194)</f>
        <v>18205.110144000006</v>
      </c>
      <c r="H126" s="110"/>
      <c r="I126" s="62">
        <f>30000/1.55</f>
        <v>19354.83870967742</v>
      </c>
      <c r="J126" s="64" t="e">
        <f>20000000/#REF!</f>
        <v>#REF!</v>
      </c>
    </row>
    <row r="127" spans="1:10" s="35" customFormat="1" x14ac:dyDescent="0.25">
      <c r="A127" s="111" t="s">
        <v>154</v>
      </c>
      <c r="B127" s="111"/>
      <c r="C127" s="185">
        <f>SUM(C125:C126)</f>
        <v>51</v>
      </c>
      <c r="D127" s="85"/>
      <c r="E127" s="185">
        <f>SUM(E125:E126)</f>
        <v>34757.331663599994</v>
      </c>
      <c r="F127" s="85"/>
      <c r="G127" s="185">
        <f>SUM(G125:G126)</f>
        <v>55611.730661759997</v>
      </c>
      <c r="H127" s="85"/>
    </row>
    <row r="128" spans="1:10" s="35" customFormat="1" x14ac:dyDescent="0.25">
      <c r="A128" s="111" t="s">
        <v>71</v>
      </c>
      <c r="B128" s="111"/>
      <c r="C128" s="111"/>
      <c r="D128" s="111"/>
      <c r="E128" s="111"/>
      <c r="F128" s="111"/>
      <c r="G128" s="111"/>
      <c r="H128" s="111"/>
    </row>
    <row r="129" spans="1:14" s="35" customFormat="1" ht="15.75" customHeight="1" x14ac:dyDescent="0.25">
      <c r="A129" s="105" t="s">
        <v>53</v>
      </c>
      <c r="B129" s="105"/>
      <c r="C129" s="85" t="s">
        <v>80</v>
      </c>
      <c r="D129" s="85"/>
      <c r="E129" s="186" t="s">
        <v>54</v>
      </c>
      <c r="F129" s="186"/>
      <c r="G129" s="105" t="s">
        <v>55</v>
      </c>
      <c r="H129" s="105"/>
    </row>
    <row r="130" spans="1:14" s="35" customFormat="1" x14ac:dyDescent="0.25">
      <c r="A130" s="127" t="s">
        <v>246</v>
      </c>
      <c r="B130" s="127"/>
      <c r="C130" s="128">
        <f>COUNT(D202:D203,D205)+COUNT(D207:D210)*6+COUNT(D212:D213,D215,D217:D220)+COUNT(D222:D225)*2</f>
        <v>42</v>
      </c>
      <c r="D130" s="128"/>
      <c r="E130" s="109">
        <f>SUM(D202:D203,D205)+SUM(D207:D210)*6+SUM(D212:D213,D215,D217:D220)+SUM(D222:D225)*2</f>
        <v>41297.808239999998</v>
      </c>
      <c r="F130" s="109"/>
      <c r="G130" s="109">
        <f>SUM(F202:F203,F205)+SUM(F207:F210)*6+SUM(F212:F213,F215,F217:F220)+SUM(F222:F225)*2</f>
        <v>64011.602771999998</v>
      </c>
      <c r="H130" s="109"/>
      <c r="J130" s="35">
        <f>41+31</f>
        <v>72</v>
      </c>
    </row>
    <row r="131" spans="1:14" s="35" customFormat="1" x14ac:dyDescent="0.25">
      <c r="A131" s="127" t="s">
        <v>247</v>
      </c>
      <c r="B131" s="127"/>
      <c r="C131" s="128">
        <f>COUNT(D228:D229)+COUNT(D231:D233)*6+COUNT(D235:D236,D238:D240)+COUNT(D242:D244)*2</f>
        <v>31</v>
      </c>
      <c r="D131" s="128"/>
      <c r="E131" s="109">
        <f>SUM(D228:D229)+SUM(D231:D233)*6+SUM(D235:D236,D238:D240)+SUM(D242:D244)*2</f>
        <v>25606.15668</v>
      </c>
      <c r="F131" s="109"/>
      <c r="G131" s="109">
        <f>SUM(F228:F229)+SUM(F231:F233)*6+SUM(F235:F236,F238:F240)+SUM(F242:F244)*2</f>
        <v>39689.542853999999</v>
      </c>
      <c r="H131" s="109"/>
    </row>
    <row r="132" spans="1:14" s="35" customFormat="1" ht="31.5" customHeight="1" x14ac:dyDescent="0.25">
      <c r="A132" s="127" t="s">
        <v>245</v>
      </c>
      <c r="B132" s="127"/>
      <c r="C132" s="128">
        <f>COUNT(D251:D252,D258:D261)+COUNT(D263:D277)*6+COUNT(D279:D287,D290:D293)+COUNT(D306:D308)</f>
        <v>112</v>
      </c>
      <c r="D132" s="128"/>
      <c r="E132" s="129">
        <f>SUM(D251:D252,D258:D261)+SUM(D263:D277)*6+SUM(D279:D287,D290:D293)+SUM(D306:D308)</f>
        <v>34066.660680000001</v>
      </c>
      <c r="F132" s="129"/>
      <c r="G132" s="129">
        <f>SUM(F251:F252,F258:F261)+SUM(F263:F277)*6+SUM(F279:F287,F290:F293)+SUM(F306:F308)</f>
        <v>52803.324054000004</v>
      </c>
      <c r="H132" s="129"/>
    </row>
    <row r="133" spans="1:14" s="35" customFormat="1" ht="16.5" thickBot="1" x14ac:dyDescent="0.3">
      <c r="A133" s="206" t="s">
        <v>154</v>
      </c>
      <c r="B133" s="206"/>
      <c r="C133" s="106">
        <f>SUM(C130:C132)</f>
        <v>185</v>
      </c>
      <c r="D133" s="107"/>
      <c r="E133" s="106">
        <f t="shared" ref="E133:G133" si="0">SUM(E130:E132)</f>
        <v>100970.6256</v>
      </c>
      <c r="F133" s="107"/>
      <c r="G133" s="106">
        <f t="shared" si="0"/>
        <v>156504.46968000001</v>
      </c>
      <c r="H133" s="107"/>
    </row>
    <row r="134" spans="1:14" s="35" customFormat="1" ht="16.5" thickBot="1" x14ac:dyDescent="0.3">
      <c r="A134" s="123" t="s">
        <v>170</v>
      </c>
      <c r="B134" s="124"/>
      <c r="C134" s="125">
        <f>C127+C133</f>
        <v>236</v>
      </c>
      <c r="D134" s="126"/>
      <c r="E134" s="198">
        <f>E127+E133</f>
        <v>135727.95726359999</v>
      </c>
      <c r="F134" s="198"/>
      <c r="G134" s="199">
        <f>G127+G133</f>
        <v>212116.20034176001</v>
      </c>
      <c r="H134" s="200"/>
      <c r="I134" s="61" t="s">
        <v>212</v>
      </c>
    </row>
    <row r="135" spans="1:14" s="34" customFormat="1" x14ac:dyDescent="0.25">
      <c r="A135" s="190" t="s">
        <v>56</v>
      </c>
      <c r="B135" s="190"/>
      <c r="C135" s="190"/>
      <c r="D135" s="190"/>
      <c r="E135" s="190"/>
      <c r="F135" s="190"/>
      <c r="G135" s="190"/>
      <c r="H135" s="190"/>
    </row>
    <row r="136" spans="1:14" x14ac:dyDescent="0.25">
      <c r="A136" s="141" t="s">
        <v>57</v>
      </c>
      <c r="B136" s="141"/>
      <c r="C136" s="141"/>
      <c r="D136" s="141"/>
      <c r="E136" s="141"/>
      <c r="F136" s="141"/>
      <c r="G136" s="141"/>
      <c r="H136" s="141"/>
    </row>
    <row r="137" spans="1:14" ht="47.25" customHeight="1" x14ac:dyDescent="0.25">
      <c r="A137" s="101" t="s">
        <v>123</v>
      </c>
      <c r="B137" s="101" t="s">
        <v>122</v>
      </c>
      <c r="C137" s="101" t="s">
        <v>58</v>
      </c>
      <c r="D137" s="101" t="s">
        <v>59</v>
      </c>
      <c r="E137" s="113" t="s">
        <v>160</v>
      </c>
      <c r="F137" s="43" t="s">
        <v>153</v>
      </c>
      <c r="G137" s="201" t="s">
        <v>61</v>
      </c>
      <c r="H137" s="202"/>
    </row>
    <row r="138" spans="1:14" s="37" customFormat="1" x14ac:dyDescent="0.25">
      <c r="A138" s="102"/>
      <c r="B138" s="102"/>
      <c r="C138" s="102"/>
      <c r="D138" s="102"/>
      <c r="E138" s="114"/>
      <c r="F138" s="13">
        <v>0.6</v>
      </c>
      <c r="G138" s="203"/>
      <c r="H138" s="204"/>
    </row>
    <row r="139" spans="1:14" s="59" customFormat="1" x14ac:dyDescent="0.25">
      <c r="A139" s="191" t="s">
        <v>222</v>
      </c>
      <c r="B139" s="192"/>
      <c r="C139" s="192"/>
      <c r="D139" s="192"/>
      <c r="E139" s="192"/>
      <c r="F139" s="192"/>
      <c r="G139" s="192"/>
      <c r="H139" s="193"/>
      <c r="J139" s="36"/>
    </row>
    <row r="140" spans="1:14" s="59" customFormat="1" x14ac:dyDescent="0.25">
      <c r="A140" s="191" t="s">
        <v>196</v>
      </c>
      <c r="B140" s="192"/>
      <c r="C140" s="192"/>
      <c r="D140" s="192"/>
      <c r="E140" s="192"/>
      <c r="F140" s="192"/>
      <c r="G140" s="192"/>
      <c r="H140" s="193"/>
      <c r="J140" s="36"/>
    </row>
    <row r="141" spans="1:14" s="37" customFormat="1" x14ac:dyDescent="0.25">
      <c r="A141" s="112" t="s">
        <v>224</v>
      </c>
      <c r="B141" s="112"/>
      <c r="C141" s="112"/>
      <c r="D141" s="112"/>
      <c r="E141" s="112"/>
      <c r="F141" s="112"/>
      <c r="G141" s="112"/>
      <c r="H141" s="112"/>
      <c r="J141" s="36"/>
    </row>
    <row r="142" spans="1:14" s="37" customFormat="1" ht="15.75" customHeight="1" x14ac:dyDescent="0.25">
      <c r="A142" s="103">
        <v>1</v>
      </c>
      <c r="B142" s="103"/>
      <c r="C142" s="75" t="s">
        <v>223</v>
      </c>
      <c r="D142" s="60">
        <f>(140.71)*(10.764)</f>
        <v>1514.6024399999999</v>
      </c>
      <c r="E142" s="75">
        <v>0</v>
      </c>
      <c r="F142" s="75">
        <f>(D142+E142)*(($F$138)+1)</f>
        <v>2423.3639039999998</v>
      </c>
      <c r="G142" s="103" t="str">
        <f>A141</f>
        <v xml:space="preserve">Ground Floor For Entrance Lobby, Commercial &amp; Parking </v>
      </c>
      <c r="H142" s="103"/>
      <c r="I142" s="36">
        <f>3.87*4.05+3.68*1.75+1.85*1.6+2.3*4.05</f>
        <v>34.388500000000001</v>
      </c>
      <c r="L142" s="108"/>
      <c r="M142" s="108"/>
      <c r="N142" s="36"/>
    </row>
    <row r="143" spans="1:14" s="37" customFormat="1" x14ac:dyDescent="0.25">
      <c r="A143" s="103">
        <f t="shared" ref="A143:A157" si="1">A142+1</f>
        <v>2</v>
      </c>
      <c r="B143" s="103"/>
      <c r="C143" s="75" t="s">
        <v>223</v>
      </c>
      <c r="D143" s="60">
        <f>(28.05)*(10.764)</f>
        <v>301.93020000000001</v>
      </c>
      <c r="E143" s="75">
        <v>0</v>
      </c>
      <c r="F143" s="75">
        <f t="shared" ref="F143" si="2">(D143+E143)*(($F$138)+1)</f>
        <v>483.08832000000007</v>
      </c>
      <c r="G143" s="103"/>
      <c r="H143" s="103"/>
      <c r="I143" s="36"/>
      <c r="J143" s="60">
        <f>10.764</f>
        <v>10.763999999999999</v>
      </c>
      <c r="L143" s="108"/>
      <c r="M143" s="108"/>
      <c r="N143" s="36"/>
    </row>
    <row r="144" spans="1:14" s="59" customFormat="1" ht="15.75" customHeight="1" x14ac:dyDescent="0.25">
      <c r="A144" s="103">
        <f t="shared" si="1"/>
        <v>3</v>
      </c>
      <c r="B144" s="103"/>
      <c r="C144" s="75" t="s">
        <v>197</v>
      </c>
      <c r="D144" s="60">
        <f>(191.35)*(10.764)</f>
        <v>2059.6913999999997</v>
      </c>
      <c r="E144" s="75">
        <v>0</v>
      </c>
      <c r="F144" s="75">
        <f>(D144+E144)*(($F$138)+1)</f>
        <v>3295.5062399999997</v>
      </c>
      <c r="G144" s="103"/>
      <c r="H144" s="103"/>
      <c r="I144" s="36"/>
      <c r="L144" s="108"/>
      <c r="M144" s="108"/>
      <c r="N144" s="36"/>
    </row>
    <row r="145" spans="1:14" s="59" customFormat="1" ht="15.75" customHeight="1" x14ac:dyDescent="0.25">
      <c r="A145" s="103">
        <f t="shared" si="1"/>
        <v>4</v>
      </c>
      <c r="B145" s="103"/>
      <c r="C145" s="75" t="s">
        <v>197</v>
      </c>
      <c r="D145" s="60">
        <f>(49.65)*(10.764)</f>
        <v>534.43259999999998</v>
      </c>
      <c r="E145" s="75">
        <v>0</v>
      </c>
      <c r="F145" s="75">
        <f t="shared" ref="F145:F147" si="3">(D145+E145)*(($F$138)+1)</f>
        <v>855.09216000000004</v>
      </c>
      <c r="G145" s="103"/>
      <c r="H145" s="103"/>
      <c r="I145" s="36"/>
      <c r="L145" s="108"/>
      <c r="M145" s="108"/>
      <c r="N145" s="36"/>
    </row>
    <row r="146" spans="1:14" s="59" customFormat="1" ht="15.75" customHeight="1" x14ac:dyDescent="0.25">
      <c r="A146" s="103">
        <f t="shared" si="1"/>
        <v>5</v>
      </c>
      <c r="B146" s="103"/>
      <c r="C146" s="75" t="s">
        <v>197</v>
      </c>
      <c r="D146" s="60">
        <f>(36.5)*(10.764)</f>
        <v>392.88599999999997</v>
      </c>
      <c r="E146" s="75">
        <v>0</v>
      </c>
      <c r="F146" s="75">
        <f t="shared" si="3"/>
        <v>628.61760000000004</v>
      </c>
      <c r="G146" s="103"/>
      <c r="H146" s="103"/>
      <c r="I146" s="36"/>
      <c r="J146" s="36">
        <f>22000000/F147</f>
        <v>42594.403758269975</v>
      </c>
      <c r="L146" s="108"/>
      <c r="M146" s="108"/>
      <c r="N146" s="36"/>
    </row>
    <row r="147" spans="1:14" s="59" customFormat="1" ht="15.75" customHeight="1" x14ac:dyDescent="0.25">
      <c r="A147" s="103">
        <f t="shared" si="1"/>
        <v>6</v>
      </c>
      <c r="B147" s="103"/>
      <c r="C147" s="75" t="s">
        <v>197</v>
      </c>
      <c r="D147" s="60">
        <f>(29.99)*(10.764)</f>
        <v>322.81235999999996</v>
      </c>
      <c r="E147" s="75">
        <v>0</v>
      </c>
      <c r="F147" s="75">
        <f t="shared" si="3"/>
        <v>516.499776</v>
      </c>
      <c r="G147" s="103"/>
      <c r="H147" s="103"/>
      <c r="I147" s="36">
        <f>6.95*8.27+3.05*3.3</f>
        <v>67.541499999999999</v>
      </c>
      <c r="J147" s="64">
        <f>30000000/F143</f>
        <v>62100.445732159278</v>
      </c>
      <c r="L147" s="108"/>
      <c r="M147" s="108"/>
      <c r="N147" s="36"/>
    </row>
    <row r="148" spans="1:14" s="59" customFormat="1" ht="15.75" customHeight="1" x14ac:dyDescent="0.25">
      <c r="A148" s="103">
        <f t="shared" si="1"/>
        <v>7</v>
      </c>
      <c r="B148" s="103"/>
      <c r="C148" s="75" t="s">
        <v>197</v>
      </c>
      <c r="D148" s="60">
        <f>(110.79)*(10.764)</f>
        <v>1192.5435600000001</v>
      </c>
      <c r="E148" s="75">
        <v>0</v>
      </c>
      <c r="F148" s="75">
        <f t="shared" ref="F148:F153" si="4">(D148+E148)*(($F$138)+1)</f>
        <v>1908.0696960000002</v>
      </c>
      <c r="G148" s="103"/>
      <c r="H148" s="103"/>
      <c r="I148" s="36"/>
      <c r="L148" s="108"/>
      <c r="M148" s="108"/>
      <c r="N148" s="36"/>
    </row>
    <row r="149" spans="1:14" s="59" customFormat="1" ht="15.75" customHeight="1" x14ac:dyDescent="0.25">
      <c r="A149" s="103">
        <f t="shared" si="1"/>
        <v>8</v>
      </c>
      <c r="B149" s="103"/>
      <c r="C149" s="75" t="s">
        <v>197</v>
      </c>
      <c r="D149" s="60">
        <f>(109.49)*(10.764)</f>
        <v>1178.55036</v>
      </c>
      <c r="E149" s="75">
        <v>0</v>
      </c>
      <c r="F149" s="75">
        <f t="shared" si="4"/>
        <v>1885.680576</v>
      </c>
      <c r="G149" s="103"/>
      <c r="H149" s="103"/>
      <c r="I149" s="36"/>
      <c r="L149" s="108"/>
      <c r="M149" s="108"/>
      <c r="N149" s="36"/>
    </row>
    <row r="150" spans="1:14" s="59" customFormat="1" ht="15.75" customHeight="1" x14ac:dyDescent="0.25">
      <c r="A150" s="103">
        <f t="shared" si="1"/>
        <v>9</v>
      </c>
      <c r="B150" s="103"/>
      <c r="C150" s="75" t="s">
        <v>197</v>
      </c>
      <c r="D150" s="60">
        <f>(35.96)*(10.764)</f>
        <v>387.07344000000001</v>
      </c>
      <c r="E150" s="75">
        <v>0</v>
      </c>
      <c r="F150" s="75">
        <f t="shared" si="4"/>
        <v>619.3175040000001</v>
      </c>
      <c r="G150" s="103"/>
      <c r="H150" s="103"/>
      <c r="I150" s="36"/>
      <c r="L150" s="108"/>
      <c r="M150" s="108"/>
      <c r="N150" s="36"/>
    </row>
    <row r="151" spans="1:14" s="66" customFormat="1" ht="15.75" customHeight="1" x14ac:dyDescent="0.25">
      <c r="A151" s="103">
        <f t="shared" si="1"/>
        <v>10</v>
      </c>
      <c r="B151" s="103"/>
      <c r="C151" s="75" t="s">
        <v>197</v>
      </c>
      <c r="D151" s="60">
        <f>(27.92)*(10.764)</f>
        <v>300.53088000000002</v>
      </c>
      <c r="E151" s="75">
        <v>0</v>
      </c>
      <c r="F151" s="75">
        <f t="shared" si="4"/>
        <v>480.84940800000004</v>
      </c>
      <c r="G151" s="103"/>
      <c r="H151" s="103"/>
      <c r="I151" s="36"/>
      <c r="L151" s="108"/>
      <c r="M151" s="108"/>
      <c r="N151" s="36"/>
    </row>
    <row r="152" spans="1:14" s="66" customFormat="1" ht="15.75" customHeight="1" x14ac:dyDescent="0.25">
      <c r="A152" s="103">
        <f t="shared" si="1"/>
        <v>11</v>
      </c>
      <c r="B152" s="103"/>
      <c r="C152" s="75" t="s">
        <v>197</v>
      </c>
      <c r="D152" s="60">
        <f>(41.62)*(10.764)</f>
        <v>447.99767999999995</v>
      </c>
      <c r="E152" s="75">
        <v>0</v>
      </c>
      <c r="F152" s="75">
        <f t="shared" si="4"/>
        <v>716.796288</v>
      </c>
      <c r="G152" s="103"/>
      <c r="H152" s="103"/>
      <c r="I152" s="36"/>
      <c r="J152" s="36">
        <f>22000000/F153</f>
        <v>9871.7632821523694</v>
      </c>
      <c r="L152" s="108"/>
      <c r="M152" s="108"/>
      <c r="N152" s="36"/>
    </row>
    <row r="153" spans="1:14" s="66" customFormat="1" ht="15.75" customHeight="1" x14ac:dyDescent="0.25">
      <c r="A153" s="103">
        <f t="shared" si="1"/>
        <v>12</v>
      </c>
      <c r="B153" s="103"/>
      <c r="C153" s="75" t="s">
        <v>197</v>
      </c>
      <c r="D153" s="60">
        <f>(129.4)*(10.764)</f>
        <v>1392.8616</v>
      </c>
      <c r="E153" s="75">
        <v>0</v>
      </c>
      <c r="F153" s="75">
        <f t="shared" si="4"/>
        <v>2228.5785599999999</v>
      </c>
      <c r="G153" s="103"/>
      <c r="H153" s="103"/>
      <c r="I153" s="36">
        <f>6.95*8.27+3.05*3.3</f>
        <v>67.541499999999999</v>
      </c>
      <c r="J153" s="64">
        <f>30000000/F149</f>
        <v>15909.375310869194</v>
      </c>
      <c r="L153" s="108"/>
      <c r="M153" s="108"/>
      <c r="N153" s="36"/>
    </row>
    <row r="154" spans="1:14" s="66" customFormat="1" ht="15.75" customHeight="1" x14ac:dyDescent="0.25">
      <c r="A154" s="103">
        <f t="shared" si="1"/>
        <v>13</v>
      </c>
      <c r="B154" s="103"/>
      <c r="C154" s="75" t="s">
        <v>197</v>
      </c>
      <c r="D154" s="60">
        <f>(33.49)*(10.764)</f>
        <v>360.48635999999999</v>
      </c>
      <c r="E154" s="75">
        <v>0</v>
      </c>
      <c r="F154" s="75">
        <f t="shared" ref="F154:F156" si="5">(D154+E154)*(($F$138)+1)</f>
        <v>576.77817600000003</v>
      </c>
      <c r="G154" s="103"/>
      <c r="H154" s="103"/>
      <c r="I154" s="36"/>
      <c r="L154" s="108"/>
      <c r="M154" s="108"/>
      <c r="N154" s="36"/>
    </row>
    <row r="155" spans="1:14" s="66" customFormat="1" ht="15.75" customHeight="1" x14ac:dyDescent="0.25">
      <c r="A155" s="103">
        <f t="shared" si="1"/>
        <v>14</v>
      </c>
      <c r="B155" s="103"/>
      <c r="C155" s="75" t="s">
        <v>197</v>
      </c>
      <c r="D155" s="60">
        <f>(18.62)*(10.764)</f>
        <v>200.42568</v>
      </c>
      <c r="E155" s="75">
        <v>0</v>
      </c>
      <c r="F155" s="75">
        <f t="shared" si="5"/>
        <v>320.68108800000005</v>
      </c>
      <c r="G155" s="103"/>
      <c r="H155" s="103"/>
      <c r="I155" s="36"/>
      <c r="L155" s="108"/>
      <c r="M155" s="108"/>
      <c r="N155" s="36"/>
    </row>
    <row r="156" spans="1:14" s="66" customFormat="1" ht="15.75" customHeight="1" x14ac:dyDescent="0.25">
      <c r="A156" s="103">
        <f t="shared" si="1"/>
        <v>15</v>
      </c>
      <c r="B156" s="103"/>
      <c r="C156" s="75" t="s">
        <v>197</v>
      </c>
      <c r="D156" s="60">
        <f>(39.47)*(10.764)</f>
        <v>424.85507999999999</v>
      </c>
      <c r="E156" s="75">
        <v>0</v>
      </c>
      <c r="F156" s="75">
        <f t="shared" si="5"/>
        <v>679.76812800000005</v>
      </c>
      <c r="G156" s="103"/>
      <c r="H156" s="103"/>
      <c r="I156" s="36"/>
      <c r="L156" s="108"/>
      <c r="M156" s="108"/>
      <c r="N156" s="36"/>
    </row>
    <row r="157" spans="1:14" s="66" customFormat="1" ht="47.25" customHeight="1" x14ac:dyDescent="0.25">
      <c r="A157" s="103">
        <f t="shared" si="1"/>
        <v>16</v>
      </c>
      <c r="B157" s="103"/>
      <c r="C157" s="75" t="s">
        <v>226</v>
      </c>
      <c r="D157" s="60">
        <f>(38.82+(1.38*2.15+3.78*1.38+9.23*5.3+1.1*2.85+0.95*1.25))*(10.764)</f>
        <v>1079.0361035999999</v>
      </c>
      <c r="E157" s="75">
        <v>0</v>
      </c>
      <c r="F157" s="75">
        <f t="shared" ref="F157" si="6">(D157+E157)*(($F$138)+1)</f>
        <v>1726.45776576</v>
      </c>
      <c r="G157" s="103"/>
      <c r="H157" s="103"/>
      <c r="I157" s="36"/>
      <c r="L157" s="108"/>
      <c r="M157" s="108"/>
      <c r="N157" s="36"/>
    </row>
    <row r="158" spans="1:14" s="66" customFormat="1" x14ac:dyDescent="0.25">
      <c r="A158" s="191" t="s">
        <v>225</v>
      </c>
      <c r="B158" s="192"/>
      <c r="C158" s="192"/>
      <c r="D158" s="192"/>
      <c r="E158" s="192"/>
      <c r="F158" s="192"/>
      <c r="G158" s="192"/>
      <c r="H158" s="193"/>
      <c r="J158" s="36"/>
    </row>
    <row r="159" spans="1:14" s="66" customFormat="1" ht="15.75" customHeight="1" x14ac:dyDescent="0.25">
      <c r="A159" s="117">
        <v>1</v>
      </c>
      <c r="B159" s="118"/>
      <c r="C159" s="67" t="s">
        <v>223</v>
      </c>
      <c r="D159" s="60">
        <f>(114.84)*(10.764)</f>
        <v>1236.1377600000001</v>
      </c>
      <c r="E159" s="67">
        <v>0</v>
      </c>
      <c r="F159" s="67">
        <f>(D159+E159)*(($F$138)+1)</f>
        <v>1977.8204160000003</v>
      </c>
      <c r="G159" s="119" t="str">
        <f>A158</f>
        <v xml:space="preserve">1st Floor For Entrance Lobby, Commercial &amp; Parking </v>
      </c>
      <c r="H159" s="120"/>
      <c r="I159" s="36">
        <f>3.87*4.05+3.68*1.75+1.85*1.6+2.3*4.05</f>
        <v>34.388500000000001</v>
      </c>
      <c r="L159" s="108"/>
      <c r="M159" s="108"/>
      <c r="N159" s="36"/>
    </row>
    <row r="160" spans="1:14" s="66" customFormat="1" x14ac:dyDescent="0.25">
      <c r="A160" s="117">
        <f t="shared" ref="A160:A172" si="7">A159+1</f>
        <v>2</v>
      </c>
      <c r="B160" s="118"/>
      <c r="C160" s="67" t="s">
        <v>223</v>
      </c>
      <c r="D160" s="60">
        <f>(50.62)*(10.764)</f>
        <v>544.87367999999992</v>
      </c>
      <c r="E160" s="67">
        <v>0</v>
      </c>
      <c r="F160" s="67">
        <f t="shared" ref="F160" si="8">(D160+E160)*(($F$138)+1)</f>
        <v>871.79788799999994</v>
      </c>
      <c r="G160" s="121"/>
      <c r="H160" s="122"/>
      <c r="I160" s="36"/>
      <c r="J160" s="60">
        <f>10.764</f>
        <v>10.763999999999999</v>
      </c>
      <c r="L160" s="108"/>
      <c r="M160" s="108"/>
      <c r="N160" s="36"/>
    </row>
    <row r="161" spans="1:14" s="66" customFormat="1" ht="15.75" customHeight="1" x14ac:dyDescent="0.25">
      <c r="A161" s="117">
        <f t="shared" si="7"/>
        <v>3</v>
      </c>
      <c r="B161" s="118"/>
      <c r="C161" s="67" t="s">
        <v>197</v>
      </c>
      <c r="D161" s="60">
        <f>(19.2)*(10.764)</f>
        <v>206.66879999999998</v>
      </c>
      <c r="E161" s="67">
        <v>0</v>
      </c>
      <c r="F161" s="67">
        <f>(D161+E161)*(($F$138)+1)</f>
        <v>330.67007999999998</v>
      </c>
      <c r="G161" s="121"/>
      <c r="H161" s="122"/>
      <c r="I161" s="36"/>
      <c r="L161" s="108"/>
      <c r="M161" s="108"/>
      <c r="N161" s="36"/>
    </row>
    <row r="162" spans="1:14" s="66" customFormat="1" ht="15.75" customHeight="1" x14ac:dyDescent="0.25">
      <c r="A162" s="117">
        <f t="shared" si="7"/>
        <v>4</v>
      </c>
      <c r="B162" s="118"/>
      <c r="C162" s="67" t="s">
        <v>197</v>
      </c>
      <c r="D162" s="60">
        <f>(39.09)*(10.764)</f>
        <v>420.76476000000002</v>
      </c>
      <c r="E162" s="67">
        <v>0</v>
      </c>
      <c r="F162" s="67">
        <f t="shared" ref="F162:F172" si="9">(D162+E162)*(($F$138)+1)</f>
        <v>673.22361600000011</v>
      </c>
      <c r="G162" s="121"/>
      <c r="H162" s="122"/>
      <c r="I162" s="36"/>
      <c r="L162" s="108"/>
      <c r="M162" s="108"/>
      <c r="N162" s="36"/>
    </row>
    <row r="163" spans="1:14" s="66" customFormat="1" ht="15.75" customHeight="1" x14ac:dyDescent="0.25">
      <c r="A163" s="117">
        <f t="shared" si="7"/>
        <v>5</v>
      </c>
      <c r="B163" s="118"/>
      <c r="C163" s="67" t="s">
        <v>197</v>
      </c>
      <c r="D163" s="60">
        <f>(129.75)*(10.764)</f>
        <v>1396.6289999999999</v>
      </c>
      <c r="E163" s="67">
        <v>0</v>
      </c>
      <c r="F163" s="67">
        <f t="shared" si="9"/>
        <v>2234.6064000000001</v>
      </c>
      <c r="G163" s="121"/>
      <c r="H163" s="122"/>
      <c r="I163" s="36"/>
      <c r="J163" s="36">
        <f>22000000/F164</f>
        <v>24679.408205380922</v>
      </c>
      <c r="L163" s="108"/>
      <c r="M163" s="108"/>
      <c r="N163" s="36"/>
    </row>
    <row r="164" spans="1:14" s="66" customFormat="1" ht="15.75" customHeight="1" x14ac:dyDescent="0.25">
      <c r="A164" s="117">
        <f t="shared" si="7"/>
        <v>6</v>
      </c>
      <c r="B164" s="118"/>
      <c r="C164" s="67" t="s">
        <v>197</v>
      </c>
      <c r="D164" s="60">
        <f>(51.76)*(10.764)</f>
        <v>557.14463999999998</v>
      </c>
      <c r="E164" s="67">
        <v>0</v>
      </c>
      <c r="F164" s="67">
        <f t="shared" si="9"/>
        <v>891.43142399999999</v>
      </c>
      <c r="G164" s="121"/>
      <c r="H164" s="122"/>
      <c r="I164" s="36">
        <f>6.95*8.27+3.05*3.3</f>
        <v>67.541499999999999</v>
      </c>
      <c r="J164" s="64">
        <f>30000000/F160</f>
        <v>34411.645649685262</v>
      </c>
      <c r="L164" s="108"/>
      <c r="M164" s="108"/>
      <c r="N164" s="36"/>
    </row>
    <row r="165" spans="1:14" s="66" customFormat="1" ht="15.75" customHeight="1" x14ac:dyDescent="0.25">
      <c r="A165" s="117">
        <f t="shared" si="7"/>
        <v>7</v>
      </c>
      <c r="B165" s="118"/>
      <c r="C165" s="67" t="s">
        <v>197</v>
      </c>
      <c r="D165" s="60">
        <f>(87.4)*(10.764)</f>
        <v>940.77359999999999</v>
      </c>
      <c r="E165" s="67">
        <v>0</v>
      </c>
      <c r="F165" s="67">
        <f t="shared" si="9"/>
        <v>1505.23776</v>
      </c>
      <c r="G165" s="121"/>
      <c r="H165" s="122"/>
      <c r="I165" s="36"/>
      <c r="L165" s="108"/>
      <c r="M165" s="108"/>
      <c r="N165" s="36"/>
    </row>
    <row r="166" spans="1:14" s="66" customFormat="1" ht="15.75" customHeight="1" x14ac:dyDescent="0.25">
      <c r="A166" s="117">
        <f t="shared" si="7"/>
        <v>8</v>
      </c>
      <c r="B166" s="118"/>
      <c r="C166" s="67" t="s">
        <v>197</v>
      </c>
      <c r="D166" s="60">
        <f>(95.71)*(10.764)</f>
        <v>1030.2224399999998</v>
      </c>
      <c r="E166" s="67">
        <v>0</v>
      </c>
      <c r="F166" s="67">
        <f t="shared" si="9"/>
        <v>1648.3559039999998</v>
      </c>
      <c r="G166" s="121"/>
      <c r="H166" s="122"/>
      <c r="I166" s="36"/>
      <c r="L166" s="108"/>
      <c r="M166" s="108"/>
      <c r="N166" s="36"/>
    </row>
    <row r="167" spans="1:14" s="66" customFormat="1" ht="15.75" customHeight="1" x14ac:dyDescent="0.25">
      <c r="A167" s="117">
        <f t="shared" si="7"/>
        <v>9</v>
      </c>
      <c r="B167" s="118"/>
      <c r="C167" s="67" t="s">
        <v>197</v>
      </c>
      <c r="D167" s="60">
        <f>(150.65)*(10.764)</f>
        <v>1621.5965999999999</v>
      </c>
      <c r="E167" s="67">
        <v>0</v>
      </c>
      <c r="F167" s="67">
        <f t="shared" si="9"/>
        <v>2594.55456</v>
      </c>
      <c r="G167" s="121"/>
      <c r="H167" s="122"/>
      <c r="I167" s="36"/>
      <c r="L167" s="108"/>
      <c r="M167" s="108"/>
      <c r="N167" s="36"/>
    </row>
    <row r="168" spans="1:14" s="66" customFormat="1" ht="15.75" customHeight="1" x14ac:dyDescent="0.25">
      <c r="A168" s="117">
        <f t="shared" si="7"/>
        <v>10</v>
      </c>
      <c r="B168" s="118"/>
      <c r="C168" s="67" t="s">
        <v>197</v>
      </c>
      <c r="D168" s="60">
        <f>(81.63)*(10.764)</f>
        <v>878.66531999999995</v>
      </c>
      <c r="E168" s="67">
        <v>0</v>
      </c>
      <c r="F168" s="67">
        <f t="shared" si="9"/>
        <v>1405.8645120000001</v>
      </c>
      <c r="G168" s="121"/>
      <c r="H168" s="122"/>
      <c r="I168" s="36"/>
      <c r="L168" s="108"/>
      <c r="M168" s="108"/>
      <c r="N168" s="36"/>
    </row>
    <row r="169" spans="1:14" s="66" customFormat="1" ht="15.75" customHeight="1" x14ac:dyDescent="0.25">
      <c r="A169" s="117">
        <f t="shared" si="7"/>
        <v>11</v>
      </c>
      <c r="B169" s="118"/>
      <c r="C169" s="67" t="s">
        <v>197</v>
      </c>
      <c r="D169" s="60">
        <f>(81.82)*(10.764)</f>
        <v>880.71047999999985</v>
      </c>
      <c r="E169" s="67">
        <v>0</v>
      </c>
      <c r="F169" s="67">
        <f t="shared" si="9"/>
        <v>1409.1367679999998</v>
      </c>
      <c r="G169" s="121"/>
      <c r="H169" s="122"/>
      <c r="I169" s="36"/>
      <c r="J169" s="36">
        <f>22000000/F170</f>
        <v>22909.00589509535</v>
      </c>
      <c r="L169" s="108"/>
      <c r="M169" s="108"/>
      <c r="N169" s="36"/>
    </row>
    <row r="170" spans="1:14" s="66" customFormat="1" ht="15.75" customHeight="1" x14ac:dyDescent="0.25">
      <c r="A170" s="117">
        <f t="shared" si="7"/>
        <v>12</v>
      </c>
      <c r="B170" s="118"/>
      <c r="C170" s="67" t="s">
        <v>197</v>
      </c>
      <c r="D170" s="60">
        <f>(55.76)*(10.764)</f>
        <v>600.20063999999991</v>
      </c>
      <c r="E170" s="67">
        <v>0</v>
      </c>
      <c r="F170" s="67">
        <f t="shared" si="9"/>
        <v>960.32102399999985</v>
      </c>
      <c r="G170" s="121"/>
      <c r="H170" s="122"/>
      <c r="I170" s="36">
        <f>6.95*8.27+3.05*3.3</f>
        <v>67.541499999999999</v>
      </c>
      <c r="J170" s="64">
        <f>30000000/F166</f>
        <v>18199.953012089314</v>
      </c>
      <c r="L170" s="108"/>
      <c r="M170" s="108"/>
      <c r="N170" s="36"/>
    </row>
    <row r="171" spans="1:14" s="66" customFormat="1" ht="15.75" customHeight="1" x14ac:dyDescent="0.25">
      <c r="A171" s="117">
        <f t="shared" si="7"/>
        <v>13</v>
      </c>
      <c r="B171" s="118"/>
      <c r="C171" s="67" t="s">
        <v>197</v>
      </c>
      <c r="D171" s="60">
        <f>(18.56)*(10.764)</f>
        <v>199.77983999999998</v>
      </c>
      <c r="E171" s="67">
        <v>0</v>
      </c>
      <c r="F171" s="67">
        <f t="shared" si="9"/>
        <v>319.64774399999999</v>
      </c>
      <c r="G171" s="121"/>
      <c r="H171" s="122"/>
      <c r="I171" s="36"/>
      <c r="L171" s="108"/>
      <c r="M171" s="108"/>
      <c r="N171" s="36"/>
    </row>
    <row r="172" spans="1:14" s="66" customFormat="1" ht="15.75" customHeight="1" x14ac:dyDescent="0.25">
      <c r="A172" s="117">
        <f t="shared" si="7"/>
        <v>14</v>
      </c>
      <c r="B172" s="118"/>
      <c r="C172" s="67" t="s">
        <v>197</v>
      </c>
      <c r="D172" s="60">
        <f>(71.93)*(10.764)</f>
        <v>774.25452000000007</v>
      </c>
      <c r="E172" s="67">
        <v>0</v>
      </c>
      <c r="F172" s="67">
        <f t="shared" si="9"/>
        <v>1238.8072320000001</v>
      </c>
      <c r="G172" s="121"/>
      <c r="H172" s="122"/>
      <c r="I172" s="36"/>
      <c r="L172" s="108"/>
      <c r="M172" s="108"/>
      <c r="N172" s="36"/>
    </row>
    <row r="173" spans="1:14" s="59" customFormat="1" x14ac:dyDescent="0.25">
      <c r="A173" s="191" t="s">
        <v>199</v>
      </c>
      <c r="B173" s="192"/>
      <c r="C173" s="192"/>
      <c r="D173" s="192"/>
      <c r="E173" s="192"/>
      <c r="F173" s="192"/>
      <c r="G173" s="192"/>
      <c r="H173" s="193"/>
      <c r="J173" s="36"/>
    </row>
    <row r="174" spans="1:14" s="59" customFormat="1" ht="15.75" customHeight="1" x14ac:dyDescent="0.25">
      <c r="A174" s="117">
        <v>1</v>
      </c>
      <c r="B174" s="118"/>
      <c r="C174" s="56" t="s">
        <v>198</v>
      </c>
      <c r="D174" s="60">
        <f>(66.74)*(10.764)</f>
        <v>718.3893599999999</v>
      </c>
      <c r="E174" s="56">
        <v>0</v>
      </c>
      <c r="F174" s="56">
        <f>(D174+E174)*(($F$138)+1)</f>
        <v>1149.4229759999998</v>
      </c>
      <c r="G174" s="119" t="str">
        <f>A173</f>
        <v>2nd Floor Commercial &amp; Parking</v>
      </c>
      <c r="H174" s="120"/>
      <c r="I174" s="36"/>
      <c r="L174" s="108"/>
      <c r="M174" s="108"/>
      <c r="N174" s="36"/>
    </row>
    <row r="175" spans="1:14" s="59" customFormat="1" ht="15.75" customHeight="1" x14ac:dyDescent="0.25">
      <c r="A175" s="117">
        <f t="shared" ref="A175:A182" si="10">A174+1</f>
        <v>2</v>
      </c>
      <c r="B175" s="118"/>
      <c r="C175" s="56" t="s">
        <v>198</v>
      </c>
      <c r="D175" s="60">
        <f>(48.05)*(10.764)</f>
        <v>517.21019999999999</v>
      </c>
      <c r="E175" s="56">
        <v>0</v>
      </c>
      <c r="F175" s="56">
        <f t="shared" ref="F175:F177" si="11">(D175+E175)*(($F$138)+1)</f>
        <v>827.53632000000005</v>
      </c>
      <c r="G175" s="121"/>
      <c r="H175" s="122"/>
      <c r="I175" s="36"/>
      <c r="L175" s="108"/>
      <c r="M175" s="108"/>
      <c r="N175" s="36"/>
    </row>
    <row r="176" spans="1:14" s="59" customFormat="1" ht="15.75" customHeight="1" x14ac:dyDescent="0.25">
      <c r="A176" s="117">
        <f t="shared" si="10"/>
        <v>3</v>
      </c>
      <c r="B176" s="118"/>
      <c r="C176" s="56" t="s">
        <v>198</v>
      </c>
      <c r="D176" s="60">
        <f>(48.17)*(10.764)</f>
        <v>518.50188000000003</v>
      </c>
      <c r="E176" s="56">
        <v>0</v>
      </c>
      <c r="F176" s="56">
        <f t="shared" si="11"/>
        <v>829.60300800000005</v>
      </c>
      <c r="G176" s="121"/>
      <c r="H176" s="122"/>
      <c r="I176" s="36"/>
      <c r="L176" s="108"/>
      <c r="M176" s="108"/>
      <c r="N176" s="36"/>
    </row>
    <row r="177" spans="1:14" s="59" customFormat="1" ht="15.75" customHeight="1" x14ac:dyDescent="0.25">
      <c r="A177" s="117">
        <f t="shared" si="10"/>
        <v>4</v>
      </c>
      <c r="B177" s="118"/>
      <c r="C177" s="56" t="s">
        <v>198</v>
      </c>
      <c r="D177" s="60">
        <f>(24.16)*(10.764)</f>
        <v>260.05824000000001</v>
      </c>
      <c r="E177" s="56">
        <v>0</v>
      </c>
      <c r="F177" s="56">
        <f t="shared" si="11"/>
        <v>416.09318400000006</v>
      </c>
      <c r="G177" s="121"/>
      <c r="H177" s="122"/>
      <c r="I177" s="36"/>
      <c r="L177" s="108"/>
      <c r="M177" s="108"/>
      <c r="N177" s="36"/>
    </row>
    <row r="178" spans="1:14" s="59" customFormat="1" x14ac:dyDescent="0.25">
      <c r="A178" s="117">
        <f t="shared" si="10"/>
        <v>5</v>
      </c>
      <c r="B178" s="118"/>
      <c r="C178" s="56" t="s">
        <v>198</v>
      </c>
      <c r="D178" s="60">
        <f>(29.9)*(10.764)</f>
        <v>321.84359999999998</v>
      </c>
      <c r="E178" s="56">
        <v>0</v>
      </c>
      <c r="F178" s="56">
        <f>(D178+E178)*(($F$138)+1)</f>
        <v>514.94975999999997</v>
      </c>
      <c r="G178" s="121"/>
      <c r="H178" s="122"/>
      <c r="I178" s="36"/>
      <c r="L178" s="108"/>
      <c r="M178" s="108"/>
      <c r="N178" s="36"/>
    </row>
    <row r="179" spans="1:14" s="59" customFormat="1" x14ac:dyDescent="0.25">
      <c r="A179" s="117">
        <f t="shared" si="10"/>
        <v>6</v>
      </c>
      <c r="B179" s="118"/>
      <c r="C179" s="56" t="s">
        <v>198</v>
      </c>
      <c r="D179" s="60">
        <f>(120.53)*(10.764)</f>
        <v>1297.38492</v>
      </c>
      <c r="E179" s="56">
        <v>0</v>
      </c>
      <c r="F179" s="56">
        <f t="shared" ref="F179" si="12">(D179+E179)*(($F$138)+1)</f>
        <v>2075.8158720000001</v>
      </c>
      <c r="G179" s="121"/>
      <c r="H179" s="122"/>
      <c r="I179" s="36"/>
      <c r="L179" s="108"/>
      <c r="M179" s="108"/>
      <c r="N179" s="36"/>
    </row>
    <row r="180" spans="1:14" s="66" customFormat="1" ht="15.75" customHeight="1" x14ac:dyDescent="0.25">
      <c r="A180" s="117">
        <v>7</v>
      </c>
      <c r="B180" s="118"/>
      <c r="C180" s="67" t="s">
        <v>198</v>
      </c>
      <c r="D180" s="60">
        <f>(61.67)*(10.764)</f>
        <v>663.81587999999999</v>
      </c>
      <c r="E180" s="67">
        <v>0</v>
      </c>
      <c r="F180" s="67">
        <f>(D180+E180)*(($F$138)+1)</f>
        <v>1062.1054080000001</v>
      </c>
      <c r="G180" s="121"/>
      <c r="H180" s="122"/>
      <c r="I180" s="36"/>
      <c r="L180" s="108"/>
      <c r="M180" s="108"/>
      <c r="N180" s="36"/>
    </row>
    <row r="181" spans="1:14" s="66" customFormat="1" ht="15.75" customHeight="1" x14ac:dyDescent="0.25">
      <c r="A181" s="117">
        <f t="shared" si="10"/>
        <v>8</v>
      </c>
      <c r="B181" s="118"/>
      <c r="C181" s="67" t="s">
        <v>198</v>
      </c>
      <c r="D181" s="60">
        <f>(81.94)*(10.764)</f>
        <v>882.00215999999989</v>
      </c>
      <c r="E181" s="67">
        <v>0</v>
      </c>
      <c r="F181" s="67">
        <f t="shared" ref="F181:F183" si="13">(D181+E181)*(($F$138)+1)</f>
        <v>1411.203456</v>
      </c>
      <c r="G181" s="121"/>
      <c r="H181" s="122"/>
      <c r="I181" s="36"/>
      <c r="L181" s="108"/>
      <c r="M181" s="108"/>
      <c r="N181" s="36"/>
    </row>
    <row r="182" spans="1:14" s="66" customFormat="1" ht="15.75" customHeight="1" x14ac:dyDescent="0.25">
      <c r="A182" s="117">
        <f t="shared" si="10"/>
        <v>9</v>
      </c>
      <c r="B182" s="118"/>
      <c r="C182" s="67" t="s">
        <v>198</v>
      </c>
      <c r="D182" s="60">
        <f>(86.62)*(10.764)</f>
        <v>932.37767999999994</v>
      </c>
      <c r="E182" s="67">
        <v>0</v>
      </c>
      <c r="F182" s="67">
        <f t="shared" si="13"/>
        <v>1491.804288</v>
      </c>
      <c r="G182" s="121"/>
      <c r="H182" s="122"/>
      <c r="I182" s="36"/>
      <c r="L182" s="108"/>
      <c r="M182" s="108"/>
      <c r="N182" s="36"/>
    </row>
    <row r="183" spans="1:14" s="66" customFormat="1" ht="15.75" customHeight="1" x14ac:dyDescent="0.25">
      <c r="A183" s="117" t="s">
        <v>227</v>
      </c>
      <c r="B183" s="118"/>
      <c r="C183" s="67" t="s">
        <v>198</v>
      </c>
      <c r="D183" s="60">
        <f>(245.26)*(10.764)</f>
        <v>2639.9786399999998</v>
      </c>
      <c r="E183" s="67">
        <v>0</v>
      </c>
      <c r="F183" s="67">
        <f t="shared" si="13"/>
        <v>4223.9658239999999</v>
      </c>
      <c r="G183" s="121"/>
      <c r="H183" s="122"/>
      <c r="I183" s="36"/>
      <c r="L183" s="108"/>
      <c r="M183" s="108"/>
      <c r="N183" s="36"/>
    </row>
    <row r="184" spans="1:14" s="66" customFormat="1" x14ac:dyDescent="0.25">
      <c r="A184" s="117">
        <v>10</v>
      </c>
      <c r="B184" s="118"/>
      <c r="C184" s="67" t="s">
        <v>198</v>
      </c>
      <c r="D184" s="60">
        <f>(30.83)*(10.764)</f>
        <v>331.85411999999997</v>
      </c>
      <c r="E184" s="67">
        <v>0</v>
      </c>
      <c r="F184" s="67">
        <f>(D184+E184)*(($F$138)+1)</f>
        <v>530.96659199999999</v>
      </c>
      <c r="G184" s="121"/>
      <c r="H184" s="122"/>
      <c r="I184" s="36"/>
      <c r="L184" s="108"/>
      <c r="M184" s="108"/>
      <c r="N184" s="36"/>
    </row>
    <row r="185" spans="1:14" s="66" customFormat="1" x14ac:dyDescent="0.25">
      <c r="A185" s="117" t="s">
        <v>228</v>
      </c>
      <c r="B185" s="118"/>
      <c r="C185" s="67" t="s">
        <v>198</v>
      </c>
      <c r="D185" s="60">
        <f>(27.87)*(10.764)</f>
        <v>299.99268000000001</v>
      </c>
      <c r="E185" s="67">
        <v>0</v>
      </c>
      <c r="F185" s="67">
        <f t="shared" ref="F185" si="14">(D185+E185)*(($F$138)+1)</f>
        <v>479.98828800000001</v>
      </c>
      <c r="G185" s="121"/>
      <c r="H185" s="122"/>
      <c r="I185" s="36"/>
      <c r="L185" s="108"/>
      <c r="M185" s="108"/>
      <c r="N185" s="36"/>
    </row>
    <row r="186" spans="1:14" s="66" customFormat="1" x14ac:dyDescent="0.25">
      <c r="A186" s="117">
        <v>11</v>
      </c>
      <c r="B186" s="118"/>
      <c r="C186" s="67" t="s">
        <v>198</v>
      </c>
      <c r="D186" s="60">
        <f>(18.76)*(10.764)</f>
        <v>201.93263999999999</v>
      </c>
      <c r="E186" s="67">
        <v>0</v>
      </c>
      <c r="F186" s="67">
        <f>(D186+E186)*(($F$138)+1)</f>
        <v>323.09222399999999</v>
      </c>
      <c r="G186" s="121"/>
      <c r="H186" s="122"/>
      <c r="I186" s="36"/>
      <c r="L186" s="108"/>
      <c r="M186" s="108"/>
      <c r="N186" s="36"/>
    </row>
    <row r="187" spans="1:14" s="66" customFormat="1" x14ac:dyDescent="0.25">
      <c r="A187" s="117">
        <f t="shared" ref="A187:A194" si="15">A186+1</f>
        <v>12</v>
      </c>
      <c r="B187" s="118"/>
      <c r="C187" s="67" t="s">
        <v>198</v>
      </c>
      <c r="D187" s="60">
        <f>(17.85)*(10.764)</f>
        <v>192.13740000000001</v>
      </c>
      <c r="E187" s="67">
        <v>0</v>
      </c>
      <c r="F187" s="67">
        <f t="shared" ref="F187" si="16">(D187+E187)*(($F$138)+1)</f>
        <v>307.41984000000002</v>
      </c>
      <c r="G187" s="121"/>
      <c r="H187" s="122"/>
      <c r="I187" s="36"/>
      <c r="L187" s="108"/>
      <c r="M187" s="108"/>
      <c r="N187" s="36"/>
    </row>
    <row r="188" spans="1:14" s="66" customFormat="1" ht="15.75" customHeight="1" x14ac:dyDescent="0.25">
      <c r="A188" s="117">
        <v>13</v>
      </c>
      <c r="B188" s="118"/>
      <c r="C188" s="67" t="s">
        <v>198</v>
      </c>
      <c r="D188" s="60">
        <f>(18.59)*(10.764)</f>
        <v>200.10275999999999</v>
      </c>
      <c r="E188" s="67">
        <v>0</v>
      </c>
      <c r="F188" s="67">
        <f>(D188+E188)*(($F$138)+1)</f>
        <v>320.16441600000002</v>
      </c>
      <c r="G188" s="121"/>
      <c r="H188" s="122"/>
      <c r="I188" s="36"/>
      <c r="L188" s="108"/>
      <c r="M188" s="108"/>
      <c r="N188" s="36"/>
    </row>
    <row r="189" spans="1:14" s="66" customFormat="1" ht="15.75" customHeight="1" x14ac:dyDescent="0.25">
      <c r="A189" s="117">
        <f t="shared" si="15"/>
        <v>14</v>
      </c>
      <c r="B189" s="118"/>
      <c r="C189" s="67" t="s">
        <v>198</v>
      </c>
      <c r="D189" s="60">
        <f>(37.6)*(10.764)</f>
        <v>404.72640000000001</v>
      </c>
      <c r="E189" s="67">
        <v>0</v>
      </c>
      <c r="F189" s="67">
        <f t="shared" ref="F189:F191" si="17">(D189+E189)*(($F$138)+1)</f>
        <v>647.56224000000009</v>
      </c>
      <c r="G189" s="121"/>
      <c r="H189" s="122"/>
      <c r="I189" s="36"/>
      <c r="L189" s="108"/>
      <c r="M189" s="108"/>
      <c r="N189" s="36"/>
    </row>
    <row r="190" spans="1:14" s="66" customFormat="1" ht="15.75" customHeight="1" x14ac:dyDescent="0.25">
      <c r="A190" s="117">
        <f t="shared" si="15"/>
        <v>15</v>
      </c>
      <c r="B190" s="118"/>
      <c r="C190" s="67" t="s">
        <v>198</v>
      </c>
      <c r="D190" s="60">
        <f>(18.59)*(10.764)</f>
        <v>200.10275999999999</v>
      </c>
      <c r="E190" s="67">
        <v>0</v>
      </c>
      <c r="F190" s="67">
        <f t="shared" si="17"/>
        <v>320.16441600000002</v>
      </c>
      <c r="G190" s="121"/>
      <c r="H190" s="122"/>
      <c r="I190" s="36"/>
      <c r="L190" s="108"/>
      <c r="M190" s="108"/>
      <c r="N190" s="36"/>
    </row>
    <row r="191" spans="1:14" s="66" customFormat="1" x14ac:dyDescent="0.25">
      <c r="A191" s="117">
        <f t="shared" si="15"/>
        <v>16</v>
      </c>
      <c r="B191" s="118"/>
      <c r="C191" s="67" t="s">
        <v>198</v>
      </c>
      <c r="D191" s="60">
        <f>(18.47)*(10.764)</f>
        <v>198.81107999999998</v>
      </c>
      <c r="E191" s="67">
        <v>0</v>
      </c>
      <c r="F191" s="67">
        <f t="shared" si="17"/>
        <v>318.09772799999996</v>
      </c>
      <c r="G191" s="121"/>
      <c r="H191" s="122"/>
      <c r="I191" s="36"/>
      <c r="L191" s="108"/>
      <c r="M191" s="108"/>
      <c r="N191" s="36"/>
    </row>
    <row r="192" spans="1:14" s="66" customFormat="1" ht="15.75" customHeight="1" x14ac:dyDescent="0.25">
      <c r="A192" s="117">
        <v>17</v>
      </c>
      <c r="B192" s="118"/>
      <c r="C192" s="67" t="s">
        <v>198</v>
      </c>
      <c r="D192" s="60">
        <f>(18.56)*(10.764)</f>
        <v>199.77983999999998</v>
      </c>
      <c r="E192" s="67">
        <v>0</v>
      </c>
      <c r="F192" s="67">
        <f>(D192+E192)*(($F$138)+1)</f>
        <v>319.64774399999999</v>
      </c>
      <c r="G192" s="121"/>
      <c r="H192" s="122"/>
      <c r="I192" s="36"/>
      <c r="L192" s="108"/>
      <c r="M192" s="108"/>
      <c r="N192" s="36"/>
    </row>
    <row r="193" spans="1:14" s="66" customFormat="1" ht="15.75" customHeight="1" x14ac:dyDescent="0.25">
      <c r="A193" s="117">
        <f t="shared" si="15"/>
        <v>18</v>
      </c>
      <c r="B193" s="118"/>
      <c r="C193" s="67" t="s">
        <v>198</v>
      </c>
      <c r="D193" s="60">
        <f>(18.56)*(10.764)</f>
        <v>199.77983999999998</v>
      </c>
      <c r="E193" s="67">
        <v>0</v>
      </c>
      <c r="F193" s="67">
        <f t="shared" ref="F193:F194" si="18">(D193+E193)*(($F$138)+1)</f>
        <v>319.64774399999999</v>
      </c>
      <c r="G193" s="121"/>
      <c r="H193" s="122"/>
      <c r="I193" s="36"/>
      <c r="L193" s="108"/>
      <c r="M193" s="108"/>
      <c r="N193" s="36"/>
    </row>
    <row r="194" spans="1:14" s="66" customFormat="1" ht="15.75" customHeight="1" x14ac:dyDescent="0.25">
      <c r="A194" s="117">
        <f t="shared" si="15"/>
        <v>19</v>
      </c>
      <c r="B194" s="118"/>
      <c r="C194" s="67" t="s">
        <v>198</v>
      </c>
      <c r="D194" s="60">
        <f>(18.34)*(10.764)</f>
        <v>197.41175999999999</v>
      </c>
      <c r="E194" s="67">
        <v>0</v>
      </c>
      <c r="F194" s="67">
        <f t="shared" si="18"/>
        <v>315.85881599999999</v>
      </c>
      <c r="G194" s="208"/>
      <c r="H194" s="209"/>
      <c r="I194" s="36"/>
      <c r="L194" s="108"/>
      <c r="M194" s="108"/>
      <c r="N194" s="36"/>
    </row>
    <row r="195" spans="1:14" s="66" customFormat="1" ht="15.75" customHeight="1" x14ac:dyDescent="0.25">
      <c r="A195" s="112" t="s">
        <v>200</v>
      </c>
      <c r="B195" s="112"/>
      <c r="C195" s="112"/>
      <c r="D195" s="112"/>
      <c r="E195" s="112"/>
      <c r="F195" s="112"/>
      <c r="G195" s="112"/>
      <c r="H195" s="112"/>
      <c r="J195" s="36" t="s">
        <v>202</v>
      </c>
    </row>
    <row r="196" spans="1:14" s="66" customFormat="1" ht="15.75" customHeight="1" x14ac:dyDescent="0.25">
      <c r="A196" s="112" t="s">
        <v>229</v>
      </c>
      <c r="B196" s="112"/>
      <c r="C196" s="112"/>
      <c r="D196" s="112"/>
      <c r="E196" s="112"/>
      <c r="F196" s="112"/>
      <c r="G196" s="112"/>
      <c r="H196" s="112"/>
      <c r="J196" s="36" t="s">
        <v>202</v>
      </c>
    </row>
    <row r="197" spans="1:14" s="66" customFormat="1" x14ac:dyDescent="0.25">
      <c r="A197" s="103"/>
      <c r="B197" s="103"/>
      <c r="C197" s="103"/>
      <c r="D197" s="103"/>
      <c r="E197" s="103"/>
      <c r="F197" s="103"/>
      <c r="G197" s="103"/>
      <c r="H197" s="103"/>
      <c r="I197" s="36"/>
      <c r="N197" s="36"/>
    </row>
    <row r="198" spans="1:14" ht="47.25" customHeight="1" x14ac:dyDescent="0.25">
      <c r="A198" s="115" t="s">
        <v>124</v>
      </c>
      <c r="B198" s="115" t="s">
        <v>125</v>
      </c>
      <c r="C198" s="115" t="s">
        <v>58</v>
      </c>
      <c r="D198" s="115" t="s">
        <v>59</v>
      </c>
      <c r="E198" s="116" t="s">
        <v>60</v>
      </c>
      <c r="F198" s="78" t="s">
        <v>153</v>
      </c>
      <c r="G198" s="115" t="s">
        <v>61</v>
      </c>
      <c r="H198" s="115"/>
      <c r="I198" s="36"/>
    </row>
    <row r="199" spans="1:14" s="66" customFormat="1" x14ac:dyDescent="0.25">
      <c r="A199" s="115"/>
      <c r="B199" s="115"/>
      <c r="C199" s="115"/>
      <c r="D199" s="115"/>
      <c r="E199" s="116"/>
      <c r="F199" s="79">
        <v>0.55000000000000004</v>
      </c>
      <c r="G199" s="115"/>
      <c r="H199" s="115"/>
      <c r="I199" s="36"/>
    </row>
    <row r="200" spans="1:14" s="66" customFormat="1" x14ac:dyDescent="0.25">
      <c r="A200" s="191" t="s">
        <v>201</v>
      </c>
      <c r="B200" s="192"/>
      <c r="C200" s="192"/>
      <c r="D200" s="192"/>
      <c r="E200" s="192"/>
      <c r="F200" s="192"/>
      <c r="G200" s="192"/>
      <c r="H200" s="193"/>
      <c r="J200" s="36"/>
    </row>
    <row r="201" spans="1:14" s="66" customFormat="1" ht="15.75" customHeight="1" x14ac:dyDescent="0.25">
      <c r="A201" s="191" t="s">
        <v>230</v>
      </c>
      <c r="B201" s="192"/>
      <c r="C201" s="192"/>
      <c r="D201" s="192"/>
      <c r="E201" s="192"/>
      <c r="F201" s="192"/>
      <c r="G201" s="192"/>
      <c r="H201" s="193"/>
      <c r="J201" s="36"/>
    </row>
    <row r="202" spans="1:14" s="37" customFormat="1" ht="15.75" customHeight="1" x14ac:dyDescent="0.25">
      <c r="A202" s="117">
        <v>1</v>
      </c>
      <c r="B202" s="118"/>
      <c r="C202" s="42" t="s">
        <v>205</v>
      </c>
      <c r="D202" s="60">
        <f>(73.65)*(10.764)</f>
        <v>792.76859999999999</v>
      </c>
      <c r="E202" s="42">
        <v>0</v>
      </c>
      <c r="F202" s="42">
        <f>D202*(($F$199)+1)+(IF(E202&lt;101,E202,IF(E202&lt;201,E202/2,IF(E202&lt;=301,E202/3,E202/4))))</f>
        <v>1228.79133</v>
      </c>
      <c r="G202" s="119" t="str">
        <f>A201</f>
        <v>6th Floor For Refuge Area &amp; Residential</v>
      </c>
      <c r="H202" s="120"/>
      <c r="I202" s="36">
        <f>5.75*3.35+2.4*1.5+3.2*2.3+3.2*3.05+3.35*3.2+1.35*2.46+1.35*2.15+2.4*1.5+0.6*2.45+0.9*2</f>
        <v>63.795999999999985</v>
      </c>
      <c r="L202" s="108"/>
      <c r="M202" s="108"/>
      <c r="N202" s="36"/>
    </row>
    <row r="203" spans="1:14" s="37" customFormat="1" ht="15.75" customHeight="1" x14ac:dyDescent="0.25">
      <c r="A203" s="117">
        <f t="shared" ref="A203:A204" si="19">A202+1</f>
        <v>2</v>
      </c>
      <c r="B203" s="118"/>
      <c r="C203" s="56" t="s">
        <v>205</v>
      </c>
      <c r="D203" s="60">
        <f>(73.65)*(10.764)</f>
        <v>792.76859999999999</v>
      </c>
      <c r="E203" s="42">
        <v>0</v>
      </c>
      <c r="F203" s="42">
        <f>D203*(($F$199)+1)+(IF(E203&lt;101,E203,IF(E203&lt;201,E203/2,IF(E203&lt;=301,E203/3,E203/4))))</f>
        <v>1228.79133</v>
      </c>
      <c r="G203" s="121"/>
      <c r="H203" s="122"/>
      <c r="I203" s="36"/>
      <c r="L203" s="108"/>
      <c r="M203" s="108"/>
      <c r="N203" s="36"/>
    </row>
    <row r="204" spans="1:14" s="37" customFormat="1" ht="15.75" customHeight="1" x14ac:dyDescent="0.25">
      <c r="A204" s="117">
        <f t="shared" si="19"/>
        <v>3</v>
      </c>
      <c r="B204" s="118"/>
      <c r="C204" s="117" t="s">
        <v>206</v>
      </c>
      <c r="D204" s="194"/>
      <c r="E204" s="194"/>
      <c r="F204" s="118"/>
      <c r="G204" s="121"/>
      <c r="H204" s="122"/>
      <c r="I204" s="36"/>
      <c r="L204" s="108"/>
      <c r="M204" s="108"/>
      <c r="N204" s="36"/>
    </row>
    <row r="205" spans="1:14" s="66" customFormat="1" ht="15.75" customHeight="1" x14ac:dyDescent="0.25">
      <c r="A205" s="103">
        <f>A204+1</f>
        <v>4</v>
      </c>
      <c r="B205" s="103"/>
      <c r="C205" s="67" t="s">
        <v>231</v>
      </c>
      <c r="D205" s="60">
        <f>(110.42)*(10.764)</f>
        <v>1188.56088</v>
      </c>
      <c r="E205" s="67">
        <v>0</v>
      </c>
      <c r="F205" s="67">
        <f>D205*(($F$199)+1)+(IF(E205&lt;101,E205,IF(E205&lt;201,E205/2,IF(E205&lt;=301,E205/3,E205/4))))</f>
        <v>1842.269364</v>
      </c>
      <c r="G205" s="121"/>
      <c r="H205" s="122"/>
      <c r="I205" s="36"/>
      <c r="N205" s="36"/>
    </row>
    <row r="206" spans="1:14" s="59" customFormat="1" x14ac:dyDescent="0.25">
      <c r="A206" s="112" t="s">
        <v>232</v>
      </c>
      <c r="B206" s="112"/>
      <c r="C206" s="112"/>
      <c r="D206" s="112"/>
      <c r="E206" s="112"/>
      <c r="F206" s="112"/>
      <c r="G206" s="112"/>
      <c r="H206" s="112"/>
      <c r="I206" s="36"/>
      <c r="L206" s="108"/>
      <c r="M206" s="108"/>
    </row>
    <row r="207" spans="1:14" s="59" customFormat="1" ht="15.75" customHeight="1" x14ac:dyDescent="0.25">
      <c r="A207" s="103">
        <v>1</v>
      </c>
      <c r="B207" s="103"/>
      <c r="C207" s="67" t="s">
        <v>205</v>
      </c>
      <c r="D207" s="60">
        <f>(73.65)*(10.764)</f>
        <v>792.76859999999999</v>
      </c>
      <c r="E207" s="56">
        <v>0</v>
      </c>
      <c r="F207" s="56">
        <f t="shared" ref="F207:F208" si="20">D207*(($F$199)+1)+(IF(E207&lt;101,E207,IF(E207&lt;201,E207/2,IF(E207&lt;=301,E207/3,E207/4))))</f>
        <v>1228.79133</v>
      </c>
      <c r="G207" s="119" t="str">
        <f>A206</f>
        <v>7th to 12th Floor</v>
      </c>
      <c r="H207" s="120"/>
      <c r="I207" s="36"/>
      <c r="N207" s="36"/>
    </row>
    <row r="208" spans="1:14" s="59" customFormat="1" ht="15.75" customHeight="1" x14ac:dyDescent="0.25">
      <c r="A208" s="103">
        <f>A207+1</f>
        <v>2</v>
      </c>
      <c r="B208" s="103"/>
      <c r="C208" s="67" t="s">
        <v>205</v>
      </c>
      <c r="D208" s="60">
        <f>(73.65)*(10.764)</f>
        <v>792.76859999999999</v>
      </c>
      <c r="E208" s="56">
        <v>0</v>
      </c>
      <c r="F208" s="56">
        <f t="shared" si="20"/>
        <v>1228.79133</v>
      </c>
      <c r="G208" s="121"/>
      <c r="H208" s="122"/>
      <c r="I208" s="36"/>
      <c r="N208" s="36"/>
    </row>
    <row r="209" spans="1:14" s="59" customFormat="1" ht="15.75" customHeight="1" x14ac:dyDescent="0.25">
      <c r="A209" s="103">
        <f>A208+1</f>
        <v>3</v>
      </c>
      <c r="B209" s="103"/>
      <c r="C209" s="67" t="s">
        <v>231</v>
      </c>
      <c r="D209" s="60">
        <f>(108.21)*(10.764)</f>
        <v>1164.77244</v>
      </c>
      <c r="E209" s="56">
        <v>0</v>
      </c>
      <c r="F209" s="56">
        <f>D209*(($F$199)+1)+(IF(E209&lt;101,E209,IF(E209&lt;201,E209/2,IF(E209&lt;=301,E209/3,E209/4))))</f>
        <v>1805.3972819999999</v>
      </c>
      <c r="G209" s="121"/>
      <c r="H209" s="122"/>
      <c r="I209" s="36"/>
      <c r="N209" s="36"/>
    </row>
    <row r="210" spans="1:14" s="59" customFormat="1" ht="15.75" customHeight="1" x14ac:dyDescent="0.25">
      <c r="A210" s="103">
        <f>A209+1</f>
        <v>4</v>
      </c>
      <c r="B210" s="103"/>
      <c r="C210" s="67" t="s">
        <v>231</v>
      </c>
      <c r="D210" s="60">
        <f>(110.42)*(10.764)</f>
        <v>1188.56088</v>
      </c>
      <c r="E210" s="56">
        <v>0</v>
      </c>
      <c r="F210" s="56">
        <f>D210*(($F$199)+1)+(IF(E210&lt;101,E210,IF(E210&lt;201,E210/2,IF(E210&lt;=301,E210/3,E210/4))))</f>
        <v>1842.269364</v>
      </c>
      <c r="G210" s="121"/>
      <c r="H210" s="122"/>
      <c r="I210" s="36"/>
      <c r="N210" s="36"/>
    </row>
    <row r="211" spans="1:14" s="66" customFormat="1" x14ac:dyDescent="0.25">
      <c r="A211" s="112" t="s">
        <v>233</v>
      </c>
      <c r="B211" s="112"/>
      <c r="C211" s="112"/>
      <c r="D211" s="112"/>
      <c r="E211" s="112"/>
      <c r="F211" s="112"/>
      <c r="G211" s="112"/>
      <c r="H211" s="112"/>
      <c r="I211" s="36"/>
      <c r="L211" s="108"/>
      <c r="M211" s="108"/>
    </row>
    <row r="212" spans="1:14" s="66" customFormat="1" ht="15.75" customHeight="1" x14ac:dyDescent="0.25">
      <c r="A212" s="103">
        <v>1</v>
      </c>
      <c r="B212" s="103"/>
      <c r="C212" s="67" t="s">
        <v>205</v>
      </c>
      <c r="D212" s="60">
        <f>(73.65)*(10.764)</f>
        <v>792.76859999999999</v>
      </c>
      <c r="E212" s="67">
        <v>0</v>
      </c>
      <c r="F212" s="67">
        <f t="shared" ref="F212:F213" si="21">D212*(($F$199)+1)+(IF(E212&lt;101,E212,IF(E212&lt;201,E212/2,IF(E212&lt;=301,E212/3,E212/4))))</f>
        <v>1228.79133</v>
      </c>
      <c r="G212" s="119" t="str">
        <f>A211</f>
        <v>13th Floor (Part Refuge Area)</v>
      </c>
      <c r="H212" s="120"/>
      <c r="I212" s="36"/>
      <c r="N212" s="36"/>
    </row>
    <row r="213" spans="1:14" s="66" customFormat="1" ht="15.75" customHeight="1" x14ac:dyDescent="0.25">
      <c r="A213" s="103">
        <f>A212+1</f>
        <v>2</v>
      </c>
      <c r="B213" s="103"/>
      <c r="C213" s="67" t="s">
        <v>205</v>
      </c>
      <c r="D213" s="60">
        <f>(73.65)*(10.764)</f>
        <v>792.76859999999999</v>
      </c>
      <c r="E213" s="67">
        <v>0</v>
      </c>
      <c r="F213" s="67">
        <f t="shared" si="21"/>
        <v>1228.79133</v>
      </c>
      <c r="G213" s="121"/>
      <c r="H213" s="122"/>
      <c r="I213" s="36"/>
      <c r="N213" s="36"/>
    </row>
    <row r="214" spans="1:14" s="66" customFormat="1" ht="15.75" customHeight="1" x14ac:dyDescent="0.25">
      <c r="A214" s="103">
        <f>A213+1</f>
        <v>3</v>
      </c>
      <c r="B214" s="103"/>
      <c r="C214" s="117" t="s">
        <v>206</v>
      </c>
      <c r="D214" s="194"/>
      <c r="E214" s="194"/>
      <c r="F214" s="118"/>
      <c r="G214" s="121"/>
      <c r="H214" s="122"/>
      <c r="I214" s="36"/>
      <c r="N214" s="36"/>
    </row>
    <row r="215" spans="1:14" s="66" customFormat="1" ht="15.75" customHeight="1" x14ac:dyDescent="0.25">
      <c r="A215" s="103">
        <f>A214+1</f>
        <v>4</v>
      </c>
      <c r="B215" s="103"/>
      <c r="C215" s="67" t="s">
        <v>234</v>
      </c>
      <c r="D215" s="60">
        <f>(138.27)*(10.764)</f>
        <v>1488.3382799999999</v>
      </c>
      <c r="E215" s="67">
        <v>0</v>
      </c>
      <c r="F215" s="67">
        <f>D215*(($F$199)+1)+(IF(E215&lt;101,E215,IF(E215&lt;201,E215/2,IF(E215&lt;=301,E215/3,E215/4))))</f>
        <v>2306.9243339999998</v>
      </c>
      <c r="G215" s="121"/>
      <c r="H215" s="122"/>
      <c r="I215" s="36"/>
      <c r="N215" s="36"/>
    </row>
    <row r="216" spans="1:14" s="66" customFormat="1" x14ac:dyDescent="0.25">
      <c r="A216" s="112" t="s">
        <v>235</v>
      </c>
      <c r="B216" s="112"/>
      <c r="C216" s="112"/>
      <c r="D216" s="112"/>
      <c r="E216" s="112"/>
      <c r="F216" s="112"/>
      <c r="G216" s="112"/>
      <c r="H216" s="112"/>
      <c r="I216" s="36"/>
      <c r="L216" s="108"/>
      <c r="M216" s="108"/>
    </row>
    <row r="217" spans="1:14" s="66" customFormat="1" ht="15.75" customHeight="1" x14ac:dyDescent="0.25">
      <c r="A217" s="103">
        <v>1</v>
      </c>
      <c r="B217" s="103"/>
      <c r="C217" s="67" t="s">
        <v>205</v>
      </c>
      <c r="D217" s="60">
        <f>(73.65)*(10.764)</f>
        <v>792.76859999999999</v>
      </c>
      <c r="E217" s="67">
        <v>0</v>
      </c>
      <c r="F217" s="67">
        <f t="shared" ref="F217:F218" si="22">D217*(($F$199)+1)+(IF(E217&lt;101,E217,IF(E217&lt;201,E217/2,IF(E217&lt;=301,E217/3,E217/4))))</f>
        <v>1228.79133</v>
      </c>
      <c r="G217" s="119" t="str">
        <f>A216</f>
        <v>14th Floor</v>
      </c>
      <c r="H217" s="120"/>
      <c r="I217" s="36"/>
      <c r="N217" s="36"/>
    </row>
    <row r="218" spans="1:14" s="66" customFormat="1" ht="15.75" customHeight="1" x14ac:dyDescent="0.25">
      <c r="A218" s="103">
        <f>A217+1</f>
        <v>2</v>
      </c>
      <c r="B218" s="103"/>
      <c r="C218" s="67" t="s">
        <v>205</v>
      </c>
      <c r="D218" s="60">
        <f>(73.65)*(10.764)</f>
        <v>792.76859999999999</v>
      </c>
      <c r="E218" s="67">
        <v>0</v>
      </c>
      <c r="F218" s="67">
        <f t="shared" si="22"/>
        <v>1228.79133</v>
      </c>
      <c r="G218" s="121"/>
      <c r="H218" s="122"/>
      <c r="I218" s="36"/>
      <c r="N218" s="36"/>
    </row>
    <row r="219" spans="1:14" s="66" customFormat="1" ht="15.75" customHeight="1" x14ac:dyDescent="0.25">
      <c r="A219" s="103">
        <f>A218+1</f>
        <v>3</v>
      </c>
      <c r="B219" s="103"/>
      <c r="C219" s="67" t="s">
        <v>231</v>
      </c>
      <c r="D219" s="60">
        <f>(108.21)*(10.764)</f>
        <v>1164.77244</v>
      </c>
      <c r="E219" s="67">
        <v>0</v>
      </c>
      <c r="F219" s="67">
        <f>D219*(($F$199)+1)+(IF(E219&lt;101,E219,IF(E219&lt;201,E219/2,IF(E219&lt;=301,E219/3,E219/4))))</f>
        <v>1805.3972819999999</v>
      </c>
      <c r="G219" s="121"/>
      <c r="H219" s="122"/>
      <c r="I219" s="36"/>
      <c r="N219" s="36"/>
    </row>
    <row r="220" spans="1:14" s="66" customFormat="1" ht="15.75" customHeight="1" x14ac:dyDescent="0.25">
      <c r="A220" s="103">
        <f>A219+1</f>
        <v>4</v>
      </c>
      <c r="B220" s="103"/>
      <c r="C220" s="67" t="s">
        <v>231</v>
      </c>
      <c r="D220" s="60">
        <f>(110.42)*(10.764)</f>
        <v>1188.56088</v>
      </c>
      <c r="E220" s="67">
        <v>0</v>
      </c>
      <c r="F220" s="67">
        <f>D220*(($F$199)+1)+(IF(E220&lt;101,E220,IF(E220&lt;201,E220/2,IF(E220&lt;=301,E220/3,E220/4))))</f>
        <v>1842.269364</v>
      </c>
      <c r="G220" s="121"/>
      <c r="H220" s="122"/>
      <c r="I220" s="36"/>
      <c r="N220" s="36"/>
    </row>
    <row r="221" spans="1:14" s="66" customFormat="1" x14ac:dyDescent="0.25">
      <c r="A221" s="112" t="s">
        <v>236</v>
      </c>
      <c r="B221" s="112"/>
      <c r="C221" s="112"/>
      <c r="D221" s="112"/>
      <c r="E221" s="112"/>
      <c r="F221" s="112"/>
      <c r="G221" s="112"/>
      <c r="H221" s="112"/>
      <c r="I221" s="36"/>
      <c r="L221" s="108"/>
      <c r="M221" s="108"/>
    </row>
    <row r="222" spans="1:14" s="66" customFormat="1" ht="15.75" customHeight="1" x14ac:dyDescent="0.25">
      <c r="A222" s="103">
        <v>1</v>
      </c>
      <c r="B222" s="103"/>
      <c r="C222" s="67" t="s">
        <v>205</v>
      </c>
      <c r="D222" s="60">
        <f>(73.65)*(10.764)</f>
        <v>792.76859999999999</v>
      </c>
      <c r="E222" s="67">
        <v>0</v>
      </c>
      <c r="F222" s="67">
        <f t="shared" ref="F222:F223" si="23">D222*(($F$199)+1)+(IF(E222&lt;101,E222,IF(E222&lt;201,E222/2,IF(E222&lt;=301,E222/3,E222/4))))</f>
        <v>1228.79133</v>
      </c>
      <c r="G222" s="119" t="str">
        <f>A221</f>
        <v>15th &amp; 16th Floor</v>
      </c>
      <c r="H222" s="120"/>
      <c r="I222" s="36"/>
      <c r="N222" s="36"/>
    </row>
    <row r="223" spans="1:14" s="66" customFormat="1" ht="15.75" customHeight="1" x14ac:dyDescent="0.25">
      <c r="A223" s="103">
        <f>A222+1</f>
        <v>2</v>
      </c>
      <c r="B223" s="103"/>
      <c r="C223" s="67" t="s">
        <v>205</v>
      </c>
      <c r="D223" s="60">
        <f>(73.65)*(10.764)</f>
        <v>792.76859999999999</v>
      </c>
      <c r="E223" s="67">
        <v>0</v>
      </c>
      <c r="F223" s="67">
        <f t="shared" si="23"/>
        <v>1228.79133</v>
      </c>
      <c r="G223" s="121"/>
      <c r="H223" s="122"/>
      <c r="I223" s="36"/>
      <c r="N223" s="36"/>
    </row>
    <row r="224" spans="1:14" s="66" customFormat="1" ht="15.75" customHeight="1" x14ac:dyDescent="0.25">
      <c r="A224" s="103">
        <f>A223+1</f>
        <v>3</v>
      </c>
      <c r="B224" s="103"/>
      <c r="C224" s="67" t="s">
        <v>231</v>
      </c>
      <c r="D224" s="60">
        <f>(108.21)*(10.764)</f>
        <v>1164.77244</v>
      </c>
      <c r="E224" s="67">
        <v>0</v>
      </c>
      <c r="F224" s="67">
        <f>D224*(($F$199)+1)+(IF(E224&lt;101,E224,IF(E224&lt;201,E224/2,IF(E224&lt;=301,E224/3,E224/4))))</f>
        <v>1805.3972819999999</v>
      </c>
      <c r="G224" s="121"/>
      <c r="H224" s="122"/>
      <c r="I224" s="36"/>
      <c r="N224" s="36"/>
    </row>
    <row r="225" spans="1:14" s="66" customFormat="1" ht="15.75" customHeight="1" x14ac:dyDescent="0.25">
      <c r="A225" s="103">
        <f>A224+1</f>
        <v>4</v>
      </c>
      <c r="B225" s="103"/>
      <c r="C225" s="67" t="s">
        <v>231</v>
      </c>
      <c r="D225" s="60">
        <f>(110.42)*(10.764)</f>
        <v>1188.56088</v>
      </c>
      <c r="E225" s="67">
        <v>0</v>
      </c>
      <c r="F225" s="67">
        <f>D225*(($F$199)+1)+(IF(E225&lt;101,E225,IF(E225&lt;201,E225/2,IF(E225&lt;=301,E225/3,E225/4))))</f>
        <v>1842.269364</v>
      </c>
      <c r="G225" s="121"/>
      <c r="H225" s="122"/>
      <c r="I225" s="36"/>
      <c r="N225" s="36"/>
    </row>
    <row r="226" spans="1:14" s="59" customFormat="1" x14ac:dyDescent="0.25">
      <c r="A226" s="191" t="s">
        <v>204</v>
      </c>
      <c r="B226" s="192"/>
      <c r="C226" s="192"/>
      <c r="D226" s="192"/>
      <c r="E226" s="192"/>
      <c r="F226" s="192"/>
      <c r="G226" s="192"/>
      <c r="H226" s="193"/>
      <c r="J226" s="36"/>
    </row>
    <row r="227" spans="1:14" s="66" customFormat="1" ht="15.75" customHeight="1" x14ac:dyDescent="0.25">
      <c r="A227" s="191" t="s">
        <v>230</v>
      </c>
      <c r="B227" s="192"/>
      <c r="C227" s="192"/>
      <c r="D227" s="192"/>
      <c r="E227" s="192"/>
      <c r="F227" s="192"/>
      <c r="G227" s="192"/>
      <c r="H227" s="193"/>
      <c r="J227" s="36"/>
    </row>
    <row r="228" spans="1:14" s="66" customFormat="1" ht="15.75" customHeight="1" x14ac:dyDescent="0.25">
      <c r="A228" s="117">
        <v>1</v>
      </c>
      <c r="B228" s="118"/>
      <c r="C228" s="67" t="s">
        <v>205</v>
      </c>
      <c r="D228" s="60">
        <f>(65.83)*(10.764)</f>
        <v>708.59411999999998</v>
      </c>
      <c r="E228" s="67">
        <v>0</v>
      </c>
      <c r="F228" s="67">
        <f>D228*(($F$199)+1)+(IF(E228&lt;101,E228,IF(E228&lt;201,E228/2,IF(E228&lt;=301,E228/3,E228/4))))</f>
        <v>1098.320886</v>
      </c>
      <c r="G228" s="119" t="str">
        <f>A227</f>
        <v>6th Floor For Refuge Area &amp; Residential</v>
      </c>
      <c r="H228" s="120"/>
      <c r="I228" s="36">
        <f>5.75*3.35+2.4*1.5+3.2*2.3+3.2*3.05+3.35*3.2+1.35*2.46+1.35*2.15+2.4*1.5+0.6*2.45+0.9*2</f>
        <v>63.795999999999985</v>
      </c>
      <c r="L228" s="108"/>
      <c r="M228" s="108"/>
      <c r="N228" s="36"/>
    </row>
    <row r="229" spans="1:14" s="66" customFormat="1" ht="15.75" customHeight="1" x14ac:dyDescent="0.25">
      <c r="A229" s="117">
        <f t="shared" ref="A229" si="24">A228+1</f>
        <v>2</v>
      </c>
      <c r="B229" s="118"/>
      <c r="C229" s="67" t="s">
        <v>231</v>
      </c>
      <c r="D229" s="60">
        <f>(91.11)*(10.764)</f>
        <v>980.70803999999998</v>
      </c>
      <c r="E229" s="67">
        <v>0</v>
      </c>
      <c r="F229" s="67">
        <f>D229*(($F$199)+1)+(IF(E229&lt;101,E229,IF(E229&lt;201,E229/2,IF(E229&lt;=301,E229/3,E229/4))))</f>
        <v>1520.097462</v>
      </c>
      <c r="G229" s="121"/>
      <c r="H229" s="122"/>
      <c r="I229" s="36"/>
      <c r="L229" s="108"/>
      <c r="M229" s="108"/>
      <c r="N229" s="36"/>
    </row>
    <row r="230" spans="1:14" s="66" customFormat="1" x14ac:dyDescent="0.25">
      <c r="A230" s="112" t="s">
        <v>232</v>
      </c>
      <c r="B230" s="112"/>
      <c r="C230" s="112"/>
      <c r="D230" s="112"/>
      <c r="E230" s="112"/>
      <c r="F230" s="112"/>
      <c r="G230" s="112"/>
      <c r="H230" s="112"/>
      <c r="I230" s="36"/>
      <c r="L230" s="108"/>
      <c r="M230" s="108"/>
    </row>
    <row r="231" spans="1:14" s="66" customFormat="1" ht="15.75" customHeight="1" x14ac:dyDescent="0.25">
      <c r="A231" s="103">
        <v>1</v>
      </c>
      <c r="B231" s="103"/>
      <c r="C231" s="67" t="s">
        <v>205</v>
      </c>
      <c r="D231" s="60">
        <f>(65.83)*(10.764)</f>
        <v>708.59411999999998</v>
      </c>
      <c r="E231" s="67">
        <v>0</v>
      </c>
      <c r="F231" s="67">
        <f t="shared" ref="F231:F232" si="25">D231*(($F$199)+1)+(IF(E231&lt;101,E231,IF(E231&lt;201,E231/2,IF(E231&lt;=301,E231/3,E231/4))))</f>
        <v>1098.320886</v>
      </c>
      <c r="G231" s="119" t="str">
        <f>A230</f>
        <v>7th to 12th Floor</v>
      </c>
      <c r="H231" s="120"/>
      <c r="I231" s="36"/>
      <c r="N231" s="36"/>
    </row>
    <row r="232" spans="1:14" s="66" customFormat="1" ht="15.75" customHeight="1" x14ac:dyDescent="0.25">
      <c r="A232" s="103">
        <f>A231+1</f>
        <v>2</v>
      </c>
      <c r="B232" s="103"/>
      <c r="C232" s="67" t="s">
        <v>205</v>
      </c>
      <c r="D232" s="60">
        <f>(79.06)*(10.764)</f>
        <v>851.00184000000002</v>
      </c>
      <c r="E232" s="67">
        <v>0</v>
      </c>
      <c r="F232" s="67">
        <f t="shared" si="25"/>
        <v>1319.052852</v>
      </c>
      <c r="G232" s="121"/>
      <c r="H232" s="122"/>
      <c r="I232" s="36"/>
      <c r="N232" s="36"/>
    </row>
    <row r="233" spans="1:14" s="66" customFormat="1" ht="15.75" customHeight="1" x14ac:dyDescent="0.25">
      <c r="A233" s="103">
        <f>A232+1</f>
        <v>3</v>
      </c>
      <c r="B233" s="103"/>
      <c r="C233" s="67" t="s">
        <v>205</v>
      </c>
      <c r="D233" s="60">
        <f>(79.87)*(10.764)</f>
        <v>859.72068000000002</v>
      </c>
      <c r="E233" s="67">
        <v>0</v>
      </c>
      <c r="F233" s="67">
        <f>D233*(($F$199)+1)+(IF(E233&lt;101,E233,IF(E233&lt;201,E233/2,IF(E233&lt;=301,E233/3,E233/4))))</f>
        <v>1332.5670540000001</v>
      </c>
      <c r="G233" s="121"/>
      <c r="H233" s="122"/>
      <c r="I233" s="36"/>
      <c r="N233" s="36"/>
    </row>
    <row r="234" spans="1:14" s="66" customFormat="1" x14ac:dyDescent="0.25">
      <c r="A234" s="112" t="s">
        <v>233</v>
      </c>
      <c r="B234" s="112"/>
      <c r="C234" s="112"/>
      <c r="D234" s="112"/>
      <c r="E234" s="112"/>
      <c r="F234" s="112"/>
      <c r="G234" s="112"/>
      <c r="H234" s="112"/>
      <c r="I234" s="36"/>
      <c r="L234" s="108"/>
      <c r="M234" s="108"/>
    </row>
    <row r="235" spans="1:14" s="66" customFormat="1" ht="15.75" customHeight="1" x14ac:dyDescent="0.25">
      <c r="A235" s="103">
        <v>1</v>
      </c>
      <c r="B235" s="103"/>
      <c r="C235" s="67" t="s">
        <v>205</v>
      </c>
      <c r="D235" s="60">
        <f>(65.83)*(10.764)</f>
        <v>708.59411999999998</v>
      </c>
      <c r="E235" s="67">
        <v>0</v>
      </c>
      <c r="F235" s="67">
        <f t="shared" ref="F235:F236" si="26">D235*(($F$199)+1)+(IF(E235&lt;101,E235,IF(E235&lt;201,E235/2,IF(E235&lt;=301,E235/3,E235/4))))</f>
        <v>1098.320886</v>
      </c>
      <c r="G235" s="119" t="str">
        <f>A234</f>
        <v>13th Floor (Part Refuge Area)</v>
      </c>
      <c r="H235" s="120"/>
      <c r="I235" s="36"/>
      <c r="N235" s="36"/>
    </row>
    <row r="236" spans="1:14" s="66" customFormat="1" ht="15.75" customHeight="1" x14ac:dyDescent="0.25">
      <c r="A236" s="103">
        <f>A235+1</f>
        <v>2</v>
      </c>
      <c r="B236" s="103"/>
      <c r="C236" s="67" t="s">
        <v>231</v>
      </c>
      <c r="D236" s="60">
        <f>(133.26)*(10.764)</f>
        <v>1434.4106399999998</v>
      </c>
      <c r="E236" s="67">
        <v>0</v>
      </c>
      <c r="F236" s="67">
        <f t="shared" si="26"/>
        <v>2223.3364919999999</v>
      </c>
      <c r="G236" s="121"/>
      <c r="H236" s="122"/>
      <c r="I236" s="36"/>
      <c r="N236" s="36"/>
    </row>
    <row r="237" spans="1:14" s="66" customFormat="1" x14ac:dyDescent="0.25">
      <c r="A237" s="112" t="s">
        <v>235</v>
      </c>
      <c r="B237" s="112"/>
      <c r="C237" s="112"/>
      <c r="D237" s="112"/>
      <c r="E237" s="112"/>
      <c r="F237" s="112"/>
      <c r="G237" s="112"/>
      <c r="H237" s="112"/>
      <c r="I237" s="36"/>
      <c r="L237" s="108"/>
      <c r="M237" s="108"/>
    </row>
    <row r="238" spans="1:14" s="66" customFormat="1" ht="15.75" customHeight="1" x14ac:dyDescent="0.25">
      <c r="A238" s="103">
        <v>1</v>
      </c>
      <c r="B238" s="103"/>
      <c r="C238" s="67" t="s">
        <v>205</v>
      </c>
      <c r="D238" s="60">
        <f>(65.83)*(10.764)</f>
        <v>708.59411999999998</v>
      </c>
      <c r="E238" s="67">
        <v>0</v>
      </c>
      <c r="F238" s="67">
        <f t="shared" ref="F238:F239" si="27">D238*(($F$199)+1)+(IF(E238&lt;101,E238,IF(E238&lt;201,E238/2,IF(E238&lt;=301,E238/3,E238/4))))</f>
        <v>1098.320886</v>
      </c>
      <c r="G238" s="119" t="str">
        <f>A237</f>
        <v>14th Floor</v>
      </c>
      <c r="H238" s="120"/>
      <c r="I238" s="36"/>
      <c r="N238" s="36"/>
    </row>
    <row r="239" spans="1:14" s="66" customFormat="1" ht="15.75" customHeight="1" x14ac:dyDescent="0.25">
      <c r="A239" s="103">
        <f>A238+1</f>
        <v>2</v>
      </c>
      <c r="B239" s="103"/>
      <c r="C239" s="67" t="s">
        <v>205</v>
      </c>
      <c r="D239" s="60">
        <f>(79.06)*(10.764)</f>
        <v>851.00184000000002</v>
      </c>
      <c r="E239" s="67">
        <v>0</v>
      </c>
      <c r="F239" s="67">
        <f t="shared" si="27"/>
        <v>1319.052852</v>
      </c>
      <c r="G239" s="121"/>
      <c r="H239" s="122"/>
      <c r="I239" s="36"/>
      <c r="N239" s="36"/>
    </row>
    <row r="240" spans="1:14" s="66" customFormat="1" ht="15.75" customHeight="1" x14ac:dyDescent="0.25">
      <c r="A240" s="103">
        <f>A239+1</f>
        <v>3</v>
      </c>
      <c r="B240" s="103"/>
      <c r="C240" s="67" t="s">
        <v>205</v>
      </c>
      <c r="D240" s="60">
        <f>(79.87)*(10.764)</f>
        <v>859.72068000000002</v>
      </c>
      <c r="E240" s="67">
        <v>0</v>
      </c>
      <c r="F240" s="67">
        <f>D240*(($F$199)+1)+(IF(E240&lt;101,E240,IF(E240&lt;201,E240/2,IF(E240&lt;=301,E240/3,E240/4))))</f>
        <v>1332.5670540000001</v>
      </c>
      <c r="G240" s="121"/>
      <c r="H240" s="122"/>
      <c r="I240" s="36"/>
      <c r="N240" s="36"/>
    </row>
    <row r="241" spans="1:14" s="66" customFormat="1" x14ac:dyDescent="0.25">
      <c r="A241" s="112" t="s">
        <v>236</v>
      </c>
      <c r="B241" s="112"/>
      <c r="C241" s="112"/>
      <c r="D241" s="112"/>
      <c r="E241" s="112"/>
      <c r="F241" s="112"/>
      <c r="G241" s="112"/>
      <c r="H241" s="112"/>
      <c r="I241" s="36"/>
      <c r="L241" s="108"/>
      <c r="M241" s="108"/>
    </row>
    <row r="242" spans="1:14" s="66" customFormat="1" ht="15.75" customHeight="1" x14ac:dyDescent="0.25">
      <c r="A242" s="103">
        <v>1</v>
      </c>
      <c r="B242" s="103"/>
      <c r="C242" s="75" t="s">
        <v>205</v>
      </c>
      <c r="D242" s="60">
        <f>(65.83)*(10.764)</f>
        <v>708.59411999999998</v>
      </c>
      <c r="E242" s="75">
        <v>0</v>
      </c>
      <c r="F242" s="75">
        <f t="shared" ref="F242:F243" si="28">D242*(($F$199)+1)+(IF(E242&lt;101,E242,IF(E242&lt;201,E242/2,IF(E242&lt;=301,E242/3,E242/4))))</f>
        <v>1098.320886</v>
      </c>
      <c r="G242" s="103" t="str">
        <f>A241</f>
        <v>15th &amp; 16th Floor</v>
      </c>
      <c r="H242" s="103"/>
      <c r="I242" s="36"/>
      <c r="N242" s="36"/>
    </row>
    <row r="243" spans="1:14" s="66" customFormat="1" ht="15.75" customHeight="1" x14ac:dyDescent="0.25">
      <c r="A243" s="103">
        <f>A242+1</f>
        <v>2</v>
      </c>
      <c r="B243" s="103"/>
      <c r="C243" s="75" t="s">
        <v>205</v>
      </c>
      <c r="D243" s="60">
        <f>(79.06)*(10.764)</f>
        <v>851.00184000000002</v>
      </c>
      <c r="E243" s="75">
        <v>0</v>
      </c>
      <c r="F243" s="75">
        <f t="shared" si="28"/>
        <v>1319.052852</v>
      </c>
      <c r="G243" s="103"/>
      <c r="H243" s="103"/>
      <c r="I243" s="36"/>
      <c r="N243" s="36"/>
    </row>
    <row r="244" spans="1:14" s="66" customFormat="1" ht="15.75" customHeight="1" x14ac:dyDescent="0.25">
      <c r="A244" s="103">
        <f>A243+1</f>
        <v>3</v>
      </c>
      <c r="B244" s="103"/>
      <c r="C244" s="75" t="s">
        <v>205</v>
      </c>
      <c r="D244" s="60">
        <f>(79.87)*(10.764)</f>
        <v>859.72068000000002</v>
      </c>
      <c r="E244" s="75">
        <v>0</v>
      </c>
      <c r="F244" s="75">
        <f>D244*(($F$199)+1)+(IF(E244&lt;101,E244,IF(E244&lt;201,E244/2,IF(E244&lt;=301,E244/3,E244/4))))</f>
        <v>1332.5670540000001</v>
      </c>
      <c r="G244" s="103"/>
      <c r="H244" s="103"/>
      <c r="I244" s="36"/>
      <c r="N244" s="36"/>
    </row>
    <row r="245" spans="1:14" s="66" customFormat="1" x14ac:dyDescent="0.25">
      <c r="A245" s="112" t="s">
        <v>237</v>
      </c>
      <c r="B245" s="112"/>
      <c r="C245" s="112"/>
      <c r="D245" s="112"/>
      <c r="E245" s="112"/>
      <c r="F245" s="112"/>
      <c r="G245" s="112"/>
      <c r="H245" s="112"/>
      <c r="J245" s="36"/>
    </row>
    <row r="246" spans="1:14" s="66" customFormat="1" ht="15.75" customHeight="1" x14ac:dyDescent="0.25">
      <c r="A246" s="112" t="s">
        <v>230</v>
      </c>
      <c r="B246" s="112"/>
      <c r="C246" s="112"/>
      <c r="D246" s="112"/>
      <c r="E246" s="112"/>
      <c r="F246" s="112"/>
      <c r="G246" s="112"/>
      <c r="H246" s="112"/>
      <c r="J246" s="36"/>
    </row>
    <row r="247" spans="1:14" s="66" customFormat="1" ht="15.75" customHeight="1" x14ac:dyDescent="0.25">
      <c r="A247" s="103">
        <v>1</v>
      </c>
      <c r="B247" s="103"/>
      <c r="C247" s="103" t="s">
        <v>238</v>
      </c>
      <c r="D247" s="103">
        <f>(73.65)*(10.764)</f>
        <v>792.76859999999999</v>
      </c>
      <c r="E247" s="103">
        <v>0</v>
      </c>
      <c r="F247" s="103">
        <f>D247*(($F$199)+1)+(IF(E247&lt;101,E247,IF(E247&lt;201,E247/2,IF(E247&lt;=301,E247/3,E247/4))))</f>
        <v>1228.79133</v>
      </c>
      <c r="G247" s="103" t="str">
        <f>A246</f>
        <v>6th Floor For Refuge Area &amp; Residential</v>
      </c>
      <c r="H247" s="103"/>
      <c r="I247" s="36">
        <f>5.75*3.35+2.4*1.5+3.2*2.3+3.2*3.05+3.35*3.2+1.35*2.46+1.35*2.15+2.4*1.5+0.6*2.45+0.9*2</f>
        <v>63.795999999999985</v>
      </c>
      <c r="L247" s="108"/>
      <c r="M247" s="108"/>
      <c r="N247" s="36"/>
    </row>
    <row r="248" spans="1:14" s="66" customFormat="1" ht="15.75" customHeight="1" x14ac:dyDescent="0.25">
      <c r="A248" s="103">
        <f t="shared" ref="A248:A249" si="29">A247+1</f>
        <v>2</v>
      </c>
      <c r="B248" s="103"/>
      <c r="C248" s="103" t="s">
        <v>239</v>
      </c>
      <c r="D248" s="103">
        <f>(73.65)*(10.764)</f>
        <v>792.76859999999999</v>
      </c>
      <c r="E248" s="103">
        <v>0</v>
      </c>
      <c r="F248" s="103">
        <f>D248*(($F$199)+1)+(IF(E248&lt;101,E248,IF(E248&lt;201,E248/2,IF(E248&lt;=301,E248/3,E248/4))))</f>
        <v>1228.79133</v>
      </c>
      <c r="G248" s="103"/>
      <c r="H248" s="103"/>
      <c r="I248" s="36"/>
      <c r="L248" s="108"/>
      <c r="M248" s="108"/>
      <c r="N248" s="36"/>
    </row>
    <row r="249" spans="1:14" s="66" customFormat="1" ht="15.75" customHeight="1" x14ac:dyDescent="0.25">
      <c r="A249" s="103">
        <f t="shared" si="29"/>
        <v>3</v>
      </c>
      <c r="B249" s="103"/>
      <c r="C249" s="103" t="s">
        <v>240</v>
      </c>
      <c r="D249" s="103"/>
      <c r="E249" s="103"/>
      <c r="F249" s="103"/>
      <c r="G249" s="103"/>
      <c r="H249" s="103"/>
      <c r="I249" s="36"/>
      <c r="L249" s="108"/>
      <c r="M249" s="108"/>
      <c r="N249" s="36"/>
    </row>
    <row r="250" spans="1:14" s="66" customFormat="1" ht="15.75" customHeight="1" x14ac:dyDescent="0.25">
      <c r="A250" s="103">
        <f>A249+1</f>
        <v>4</v>
      </c>
      <c r="B250" s="103"/>
      <c r="C250" s="103" t="s">
        <v>241</v>
      </c>
      <c r="D250" s="103">
        <f>(110.42)*(10.764)</f>
        <v>1188.56088</v>
      </c>
      <c r="E250" s="103">
        <v>0</v>
      </c>
      <c r="F250" s="103">
        <f>D250*(($F$199)+1)+(IF(E250&lt;101,E250,IF(E250&lt;201,E250/2,IF(E250&lt;=301,E250/3,E250/4))))</f>
        <v>1842.269364</v>
      </c>
      <c r="G250" s="103"/>
      <c r="H250" s="103"/>
      <c r="I250" s="36"/>
      <c r="N250" s="36"/>
    </row>
    <row r="251" spans="1:14" s="66" customFormat="1" ht="15.75" customHeight="1" x14ac:dyDescent="0.25">
      <c r="A251" s="75">
        <v>5</v>
      </c>
      <c r="B251" s="75" t="s">
        <v>242</v>
      </c>
      <c r="C251" s="75" t="s">
        <v>203</v>
      </c>
      <c r="D251" s="60">
        <f>(28.11)*(10.764)</f>
        <v>302.57603999999998</v>
      </c>
      <c r="E251" s="75">
        <v>0</v>
      </c>
      <c r="F251" s="75">
        <f>D251*(($F$199)+1)+(IF(E251&lt;101,E251,IF(E251&lt;201,E251/2,IF(E251&lt;=301,E251/3,E251/4))))</f>
        <v>468.992862</v>
      </c>
      <c r="G251" s="103"/>
      <c r="H251" s="103"/>
      <c r="I251" s="36">
        <f>5.75*3.35+2.4*1.5+3.2*2.3+3.2*3.05+3.35*3.2+1.35*2.46+1.35*2.15+2.4*1.5+0.6*2.45+0.9*2</f>
        <v>63.795999999999985</v>
      </c>
      <c r="L251" s="108"/>
      <c r="M251" s="108"/>
      <c r="N251" s="36"/>
    </row>
    <row r="252" spans="1:14" s="66" customFormat="1" ht="15.75" customHeight="1" x14ac:dyDescent="0.25">
      <c r="A252" s="75">
        <f t="shared" ref="A252:A253" si="30">A251+1</f>
        <v>6</v>
      </c>
      <c r="B252" s="75" t="s">
        <v>242</v>
      </c>
      <c r="C252" s="75" t="s">
        <v>203</v>
      </c>
      <c r="D252" s="60">
        <f>(28.1)*(10.764)</f>
        <v>302.46839999999997</v>
      </c>
      <c r="E252" s="75">
        <v>0</v>
      </c>
      <c r="F252" s="75">
        <f>D252*(($F$199)+1)+(IF(E252&lt;101,E252,IF(E252&lt;201,E252/2,IF(E252&lt;=301,E252/3,E252/4))))</f>
        <v>468.82601999999997</v>
      </c>
      <c r="G252" s="103"/>
      <c r="H252" s="103"/>
      <c r="I252" s="36"/>
      <c r="L252" s="108"/>
      <c r="M252" s="108"/>
      <c r="N252" s="36"/>
    </row>
    <row r="253" spans="1:14" s="66" customFormat="1" ht="15.75" customHeight="1" x14ac:dyDescent="0.25">
      <c r="A253" s="103">
        <f t="shared" si="30"/>
        <v>7</v>
      </c>
      <c r="B253" s="103"/>
      <c r="C253" s="103" t="s">
        <v>243</v>
      </c>
      <c r="D253" s="103"/>
      <c r="E253" s="103"/>
      <c r="F253" s="103"/>
      <c r="G253" s="103"/>
      <c r="H253" s="103"/>
      <c r="I253" s="36"/>
      <c r="L253" s="108"/>
      <c r="M253" s="108"/>
      <c r="N253" s="36"/>
    </row>
    <row r="254" spans="1:14" s="66" customFormat="1" ht="15.75" customHeight="1" x14ac:dyDescent="0.25">
      <c r="A254" s="103">
        <f>A253+1</f>
        <v>8</v>
      </c>
      <c r="B254" s="103"/>
      <c r="C254" s="103" t="s">
        <v>206</v>
      </c>
      <c r="D254" s="103"/>
      <c r="E254" s="103"/>
      <c r="F254" s="103"/>
      <c r="G254" s="103"/>
      <c r="H254" s="103"/>
      <c r="I254" s="36"/>
      <c r="N254" s="36"/>
    </row>
    <row r="255" spans="1:14" s="66" customFormat="1" ht="15.75" customHeight="1" x14ac:dyDescent="0.25">
      <c r="A255" s="103">
        <v>9</v>
      </c>
      <c r="B255" s="103"/>
      <c r="C255" s="103"/>
      <c r="D255" s="103"/>
      <c r="E255" s="103"/>
      <c r="F255" s="103"/>
      <c r="G255" s="103"/>
      <c r="H255" s="103"/>
      <c r="I255" s="36">
        <f>5.75*3.35+2.4*1.5+3.2*2.3+3.2*3.05+3.35*3.2+1.35*2.46+1.35*2.15+2.4*1.5+0.6*2.45+0.9*2</f>
        <v>63.795999999999985</v>
      </c>
      <c r="L255" s="108"/>
      <c r="M255" s="108"/>
      <c r="N255" s="36"/>
    </row>
    <row r="256" spans="1:14" s="66" customFormat="1" ht="15.75" customHeight="1" x14ac:dyDescent="0.25">
      <c r="A256" s="103">
        <f t="shared" ref="A256:A259" si="31">A255+1</f>
        <v>10</v>
      </c>
      <c r="B256" s="103"/>
      <c r="C256" s="103"/>
      <c r="D256" s="103"/>
      <c r="E256" s="103"/>
      <c r="F256" s="103"/>
      <c r="G256" s="103"/>
      <c r="H256" s="103"/>
      <c r="I256" s="36"/>
      <c r="L256" s="108"/>
      <c r="M256" s="108"/>
      <c r="N256" s="36"/>
    </row>
    <row r="257" spans="1:14" s="66" customFormat="1" ht="15.75" customHeight="1" x14ac:dyDescent="0.25">
      <c r="A257" s="103">
        <f t="shared" si="31"/>
        <v>11</v>
      </c>
      <c r="B257" s="103"/>
      <c r="C257" s="103"/>
      <c r="D257" s="103"/>
      <c r="E257" s="103"/>
      <c r="F257" s="103"/>
      <c r="G257" s="103"/>
      <c r="H257" s="103"/>
      <c r="I257" s="36"/>
      <c r="L257" s="108"/>
      <c r="M257" s="108"/>
      <c r="N257" s="36"/>
    </row>
    <row r="258" spans="1:14" s="66" customFormat="1" ht="15.75" customHeight="1" x14ac:dyDescent="0.25">
      <c r="A258" s="75">
        <f>A257+1</f>
        <v>12</v>
      </c>
      <c r="B258" s="75" t="s">
        <v>242</v>
      </c>
      <c r="C258" s="75" t="s">
        <v>203</v>
      </c>
      <c r="D258" s="60">
        <f t="shared" ref="D258:D260" si="32">(28.2)*(10.764)</f>
        <v>303.54479999999995</v>
      </c>
      <c r="E258" s="75">
        <v>0</v>
      </c>
      <c r="F258" s="75">
        <f>D258*(($F$199)+1)+(IF(E258&lt;101,E258,IF(E258&lt;201,E258/2,IF(E258&lt;=301,E258/3,E258/4))))</f>
        <v>470.49443999999994</v>
      </c>
      <c r="G258" s="103"/>
      <c r="H258" s="103"/>
      <c r="I258" s="36"/>
      <c r="N258" s="36"/>
    </row>
    <row r="259" spans="1:14" s="66" customFormat="1" ht="15.75" customHeight="1" x14ac:dyDescent="0.25">
      <c r="A259" s="75">
        <f t="shared" si="31"/>
        <v>13</v>
      </c>
      <c r="B259" s="75" t="s">
        <v>242</v>
      </c>
      <c r="C259" s="75" t="s">
        <v>203</v>
      </c>
      <c r="D259" s="60">
        <f t="shared" si="32"/>
        <v>303.54479999999995</v>
      </c>
      <c r="E259" s="75">
        <v>0</v>
      </c>
      <c r="F259" s="75">
        <f>D259*(($F$199)+1)+(IF(E259&lt;101,E259,IF(E259&lt;201,E259/2,IF(E259&lt;=301,E259/3,E259/4))))</f>
        <v>470.49443999999994</v>
      </c>
      <c r="G259" s="103"/>
      <c r="H259" s="103"/>
      <c r="I259" s="36"/>
      <c r="L259" s="108"/>
      <c r="M259" s="108"/>
      <c r="N259" s="36"/>
    </row>
    <row r="260" spans="1:14" s="66" customFormat="1" ht="15.75" customHeight="1" x14ac:dyDescent="0.25">
      <c r="A260" s="75">
        <f>A259+1</f>
        <v>14</v>
      </c>
      <c r="B260" s="75" t="s">
        <v>242</v>
      </c>
      <c r="C260" s="75" t="s">
        <v>203</v>
      </c>
      <c r="D260" s="60">
        <f t="shared" si="32"/>
        <v>303.54479999999995</v>
      </c>
      <c r="E260" s="75">
        <v>0</v>
      </c>
      <c r="F260" s="75">
        <f>D260*(($F$199)+1)+(IF(E260&lt;101,E260,IF(E260&lt;201,E260/2,IF(E260&lt;=301,E260/3,E260/4))))</f>
        <v>470.49443999999994</v>
      </c>
      <c r="G260" s="103"/>
      <c r="H260" s="103"/>
      <c r="I260" s="36"/>
      <c r="N260" s="36"/>
    </row>
    <row r="261" spans="1:14" s="66" customFormat="1" ht="15.75" customHeight="1" x14ac:dyDescent="0.25">
      <c r="A261" s="75">
        <f>A260+1</f>
        <v>15</v>
      </c>
      <c r="B261" s="75" t="s">
        <v>242</v>
      </c>
      <c r="C261" s="75" t="s">
        <v>203</v>
      </c>
      <c r="D261" s="60">
        <f>(27.94)*(10.764)</f>
        <v>300.74615999999997</v>
      </c>
      <c r="E261" s="75">
        <v>0</v>
      </c>
      <c r="F261" s="75">
        <f>D261*(($F$199)+1)+(IF(E261&lt;101,E261,IF(E261&lt;201,E261/2,IF(E261&lt;=301,E261/3,E261/4))))</f>
        <v>466.15654799999999</v>
      </c>
      <c r="G261" s="103"/>
      <c r="H261" s="103"/>
      <c r="I261" s="36"/>
      <c r="N261" s="36"/>
    </row>
    <row r="262" spans="1:14" s="66" customFormat="1" x14ac:dyDescent="0.25">
      <c r="A262" s="112" t="s">
        <v>232</v>
      </c>
      <c r="B262" s="112"/>
      <c r="C262" s="112"/>
      <c r="D262" s="112"/>
      <c r="E262" s="112"/>
      <c r="F262" s="112"/>
      <c r="G262" s="112"/>
      <c r="H262" s="112"/>
      <c r="I262" s="36"/>
      <c r="L262" s="108"/>
      <c r="M262" s="108"/>
    </row>
    <row r="263" spans="1:14" s="66" customFormat="1" ht="15.75" customHeight="1" x14ac:dyDescent="0.25">
      <c r="A263" s="67">
        <v>1</v>
      </c>
      <c r="B263" s="67" t="s">
        <v>242</v>
      </c>
      <c r="C263" s="67" t="s">
        <v>203</v>
      </c>
      <c r="D263" s="60">
        <f>(28.46)*(10.764)</f>
        <v>306.34343999999999</v>
      </c>
      <c r="E263" s="67">
        <v>0</v>
      </c>
      <c r="F263" s="67">
        <f t="shared" ref="F263:F277" si="33">D263*(($F$199)+1)+(IF(E263&lt;101,E263,IF(E263&lt;201,E263/2,IF(E263&lt;=301,E263/3,E263/4))))</f>
        <v>474.83233200000001</v>
      </c>
      <c r="G263" s="119" t="str">
        <f>A262</f>
        <v>7th to 12th Floor</v>
      </c>
      <c r="H263" s="120"/>
      <c r="I263" s="36"/>
      <c r="N263" s="36"/>
    </row>
    <row r="264" spans="1:14" s="66" customFormat="1" ht="15.75" customHeight="1" x14ac:dyDescent="0.25">
      <c r="A264" s="67">
        <f>A263+1</f>
        <v>2</v>
      </c>
      <c r="B264" s="67" t="s">
        <v>242</v>
      </c>
      <c r="C264" s="67" t="s">
        <v>203</v>
      </c>
      <c r="D264" s="60">
        <f>(28.38)*(10.764)</f>
        <v>305.48231999999996</v>
      </c>
      <c r="E264" s="67">
        <v>0</v>
      </c>
      <c r="F264" s="67">
        <f t="shared" si="33"/>
        <v>473.49759599999993</v>
      </c>
      <c r="G264" s="121"/>
      <c r="H264" s="122"/>
      <c r="I264" s="36"/>
      <c r="N264" s="36"/>
    </row>
    <row r="265" spans="1:14" s="66" customFormat="1" ht="15.75" customHeight="1" x14ac:dyDescent="0.25">
      <c r="A265" s="67">
        <f>A264+1</f>
        <v>3</v>
      </c>
      <c r="B265" s="67" t="s">
        <v>242</v>
      </c>
      <c r="C265" s="67" t="s">
        <v>203</v>
      </c>
      <c r="D265" s="60">
        <f>(28.85)*(10.764)</f>
        <v>310.54140000000001</v>
      </c>
      <c r="E265" s="67">
        <v>0</v>
      </c>
      <c r="F265" s="67">
        <f t="shared" si="33"/>
        <v>481.33917000000002</v>
      </c>
      <c r="G265" s="121"/>
      <c r="H265" s="122"/>
      <c r="I265" s="36"/>
      <c r="N265" s="36"/>
    </row>
    <row r="266" spans="1:14" s="66" customFormat="1" ht="15.75" customHeight="1" x14ac:dyDescent="0.25">
      <c r="A266" s="67">
        <f t="shared" ref="A266" si="34">A265+1</f>
        <v>4</v>
      </c>
      <c r="B266" s="67" t="s">
        <v>242</v>
      </c>
      <c r="C266" s="67" t="s">
        <v>203</v>
      </c>
      <c r="D266" s="60">
        <f>(28.71)*(10.764)</f>
        <v>309.03444000000002</v>
      </c>
      <c r="E266" s="67">
        <v>0</v>
      </c>
      <c r="F266" s="67">
        <f t="shared" si="33"/>
        <v>479.00338200000004</v>
      </c>
      <c r="G266" s="121"/>
      <c r="H266" s="122"/>
      <c r="I266" s="36"/>
      <c r="L266" s="108"/>
      <c r="M266" s="108"/>
      <c r="N266" s="36"/>
    </row>
    <row r="267" spans="1:14" s="66" customFormat="1" ht="15.75" customHeight="1" x14ac:dyDescent="0.25">
      <c r="A267" s="67">
        <f>A266+1</f>
        <v>5</v>
      </c>
      <c r="B267" s="67" t="s">
        <v>242</v>
      </c>
      <c r="C267" s="67" t="s">
        <v>203</v>
      </c>
      <c r="D267" s="60">
        <f>(28.11)*(10.764)</f>
        <v>302.57603999999998</v>
      </c>
      <c r="E267" s="67">
        <v>0</v>
      </c>
      <c r="F267" s="67">
        <f t="shared" si="33"/>
        <v>468.992862</v>
      </c>
      <c r="G267" s="121"/>
      <c r="H267" s="122"/>
      <c r="I267" s="36"/>
      <c r="N267" s="36"/>
    </row>
    <row r="268" spans="1:14" s="66" customFormat="1" ht="15.75" customHeight="1" x14ac:dyDescent="0.25">
      <c r="A268" s="67">
        <f>A267+1</f>
        <v>6</v>
      </c>
      <c r="B268" s="67" t="s">
        <v>242</v>
      </c>
      <c r="C268" s="67" t="s">
        <v>203</v>
      </c>
      <c r="D268" s="60">
        <f>(28.1)*(10.764)</f>
        <v>302.46839999999997</v>
      </c>
      <c r="E268" s="67">
        <v>0</v>
      </c>
      <c r="F268" s="67">
        <f t="shared" si="33"/>
        <v>468.82601999999997</v>
      </c>
      <c r="G268" s="121"/>
      <c r="H268" s="122"/>
      <c r="I268" s="36"/>
      <c r="N268" s="36"/>
    </row>
    <row r="269" spans="1:14" s="66" customFormat="1" ht="15.75" customHeight="1" x14ac:dyDescent="0.25">
      <c r="A269" s="67">
        <f t="shared" ref="A269:A274" si="35">A268+1</f>
        <v>7</v>
      </c>
      <c r="B269" s="67" t="s">
        <v>242</v>
      </c>
      <c r="C269" s="67" t="s">
        <v>203</v>
      </c>
      <c r="D269" s="60">
        <f>(27.92)*(10.764)</f>
        <v>300.53088000000002</v>
      </c>
      <c r="E269" s="67">
        <v>0</v>
      </c>
      <c r="F269" s="67">
        <f t="shared" si="33"/>
        <v>465.82286400000004</v>
      </c>
      <c r="G269" s="121"/>
      <c r="H269" s="122"/>
      <c r="I269" s="36"/>
      <c r="N269" s="36"/>
    </row>
    <row r="270" spans="1:14" s="66" customFormat="1" ht="15.75" customHeight="1" x14ac:dyDescent="0.25">
      <c r="A270" s="67">
        <f t="shared" si="35"/>
        <v>8</v>
      </c>
      <c r="B270" s="67" t="s">
        <v>242</v>
      </c>
      <c r="C270" s="67" t="s">
        <v>203</v>
      </c>
      <c r="D270" s="60">
        <f>(27.93)*(10.764)</f>
        <v>300.63851999999997</v>
      </c>
      <c r="E270" s="67">
        <v>0</v>
      </c>
      <c r="F270" s="67">
        <f t="shared" si="33"/>
        <v>465.98970599999996</v>
      </c>
      <c r="G270" s="121"/>
      <c r="H270" s="122"/>
      <c r="I270" s="36"/>
      <c r="N270" s="36"/>
    </row>
    <row r="271" spans="1:14" s="66" customFormat="1" ht="15.75" customHeight="1" x14ac:dyDescent="0.25">
      <c r="A271" s="67">
        <f t="shared" si="35"/>
        <v>9</v>
      </c>
      <c r="B271" s="67" t="s">
        <v>242</v>
      </c>
      <c r="C271" s="67" t="s">
        <v>203</v>
      </c>
      <c r="D271" s="60">
        <f>(27.92)*(10.764)</f>
        <v>300.53088000000002</v>
      </c>
      <c r="E271" s="67">
        <v>0</v>
      </c>
      <c r="F271" s="67">
        <f t="shared" si="33"/>
        <v>465.82286400000004</v>
      </c>
      <c r="G271" s="121"/>
      <c r="H271" s="122"/>
      <c r="I271" s="36"/>
      <c r="N271" s="36"/>
    </row>
    <row r="272" spans="1:14" s="66" customFormat="1" ht="15.75" customHeight="1" x14ac:dyDescent="0.25">
      <c r="A272" s="67">
        <f t="shared" si="35"/>
        <v>10</v>
      </c>
      <c r="B272" s="67" t="s">
        <v>242</v>
      </c>
      <c r="C272" s="67" t="s">
        <v>203</v>
      </c>
      <c r="D272" s="60">
        <f>(28.98)*(10.764)</f>
        <v>311.94072</v>
      </c>
      <c r="E272" s="67">
        <v>0</v>
      </c>
      <c r="F272" s="67">
        <f t="shared" si="33"/>
        <v>483.50811600000003</v>
      </c>
      <c r="G272" s="121"/>
      <c r="H272" s="122"/>
      <c r="I272" s="36"/>
      <c r="L272" s="108"/>
      <c r="M272" s="108"/>
      <c r="N272" s="36"/>
    </row>
    <row r="273" spans="1:14" s="66" customFormat="1" ht="15.75" customHeight="1" x14ac:dyDescent="0.25">
      <c r="A273" s="67">
        <f t="shared" si="35"/>
        <v>11</v>
      </c>
      <c r="B273" s="67" t="s">
        <v>242</v>
      </c>
      <c r="C273" s="67" t="s">
        <v>203</v>
      </c>
      <c r="D273" s="60">
        <f>(28.2)*(10.764)</f>
        <v>303.54479999999995</v>
      </c>
      <c r="E273" s="67">
        <v>0</v>
      </c>
      <c r="F273" s="67">
        <f t="shared" si="33"/>
        <v>470.49443999999994</v>
      </c>
      <c r="G273" s="121"/>
      <c r="H273" s="122"/>
      <c r="I273" s="36"/>
      <c r="N273" s="36"/>
    </row>
    <row r="274" spans="1:14" s="66" customFormat="1" ht="15.75" customHeight="1" x14ac:dyDescent="0.25">
      <c r="A274" s="67">
        <f t="shared" si="35"/>
        <v>12</v>
      </c>
      <c r="B274" s="67" t="s">
        <v>242</v>
      </c>
      <c r="C274" s="67" t="s">
        <v>203</v>
      </c>
      <c r="D274" s="60">
        <f t="shared" ref="D274:D276" si="36">(28.2)*(10.764)</f>
        <v>303.54479999999995</v>
      </c>
      <c r="E274" s="67">
        <v>0</v>
      </c>
      <c r="F274" s="67">
        <f t="shared" si="33"/>
        <v>470.49443999999994</v>
      </c>
      <c r="G274" s="121"/>
      <c r="H274" s="122"/>
      <c r="I274" s="36"/>
      <c r="N274" s="36"/>
    </row>
    <row r="275" spans="1:14" s="66" customFormat="1" ht="15.75" customHeight="1" x14ac:dyDescent="0.25">
      <c r="A275" s="67">
        <f t="shared" ref="A275:A277" si="37">A274+1</f>
        <v>13</v>
      </c>
      <c r="B275" s="67" t="s">
        <v>242</v>
      </c>
      <c r="C275" s="67" t="s">
        <v>203</v>
      </c>
      <c r="D275" s="60">
        <f t="shared" si="36"/>
        <v>303.54479999999995</v>
      </c>
      <c r="E275" s="67">
        <v>0</v>
      </c>
      <c r="F275" s="67">
        <f t="shared" si="33"/>
        <v>470.49443999999994</v>
      </c>
      <c r="G275" s="121"/>
      <c r="H275" s="122"/>
      <c r="I275" s="36"/>
      <c r="L275" s="108"/>
      <c r="M275" s="108"/>
      <c r="N275" s="36"/>
    </row>
    <row r="276" spans="1:14" s="66" customFormat="1" ht="15.75" customHeight="1" x14ac:dyDescent="0.25">
      <c r="A276" s="67">
        <f t="shared" si="37"/>
        <v>14</v>
      </c>
      <c r="B276" s="67" t="s">
        <v>242</v>
      </c>
      <c r="C276" s="67" t="s">
        <v>203</v>
      </c>
      <c r="D276" s="60">
        <f t="shared" si="36"/>
        <v>303.54479999999995</v>
      </c>
      <c r="E276" s="67">
        <v>0</v>
      </c>
      <c r="F276" s="67">
        <f t="shared" si="33"/>
        <v>470.49443999999994</v>
      </c>
      <c r="G276" s="121"/>
      <c r="H276" s="122"/>
      <c r="I276" s="36"/>
      <c r="N276" s="36"/>
    </row>
    <row r="277" spans="1:14" s="66" customFormat="1" ht="15.75" customHeight="1" x14ac:dyDescent="0.25">
      <c r="A277" s="67">
        <f t="shared" si="37"/>
        <v>15</v>
      </c>
      <c r="B277" s="67" t="s">
        <v>242</v>
      </c>
      <c r="C277" s="67" t="s">
        <v>203</v>
      </c>
      <c r="D277" s="60">
        <f>(27.94)*(10.764)</f>
        <v>300.74615999999997</v>
      </c>
      <c r="E277" s="67">
        <v>0</v>
      </c>
      <c r="F277" s="67">
        <f t="shared" si="33"/>
        <v>466.15654799999999</v>
      </c>
      <c r="G277" s="208"/>
      <c r="H277" s="209"/>
      <c r="I277" s="36"/>
      <c r="N277" s="36"/>
    </row>
    <row r="278" spans="1:14" s="66" customFormat="1" x14ac:dyDescent="0.25">
      <c r="A278" s="112" t="s">
        <v>233</v>
      </c>
      <c r="B278" s="112"/>
      <c r="C278" s="112"/>
      <c r="D278" s="112"/>
      <c r="E278" s="112"/>
      <c r="F278" s="112"/>
      <c r="G278" s="112"/>
      <c r="H278" s="112"/>
      <c r="I278" s="36"/>
      <c r="L278" s="108"/>
      <c r="M278" s="108"/>
    </row>
    <row r="279" spans="1:14" s="66" customFormat="1" ht="15.75" customHeight="1" x14ac:dyDescent="0.25">
      <c r="A279" s="75">
        <v>1</v>
      </c>
      <c r="B279" s="75" t="s">
        <v>242</v>
      </c>
      <c r="C279" s="75" t="s">
        <v>203</v>
      </c>
      <c r="D279" s="60">
        <f>(28.46)*(10.764)</f>
        <v>306.34343999999999</v>
      </c>
      <c r="E279" s="75">
        <v>0</v>
      </c>
      <c r="F279" s="75">
        <f t="shared" ref="F279:F287" si="38">D279*(($F$199)+1)+(IF(E279&lt;101,E279,IF(E279&lt;201,E279/2,IF(E279&lt;=301,E279/3,E279/4))))</f>
        <v>474.83233200000001</v>
      </c>
      <c r="G279" s="103" t="str">
        <f>A278</f>
        <v>13th Floor (Part Refuge Area)</v>
      </c>
      <c r="H279" s="103"/>
      <c r="I279" s="36"/>
      <c r="N279" s="36"/>
    </row>
    <row r="280" spans="1:14" s="66" customFormat="1" ht="15.75" customHeight="1" x14ac:dyDescent="0.25">
      <c r="A280" s="75">
        <f>A279+1</f>
        <v>2</v>
      </c>
      <c r="B280" s="75" t="s">
        <v>242</v>
      </c>
      <c r="C280" s="75" t="s">
        <v>203</v>
      </c>
      <c r="D280" s="60">
        <f>(28.38)*(10.764)</f>
        <v>305.48231999999996</v>
      </c>
      <c r="E280" s="75">
        <v>0</v>
      </c>
      <c r="F280" s="75">
        <f t="shared" si="38"/>
        <v>473.49759599999993</v>
      </c>
      <c r="G280" s="103"/>
      <c r="H280" s="103"/>
      <c r="I280" s="36"/>
      <c r="N280" s="36"/>
    </row>
    <row r="281" spans="1:14" s="66" customFormat="1" ht="15.75" customHeight="1" x14ac:dyDescent="0.25">
      <c r="A281" s="75">
        <f>A280+1</f>
        <v>3</v>
      </c>
      <c r="B281" s="75" t="s">
        <v>242</v>
      </c>
      <c r="C281" s="75" t="s">
        <v>203</v>
      </c>
      <c r="D281" s="60">
        <f>(28.85)*(10.764)</f>
        <v>310.54140000000001</v>
      </c>
      <c r="E281" s="75">
        <v>0</v>
      </c>
      <c r="F281" s="75">
        <f t="shared" si="38"/>
        <v>481.33917000000002</v>
      </c>
      <c r="G281" s="103"/>
      <c r="H281" s="103"/>
      <c r="I281" s="36"/>
      <c r="N281" s="36"/>
    </row>
    <row r="282" spans="1:14" s="66" customFormat="1" ht="15.75" customHeight="1" x14ac:dyDescent="0.25">
      <c r="A282" s="75">
        <f t="shared" ref="A282" si="39">A281+1</f>
        <v>4</v>
      </c>
      <c r="B282" s="75" t="s">
        <v>242</v>
      </c>
      <c r="C282" s="75" t="s">
        <v>203</v>
      </c>
      <c r="D282" s="60">
        <f>(28.71)*(10.764)</f>
        <v>309.03444000000002</v>
      </c>
      <c r="E282" s="75">
        <v>0</v>
      </c>
      <c r="F282" s="75">
        <f t="shared" si="38"/>
        <v>479.00338200000004</v>
      </c>
      <c r="G282" s="103"/>
      <c r="H282" s="103"/>
      <c r="I282" s="36"/>
      <c r="L282" s="108"/>
      <c r="M282" s="108"/>
      <c r="N282" s="36"/>
    </row>
    <row r="283" spans="1:14" s="66" customFormat="1" ht="15.75" customHeight="1" x14ac:dyDescent="0.25">
      <c r="A283" s="75">
        <f>A282+1</f>
        <v>5</v>
      </c>
      <c r="B283" s="75" t="s">
        <v>242</v>
      </c>
      <c r="C283" s="75" t="s">
        <v>203</v>
      </c>
      <c r="D283" s="60">
        <f>(28.11)*(10.764)</f>
        <v>302.57603999999998</v>
      </c>
      <c r="E283" s="75">
        <v>0</v>
      </c>
      <c r="F283" s="75">
        <f t="shared" si="38"/>
        <v>468.992862</v>
      </c>
      <c r="G283" s="103"/>
      <c r="H283" s="103"/>
      <c r="I283" s="36"/>
      <c r="N283" s="36"/>
    </row>
    <row r="284" spans="1:14" s="66" customFormat="1" ht="15.75" customHeight="1" x14ac:dyDescent="0.25">
      <c r="A284" s="75">
        <f>A283+1</f>
        <v>6</v>
      </c>
      <c r="B284" s="75" t="s">
        <v>242</v>
      </c>
      <c r="C284" s="75" t="s">
        <v>203</v>
      </c>
      <c r="D284" s="60">
        <f>(28.1)*(10.764)</f>
        <v>302.46839999999997</v>
      </c>
      <c r="E284" s="75">
        <v>0</v>
      </c>
      <c r="F284" s="75">
        <f t="shared" si="38"/>
        <v>468.82601999999997</v>
      </c>
      <c r="G284" s="103"/>
      <c r="H284" s="103"/>
      <c r="I284" s="36"/>
      <c r="N284" s="36"/>
    </row>
    <row r="285" spans="1:14" s="66" customFormat="1" ht="15.75" customHeight="1" x14ac:dyDescent="0.25">
      <c r="A285" s="75">
        <f t="shared" ref="A285:A293" si="40">A284+1</f>
        <v>7</v>
      </c>
      <c r="B285" s="75" t="s">
        <v>242</v>
      </c>
      <c r="C285" s="75" t="s">
        <v>203</v>
      </c>
      <c r="D285" s="60">
        <f>(27.92)*(10.764)</f>
        <v>300.53088000000002</v>
      </c>
      <c r="E285" s="75">
        <v>0</v>
      </c>
      <c r="F285" s="75">
        <f t="shared" si="38"/>
        <v>465.82286400000004</v>
      </c>
      <c r="G285" s="103"/>
      <c r="H285" s="103"/>
      <c r="I285" s="36"/>
      <c r="N285" s="36"/>
    </row>
    <row r="286" spans="1:14" s="66" customFormat="1" ht="15.75" customHeight="1" x14ac:dyDescent="0.25">
      <c r="A286" s="75">
        <f t="shared" si="40"/>
        <v>8</v>
      </c>
      <c r="B286" s="75" t="s">
        <v>242</v>
      </c>
      <c r="C286" s="75" t="s">
        <v>203</v>
      </c>
      <c r="D286" s="60">
        <f>(27.93)*(10.764)</f>
        <v>300.63851999999997</v>
      </c>
      <c r="E286" s="75">
        <v>0</v>
      </c>
      <c r="F286" s="75">
        <f t="shared" si="38"/>
        <v>465.98970599999996</v>
      </c>
      <c r="G286" s="103"/>
      <c r="H286" s="103"/>
      <c r="I286" s="36"/>
      <c r="N286" s="36"/>
    </row>
    <row r="287" spans="1:14" s="66" customFormat="1" ht="15.75" customHeight="1" x14ac:dyDescent="0.25">
      <c r="A287" s="75">
        <f t="shared" si="40"/>
        <v>9</v>
      </c>
      <c r="B287" s="75" t="s">
        <v>242</v>
      </c>
      <c r="C287" s="75" t="s">
        <v>203</v>
      </c>
      <c r="D287" s="60">
        <f>(27.92)*(10.764)</f>
        <v>300.53088000000002</v>
      </c>
      <c r="E287" s="75">
        <v>0</v>
      </c>
      <c r="F287" s="75">
        <f t="shared" si="38"/>
        <v>465.82286400000004</v>
      </c>
      <c r="G287" s="103"/>
      <c r="H287" s="103"/>
      <c r="I287" s="36"/>
      <c r="N287" s="36"/>
    </row>
    <row r="288" spans="1:14" s="66" customFormat="1" ht="15.75" customHeight="1" x14ac:dyDescent="0.25">
      <c r="A288" s="75">
        <f t="shared" si="40"/>
        <v>10</v>
      </c>
      <c r="B288" s="103" t="s">
        <v>206</v>
      </c>
      <c r="C288" s="103"/>
      <c r="D288" s="103"/>
      <c r="E288" s="103"/>
      <c r="F288" s="103"/>
      <c r="G288" s="103"/>
      <c r="H288" s="103"/>
      <c r="I288" s="36"/>
      <c r="L288" s="108"/>
      <c r="M288" s="108"/>
      <c r="N288" s="36"/>
    </row>
    <row r="289" spans="1:14" s="66" customFormat="1" ht="15.75" customHeight="1" x14ac:dyDescent="0.25">
      <c r="A289" s="75">
        <f t="shared" si="40"/>
        <v>11</v>
      </c>
      <c r="B289" s="103"/>
      <c r="C289" s="103"/>
      <c r="D289" s="103"/>
      <c r="E289" s="103"/>
      <c r="F289" s="103"/>
      <c r="G289" s="103"/>
      <c r="H289" s="103"/>
      <c r="I289" s="36"/>
      <c r="N289" s="36"/>
    </row>
    <row r="290" spans="1:14" s="66" customFormat="1" ht="15.75" customHeight="1" x14ac:dyDescent="0.25">
      <c r="A290" s="75">
        <f t="shared" si="40"/>
        <v>12</v>
      </c>
      <c r="B290" s="75" t="s">
        <v>242</v>
      </c>
      <c r="C290" s="75" t="s">
        <v>203</v>
      </c>
      <c r="D290" s="60">
        <f t="shared" ref="D290:D292" si="41">(28.2)*(10.764)</f>
        <v>303.54479999999995</v>
      </c>
      <c r="E290" s="75">
        <v>0</v>
      </c>
      <c r="F290" s="75">
        <f>D290*(($F$199)+1)+(IF(E290&lt;101,E290,IF(E290&lt;201,E290/2,IF(E290&lt;=301,E290/3,E290/4))))</f>
        <v>470.49443999999994</v>
      </c>
      <c r="G290" s="103"/>
      <c r="H290" s="103"/>
      <c r="I290" s="36"/>
      <c r="N290" s="36"/>
    </row>
    <row r="291" spans="1:14" s="66" customFormat="1" ht="15.75" customHeight="1" x14ac:dyDescent="0.25">
      <c r="A291" s="75">
        <f t="shared" si="40"/>
        <v>13</v>
      </c>
      <c r="B291" s="75" t="s">
        <v>242</v>
      </c>
      <c r="C291" s="75" t="s">
        <v>203</v>
      </c>
      <c r="D291" s="60">
        <f t="shared" si="41"/>
        <v>303.54479999999995</v>
      </c>
      <c r="E291" s="75">
        <v>0</v>
      </c>
      <c r="F291" s="75">
        <f>D291*(($F$199)+1)+(IF(E291&lt;101,E291,IF(E291&lt;201,E291/2,IF(E291&lt;=301,E291/3,E291/4))))</f>
        <v>470.49443999999994</v>
      </c>
      <c r="G291" s="103"/>
      <c r="H291" s="103"/>
      <c r="I291" s="36"/>
      <c r="L291" s="108"/>
      <c r="M291" s="108"/>
      <c r="N291" s="36"/>
    </row>
    <row r="292" spans="1:14" s="66" customFormat="1" ht="15.75" customHeight="1" x14ac:dyDescent="0.25">
      <c r="A292" s="75">
        <f t="shared" si="40"/>
        <v>14</v>
      </c>
      <c r="B292" s="75" t="s">
        <v>242</v>
      </c>
      <c r="C292" s="75" t="s">
        <v>203</v>
      </c>
      <c r="D292" s="60">
        <f t="shared" si="41"/>
        <v>303.54479999999995</v>
      </c>
      <c r="E292" s="75">
        <v>0</v>
      </c>
      <c r="F292" s="75">
        <f>D292*(($F$199)+1)+(IF(E292&lt;101,E292,IF(E292&lt;201,E292/2,IF(E292&lt;=301,E292/3,E292/4))))</f>
        <v>470.49443999999994</v>
      </c>
      <c r="G292" s="103"/>
      <c r="H292" s="103"/>
      <c r="I292" s="36"/>
      <c r="N292" s="36"/>
    </row>
    <row r="293" spans="1:14" s="66" customFormat="1" ht="15.75" customHeight="1" x14ac:dyDescent="0.25">
      <c r="A293" s="75">
        <f t="shared" si="40"/>
        <v>15</v>
      </c>
      <c r="B293" s="75" t="s">
        <v>242</v>
      </c>
      <c r="C293" s="75" t="s">
        <v>203</v>
      </c>
      <c r="D293" s="60">
        <f>(27.94)*(10.764)</f>
        <v>300.74615999999997</v>
      </c>
      <c r="E293" s="75">
        <v>0</v>
      </c>
      <c r="F293" s="75">
        <f>D293*(($F$199)+1)+(IF(E293&lt;101,E293,IF(E293&lt;201,E293/2,IF(E293&lt;=301,E293/3,E293/4))))</f>
        <v>466.15654799999999</v>
      </c>
      <c r="G293" s="103"/>
      <c r="H293" s="103"/>
      <c r="I293" s="36"/>
      <c r="N293" s="36"/>
    </row>
    <row r="294" spans="1:14" s="66" customFormat="1" x14ac:dyDescent="0.25">
      <c r="A294" s="112" t="s">
        <v>250</v>
      </c>
      <c r="B294" s="112"/>
      <c r="C294" s="112"/>
      <c r="D294" s="112"/>
      <c r="E294" s="112"/>
      <c r="F294" s="112"/>
      <c r="G294" s="112"/>
      <c r="H294" s="112"/>
      <c r="I294" s="36"/>
      <c r="L294" s="108"/>
      <c r="M294" s="108"/>
    </row>
    <row r="295" spans="1:14" s="66" customFormat="1" ht="15.75" customHeight="1" x14ac:dyDescent="0.25">
      <c r="A295" s="67">
        <v>1</v>
      </c>
      <c r="B295" s="119" t="s">
        <v>244</v>
      </c>
      <c r="C295" s="210"/>
      <c r="D295" s="210"/>
      <c r="E295" s="210"/>
      <c r="F295" s="120"/>
      <c r="G295" s="119" t="str">
        <f>A294</f>
        <v>14th Floor (Part Terrace Area)</v>
      </c>
      <c r="H295" s="120"/>
      <c r="I295" s="36"/>
      <c r="N295" s="36"/>
    </row>
    <row r="296" spans="1:14" s="66" customFormat="1" ht="15.75" customHeight="1" x14ac:dyDescent="0.25">
      <c r="A296" s="67">
        <f>A295+1</f>
        <v>2</v>
      </c>
      <c r="B296" s="121"/>
      <c r="C296" s="211"/>
      <c r="D296" s="211"/>
      <c r="E296" s="211"/>
      <c r="F296" s="122"/>
      <c r="G296" s="121"/>
      <c r="H296" s="122"/>
      <c r="I296" s="36"/>
      <c r="N296" s="36"/>
    </row>
    <row r="297" spans="1:14" s="66" customFormat="1" ht="15.75" customHeight="1" x14ac:dyDescent="0.25">
      <c r="A297" s="67">
        <f>A296+1</f>
        <v>3</v>
      </c>
      <c r="B297" s="121"/>
      <c r="C297" s="211"/>
      <c r="D297" s="211"/>
      <c r="E297" s="211"/>
      <c r="F297" s="122"/>
      <c r="G297" s="121"/>
      <c r="H297" s="122"/>
      <c r="I297" s="36"/>
      <c r="N297" s="36"/>
    </row>
    <row r="298" spans="1:14" s="66" customFormat="1" ht="15.75" customHeight="1" x14ac:dyDescent="0.25">
      <c r="A298" s="67">
        <f t="shared" ref="A298" si="42">A297+1</f>
        <v>4</v>
      </c>
      <c r="B298" s="121"/>
      <c r="C298" s="211"/>
      <c r="D298" s="211"/>
      <c r="E298" s="211"/>
      <c r="F298" s="122"/>
      <c r="G298" s="121"/>
      <c r="H298" s="122"/>
      <c r="I298" s="36"/>
      <c r="L298" s="108"/>
      <c r="M298" s="108"/>
      <c r="N298" s="36"/>
    </row>
    <row r="299" spans="1:14" s="66" customFormat="1" ht="15.75" customHeight="1" x14ac:dyDescent="0.25">
      <c r="A299" s="67">
        <f>A298+1</f>
        <v>5</v>
      </c>
      <c r="B299" s="121"/>
      <c r="C299" s="211"/>
      <c r="D299" s="211"/>
      <c r="E299" s="211"/>
      <c r="F299" s="122"/>
      <c r="G299" s="121"/>
      <c r="H299" s="122"/>
      <c r="I299" s="36"/>
      <c r="N299" s="36"/>
    </row>
    <row r="300" spans="1:14" s="66" customFormat="1" ht="15.75" customHeight="1" x14ac:dyDescent="0.25">
      <c r="A300" s="67">
        <f>A299+1</f>
        <v>6</v>
      </c>
      <c r="B300" s="121"/>
      <c r="C300" s="211"/>
      <c r="D300" s="211"/>
      <c r="E300" s="211"/>
      <c r="F300" s="122"/>
      <c r="G300" s="121"/>
      <c r="H300" s="122"/>
      <c r="I300" s="36"/>
      <c r="N300" s="36"/>
    </row>
    <row r="301" spans="1:14" s="66" customFormat="1" ht="15.75" customHeight="1" x14ac:dyDescent="0.25">
      <c r="A301" s="67">
        <f t="shared" ref="A301:A308" si="43">A300+1</f>
        <v>7</v>
      </c>
      <c r="B301" s="121"/>
      <c r="C301" s="211"/>
      <c r="D301" s="211"/>
      <c r="E301" s="211"/>
      <c r="F301" s="122"/>
      <c r="G301" s="121"/>
      <c r="H301" s="122"/>
      <c r="I301" s="36"/>
      <c r="N301" s="36"/>
    </row>
    <row r="302" spans="1:14" s="66" customFormat="1" ht="15.75" customHeight="1" x14ac:dyDescent="0.25">
      <c r="A302" s="67">
        <f t="shared" si="43"/>
        <v>8</v>
      </c>
      <c r="B302" s="121"/>
      <c r="C302" s="211"/>
      <c r="D302" s="211"/>
      <c r="E302" s="211"/>
      <c r="F302" s="122"/>
      <c r="G302" s="121"/>
      <c r="H302" s="122"/>
      <c r="I302" s="36"/>
      <c r="N302" s="36"/>
    </row>
    <row r="303" spans="1:14" s="66" customFormat="1" ht="15.75" customHeight="1" x14ac:dyDescent="0.25">
      <c r="A303" s="67">
        <f t="shared" si="43"/>
        <v>9</v>
      </c>
      <c r="B303" s="121"/>
      <c r="C303" s="211"/>
      <c r="D303" s="211"/>
      <c r="E303" s="211"/>
      <c r="F303" s="122"/>
      <c r="G303" s="121"/>
      <c r="H303" s="122"/>
      <c r="I303" s="36"/>
      <c r="N303" s="36"/>
    </row>
    <row r="304" spans="1:14" s="66" customFormat="1" ht="15.75" customHeight="1" x14ac:dyDescent="0.25">
      <c r="A304" s="67">
        <f t="shared" si="43"/>
        <v>10</v>
      </c>
      <c r="B304" s="121"/>
      <c r="C304" s="211"/>
      <c r="D304" s="211"/>
      <c r="E304" s="211"/>
      <c r="F304" s="122"/>
      <c r="G304" s="121"/>
      <c r="H304" s="122"/>
      <c r="I304" s="36"/>
      <c r="L304" s="108"/>
      <c r="M304" s="108"/>
      <c r="N304" s="36"/>
    </row>
    <row r="305" spans="1:14" s="66" customFormat="1" ht="15.75" customHeight="1" x14ac:dyDescent="0.25">
      <c r="A305" s="67">
        <f t="shared" si="43"/>
        <v>11</v>
      </c>
      <c r="B305" s="208"/>
      <c r="C305" s="212"/>
      <c r="D305" s="212"/>
      <c r="E305" s="212"/>
      <c r="F305" s="209"/>
      <c r="G305" s="121"/>
      <c r="H305" s="122"/>
      <c r="I305" s="36"/>
      <c r="N305" s="36"/>
    </row>
    <row r="306" spans="1:14" s="66" customFormat="1" ht="15.75" customHeight="1" x14ac:dyDescent="0.25">
      <c r="A306" s="67">
        <f t="shared" si="43"/>
        <v>12</v>
      </c>
      <c r="B306" s="67" t="s">
        <v>242</v>
      </c>
      <c r="C306" s="67" t="s">
        <v>203</v>
      </c>
      <c r="D306" s="60">
        <f t="shared" ref="D306:D308" si="44">(28.2)*(10.764)</f>
        <v>303.54479999999995</v>
      </c>
      <c r="E306" s="67">
        <v>0</v>
      </c>
      <c r="F306" s="67">
        <f>D306*(($F$199)+1)+(IF(E306&lt;101,E306,IF(E306&lt;201,E306/2,IF(E306&lt;=301,E306/3,E306/4))))</f>
        <v>470.49443999999994</v>
      </c>
      <c r="G306" s="121"/>
      <c r="H306" s="122"/>
      <c r="I306" s="36"/>
      <c r="N306" s="36"/>
    </row>
    <row r="307" spans="1:14" s="66" customFormat="1" ht="15.75" customHeight="1" x14ac:dyDescent="0.25">
      <c r="A307" s="67">
        <f t="shared" si="43"/>
        <v>13</v>
      </c>
      <c r="B307" s="67" t="s">
        <v>242</v>
      </c>
      <c r="C307" s="67" t="s">
        <v>203</v>
      </c>
      <c r="D307" s="60">
        <f t="shared" si="44"/>
        <v>303.54479999999995</v>
      </c>
      <c r="E307" s="67">
        <v>0</v>
      </c>
      <c r="F307" s="67">
        <f>D307*(($F$199)+1)+(IF(E307&lt;101,E307,IF(E307&lt;201,E307/2,IF(E307&lt;=301,E307/3,E307/4))))</f>
        <v>470.49443999999994</v>
      </c>
      <c r="G307" s="121"/>
      <c r="H307" s="122"/>
      <c r="I307" s="36"/>
      <c r="L307" s="108"/>
      <c r="M307" s="108"/>
      <c r="N307" s="36"/>
    </row>
    <row r="308" spans="1:14" s="66" customFormat="1" ht="15.75" customHeight="1" x14ac:dyDescent="0.25">
      <c r="A308" s="67">
        <f t="shared" si="43"/>
        <v>14</v>
      </c>
      <c r="B308" s="67" t="s">
        <v>242</v>
      </c>
      <c r="C308" s="67" t="s">
        <v>203</v>
      </c>
      <c r="D308" s="60">
        <f t="shared" si="44"/>
        <v>303.54479999999995</v>
      </c>
      <c r="E308" s="67">
        <v>0</v>
      </c>
      <c r="F308" s="67">
        <f>D308*(($F$199)+1)+(IF(E308&lt;101,E308,IF(E308&lt;201,E308/2,IF(E308&lt;=301,E308/3,E308/4))))</f>
        <v>470.49443999999994</v>
      </c>
      <c r="G308" s="121"/>
      <c r="H308" s="122"/>
      <c r="I308" s="36"/>
      <c r="N308" s="36"/>
    </row>
    <row r="309" spans="1:14" s="35" customFormat="1" x14ac:dyDescent="0.25">
      <c r="A309" s="104" t="s">
        <v>69</v>
      </c>
      <c r="B309" s="104"/>
      <c r="C309" s="104"/>
      <c r="D309" s="104"/>
      <c r="E309" s="104"/>
      <c r="F309" s="104"/>
      <c r="G309" s="104"/>
      <c r="H309" s="104"/>
    </row>
    <row r="310" spans="1:14" s="35" customFormat="1" x14ac:dyDescent="0.25">
      <c r="A310" s="47" t="s">
        <v>157</v>
      </c>
      <c r="B310" s="187" t="s">
        <v>259</v>
      </c>
      <c r="C310" s="188"/>
      <c r="D310" s="188"/>
      <c r="E310" s="188"/>
      <c r="F310" s="188"/>
      <c r="G310" s="188"/>
      <c r="H310" s="189"/>
    </row>
    <row r="311" spans="1:14" s="35" customFormat="1" x14ac:dyDescent="0.25">
      <c r="A311" s="47" t="s">
        <v>157</v>
      </c>
      <c r="B311" s="187" t="str">
        <f>(IF(F198="Saleable area Loading :","We have considered Saleable area of Flats as per our Calculation.","We considered Saleable area of Flat as per Builder area Sheet."))</f>
        <v>We have considered Saleable area of Flats as per our Calculation.</v>
      </c>
      <c r="C311" s="188"/>
      <c r="D311" s="188"/>
      <c r="E311" s="188"/>
      <c r="F311" s="188"/>
      <c r="G311" s="188"/>
      <c r="H311" s="189"/>
    </row>
    <row r="312" spans="1:14" s="35" customFormat="1" x14ac:dyDescent="0.25">
      <c r="A312" s="47" t="s">
        <v>157</v>
      </c>
      <c r="B312" s="187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2" s="188"/>
      <c r="D312" s="188"/>
      <c r="E312" s="188"/>
      <c r="F312" s="188"/>
      <c r="G312" s="188"/>
      <c r="H312" s="189"/>
    </row>
    <row r="313" spans="1:14" s="35" customFormat="1" x14ac:dyDescent="0.25">
      <c r="A313" s="47" t="s">
        <v>157</v>
      </c>
      <c r="B313" s="82" t="s">
        <v>127</v>
      </c>
      <c r="C313" s="83"/>
      <c r="D313" s="83"/>
      <c r="E313" s="83"/>
      <c r="F313" s="83"/>
      <c r="G313" s="83"/>
      <c r="H313" s="84"/>
    </row>
    <row r="314" spans="1:14" s="35" customFormat="1" x14ac:dyDescent="0.25">
      <c r="A314" s="47" t="s">
        <v>157</v>
      </c>
      <c r="B314" s="82" t="s">
        <v>207</v>
      </c>
      <c r="C314" s="83"/>
      <c r="D314" s="83"/>
      <c r="E314" s="83"/>
      <c r="F314" s="83"/>
      <c r="G314" s="83"/>
      <c r="H314" s="84"/>
    </row>
    <row r="315" spans="1:14" s="35" customFormat="1" x14ac:dyDescent="0.25">
      <c r="A315" s="47" t="s">
        <v>157</v>
      </c>
      <c r="B315" s="82" t="s">
        <v>156</v>
      </c>
      <c r="C315" s="83"/>
      <c r="D315" s="83"/>
      <c r="E315" s="83"/>
      <c r="F315" s="83"/>
      <c r="G315" s="83"/>
      <c r="H315" s="84"/>
    </row>
    <row r="316" spans="1:14" s="35" customFormat="1" x14ac:dyDescent="0.25">
      <c r="A316" s="47" t="s">
        <v>157</v>
      </c>
      <c r="B316" s="82" t="s">
        <v>128</v>
      </c>
      <c r="C316" s="83"/>
      <c r="D316" s="83"/>
      <c r="E316" s="83"/>
      <c r="F316" s="83"/>
      <c r="G316" s="83"/>
      <c r="H316" s="84"/>
    </row>
    <row r="317" spans="1:14" s="35" customFormat="1" ht="34.5" hidden="1" customHeight="1" x14ac:dyDescent="0.25">
      <c r="A317" s="47" t="s">
        <v>157</v>
      </c>
      <c r="B317" s="82" t="s">
        <v>158</v>
      </c>
      <c r="C317" s="83"/>
      <c r="D317" s="83"/>
      <c r="E317" s="83"/>
      <c r="F317" s="83"/>
      <c r="G317" s="83"/>
      <c r="H317" s="84"/>
    </row>
    <row r="318" spans="1:14" s="35" customFormat="1" x14ac:dyDescent="0.25">
      <c r="A318" s="47" t="s">
        <v>157</v>
      </c>
      <c r="B318" s="82" t="s">
        <v>129</v>
      </c>
      <c r="C318" s="83"/>
      <c r="D318" s="83"/>
      <c r="E318" s="83"/>
      <c r="F318" s="83"/>
      <c r="G318" s="83"/>
      <c r="H318" s="84"/>
    </row>
    <row r="319" spans="1:14" s="35" customFormat="1" x14ac:dyDescent="0.25">
      <c r="A319" s="65" t="s">
        <v>157</v>
      </c>
      <c r="B319" s="82" t="s">
        <v>248</v>
      </c>
      <c r="C319" s="83"/>
      <c r="D319" s="83"/>
      <c r="E319" s="83"/>
      <c r="F319" s="83"/>
      <c r="G319" s="83"/>
      <c r="H319" s="84"/>
    </row>
    <row r="320" spans="1:14" s="35" customFormat="1" x14ac:dyDescent="0.25">
      <c r="A320" s="70" t="s">
        <v>157</v>
      </c>
      <c r="B320" s="82" t="s">
        <v>254</v>
      </c>
      <c r="C320" s="83"/>
      <c r="D320" s="83"/>
      <c r="E320" s="83"/>
      <c r="F320" s="83"/>
      <c r="G320" s="83"/>
      <c r="H320" s="84"/>
    </row>
    <row r="321" spans="1:8" x14ac:dyDescent="0.25">
      <c r="A321" s="147" t="s">
        <v>62</v>
      </c>
      <c r="B321" s="147"/>
      <c r="C321" s="147"/>
      <c r="D321" s="147"/>
      <c r="E321" s="147"/>
      <c r="F321" s="147"/>
      <c r="G321" s="147"/>
      <c r="H321" s="147"/>
    </row>
    <row r="322" spans="1:8" x14ac:dyDescent="0.25">
      <c r="A322" s="100" t="s">
        <v>63</v>
      </c>
      <c r="B322" s="100"/>
      <c r="C322" s="100"/>
      <c r="D322" s="100"/>
      <c r="E322" s="100"/>
      <c r="F322" s="100"/>
      <c r="G322" s="100"/>
      <c r="H322" s="100"/>
    </row>
    <row r="323" spans="1:8" ht="15.75" customHeight="1" x14ac:dyDescent="0.25">
      <c r="A323" s="184" t="s">
        <v>64</v>
      </c>
      <c r="B323" s="184"/>
      <c r="C323" s="184"/>
      <c r="D323" s="184"/>
      <c r="E323" s="184"/>
      <c r="F323" s="184"/>
      <c r="G323" s="184"/>
      <c r="H323" s="184"/>
    </row>
    <row r="324" spans="1:8" x14ac:dyDescent="0.25">
      <c r="A324" s="100" t="s">
        <v>65</v>
      </c>
      <c r="B324" s="100"/>
      <c r="C324" s="100"/>
      <c r="D324" s="100"/>
      <c r="E324" s="100"/>
      <c r="F324" s="100"/>
      <c r="G324" s="100"/>
      <c r="H324" s="100"/>
    </row>
    <row r="325" spans="1:8" x14ac:dyDescent="0.25">
      <c r="A325" s="100" t="s">
        <v>66</v>
      </c>
      <c r="B325" s="100"/>
      <c r="C325" s="100"/>
      <c r="D325" s="100"/>
      <c r="E325" s="100"/>
      <c r="F325" s="100"/>
      <c r="G325" s="100"/>
      <c r="H325" s="100"/>
    </row>
    <row r="326" spans="1:8" x14ac:dyDescent="0.25">
      <c r="A326" s="100" t="s">
        <v>130</v>
      </c>
      <c r="B326" s="100"/>
      <c r="C326" s="100"/>
      <c r="D326" s="100"/>
      <c r="E326" s="100"/>
      <c r="F326" s="100"/>
      <c r="G326" s="100"/>
      <c r="H326" s="100"/>
    </row>
    <row r="327" spans="1:8" x14ac:dyDescent="0.25">
      <c r="A327" s="148" t="s">
        <v>131</v>
      </c>
      <c r="B327" s="148"/>
      <c r="C327" s="148"/>
      <c r="D327" s="148"/>
      <c r="E327" s="148"/>
      <c r="F327" s="148"/>
      <c r="G327" s="148"/>
      <c r="H327" s="148"/>
    </row>
    <row r="328" spans="1:8" ht="15.75" customHeight="1" x14ac:dyDescent="0.25">
      <c r="A328" s="183" t="s">
        <v>79</v>
      </c>
      <c r="B328" s="183"/>
      <c r="C328" s="183" t="s">
        <v>257</v>
      </c>
      <c r="D328" s="183"/>
      <c r="E328" s="183" t="s">
        <v>109</v>
      </c>
      <c r="F328" s="183"/>
      <c r="G328" s="183" t="s">
        <v>256</v>
      </c>
      <c r="H328" s="183"/>
    </row>
    <row r="329" spans="1:8" x14ac:dyDescent="0.25">
      <c r="A329" s="182" t="s">
        <v>81</v>
      </c>
      <c r="B329" s="182"/>
      <c r="C329" s="182"/>
      <c r="D329" s="182"/>
      <c r="E329" s="182"/>
      <c r="F329" s="182"/>
      <c r="G329" s="182"/>
      <c r="H329" s="182"/>
    </row>
    <row r="330" spans="1:8" x14ac:dyDescent="0.25">
      <c r="A330" s="182"/>
      <c r="B330" s="182"/>
      <c r="C330" s="182"/>
      <c r="D330" s="182"/>
      <c r="E330" s="182"/>
      <c r="F330" s="182"/>
      <c r="G330" s="182"/>
      <c r="H330" s="182"/>
    </row>
    <row r="331" spans="1:8" x14ac:dyDescent="0.25">
      <c r="A331" s="182"/>
      <c r="B331" s="182"/>
      <c r="C331" s="182"/>
      <c r="D331" s="182"/>
      <c r="E331" s="182"/>
      <c r="F331" s="182"/>
      <c r="G331" s="182"/>
      <c r="H331" s="182"/>
    </row>
    <row r="332" spans="1:8" x14ac:dyDescent="0.25">
      <c r="A332" s="182"/>
      <c r="B332" s="182"/>
      <c r="C332" s="182"/>
      <c r="D332" s="182"/>
      <c r="E332" s="182"/>
      <c r="F332" s="182"/>
      <c r="G332" s="182"/>
      <c r="H332" s="182"/>
    </row>
    <row r="333" spans="1:8" x14ac:dyDescent="0.25">
      <c r="A333" s="38" t="s">
        <v>67</v>
      </c>
      <c r="B333" s="39"/>
      <c r="C333" s="39"/>
      <c r="D333" s="38" t="str">
        <f>E8</f>
        <v>Puri SeleQt</v>
      </c>
      <c r="F333" s="39"/>
      <c r="G333" s="39"/>
      <c r="H333" s="39"/>
    </row>
    <row r="334" spans="1:8" x14ac:dyDescent="0.25">
      <c r="A334" s="39"/>
      <c r="B334" s="39"/>
      <c r="C334" s="39"/>
      <c r="D334" s="39"/>
      <c r="E334" s="39"/>
      <c r="F334" s="39"/>
      <c r="G334" s="39"/>
      <c r="H334" s="39"/>
    </row>
    <row r="335" spans="1:8" x14ac:dyDescent="0.25">
      <c r="A335" s="39"/>
      <c r="B335" s="39"/>
      <c r="C335" s="39"/>
      <c r="D335" s="39"/>
      <c r="E335" s="39"/>
      <c r="F335" s="39"/>
      <c r="G335" s="39"/>
      <c r="H335" s="39"/>
    </row>
    <row r="336" spans="1:8" ht="15" customHeight="1" x14ac:dyDescent="0.25"/>
    <row r="377" spans="1:1" x14ac:dyDescent="0.25">
      <c r="A377" s="41" t="s">
        <v>168</v>
      </c>
    </row>
    <row r="421" spans="1:1" x14ac:dyDescent="0.25">
      <c r="A421" s="41" t="s">
        <v>68</v>
      </c>
    </row>
  </sheetData>
  <mergeCells count="533">
    <mergeCell ref="G295:H308"/>
    <mergeCell ref="L298:M298"/>
    <mergeCell ref="L304:M304"/>
    <mergeCell ref="B295:F305"/>
    <mergeCell ref="B319:H319"/>
    <mergeCell ref="L266:M266"/>
    <mergeCell ref="L272:M272"/>
    <mergeCell ref="L275:M275"/>
    <mergeCell ref="G263:H277"/>
    <mergeCell ref="G279:H293"/>
    <mergeCell ref="L282:M282"/>
    <mergeCell ref="L288:M288"/>
    <mergeCell ref="L291:M291"/>
    <mergeCell ref="B288:F289"/>
    <mergeCell ref="C254:F257"/>
    <mergeCell ref="G247:H261"/>
    <mergeCell ref="L251:M251"/>
    <mergeCell ref="L252:M252"/>
    <mergeCell ref="A253:B253"/>
    <mergeCell ref="C253:F253"/>
    <mergeCell ref="L253:M253"/>
    <mergeCell ref="A254:B254"/>
    <mergeCell ref="A255:B255"/>
    <mergeCell ref="L255:M255"/>
    <mergeCell ref="A256:B256"/>
    <mergeCell ref="L256:M256"/>
    <mergeCell ref="A257:B257"/>
    <mergeCell ref="L257:M257"/>
    <mergeCell ref="A250:B250"/>
    <mergeCell ref="A262:H262"/>
    <mergeCell ref="L262:M262"/>
    <mergeCell ref="A242:B242"/>
    <mergeCell ref="G242:H244"/>
    <mergeCell ref="A243:B243"/>
    <mergeCell ref="A244:B244"/>
    <mergeCell ref="L307:M307"/>
    <mergeCell ref="A278:H278"/>
    <mergeCell ref="L278:M278"/>
    <mergeCell ref="A294:H294"/>
    <mergeCell ref="L294:M294"/>
    <mergeCell ref="A245:H245"/>
    <mergeCell ref="A246:H246"/>
    <mergeCell ref="A247:B247"/>
    <mergeCell ref="L247:M247"/>
    <mergeCell ref="A248:B248"/>
    <mergeCell ref="L248:M248"/>
    <mergeCell ref="A249:B249"/>
    <mergeCell ref="C249:F249"/>
    <mergeCell ref="L249:M249"/>
    <mergeCell ref="L259:M259"/>
    <mergeCell ref="C250:F250"/>
    <mergeCell ref="C247:F247"/>
    <mergeCell ref="C248:F248"/>
    <mergeCell ref="A237:H237"/>
    <mergeCell ref="L237:M237"/>
    <mergeCell ref="A238:B238"/>
    <mergeCell ref="G238:H240"/>
    <mergeCell ref="A239:B239"/>
    <mergeCell ref="A240:B240"/>
    <mergeCell ref="A241:H241"/>
    <mergeCell ref="L241:M241"/>
    <mergeCell ref="A232:B232"/>
    <mergeCell ref="A233:B233"/>
    <mergeCell ref="A234:H234"/>
    <mergeCell ref="L234:M234"/>
    <mergeCell ref="A235:B235"/>
    <mergeCell ref="G235:H236"/>
    <mergeCell ref="A236:B236"/>
    <mergeCell ref="A217:B217"/>
    <mergeCell ref="G217:H220"/>
    <mergeCell ref="A218:B218"/>
    <mergeCell ref="A219:B219"/>
    <mergeCell ref="A220:B220"/>
    <mergeCell ref="A221:H221"/>
    <mergeCell ref="L221:M221"/>
    <mergeCell ref="A222:B222"/>
    <mergeCell ref="G222:H225"/>
    <mergeCell ref="A223:B223"/>
    <mergeCell ref="A224:B224"/>
    <mergeCell ref="A225:B225"/>
    <mergeCell ref="A211:H211"/>
    <mergeCell ref="L211:M211"/>
    <mergeCell ref="A212:B212"/>
    <mergeCell ref="G212:H215"/>
    <mergeCell ref="A213:B213"/>
    <mergeCell ref="A214:B214"/>
    <mergeCell ref="A215:B215"/>
    <mergeCell ref="C214:F214"/>
    <mergeCell ref="A216:H216"/>
    <mergeCell ref="L216:M216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205:B205"/>
    <mergeCell ref="A196:H196"/>
    <mergeCell ref="G174:H194"/>
    <mergeCell ref="A186:B186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L174:M174"/>
    <mergeCell ref="L175:M175"/>
    <mergeCell ref="L176:M176"/>
    <mergeCell ref="L177:M177"/>
    <mergeCell ref="L178:M178"/>
    <mergeCell ref="L179:M179"/>
    <mergeCell ref="L180:M180"/>
    <mergeCell ref="A174:B174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53:B153"/>
    <mergeCell ref="L153:M153"/>
    <mergeCell ref="G142:H157"/>
    <mergeCell ref="L146:M146"/>
    <mergeCell ref="L147:M147"/>
    <mergeCell ref="L148:M148"/>
    <mergeCell ref="L149:M149"/>
    <mergeCell ref="L150:M150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2:B152"/>
    <mergeCell ref="L152:M152"/>
    <mergeCell ref="A150:B150"/>
    <mergeCell ref="A103:B103"/>
    <mergeCell ref="A104:B104"/>
    <mergeCell ref="F118:H118"/>
    <mergeCell ref="A116:E116"/>
    <mergeCell ref="F116:H116"/>
    <mergeCell ref="F113:H113"/>
    <mergeCell ref="A117:E117"/>
    <mergeCell ref="A113:E113"/>
    <mergeCell ref="A109:E109"/>
    <mergeCell ref="F114:H114"/>
    <mergeCell ref="A115:E115"/>
    <mergeCell ref="F115:H115"/>
    <mergeCell ref="F110:H110"/>
    <mergeCell ref="E125:F125"/>
    <mergeCell ref="A133:B133"/>
    <mergeCell ref="E133:F133"/>
    <mergeCell ref="A118:E118"/>
    <mergeCell ref="C133:D133"/>
    <mergeCell ref="F119:H119"/>
    <mergeCell ref="E124:F124"/>
    <mergeCell ref="C126:D126"/>
    <mergeCell ref="E126:F126"/>
    <mergeCell ref="C127:D127"/>
    <mergeCell ref="G127:H127"/>
    <mergeCell ref="A131:B131"/>
    <mergeCell ref="C131:D131"/>
    <mergeCell ref="E131:F131"/>
    <mergeCell ref="G131:H131"/>
    <mergeCell ref="G125:H125"/>
    <mergeCell ref="A151:B151"/>
    <mergeCell ref="L151:M151"/>
    <mergeCell ref="D63:H63"/>
    <mergeCell ref="A66:C66"/>
    <mergeCell ref="A144:B144"/>
    <mergeCell ref="E134:F134"/>
    <mergeCell ref="G134:H134"/>
    <mergeCell ref="B137:B138"/>
    <mergeCell ref="A137:A138"/>
    <mergeCell ref="L143:M143"/>
    <mergeCell ref="L142:M142"/>
    <mergeCell ref="G137:H138"/>
    <mergeCell ref="A139:H139"/>
    <mergeCell ref="A140:H140"/>
    <mergeCell ref="D66:H66"/>
    <mergeCell ref="A64:C64"/>
    <mergeCell ref="F117:H117"/>
    <mergeCell ref="A110:E110"/>
    <mergeCell ref="A148:B148"/>
    <mergeCell ref="A149:B149"/>
    <mergeCell ref="A136:H136"/>
    <mergeCell ref="G124:H124"/>
    <mergeCell ref="A119:E119"/>
    <mergeCell ref="C125:D125"/>
    <mergeCell ref="A228:B228"/>
    <mergeCell ref="D59:H59"/>
    <mergeCell ref="A57:C59"/>
    <mergeCell ref="A95:B95"/>
    <mergeCell ref="C95:H95"/>
    <mergeCell ref="A97:B97"/>
    <mergeCell ref="C97:H97"/>
    <mergeCell ref="A98:B98"/>
    <mergeCell ref="E98:F98"/>
    <mergeCell ref="G98:H98"/>
    <mergeCell ref="D57:H57"/>
    <mergeCell ref="D58:H58"/>
    <mergeCell ref="D64:H64"/>
    <mergeCell ref="A65:C65"/>
    <mergeCell ref="D65:H65"/>
    <mergeCell ref="A71:B71"/>
    <mergeCell ref="G70:H70"/>
    <mergeCell ref="A85:B85"/>
    <mergeCell ref="E85:F94"/>
    <mergeCell ref="A92:B92"/>
    <mergeCell ref="A93:B93"/>
    <mergeCell ref="G71:H80"/>
    <mergeCell ref="A94:B94"/>
    <mergeCell ref="E70:F70"/>
    <mergeCell ref="L228:M228"/>
    <mergeCell ref="A229:B229"/>
    <mergeCell ref="L229:M229"/>
    <mergeCell ref="A230:H230"/>
    <mergeCell ref="L230:M230"/>
    <mergeCell ref="A231:B231"/>
    <mergeCell ref="G231:H233"/>
    <mergeCell ref="A195:H195"/>
    <mergeCell ref="A201:H201"/>
    <mergeCell ref="G202:H205"/>
    <mergeCell ref="C204:F204"/>
    <mergeCell ref="C198:C199"/>
    <mergeCell ref="A200:H200"/>
    <mergeCell ref="A206:H206"/>
    <mergeCell ref="L206:M206"/>
    <mergeCell ref="L204:M204"/>
    <mergeCell ref="A207:B207"/>
    <mergeCell ref="G207:H210"/>
    <mergeCell ref="A208:B208"/>
    <mergeCell ref="A209:B209"/>
    <mergeCell ref="A210:B210"/>
    <mergeCell ref="A197:H197"/>
    <mergeCell ref="A198:A199"/>
    <mergeCell ref="L203:M203"/>
    <mergeCell ref="A322:H322"/>
    <mergeCell ref="E129:F129"/>
    <mergeCell ref="B318:H318"/>
    <mergeCell ref="B316:H316"/>
    <mergeCell ref="B312:H312"/>
    <mergeCell ref="A135:H135"/>
    <mergeCell ref="B310:H310"/>
    <mergeCell ref="B311:H311"/>
    <mergeCell ref="A226:H226"/>
    <mergeCell ref="A227:H227"/>
    <mergeCell ref="G228:H229"/>
    <mergeCell ref="A173:H173"/>
    <mergeCell ref="A175:B175"/>
    <mergeCell ref="A176:B176"/>
    <mergeCell ref="A177:B177"/>
    <mergeCell ref="A178:B178"/>
    <mergeCell ref="A179:B179"/>
    <mergeCell ref="A180:B180"/>
    <mergeCell ref="A146:B146"/>
    <mergeCell ref="A147:B147"/>
    <mergeCell ref="B313:H313"/>
    <mergeCell ref="A204:B204"/>
    <mergeCell ref="A158:H158"/>
    <mergeCell ref="A159:B159"/>
    <mergeCell ref="A329:H332"/>
    <mergeCell ref="A328:B328"/>
    <mergeCell ref="E328:F328"/>
    <mergeCell ref="C328:D328"/>
    <mergeCell ref="G328:H328"/>
    <mergeCell ref="A123:H123"/>
    <mergeCell ref="A121:E121"/>
    <mergeCell ref="F121:H121"/>
    <mergeCell ref="A122:E122"/>
    <mergeCell ref="F122:H122"/>
    <mergeCell ref="A130:B130"/>
    <mergeCell ref="A324:H324"/>
    <mergeCell ref="A128:H128"/>
    <mergeCell ref="A327:H327"/>
    <mergeCell ref="A325:H325"/>
    <mergeCell ref="A321:H321"/>
    <mergeCell ref="C129:D129"/>
    <mergeCell ref="G129:H129"/>
    <mergeCell ref="C130:D130"/>
    <mergeCell ref="E130:F130"/>
    <mergeCell ref="A326:H326"/>
    <mergeCell ref="A323:H323"/>
    <mergeCell ref="A203:B203"/>
    <mergeCell ref="E127:F12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0:C60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E41:H41"/>
    <mergeCell ref="A41:D41"/>
    <mergeCell ref="A48:B48"/>
    <mergeCell ref="C48:E48"/>
    <mergeCell ref="G48:H48"/>
    <mergeCell ref="A42:D42"/>
    <mergeCell ref="E42:H42"/>
    <mergeCell ref="E43:H43"/>
    <mergeCell ref="A36:H36"/>
    <mergeCell ref="A35:B35"/>
    <mergeCell ref="C35:E35"/>
    <mergeCell ref="A40:D40"/>
    <mergeCell ref="E40:H4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A61:C61"/>
    <mergeCell ref="D60:H60"/>
    <mergeCell ref="E71:F80"/>
    <mergeCell ref="C49:E49"/>
    <mergeCell ref="A52:B52"/>
    <mergeCell ref="C52:E52"/>
    <mergeCell ref="A49:B49"/>
    <mergeCell ref="E44:H44"/>
    <mergeCell ref="E45:H45"/>
    <mergeCell ref="A44:D44"/>
    <mergeCell ref="A78:B78"/>
    <mergeCell ref="A53:H53"/>
    <mergeCell ref="A54:C54"/>
    <mergeCell ref="A55:C55"/>
    <mergeCell ref="D55:H55"/>
    <mergeCell ref="G52:H52"/>
    <mergeCell ref="C51:H51"/>
    <mergeCell ref="G50:H50"/>
    <mergeCell ref="D54:H54"/>
    <mergeCell ref="C50:E50"/>
    <mergeCell ref="A63:C63"/>
    <mergeCell ref="D61:H61"/>
    <mergeCell ref="A79:B79"/>
    <mergeCell ref="A80:B80"/>
    <mergeCell ref="A81:B81"/>
    <mergeCell ref="C81:H81"/>
    <mergeCell ref="A76:B76"/>
    <mergeCell ref="A105:B105"/>
    <mergeCell ref="C83:H83"/>
    <mergeCell ref="F109:H109"/>
    <mergeCell ref="A83:B83"/>
    <mergeCell ref="A89:B89"/>
    <mergeCell ref="A90:B90"/>
    <mergeCell ref="A91:B91"/>
    <mergeCell ref="A84:B84"/>
    <mergeCell ref="E84:F84"/>
    <mergeCell ref="G84:H84"/>
    <mergeCell ref="A106:B106"/>
    <mergeCell ref="A107:B107"/>
    <mergeCell ref="A108:B108"/>
    <mergeCell ref="A99:B99"/>
    <mergeCell ref="E99:F108"/>
    <mergeCell ref="G99:H108"/>
    <mergeCell ref="A100:B100"/>
    <mergeCell ref="A101:B101"/>
    <mergeCell ref="A102:B102"/>
    <mergeCell ref="L202:M202"/>
    <mergeCell ref="G126:H126"/>
    <mergeCell ref="A127:B127"/>
    <mergeCell ref="G130:H130"/>
    <mergeCell ref="A141:H141"/>
    <mergeCell ref="E137:E138"/>
    <mergeCell ref="A129:B129"/>
    <mergeCell ref="D198:D199"/>
    <mergeCell ref="E198:E199"/>
    <mergeCell ref="G198:H199"/>
    <mergeCell ref="C137:C138"/>
    <mergeCell ref="B198:B199"/>
    <mergeCell ref="A202:B202"/>
    <mergeCell ref="G159:H172"/>
    <mergeCell ref="L144:M144"/>
    <mergeCell ref="A145:B145"/>
    <mergeCell ref="L145:M145"/>
    <mergeCell ref="A134:B134"/>
    <mergeCell ref="C134:D134"/>
    <mergeCell ref="A132:B132"/>
    <mergeCell ref="C132:D132"/>
    <mergeCell ref="E132:F132"/>
    <mergeCell ref="G132:H132"/>
    <mergeCell ref="A125:A126"/>
    <mergeCell ref="B320:H320"/>
    <mergeCell ref="C124:D124"/>
    <mergeCell ref="F120:H120"/>
    <mergeCell ref="B317:H317"/>
    <mergeCell ref="A47:B47"/>
    <mergeCell ref="C47:H47"/>
    <mergeCell ref="B315:H315"/>
    <mergeCell ref="G85:H94"/>
    <mergeCell ref="A86:B86"/>
    <mergeCell ref="A87:B87"/>
    <mergeCell ref="A88:B88"/>
    <mergeCell ref="F111:H111"/>
    <mergeCell ref="A111:E111"/>
    <mergeCell ref="D137:D138"/>
    <mergeCell ref="A114:E114"/>
    <mergeCell ref="A142:B142"/>
    <mergeCell ref="A143:B143"/>
    <mergeCell ref="A112:E112"/>
    <mergeCell ref="F112:H112"/>
    <mergeCell ref="B314:H314"/>
    <mergeCell ref="A309:H309"/>
    <mergeCell ref="A124:B124"/>
    <mergeCell ref="A120:E120"/>
    <mergeCell ref="G133:H133"/>
  </mergeCells>
  <dataValidations count="1">
    <dataValidation type="list" allowBlank="1" showInputMessage="1" showErrorMessage="1" sqref="G328:H328">
      <formula1>"Kunal Kadam,Pranita Mhatre,Shruti Fule,Pooja Kawale,Gaurav Panchal,Shruti Tathare, Hitakshi Mhatre, Sachin Sawant"</formula1>
    </dataValidation>
  </dataValidations>
  <hyperlinks>
    <hyperlink ref="C38" r:id="rId1"/>
    <hyperlink ref="I134" r:id="rId2"/>
  </hyperlinks>
  <printOptions horizontalCentered="1"/>
  <pageMargins left="0.39370078740157499" right="0.39370078740157499" top="0.82677165354330695" bottom="0.78740157480314998" header="0.15748031496063" footer="0.196850393700787"/>
  <pageSetup paperSize="2" scale="93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332" max="16383" man="1"/>
    <brk id="376" max="16383" man="1"/>
    <brk id="420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3" t="s">
        <v>110</v>
      </c>
      <c r="C3" s="213"/>
      <c r="D3" s="213"/>
      <c r="E3" s="213"/>
      <c r="F3" s="213"/>
      <c r="G3" s="213"/>
      <c r="H3" s="213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2025-07-14T08:01:32Z</cp:lastPrinted>
  <dcterms:created xsi:type="dcterms:W3CDTF">2019-07-16T09:29:46Z</dcterms:created>
  <dcterms:modified xsi:type="dcterms:W3CDTF">2025-07-14T08:02:31Z</dcterms:modified>
</cp:coreProperties>
</file>