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tabRatio="619"/>
  </bookViews>
  <sheets>
    <sheet name="Report" sheetId="1" r:id="rId1"/>
    <sheet name="valuation" sheetId="5" r:id="rId2"/>
    <sheet name="Research" sheetId="4" r:id="rId3"/>
    <sheet name="Remarks" sheetId="6" r:id="rId4"/>
    <sheet name="Area Calculation" sheetId="7" r:id="rId5"/>
  </sheets>
  <definedNames>
    <definedName name="_xlnm.Print_Area" localSheetId="0">Report!$A$1:$H$434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2" i="1" l="1"/>
  <c r="C90" i="1" l="1"/>
  <c r="E44" i="1" l="1"/>
  <c r="K158" i="1"/>
  <c r="K125" i="1"/>
  <c r="L178" i="1"/>
  <c r="J182" i="1"/>
  <c r="J183" i="1"/>
  <c r="J172" i="1"/>
  <c r="J173" i="1"/>
  <c r="J174" i="1"/>
  <c r="J177" i="1"/>
  <c r="J178" i="1"/>
  <c r="J169" i="1"/>
  <c r="L161" i="1"/>
  <c r="N66" i="1"/>
  <c r="M149" i="1"/>
  <c r="L151" i="1"/>
  <c r="F116" i="1" l="1"/>
  <c r="D282" i="1"/>
  <c r="F282" i="1" s="1"/>
  <c r="H282" i="1" s="1"/>
  <c r="D280" i="1"/>
  <c r="F280" i="1" s="1"/>
  <c r="H280" i="1" s="1"/>
  <c r="D279" i="1"/>
  <c r="D278" i="1"/>
  <c r="F278" i="1" s="1"/>
  <c r="H278" i="1" s="1"/>
  <c r="D276" i="1"/>
  <c r="F276" i="1" s="1"/>
  <c r="H276" i="1" s="1"/>
  <c r="D275" i="1"/>
  <c r="F275" i="1" s="1"/>
  <c r="H275" i="1" s="1"/>
  <c r="D274" i="1"/>
  <c r="F274" i="1" s="1"/>
  <c r="H274" i="1" s="1"/>
  <c r="D273" i="1"/>
  <c r="F273" i="1" s="1"/>
  <c r="H273" i="1" s="1"/>
  <c r="D270" i="1"/>
  <c r="F270" i="1" s="1"/>
  <c r="H270" i="1" s="1"/>
  <c r="D269" i="1"/>
  <c r="F269" i="1" s="1"/>
  <c r="H269" i="1" s="1"/>
  <c r="D268" i="1"/>
  <c r="F268" i="1" s="1"/>
  <c r="H268" i="1" s="1"/>
  <c r="D267" i="1"/>
  <c r="F267" i="1" s="1"/>
  <c r="H267" i="1" s="1"/>
  <c r="D266" i="1"/>
  <c r="F266" i="1" s="1"/>
  <c r="H266" i="1" s="1"/>
  <c r="D264" i="1"/>
  <c r="F264" i="1" s="1"/>
  <c r="H264" i="1" s="1"/>
  <c r="D263" i="1"/>
  <c r="F263" i="1" s="1"/>
  <c r="H263" i="1" s="1"/>
  <c r="D259" i="1"/>
  <c r="F259" i="1" s="1"/>
  <c r="H259" i="1" s="1"/>
  <c r="D258" i="1"/>
  <c r="F258" i="1" s="1"/>
  <c r="H258" i="1" s="1"/>
  <c r="D257" i="1"/>
  <c r="F257" i="1" s="1"/>
  <c r="H257" i="1" s="1"/>
  <c r="D256" i="1"/>
  <c r="F256" i="1" s="1"/>
  <c r="H256" i="1" s="1"/>
  <c r="D253" i="1"/>
  <c r="F253" i="1" s="1"/>
  <c r="H253" i="1" s="1"/>
  <c r="D252" i="1"/>
  <c r="F252" i="1" s="1"/>
  <c r="H252" i="1" s="1"/>
  <c r="D251" i="1"/>
  <c r="F251" i="1" s="1"/>
  <c r="H251" i="1" s="1"/>
  <c r="D250" i="1"/>
  <c r="F250" i="1" s="1"/>
  <c r="H250" i="1" s="1"/>
  <c r="D247" i="1"/>
  <c r="F247" i="1" s="1"/>
  <c r="H247" i="1" s="1"/>
  <c r="D246" i="1"/>
  <c r="F246" i="1" s="1"/>
  <c r="H246" i="1" s="1"/>
  <c r="D241" i="1"/>
  <c r="F241" i="1" s="1"/>
  <c r="H241" i="1" s="1"/>
  <c r="D240" i="1"/>
  <c r="F240" i="1" s="1"/>
  <c r="H240" i="1" s="1"/>
  <c r="D235" i="1"/>
  <c r="F235" i="1" s="1"/>
  <c r="H235" i="1" s="1"/>
  <c r="D234" i="1"/>
  <c r="F234" i="1" s="1"/>
  <c r="H234" i="1" s="1"/>
  <c r="D233" i="1"/>
  <c r="F233" i="1" s="1"/>
  <c r="H233" i="1" s="1"/>
  <c r="D232" i="1"/>
  <c r="F232" i="1" s="1"/>
  <c r="H232" i="1" s="1"/>
  <c r="D229" i="1"/>
  <c r="F229" i="1" s="1"/>
  <c r="H229" i="1" s="1"/>
  <c r="D228" i="1"/>
  <c r="F228" i="1" s="1"/>
  <c r="H228" i="1" s="1"/>
  <c r="D223" i="1"/>
  <c r="F223" i="1" s="1"/>
  <c r="H223" i="1" s="1"/>
  <c r="D222" i="1"/>
  <c r="F222" i="1" s="1"/>
  <c r="H222" i="1" s="1"/>
  <c r="D221" i="1"/>
  <c r="F221" i="1" s="1"/>
  <c r="H221" i="1" s="1"/>
  <c r="D220" i="1"/>
  <c r="F220" i="1" s="1"/>
  <c r="H220" i="1" s="1"/>
  <c r="D217" i="1"/>
  <c r="F217" i="1" s="1"/>
  <c r="H217" i="1" s="1"/>
  <c r="D216" i="1"/>
  <c r="F216" i="1" s="1"/>
  <c r="H216" i="1" s="1"/>
  <c r="D215" i="1"/>
  <c r="F215" i="1" s="1"/>
  <c r="H215" i="1" s="1"/>
  <c r="D214" i="1"/>
  <c r="D205" i="1"/>
  <c r="F205" i="1" s="1"/>
  <c r="H205" i="1" s="1"/>
  <c r="D203" i="1"/>
  <c r="F203" i="1" s="1"/>
  <c r="H203" i="1" s="1"/>
  <c r="D202" i="1"/>
  <c r="F202" i="1" s="1"/>
  <c r="H202" i="1" s="1"/>
  <c r="D200" i="1"/>
  <c r="F200" i="1" s="1"/>
  <c r="H200" i="1" s="1"/>
  <c r="D199" i="1"/>
  <c r="F199" i="1" s="1"/>
  <c r="H199" i="1" s="1"/>
  <c r="D198" i="1"/>
  <c r="F198" i="1" s="1"/>
  <c r="H198" i="1" s="1"/>
  <c r="D195" i="1"/>
  <c r="F195" i="1" s="1"/>
  <c r="H195" i="1" s="1"/>
  <c r="D194" i="1"/>
  <c r="F194" i="1" s="1"/>
  <c r="H194" i="1" s="1"/>
  <c r="D193" i="1"/>
  <c r="F193" i="1" s="1"/>
  <c r="H193" i="1" s="1"/>
  <c r="D192" i="1"/>
  <c r="F192" i="1" s="1"/>
  <c r="H192" i="1" s="1"/>
  <c r="D190" i="1"/>
  <c r="F190" i="1" s="1"/>
  <c r="H190" i="1" s="1"/>
  <c r="D189" i="1"/>
  <c r="F189" i="1" s="1"/>
  <c r="H189" i="1" s="1"/>
  <c r="D186" i="1"/>
  <c r="F186" i="1" s="1"/>
  <c r="H186" i="1" s="1"/>
  <c r="D185" i="1"/>
  <c r="F185" i="1" s="1"/>
  <c r="H185" i="1" s="1"/>
  <c r="D184" i="1"/>
  <c r="F184" i="1" s="1"/>
  <c r="H184" i="1" s="1"/>
  <c r="D181" i="1"/>
  <c r="F181" i="1" s="1"/>
  <c r="H181" i="1" s="1"/>
  <c r="J181" i="1" s="1"/>
  <c r="D180" i="1"/>
  <c r="F180" i="1" s="1"/>
  <c r="H180" i="1" s="1"/>
  <c r="J180" i="1" s="1"/>
  <c r="D179" i="1"/>
  <c r="F179" i="1" s="1"/>
  <c r="H179" i="1" s="1"/>
  <c r="J179" i="1" s="1"/>
  <c r="D176" i="1"/>
  <c r="F176" i="1" s="1"/>
  <c r="H176" i="1" s="1"/>
  <c r="J176" i="1" s="1"/>
  <c r="D175" i="1"/>
  <c r="F175" i="1" s="1"/>
  <c r="H175" i="1" s="1"/>
  <c r="J175" i="1" s="1"/>
  <c r="D171" i="1"/>
  <c r="F171" i="1" s="1"/>
  <c r="H171" i="1" s="1"/>
  <c r="J171" i="1" s="1"/>
  <c r="D170" i="1"/>
  <c r="F170" i="1" s="1"/>
  <c r="H170" i="1" s="1"/>
  <c r="J170" i="1" s="1"/>
  <c r="D166" i="1"/>
  <c r="F166" i="1" s="1"/>
  <c r="H166" i="1" s="1"/>
  <c r="D165" i="1"/>
  <c r="F165" i="1" s="1"/>
  <c r="H165" i="1" s="1"/>
  <c r="D164" i="1"/>
  <c r="F164" i="1" s="1"/>
  <c r="H164" i="1" s="1"/>
  <c r="D161" i="1"/>
  <c r="F161" i="1" s="1"/>
  <c r="H161" i="1" s="1"/>
  <c r="D160" i="1"/>
  <c r="F160" i="1" s="1"/>
  <c r="H160" i="1" s="1"/>
  <c r="D156" i="1"/>
  <c r="F156" i="1" s="1"/>
  <c r="H156" i="1" s="1"/>
  <c r="I156" i="1" s="1"/>
  <c r="D155" i="1"/>
  <c r="F155" i="1" s="1"/>
  <c r="H155" i="1" s="1"/>
  <c r="D154" i="1"/>
  <c r="F154" i="1" s="1"/>
  <c r="H154" i="1" s="1"/>
  <c r="I154" i="1" s="1"/>
  <c r="D151" i="1"/>
  <c r="D150" i="1"/>
  <c r="D149" i="1"/>
  <c r="F279" i="1"/>
  <c r="H279" i="1" s="1"/>
  <c r="A279" i="1"/>
  <c r="A273" i="1"/>
  <c r="A274" i="1" s="1"/>
  <c r="A275" i="1" s="1"/>
  <c r="A203" i="1"/>
  <c r="A204" i="1" s="1"/>
  <c r="A205" i="1" s="1"/>
  <c r="A198" i="1"/>
  <c r="A199" i="1" s="1"/>
  <c r="A200" i="1" s="1"/>
  <c r="A267" i="1"/>
  <c r="A268" i="1" s="1"/>
  <c r="A269" i="1" s="1"/>
  <c r="A193" i="1"/>
  <c r="A194" i="1" s="1"/>
  <c r="A195" i="1" s="1"/>
  <c r="A262" i="1"/>
  <c r="A263" i="1" s="1"/>
  <c r="A264" i="1" s="1"/>
  <c r="A189" i="1"/>
  <c r="A190" i="1" s="1"/>
  <c r="A257" i="1"/>
  <c r="A258" i="1" s="1"/>
  <c r="A259" i="1" s="1"/>
  <c r="A185" i="1"/>
  <c r="A186" i="1" s="1"/>
  <c r="A251" i="1"/>
  <c r="A252" i="1" s="1"/>
  <c r="A253" i="1" s="1"/>
  <c r="A180" i="1"/>
  <c r="A181" i="1" s="1"/>
  <c r="A182" i="1" s="1"/>
  <c r="A245" i="1"/>
  <c r="A246" i="1" s="1"/>
  <c r="A247" i="1" s="1"/>
  <c r="A175" i="1"/>
  <c r="A176" i="1" s="1"/>
  <c r="A177" i="1" s="1"/>
  <c r="A239" i="1"/>
  <c r="A240" i="1" s="1"/>
  <c r="A241" i="1" s="1"/>
  <c r="A170" i="1"/>
  <c r="A171" i="1" s="1"/>
  <c r="A172" i="1" s="1"/>
  <c r="A233" i="1"/>
  <c r="A234" i="1" s="1"/>
  <c r="A235" i="1" s="1"/>
  <c r="A165" i="1"/>
  <c r="A166" i="1" s="1"/>
  <c r="A167" i="1" s="1"/>
  <c r="A227" i="1"/>
  <c r="A228" i="1" s="1"/>
  <c r="A160" i="1"/>
  <c r="A161" i="1" s="1"/>
  <c r="A162" i="1" s="1"/>
  <c r="A221" i="1"/>
  <c r="A222" i="1" s="1"/>
  <c r="A223" i="1" s="1"/>
  <c r="A155" i="1"/>
  <c r="A156" i="1" s="1"/>
  <c r="A157" i="1" s="1"/>
  <c r="A215" i="1"/>
  <c r="A216" i="1" s="1"/>
  <c r="A217" i="1" s="1"/>
  <c r="I150" i="1"/>
  <c r="J150" i="1"/>
  <c r="I149" i="1"/>
  <c r="J151" i="1"/>
  <c r="I151" i="1"/>
  <c r="J149" i="1"/>
  <c r="A150" i="1"/>
  <c r="G52" i="1"/>
  <c r="A280" i="1" l="1"/>
  <c r="A281" i="1" s="1"/>
  <c r="C124" i="1"/>
  <c r="C125" i="1"/>
  <c r="F214" i="1"/>
  <c r="H214" i="1" s="1"/>
  <c r="G125" i="1" s="1"/>
  <c r="K150" i="1"/>
  <c r="A229" i="1"/>
  <c r="K149" i="1"/>
  <c r="K151" i="1"/>
  <c r="F133" i="1"/>
  <c r="F149" i="1"/>
  <c r="C126" i="1" l="1"/>
  <c r="E125" i="1"/>
  <c r="H149"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N149" i="1"/>
  <c r="O149" i="1"/>
  <c r="L158" i="1"/>
  <c r="L149" i="1"/>
  <c r="D42" i="7"/>
  <c r="D44" i="7" s="1"/>
  <c r="E44" i="7" l="1"/>
  <c r="E32" i="1"/>
  <c r="B285" i="1" l="1"/>
  <c r="F134" i="1" l="1"/>
  <c r="H134" i="1" s="1"/>
  <c r="F135" i="1"/>
  <c r="H135" i="1" s="1"/>
  <c r="F136" i="1"/>
  <c r="H136" i="1" s="1"/>
  <c r="H133" i="1"/>
  <c r="S34" i="1" l="1"/>
  <c r="F11" i="5" l="1"/>
  <c r="G11" i="5" s="1"/>
  <c r="F10" i="5"/>
  <c r="G10" i="5" s="1"/>
  <c r="F9" i="5"/>
  <c r="G9" i="5" s="1"/>
  <c r="F8" i="5"/>
  <c r="G8" i="5" s="1"/>
  <c r="F7" i="5"/>
  <c r="G7" i="5" s="1"/>
  <c r="F6" i="5"/>
  <c r="G6" i="5" s="1"/>
  <c r="F5" i="5"/>
  <c r="G5" i="5" s="1"/>
  <c r="G12" i="5" s="1"/>
  <c r="D310" i="1"/>
  <c r="B286" i="1"/>
  <c r="F151" i="1"/>
  <c r="H151" i="1" s="1"/>
  <c r="F150" i="1"/>
  <c r="A151" i="1"/>
  <c r="A152" i="1" s="1"/>
  <c r="A134" i="1"/>
  <c r="A135" i="1" s="1"/>
  <c r="A136" i="1" s="1"/>
  <c r="C127" i="1"/>
  <c r="D70" i="1"/>
  <c r="E45" i="1"/>
  <c r="E46" i="1" s="1"/>
  <c r="E29" i="1"/>
  <c r="E27" i="1"/>
  <c r="C17" i="1"/>
  <c r="I15" i="1"/>
  <c r="Z13" i="1"/>
  <c r="E3" i="1"/>
  <c r="H91" i="1"/>
  <c r="H77" i="1"/>
  <c r="N151" i="1" l="1"/>
  <c r="M151" i="1"/>
  <c r="H150" i="1"/>
  <c r="E124" i="1"/>
  <c r="E126" i="1" s="1"/>
  <c r="E127" i="1" s="1"/>
  <c r="J76" i="1"/>
  <c r="J78" i="1" s="1"/>
  <c r="J79" i="1"/>
  <c r="J80" i="1"/>
  <c r="J81" i="1"/>
  <c r="C80" i="1" s="1"/>
  <c r="J95" i="1"/>
  <c r="C94" i="1" s="1"/>
  <c r="D99" i="1"/>
  <c r="D101" i="1"/>
  <c r="J94" i="1"/>
  <c r="D100" i="1"/>
  <c r="J90" i="1"/>
  <c r="J92" i="1" s="1"/>
  <c r="D98" i="1"/>
  <c r="J93" i="1"/>
  <c r="D97" i="1"/>
  <c r="D103" i="1"/>
  <c r="D102" i="1"/>
  <c r="D96" i="1"/>
  <c r="D84" i="1"/>
  <c r="D86" i="1"/>
  <c r="D85" i="1"/>
  <c r="D89" i="1"/>
  <c r="D83" i="1"/>
  <c r="D88" i="1"/>
  <c r="D82" i="1"/>
  <c r="D87" i="1"/>
  <c r="B91" i="1"/>
  <c r="B77" i="1"/>
  <c r="J82" i="1" s="1"/>
  <c r="C81" i="1" s="1"/>
  <c r="G124" i="1" l="1"/>
  <c r="G126" i="1" s="1"/>
  <c r="G127" i="1" s="1"/>
  <c r="N150" i="1"/>
  <c r="D94" i="1"/>
  <c r="J101" i="1"/>
  <c r="J96" i="1"/>
  <c r="J83" i="1"/>
  <c r="J88" i="1" s="1"/>
  <c r="J87" i="1"/>
  <c r="J97" i="1" l="1"/>
  <c r="J98" i="1" s="1"/>
  <c r="J99" i="1" s="1"/>
  <c r="J100" i="1" s="1"/>
  <c r="C95" i="1"/>
  <c r="G94" i="1" s="1"/>
  <c r="J84" i="1"/>
  <c r="J102" i="1"/>
  <c r="J103" i="1" l="1"/>
  <c r="J91" i="1" s="1"/>
  <c r="E94" i="1"/>
  <c r="D95" i="1"/>
  <c r="I91" i="1" s="1"/>
  <c r="I92" i="1" s="1"/>
  <c r="J85" i="1"/>
  <c r="I90" i="1" l="1"/>
  <c r="C92" i="1" s="1"/>
  <c r="J86" i="1"/>
  <c r="J89" i="1" s="1"/>
  <c r="D80" i="1"/>
  <c r="E80" i="1"/>
  <c r="D81" i="1"/>
  <c r="J77" i="1" l="1"/>
  <c r="I77" i="1"/>
  <c r="I78" i="1" s="1"/>
  <c r="G80" i="1"/>
  <c r="D74" i="1" s="1"/>
  <c r="F75" i="1" s="1"/>
  <c r="I76" i="1" l="1"/>
  <c r="C78" i="1" s="1"/>
  <c r="D75"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<sst xmlns="http://schemas.openxmlformats.org/spreadsheetml/2006/main" count="805" uniqueCount="432">
  <si>
    <t xml:space="preserve">Valuation Report </t>
  </si>
  <si>
    <t>Date:</t>
  </si>
  <si>
    <t>CPC Name:</t>
  </si>
  <si>
    <t>Date Of Property Visit</t>
  </si>
  <si>
    <t>Name of the builder group</t>
  </si>
  <si>
    <t>Name of the builder company</t>
  </si>
  <si>
    <t>Name of the Project</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</si>
  <si>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</si>
  <si>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</si>
  <si>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</si>
  <si>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</si>
  <si>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</si>
  <si>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</si>
  <si>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</si>
  <si>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</si>
  <si>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</si>
  <si>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</si>
  <si>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</si>
  <si>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</si>
  <si>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</si>
  <si>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</si>
  <si>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</si>
  <si>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</si>
  <si>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</si>
  <si>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</si>
  <si>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</si>
  <si>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</si>
  <si>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</si>
  <si>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</si>
  <si>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</si>
  <si>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</si>
  <si>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</si>
  <si>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</si>
  <si>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</si>
  <si>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</si>
  <si>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</si>
  <si>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</si>
  <si>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</si>
  <si>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</si>
  <si>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</si>
  <si>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</si>
  <si>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</si>
  <si>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</si>
  <si>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</si>
  <si>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</si>
  <si>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</si>
  <si>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</si>
  <si>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</si>
  <si>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</si>
  <si>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</si>
  <si>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</si>
  <si>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</si>
  <si>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</si>
  <si>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</si>
  <si>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</si>
  <si>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</si>
  <si>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</si>
  <si>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</si>
  <si>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</si>
  <si>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</si>
  <si>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</si>
  <si>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</si>
  <si>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</si>
  <si>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</si>
  <si>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</si>
  <si>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</si>
  <si>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</si>
  <si>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</si>
  <si>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</si>
  <si>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</si>
  <si>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</si>
  <si>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</si>
  <si>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</si>
  <si>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</si>
  <si>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</si>
  <si>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</si>
  <si>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</si>
  <si>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</si>
  <si>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</si>
  <si>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</si>
  <si>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</si>
  <si>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</si>
  <si>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</si>
  <si>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</si>
  <si>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</si>
  <si>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</si>
  <si>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</si>
  <si>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</si>
  <si>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</si>
  <si>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</si>
  <si>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</si>
  <si>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</si>
  <si>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</si>
  <si>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</si>
  <si>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</si>
  <si>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</si>
  <si>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</si>
  <si>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</si>
  <si>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</si>
  <si>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</si>
  <si>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</si>
  <si>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</si>
  <si>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</si>
  <si>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</si>
  <si>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</si>
  <si>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</si>
  <si>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</si>
  <si>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</si>
  <si>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</si>
  <si>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</si>
  <si>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</si>
  <si>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</si>
  <si>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</si>
  <si>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</si>
  <si>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</si>
  <si>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</si>
  <si>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</si>
  <si>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</si>
  <si>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</si>
  <si>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</si>
  <si>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</si>
  <si>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</si>
  <si>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</si>
  <si>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</si>
  <si>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</si>
  <si>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</si>
  <si>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</si>
  <si>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</si>
  <si>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</si>
  <si>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</si>
  <si>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</si>
  <si>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</si>
  <si>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</si>
  <si>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</si>
  <si>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</si>
  <si>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</si>
  <si>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</si>
  <si>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</si>
  <si>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</si>
  <si>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</si>
  <si>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</si>
  <si>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</si>
  <si>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</si>
  <si>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</si>
  <si>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</si>
  <si>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</si>
  <si>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</si>
  <si>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</si>
  <si>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</si>
  <si>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</si>
  <si>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</si>
  <si>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</si>
  <si>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</si>
  <si>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</si>
  <si>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</si>
  <si>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</si>
  <si>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</si>
  <si>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</si>
  <si>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</si>
  <si>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</si>
  <si>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</si>
  <si>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</si>
  <si>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</si>
  <si>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</si>
  <si>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</si>
  <si>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</si>
  <si>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</si>
  <si>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</si>
  <si>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</si>
  <si>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</si>
  <si>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</si>
  <si>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</si>
  <si>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</si>
  <si>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</si>
  <si>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</si>
  <si>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</si>
  <si>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</si>
  <si>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</si>
  <si>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</si>
  <si>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</si>
  <si>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</si>
  <si>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</si>
  <si>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</si>
  <si>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</si>
  <si>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</si>
  <si>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</si>
  <si>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</si>
  <si>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</si>
  <si>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</si>
  <si>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</si>
  <si>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</si>
  <si>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</si>
  <si>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</si>
  <si>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</si>
  <si>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</si>
  <si>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</si>
  <si>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</si>
  <si>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</si>
  <si>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</si>
  <si>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</si>
  <si>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</si>
  <si>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</si>
  <si>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</si>
  <si>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</si>
  <si>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</si>
  <si>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</si>
  <si>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</si>
  <si>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</si>
  <si>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</si>
  <si>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</si>
  <si>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</si>
  <si>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</si>
  <si>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</si>
  <si>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</si>
  <si>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</si>
  <si>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</si>
  <si>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</si>
  <si>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</si>
  <si>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</si>
  <si>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</si>
  <si>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</si>
  <si>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</si>
  <si>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</si>
  <si>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</si>
  <si>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</si>
  <si>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</si>
  <si>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</si>
  <si>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</si>
  <si>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</si>
  <si>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</si>
  <si>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</si>
  <si>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</si>
  <si>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</si>
  <si>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</si>
  <si>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</si>
  <si>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</si>
  <si>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</si>
  <si>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</si>
  <si>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</si>
  <si>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</si>
  <si>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</si>
  <si>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</si>
  <si>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</si>
  <si>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</si>
  <si>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</si>
  <si>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</si>
  <si>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</si>
  <si>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</si>
  <si>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</si>
  <si>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</si>
  <si>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</si>
  <si>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</si>
  <si>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</si>
  <si>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</si>
  <si>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</si>
  <si>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</si>
  <si>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</si>
  <si>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</si>
  <si>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</si>
  <si>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</si>
  <si>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</si>
  <si>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</si>
  <si>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</si>
  <si>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</si>
  <si>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</si>
  <si>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</si>
  <si>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</si>
  <si>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</si>
  <si>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</si>
  <si>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</si>
  <si>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</si>
  <si>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</si>
  <si>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</si>
  <si>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</si>
  <si>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</si>
  <si>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</si>
  <si>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</si>
  <si>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</si>
  <si>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</si>
  <si>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</si>
  <si>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</si>
  <si>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</si>
  <si>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</si>
  <si>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</si>
  <si>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</si>
  <si>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</si>
  <si>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</si>
  <si>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</si>
  <si>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</si>
  <si>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</si>
  <si>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</si>
  <si>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</si>
  <si>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</si>
  <si>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</si>
  <si>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</si>
  <si>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</si>
  <si>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</si>
  <si>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</si>
  <si>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</si>
  <si>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</si>
  <si>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</si>
  <si>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</si>
  <si>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</si>
  <si>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</si>
  <si>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</si>
  <si>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</si>
  <si>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</si>
  <si>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</si>
  <si>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</si>
  <si>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</si>
  <si>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</si>
  <si>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</si>
  <si>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</si>
  <si>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</si>
  <si>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</si>
  <si>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</si>
  <si>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</si>
  <si>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</si>
  <si>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</si>
  <si>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</si>
  <si>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</si>
  <si>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</si>
  <si>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</si>
  <si>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</si>
  <si>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</si>
  <si>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</si>
  <si>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</si>
  <si>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</si>
  <si>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</si>
  <si>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</si>
  <si>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</si>
  <si>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Building Details Floor Wise</t>
  </si>
  <si>
    <t>Validity of CC is expired on 31/01/2021. Please provide latest approved CC.</t>
  </si>
  <si>
    <t>Rustomjee 180 Bayview Matunga W (Wing A &amp; B)</t>
  </si>
  <si>
    <t>Mr. Rajesh Mudaliar 8169511252</t>
  </si>
  <si>
    <t>Wing A &amp; B</t>
  </si>
  <si>
    <t>RERA Name &amp; No.</t>
  </si>
  <si>
    <t>P51900066547</t>
  </si>
  <si>
    <t xml:space="preserve">Rustomjee 180 Bayview Matunga W Wing A </t>
  </si>
  <si>
    <t xml:space="preserve">Rustomjee 180 Bayview Matunga W Wing B </t>
  </si>
  <si>
    <t>P51900066548</t>
  </si>
  <si>
    <t>19.032389,72.844083</t>
  </si>
  <si>
    <t>https://maps.app.goo.gl/r4ENj2MJFUzgzskj7</t>
  </si>
  <si>
    <t>1.6 KM from Mahim Railway Station</t>
  </si>
  <si>
    <t>Mahim West</t>
  </si>
  <si>
    <t>Mahim</t>
  </si>
  <si>
    <t>Lokmanya Vidya Mandir Jr College</t>
  </si>
  <si>
    <t>Redevelopment of "   "</t>
  </si>
  <si>
    <t>582, F.P No.231 of TPS - III</t>
  </si>
  <si>
    <t>VSNL Colony</t>
  </si>
  <si>
    <t>Internal Road</t>
  </si>
  <si>
    <t>Existing Building</t>
  </si>
  <si>
    <t>Other Plot</t>
  </si>
  <si>
    <t>Wing C &amp; D</t>
  </si>
  <si>
    <t>Om Galaxy</t>
  </si>
  <si>
    <t xml:space="preserve">House </t>
  </si>
  <si>
    <t>Open Plot</t>
  </si>
  <si>
    <t>02 Wings</t>
  </si>
  <si>
    <t>Approved Builtip Area of Wing A &amp; B (Sq.Mt)</t>
  </si>
  <si>
    <t xml:space="preserve">Wing A = 4B + Gr + 1st to 35th Floor
Wing B = 4B + Gr + 1st to 35th Floor
</t>
  </si>
  <si>
    <t xml:space="preserve">As per RERA </t>
  </si>
  <si>
    <t xml:space="preserve">Rustomjee 180 Bayview Matunga W Wing B                      </t>
  </si>
  <si>
    <t xml:space="preserve">Rustomjee 180 Bayview Matunga W Wing A                  </t>
  </si>
  <si>
    <r>
      <t xml:space="preserve">Proposed Amenities :                                                                                                                                                                                                                         </t>
    </r>
    <r>
      <rPr>
        <b/>
        <sz val="12"/>
        <rFont val="Times New Roman"/>
        <family val="1"/>
      </rPr>
      <t xml:space="preserve">                                               </t>
    </r>
  </si>
  <si>
    <t>https://www.99acres.com/rustomjee-180-bayview-matunga-west-mumbai-south-npxid-r428425</t>
  </si>
  <si>
    <t>Rustomjee Group</t>
  </si>
  <si>
    <t>M/s. Raj Doshi Exports Private Limited</t>
  </si>
  <si>
    <t>https://www.jllhomes.co.in/apartments-new/mumbai/180-rustomjee-bayview</t>
  </si>
  <si>
    <t>Wing B = 4B + Gr + 1st to 40th Floor</t>
  </si>
  <si>
    <t>Wing A</t>
  </si>
  <si>
    <t>4th Basement Floor For Parking</t>
  </si>
  <si>
    <t>Wing B</t>
  </si>
  <si>
    <t>3rd Basement Floor For Pump Room &amp; Parking</t>
  </si>
  <si>
    <t>4th &amp; 3rd Basement Floor For Parking</t>
  </si>
  <si>
    <t>2nd Basement Floor For Flushing Tank &amp; Parking</t>
  </si>
  <si>
    <t>2nd Basement Floor For Fire Tank, Domestic Tank, Rain Water Tank, Flushing Tank &amp; Parking</t>
  </si>
  <si>
    <t>1st Basement Floor For Fire Tank, Domestic Tank, Rain Water Tank, Meter Room, Panel Room, Parking &amp; Part Car Tower Area</t>
  </si>
  <si>
    <t>1st Basement Floor For Panel Room, Parking &amp; Part Car Tower Area</t>
  </si>
  <si>
    <t>Ground Floor For Entrance Lobby, Fire Control Room, Space For OWC Area &amp;  Part Car Tower Area</t>
  </si>
  <si>
    <t>Ground Floor For Entrance Lobby, Substation Area, D.G  Services, STP &amp; Part Car Tower Area</t>
  </si>
  <si>
    <t>1st Amenities Floor For Fiteness Center, Society Office, Yogalaya &amp; Part Car Tower Area</t>
  </si>
  <si>
    <t>1st Amenities Floor For Fiteness Center, Society Office &amp; Part Car Tower Area</t>
  </si>
  <si>
    <t>2nd Service Floor For Service Area &amp; Part Car Tower Area</t>
  </si>
  <si>
    <t>3rd to 5th Floor For Residential &amp; Part Car Tower Area</t>
  </si>
  <si>
    <t>2BHK</t>
  </si>
  <si>
    <t>4BHK</t>
  </si>
  <si>
    <t>-</t>
  </si>
  <si>
    <t>Car Tower Area</t>
  </si>
  <si>
    <t>3BHK</t>
  </si>
  <si>
    <t>7th to 12th, 14th to 16th Floor</t>
  </si>
  <si>
    <t xml:space="preserve"> Refuge Area</t>
  </si>
  <si>
    <t>Refuge Area</t>
  </si>
  <si>
    <t>6th Floor For Part Refuge &amp; Part Car Tower Area</t>
  </si>
  <si>
    <t>17th to 19th, 21st &amp; 22nd Floor For Residential &amp; Part Car Tower Area</t>
  </si>
  <si>
    <t>13th Floor For Part Refuge &amp; Part Car Tower Area</t>
  </si>
  <si>
    <t>23rd Floor For Residential &amp; (Part Pump Room &amp; Break Pressure Water Tank Area)</t>
  </si>
  <si>
    <t>Pump Room &amp; Break Pressure Water Tank Area</t>
  </si>
  <si>
    <t>24th to 26th Floor For Residential</t>
  </si>
  <si>
    <t>20th Floor For Part Refuge &amp; Part Car Tower Area</t>
  </si>
  <si>
    <t>27th Floor For Part Refuge Area</t>
  </si>
  <si>
    <t>28th to 33rd Floor For Residential</t>
  </si>
  <si>
    <t>34th Floor For (Part Refuge Area)</t>
  </si>
  <si>
    <t>35th Floor</t>
  </si>
  <si>
    <t xml:space="preserve">Details of Residential in Building   </t>
  </si>
  <si>
    <t>Residential Area Details : (Flat)</t>
  </si>
  <si>
    <t>Flats - 231</t>
  </si>
  <si>
    <t>SNCR/WEST/B/080522/688590</t>
  </si>
  <si>
    <t>Site Elevation = 6.28 M (AMSL)
Permissible Top Elevation = 138.58 M (AMSL)</t>
  </si>
  <si>
    <t>We have taken latest approved plans from MCGM site on 03/07/2024</t>
  </si>
  <si>
    <t>Wing A &amp; B = 4B + Gr + 1st to 35th Floor (Height = 119.32 Mtrs.)</t>
  </si>
  <si>
    <t>4BHK Upper Duplex With 35th Floor</t>
  </si>
  <si>
    <t>4BHK Lower Duplex With 34th Floor</t>
  </si>
  <si>
    <t>SIA/MH/INFRA2/450724/2023</t>
  </si>
  <si>
    <t>Plot Bearing C. S. No. 582 F. P.No. 231 of TPS
Net Plot Area = 6067.96sq.m
Proposed Builtup Area = 87800sq.m
Wing A &amp; B = 4B + Gr + 1st to 37th Upper Floor(126.08M Height)</t>
  </si>
  <si>
    <t>Not Mentioned</t>
  </si>
  <si>
    <t xml:space="preserve">We have taken Environment Clearance Certificate. From MCGM site on 04/07/2024.
</t>
  </si>
  <si>
    <t>Jariwala Chawl</t>
  </si>
  <si>
    <t>CC, Fire Noc &amp; Airport Noc</t>
  </si>
  <si>
    <t xml:space="preserve">Wing A, B, C, and D Wings are mentioned in the approved layout plan.
Wing A and B are sale buildings.
Wing C &amp; D contatintent Rehab &amp; BMC components.
We have drafted only wing A &amp; B because they are registered on the RERA site. </t>
  </si>
  <si>
    <t>We considered Gross carpet area = Net Carpet Area + Deck + Utility Area</t>
  </si>
  <si>
    <t xml:space="preserve">Multipurpose Hall, Indoor Games, Children's Play Area, Car Parking, Gymnasium, Lift, Power Backup, CCTV Security, Intercom Facility, Fire Fighting System,etc.
</t>
  </si>
  <si>
    <t>Karan Misal</t>
  </si>
  <si>
    <t>Wing A &amp; B = 4B + Gr + 1st to 40th Floor</t>
  </si>
  <si>
    <t>Wing A = 4B + Gr + 1st to 40th Floor</t>
  </si>
  <si>
    <t>as per the site visit 08/04/2025 1st basement work is in process</t>
  </si>
  <si>
    <t>as per the site visit 14/04/2025 excavation in process Extra work given dated 14/04/2025</t>
  </si>
  <si>
    <t>P-11998/2022/G/North/FP/337/3/
Amend</t>
  </si>
  <si>
    <t>P-11998/2022)/G/North/FP/CC/1/Amend</t>
  </si>
  <si>
    <t xml:space="preserve">This C.C. is endorsed and extended for entire plinth level i.e. up to plinth level only as per last approved plan dated 13.06.2024
</t>
  </si>
  <si>
    <t xml:space="preserve">We have updated CC from MCGM Site on 14/07/2025.
</t>
  </si>
  <si>
    <t>Shruti Tathare</t>
  </si>
  <si>
    <t xml:space="preserve">Construction work is in process at the time of Visit. (labour found).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</si>
</sst>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7" fillId="0" borderId="0" xfId="1" applyFont="1" applyAlignment="1">
      <alignment horizontal="center"/>
    </xf>
    <xf numFmtId="0" fontId="27" fillId="0" borderId="0" xfId="10"/>
    <xf numFmtId="164" fontId="7" fillId="0" borderId="0" xfId="1" applyNumberFormat="1" applyFont="1" applyAlignment="1">
      <alignment horizontal="center" vertical="center"/>
    </xf>
    <xf numFmtId="9" fontId="13" fillId="0" borderId="16"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7" fillId="0" borderId="1" xfId="1" applyFont="1" applyBorder="1" applyAlignment="1" applyProtection="1">
      <alignment vertical="top" wrapText="1"/>
      <protection locked="0"/>
    </xf>
    <xf numFmtId="14" fontId="12" fillId="0" borderId="0" xfId="1" applyNumberFormat="1" applyFont="1"/>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7" fillId="0" borderId="5" xfId="1" applyFont="1" applyBorder="1" applyAlignment="1" applyProtection="1">
      <alignment horizontal="center" vertical="top"/>
      <protection locked="0"/>
    </xf>
    <xf numFmtId="1" fontId="12"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10" fillId="0" borderId="8" xfId="1" applyFont="1" applyBorder="1" applyAlignment="1" applyProtection="1">
      <alignment horizontal="left" vertical="top" wrapText="1"/>
      <protection locked="0"/>
    </xf>
    <xf numFmtId="0" fontId="10" fillId="0" borderId="9" xfId="1" applyFont="1" applyBorder="1" applyAlignment="1" applyProtection="1">
      <alignment horizontal="left" vertical="top" wrapText="1"/>
      <protection locked="0"/>
    </xf>
    <xf numFmtId="0" fontId="10"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6" fillId="0" borderId="17" xfId="1" applyFont="1" applyBorder="1" applyAlignment="1" applyProtection="1">
      <alignment horizontal="left" vertical="top"/>
      <protection locked="0"/>
    </xf>
    <xf numFmtId="0" fontId="6" fillId="0" borderId="24"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19"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3"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wrapText="1"/>
      <protection locked="0"/>
    </xf>
    <xf numFmtId="14" fontId="6" fillId="0" borderId="8" xfId="1" applyNumberFormat="1" applyFont="1" applyBorder="1" applyAlignment="1" applyProtection="1">
      <alignment horizontal="center" vertical="center" wrapText="1"/>
      <protection locked="0"/>
    </xf>
    <xf numFmtId="0" fontId="6" fillId="0" borderId="9" xfId="1" applyFont="1" applyBorder="1" applyAlignment="1" applyProtection="1">
      <alignment horizontal="center" vertical="center" wrapText="1"/>
      <protection locked="0"/>
    </xf>
    <xf numFmtId="0" fontId="12" fillId="0" borderId="3" xfId="1" applyFont="1" applyBorder="1" applyAlignment="1" applyProtection="1">
      <alignment horizontal="lef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3"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8" xfId="1" applyFont="1" applyBorder="1" applyAlignment="1" applyProtection="1">
      <alignment horizontal="left" vertical="center" wrapText="1"/>
      <protection locked="0"/>
    </xf>
    <xf numFmtId="0" fontId="12" fillId="0" borderId="9" xfId="1" applyFont="1" applyBorder="1" applyAlignment="1" applyProtection="1">
      <alignment horizontal="left" vertical="center" wrapText="1"/>
      <protection locked="0"/>
    </xf>
    <xf numFmtId="0" fontId="12" fillId="0" borderId="8"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4" xfId="1" applyFont="1" applyBorder="1" applyAlignment="1" applyProtection="1">
      <alignment horizontal="left" vertical="top"/>
      <protection locked="0"/>
    </xf>
    <xf numFmtId="0" fontId="10" fillId="0" borderId="1" xfId="1" applyFont="1" applyBorder="1" applyAlignment="1" applyProtection="1">
      <alignment horizontal="left" vertical="top"/>
      <protection locked="0"/>
    </xf>
    <xf numFmtId="0" fontId="10" fillId="0" borderId="22"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7" fillId="0" borderId="0" xfId="1" applyFont="1" applyAlignment="1">
      <alignment horizontal="center" vertical="center"/>
    </xf>
    <xf numFmtId="1" fontId="7" fillId="0" borderId="1" xfId="0"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7" fillId="0" borderId="17" xfId="1" applyFont="1" applyBorder="1" applyAlignment="1" applyProtection="1">
      <alignment horizontal="left" vertical="top"/>
      <protection locked="0"/>
    </xf>
    <xf numFmtId="0" fontId="7" fillId="0" borderId="24" xfId="1" applyFont="1" applyBorder="1" applyAlignment="1" applyProtection="1">
      <alignment horizontal="left" vertical="top"/>
      <protection locked="0"/>
    </xf>
    <xf numFmtId="0" fontId="7" fillId="0" borderId="18" xfId="1" applyFont="1" applyBorder="1" applyAlignment="1" applyProtection="1">
      <alignment horizontal="left" vertical="top"/>
      <protection locked="0"/>
    </xf>
    <xf numFmtId="0" fontId="7" fillId="0" borderId="25" xfId="1" applyFont="1" applyBorder="1" applyAlignment="1" applyProtection="1">
      <alignment horizontal="left" vertical="top"/>
      <protection locked="0"/>
    </xf>
    <xf numFmtId="0" fontId="7" fillId="0" borderId="0" xfId="1" applyFont="1" applyAlignment="1" applyProtection="1">
      <alignment horizontal="left" vertical="top"/>
      <protection locked="0"/>
    </xf>
    <xf numFmtId="0" fontId="7" fillId="0" borderId="2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 fontId="7" fillId="0" borderId="1" xfId="1" applyNumberFormat="1" applyFont="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351</xdr:row>
      <xdr:rowOff>47626</xdr:rowOff>
    </xdr:from>
    <xdr:to>
      <xdr:col>6</xdr:col>
      <xdr:colOff>533662</xdr:colOff>
      <xdr:row>368</xdr:row>
      <xdr:rowOff>87085</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a:srcRect l="1361" t="1235" r="3188" b="1248"/>
        <a:stretch/>
      </xdr:blipFill>
      <xdr:spPr>
        <a:xfrm>
          <a:off x="800100" y="57045226"/>
          <a:ext cx="4581787" cy="3439885"/>
        </a:xfrm>
        <a:prstGeom prst="rect">
          <a:avLst/>
        </a:prstGeom>
        <a:ln>
          <a:solidFill>
            <a:sysClr val="windowText" lastClr="000000"/>
          </a:solidFill>
        </a:ln>
      </xdr:spPr>
    </xdr:pic>
    <xdr:clientData/>
  </xdr:twoCellAnchor>
  <xdr:twoCellAnchor editAs="oneCell">
    <xdr:from>
      <xdr:col>8</xdr:col>
      <xdr:colOff>543754</xdr:colOff>
      <xdr:row>14</xdr:row>
      <xdr:rowOff>19464</xdr:rowOff>
    </xdr:from>
    <xdr:to>
      <xdr:col>18</xdr:col>
      <xdr:colOff>487711</xdr:colOff>
      <xdr:row>20</xdr:row>
      <xdr:rowOff>15966</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6858829" y="3429414"/>
          <a:ext cx="7935432" cy="1996752"/>
        </a:xfrm>
        <a:prstGeom prst="rect">
          <a:avLst/>
        </a:prstGeom>
      </xdr:spPr>
    </xdr:pic>
    <xdr:clientData/>
  </xdr:twoCellAnchor>
  <xdr:twoCellAnchor editAs="oneCell">
    <xdr:from>
      <xdr:col>0</xdr:col>
      <xdr:colOff>647286</xdr:colOff>
      <xdr:row>393</xdr:row>
      <xdr:rowOff>145360</xdr:rowOff>
    </xdr:from>
    <xdr:to>
      <xdr:col>6</xdr:col>
      <xdr:colOff>438943</xdr:colOff>
      <xdr:row>413</xdr:row>
      <xdr:rowOff>126311</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3"/>
        <a:stretch>
          <a:fillRect/>
        </a:stretch>
      </xdr:blipFill>
      <xdr:spPr>
        <a:xfrm>
          <a:off x="647286" y="84851185"/>
          <a:ext cx="4639882" cy="3981451"/>
        </a:xfrm>
        <a:prstGeom prst="rect">
          <a:avLst/>
        </a:prstGeom>
        <a:ln>
          <a:solidFill>
            <a:sysClr val="windowText" lastClr="000000"/>
          </a:solidFill>
        </a:ln>
      </xdr:spPr>
    </xdr:pic>
    <xdr:clientData/>
  </xdr:twoCellAnchor>
  <xdr:twoCellAnchor editAs="oneCell">
    <xdr:from>
      <xdr:col>8</xdr:col>
      <xdr:colOff>328968</xdr:colOff>
      <xdr:row>45</xdr:row>
      <xdr:rowOff>168088</xdr:rowOff>
    </xdr:from>
    <xdr:to>
      <xdr:col>13</xdr:col>
      <xdr:colOff>791715</xdr:colOff>
      <xdr:row>51</xdr:row>
      <xdr:rowOff>373942</xdr:rowOff>
    </xdr:to>
    <xdr:pic>
      <xdr:nvPicPr>
        <xdr:cNvPr id="21" name="Picture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4"/>
        <a:stretch>
          <a:fillRect/>
        </a:stretch>
      </xdr:blipFill>
      <xdr:spPr>
        <a:xfrm>
          <a:off x="6637880" y="11273117"/>
          <a:ext cx="4810629" cy="1886737"/>
        </a:xfrm>
        <a:prstGeom prst="rect">
          <a:avLst/>
        </a:prstGeom>
      </xdr:spPr>
    </xdr:pic>
    <xdr:clientData/>
  </xdr:twoCellAnchor>
  <xdr:twoCellAnchor editAs="oneCell">
    <xdr:from>
      <xdr:col>8</xdr:col>
      <xdr:colOff>538370</xdr:colOff>
      <xdr:row>1</xdr:row>
      <xdr:rowOff>82827</xdr:rowOff>
    </xdr:from>
    <xdr:to>
      <xdr:col>16</xdr:col>
      <xdr:colOff>182698</xdr:colOff>
      <xdr:row>13</xdr:row>
      <xdr:rowOff>26861</xdr:rowOff>
    </xdr:to>
    <xdr:pic>
      <xdr:nvPicPr>
        <xdr:cNvPr id="22" name="Picture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5"/>
        <a:stretch>
          <a:fillRect/>
        </a:stretch>
      </xdr:blipFill>
      <xdr:spPr>
        <a:xfrm>
          <a:off x="6858000" y="670892"/>
          <a:ext cx="6411220" cy="2553056"/>
        </a:xfrm>
        <a:prstGeom prst="rect">
          <a:avLst/>
        </a:prstGeom>
      </xdr:spPr>
    </xdr:pic>
    <xdr:clientData/>
  </xdr:twoCellAnchor>
  <xdr:twoCellAnchor editAs="oneCell">
    <xdr:from>
      <xdr:col>9</xdr:col>
      <xdr:colOff>678344</xdr:colOff>
      <xdr:row>52</xdr:row>
      <xdr:rowOff>33131</xdr:rowOff>
    </xdr:from>
    <xdr:to>
      <xdr:col>13</xdr:col>
      <xdr:colOff>301048</xdr:colOff>
      <xdr:row>64</xdr:row>
      <xdr:rowOff>312455</xdr:rowOff>
    </xdr:to>
    <xdr:pic>
      <xdr:nvPicPr>
        <xdr:cNvPr id="23" name="Picture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6"/>
        <a:stretch>
          <a:fillRect/>
        </a:stretch>
      </xdr:blipFill>
      <xdr:spPr>
        <a:xfrm>
          <a:off x="8155469" y="12720431"/>
          <a:ext cx="2804054" cy="4413174"/>
        </a:xfrm>
        <a:prstGeom prst="rect">
          <a:avLst/>
        </a:prstGeom>
      </xdr:spPr>
    </xdr:pic>
    <xdr:clientData/>
  </xdr:twoCellAnchor>
  <xdr:twoCellAnchor>
    <xdr:from>
      <xdr:col>0</xdr:col>
      <xdr:colOff>169379</xdr:colOff>
      <xdr:row>368</xdr:row>
      <xdr:rowOff>186357</xdr:rowOff>
    </xdr:from>
    <xdr:to>
      <xdr:col>7</xdr:col>
      <xdr:colOff>397979</xdr:colOff>
      <xdr:row>389</xdr:row>
      <xdr:rowOff>182299</xdr:rowOff>
    </xdr:to>
    <xdr:grpSp>
      <xdr:nvGrpSpPr>
        <xdr:cNvPr id="31" name="Group 30">
          <a:extLst>
            <a:ext uri="{FF2B5EF4-FFF2-40B4-BE49-F238E27FC236}">
              <a16:creationId xmlns:a16="http://schemas.microsoft.com/office/drawing/2014/main" xmlns="" id="{00000000-0008-0000-0000-00001F000000}"/>
            </a:ext>
          </a:extLst>
        </xdr:cNvPr>
        <xdr:cNvGrpSpPr/>
      </xdr:nvGrpSpPr>
      <xdr:grpSpPr>
        <a:xfrm>
          <a:off x="169379" y="76462557"/>
          <a:ext cx="5810250" cy="4196467"/>
          <a:chOff x="266700" y="59690689"/>
          <a:chExt cx="5811078" cy="4170377"/>
        </a:xfrm>
      </xdr:grpSpPr>
      <xdr:grpSp>
        <xdr:nvGrpSpPr>
          <xdr:cNvPr id="15" name="Group 14">
            <a:extLst>
              <a:ext uri="{FF2B5EF4-FFF2-40B4-BE49-F238E27FC236}">
                <a16:creationId xmlns:a16="http://schemas.microsoft.com/office/drawing/2014/main" xmlns="" id="{00000000-0008-0000-0000-00000F000000}"/>
              </a:ext>
            </a:extLst>
          </xdr:cNvPr>
          <xdr:cNvGrpSpPr/>
        </xdr:nvGrpSpPr>
        <xdr:grpSpPr>
          <a:xfrm>
            <a:off x="266700" y="59690689"/>
            <a:ext cx="5811078" cy="4170377"/>
            <a:chOff x="266700" y="60674249"/>
            <a:chExt cx="5810250" cy="4196467"/>
          </a:xfrm>
        </xdr:grpSpPr>
        <xdr:pic>
          <xdr:nvPicPr>
            <xdr:cNvPr id="8" name="Picture 7">
              <a:extLst>
                <a:ext uri="{FF2B5EF4-FFF2-40B4-BE49-F238E27FC236}">
                  <a16:creationId xmlns:a16="http://schemas.microsoft.com/office/drawing/2014/main" xmlns="" id="{00000000-0008-0000-0000-000008000000}"/>
                </a:ext>
              </a:extLst>
            </xdr:cNvPr>
            <xdr:cNvPicPr>
              <a:picLocks noChangeAspect="1"/>
            </xdr:cNvPicPr>
          </xdr:nvPicPr>
          <xdr:blipFill rotWithShape="1">
            <a:blip xmlns:r="http://schemas.openxmlformats.org/officeDocument/2006/relationships" r:embed="rId7"/>
            <a:srcRect t="5210" r="-50"/>
            <a:stretch/>
          </xdr:blipFill>
          <xdr:spPr>
            <a:xfrm>
              <a:off x="266700" y="60674249"/>
              <a:ext cx="5810250" cy="4196467"/>
            </a:xfrm>
            <a:prstGeom prst="rect">
              <a:avLst/>
            </a:prstGeom>
            <a:ln>
              <a:solidFill>
                <a:sysClr val="windowText" lastClr="000000"/>
              </a:solidFill>
            </a:ln>
          </xdr:spPr>
        </xdr:pic>
        <xdr:grpSp>
          <xdr:nvGrpSpPr>
            <xdr:cNvPr id="12" name="Group 11">
              <a:extLst>
                <a:ext uri="{FF2B5EF4-FFF2-40B4-BE49-F238E27FC236}">
                  <a16:creationId xmlns:a16="http://schemas.microsoft.com/office/drawing/2014/main" xmlns="" id="{00000000-0008-0000-0000-00000C000000}"/>
                </a:ext>
              </a:extLst>
            </xdr:cNvPr>
            <xdr:cNvGrpSpPr/>
          </xdr:nvGrpSpPr>
          <xdr:grpSpPr>
            <a:xfrm rot="16200000">
              <a:off x="5000625" y="64303275"/>
              <a:ext cx="359227" cy="549779"/>
              <a:chOff x="26903" y="-29837"/>
              <a:chExt cx="221944" cy="688514"/>
            </a:xfrm>
          </xdr:grpSpPr>
          <xdr:sp macro="" textlink="">
            <xdr:nvSpPr>
              <xdr:cNvPr id="13" name="TextBox 7">
                <a:extLst>
                  <a:ext uri="{FF2B5EF4-FFF2-40B4-BE49-F238E27FC236}">
                    <a16:creationId xmlns:a16="http://schemas.microsoft.com/office/drawing/2014/main" xmlns="" id="{00000000-0008-0000-0000-00000D000000}"/>
                  </a:ext>
                </a:extLst>
              </xdr:cNvPr>
              <xdr:cNvSpPr txBox="1"/>
            </xdr:nvSpPr>
            <xdr:spPr>
              <a:xfrm>
                <a:off x="26903" y="-29837"/>
                <a:ext cx="221944" cy="309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600" b="1"/>
                  <a:t>N</a:t>
                </a:r>
              </a:p>
            </xdr:txBody>
          </xdr:sp>
          <xdr:cxnSp macro="">
            <xdr:nvCxnSpPr>
              <xdr:cNvPr id="14" name="Straight Arrow Connector 13">
                <a:extLst>
                  <a:ext uri="{FF2B5EF4-FFF2-40B4-BE49-F238E27FC236}">
                    <a16:creationId xmlns:a16="http://schemas.microsoft.com/office/drawing/2014/main" xmlns="" id="{00000000-0008-0000-0000-00000E000000}"/>
                  </a:ext>
                </a:extLst>
              </xdr:cNvPr>
              <xdr:cNvCxnSpPr/>
            </xdr:nvCxnSpPr>
            <xdr:spPr>
              <a:xfrm flipV="1">
                <a:off x="121015" y="334676"/>
                <a:ext cx="0" cy="32400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25" name="Freeform 24">
            <a:extLst>
              <a:ext uri="{FF2B5EF4-FFF2-40B4-BE49-F238E27FC236}">
                <a16:creationId xmlns:a16="http://schemas.microsoft.com/office/drawing/2014/main" xmlns="" id="{00000000-0008-0000-0000-000019000000}"/>
              </a:ext>
            </a:extLst>
          </xdr:cNvPr>
          <xdr:cNvSpPr/>
        </xdr:nvSpPr>
        <xdr:spPr>
          <a:xfrm>
            <a:off x="2575892" y="61398977"/>
            <a:ext cx="1797327" cy="1722782"/>
          </a:xfrm>
          <a:custGeom>
            <a:avLst/>
            <a:gdLst>
              <a:gd name="connsiteX0" fmla="*/ 24848 w 1714500"/>
              <a:gd name="connsiteY0" fmla="*/ 0 h 1573696"/>
              <a:gd name="connsiteX1" fmla="*/ 1714500 w 1714500"/>
              <a:gd name="connsiteY1" fmla="*/ 33131 h 1573696"/>
              <a:gd name="connsiteX2" fmla="*/ 1143000 w 1714500"/>
              <a:gd name="connsiteY2" fmla="*/ 1573696 h 1573696"/>
              <a:gd name="connsiteX3" fmla="*/ 762000 w 1714500"/>
              <a:gd name="connsiteY3" fmla="*/ 1416326 h 1573696"/>
              <a:gd name="connsiteX4" fmla="*/ 944218 w 1714500"/>
              <a:gd name="connsiteY4" fmla="*/ 861392 h 1573696"/>
              <a:gd name="connsiteX5" fmla="*/ 0 w 1714500"/>
              <a:gd name="connsiteY5" fmla="*/ 819979 h 1573696"/>
              <a:gd name="connsiteX6" fmla="*/ 24848 w 1714500"/>
              <a:gd name="connsiteY6" fmla="*/ 0 h 1573696"/>
              <a:gd name="connsiteX0" fmla="*/ 24848 w 1714500"/>
              <a:gd name="connsiteY0" fmla="*/ 0 h 1573696"/>
              <a:gd name="connsiteX1" fmla="*/ 1714500 w 1714500"/>
              <a:gd name="connsiteY1" fmla="*/ 33131 h 1573696"/>
              <a:gd name="connsiteX2" fmla="*/ 1143000 w 1714500"/>
              <a:gd name="connsiteY2" fmla="*/ 1573696 h 1573696"/>
              <a:gd name="connsiteX3" fmla="*/ 762000 w 1714500"/>
              <a:gd name="connsiteY3" fmla="*/ 1416326 h 1573696"/>
              <a:gd name="connsiteX4" fmla="*/ 889665 w 1714500"/>
              <a:gd name="connsiteY4" fmla="*/ 891656 h 1573696"/>
              <a:gd name="connsiteX5" fmla="*/ 0 w 1714500"/>
              <a:gd name="connsiteY5" fmla="*/ 819979 h 1573696"/>
              <a:gd name="connsiteX6" fmla="*/ 24848 w 1714500"/>
              <a:gd name="connsiteY6" fmla="*/ 0 h 1573696"/>
              <a:gd name="connsiteX0" fmla="*/ 24848 w 1714500"/>
              <a:gd name="connsiteY0" fmla="*/ 0 h 1573696"/>
              <a:gd name="connsiteX1" fmla="*/ 1714500 w 1714500"/>
              <a:gd name="connsiteY1" fmla="*/ 33131 h 1573696"/>
              <a:gd name="connsiteX2" fmla="*/ 1143000 w 1714500"/>
              <a:gd name="connsiteY2" fmla="*/ 1573696 h 1573696"/>
              <a:gd name="connsiteX3" fmla="*/ 660688 w 1714500"/>
              <a:gd name="connsiteY3" fmla="*/ 1386063 h 1573696"/>
              <a:gd name="connsiteX4" fmla="*/ 889665 w 1714500"/>
              <a:gd name="connsiteY4" fmla="*/ 891656 h 1573696"/>
              <a:gd name="connsiteX5" fmla="*/ 0 w 1714500"/>
              <a:gd name="connsiteY5" fmla="*/ 819979 h 1573696"/>
              <a:gd name="connsiteX6" fmla="*/ 24848 w 1714500"/>
              <a:gd name="connsiteY6" fmla="*/ 0 h 1573696"/>
              <a:gd name="connsiteX0" fmla="*/ 24848 w 1714500"/>
              <a:gd name="connsiteY0" fmla="*/ 0 h 1573696"/>
              <a:gd name="connsiteX1" fmla="*/ 1714500 w 1714500"/>
              <a:gd name="connsiteY1" fmla="*/ 33131 h 1573696"/>
              <a:gd name="connsiteX2" fmla="*/ 1143000 w 1714500"/>
              <a:gd name="connsiteY2" fmla="*/ 1573696 h 1573696"/>
              <a:gd name="connsiteX3" fmla="*/ 660688 w 1714500"/>
              <a:gd name="connsiteY3" fmla="*/ 1386063 h 1573696"/>
              <a:gd name="connsiteX4" fmla="*/ 850699 w 1714500"/>
              <a:gd name="connsiteY4" fmla="*/ 891656 h 1573696"/>
              <a:gd name="connsiteX5" fmla="*/ 0 w 1714500"/>
              <a:gd name="connsiteY5" fmla="*/ 819979 h 1573696"/>
              <a:gd name="connsiteX6" fmla="*/ 24848 w 1714500"/>
              <a:gd name="connsiteY6" fmla="*/ 0 h 1573696"/>
              <a:gd name="connsiteX0" fmla="*/ 24848 w 1714500"/>
              <a:gd name="connsiteY0" fmla="*/ 0 h 1573696"/>
              <a:gd name="connsiteX1" fmla="*/ 1714500 w 1714500"/>
              <a:gd name="connsiteY1" fmla="*/ 33131 h 1573696"/>
              <a:gd name="connsiteX2" fmla="*/ 1143000 w 1714500"/>
              <a:gd name="connsiteY2" fmla="*/ 1573696 h 1573696"/>
              <a:gd name="connsiteX3" fmla="*/ 660688 w 1714500"/>
              <a:gd name="connsiteY3" fmla="*/ 1386063 h 1573696"/>
              <a:gd name="connsiteX4" fmla="*/ 850699 w 1714500"/>
              <a:gd name="connsiteY4" fmla="*/ 891656 h 1573696"/>
              <a:gd name="connsiteX5" fmla="*/ 0 w 1714500"/>
              <a:gd name="connsiteY5" fmla="*/ 857808 h 1573696"/>
              <a:gd name="connsiteX6" fmla="*/ 24848 w 1714500"/>
              <a:gd name="connsiteY6" fmla="*/ 0 h 1573696"/>
              <a:gd name="connsiteX0" fmla="*/ 1469 w 1691121"/>
              <a:gd name="connsiteY0" fmla="*/ 0 h 1573696"/>
              <a:gd name="connsiteX1" fmla="*/ 1691121 w 1691121"/>
              <a:gd name="connsiteY1" fmla="*/ 33131 h 1573696"/>
              <a:gd name="connsiteX2" fmla="*/ 1119621 w 1691121"/>
              <a:gd name="connsiteY2" fmla="*/ 1573696 h 1573696"/>
              <a:gd name="connsiteX3" fmla="*/ 637309 w 1691121"/>
              <a:gd name="connsiteY3" fmla="*/ 1386063 h 1573696"/>
              <a:gd name="connsiteX4" fmla="*/ 827320 w 1691121"/>
              <a:gd name="connsiteY4" fmla="*/ 891656 h 1573696"/>
              <a:gd name="connsiteX5" fmla="*/ 0 w 1691121"/>
              <a:gd name="connsiteY5" fmla="*/ 857808 h 1573696"/>
              <a:gd name="connsiteX6" fmla="*/ 1469 w 1691121"/>
              <a:gd name="connsiteY6" fmla="*/ 0 h 15736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691121" h="1573696">
                <a:moveTo>
                  <a:pt x="1469" y="0"/>
                </a:moveTo>
                <a:lnTo>
                  <a:pt x="1691121" y="33131"/>
                </a:lnTo>
                <a:lnTo>
                  <a:pt x="1119621" y="1573696"/>
                </a:lnTo>
                <a:lnTo>
                  <a:pt x="637309" y="1386063"/>
                </a:lnTo>
                <a:lnTo>
                  <a:pt x="827320" y="891656"/>
                </a:lnTo>
                <a:lnTo>
                  <a:pt x="0" y="857808"/>
                </a:lnTo>
                <a:cubicBezTo>
                  <a:pt x="490" y="571872"/>
                  <a:pt x="979" y="285936"/>
                  <a:pt x="1469" y="0"/>
                </a:cubicBez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8" name="Freeform 27">
            <a:extLst>
              <a:ext uri="{FF2B5EF4-FFF2-40B4-BE49-F238E27FC236}">
                <a16:creationId xmlns:a16="http://schemas.microsoft.com/office/drawing/2014/main" xmlns="" id="{00000000-0008-0000-0000-00001C000000}"/>
              </a:ext>
            </a:extLst>
          </xdr:cNvPr>
          <xdr:cNvSpPr/>
        </xdr:nvSpPr>
        <xdr:spPr>
          <a:xfrm flipH="1">
            <a:off x="737150" y="61390697"/>
            <a:ext cx="1795765" cy="1664803"/>
          </a:xfrm>
          <a:custGeom>
            <a:avLst/>
            <a:gdLst>
              <a:gd name="connsiteX0" fmla="*/ 24848 w 1714500"/>
              <a:gd name="connsiteY0" fmla="*/ 0 h 1573696"/>
              <a:gd name="connsiteX1" fmla="*/ 1714500 w 1714500"/>
              <a:gd name="connsiteY1" fmla="*/ 33131 h 1573696"/>
              <a:gd name="connsiteX2" fmla="*/ 1143000 w 1714500"/>
              <a:gd name="connsiteY2" fmla="*/ 1573696 h 1573696"/>
              <a:gd name="connsiteX3" fmla="*/ 762000 w 1714500"/>
              <a:gd name="connsiteY3" fmla="*/ 1416326 h 1573696"/>
              <a:gd name="connsiteX4" fmla="*/ 944218 w 1714500"/>
              <a:gd name="connsiteY4" fmla="*/ 861392 h 1573696"/>
              <a:gd name="connsiteX5" fmla="*/ 0 w 1714500"/>
              <a:gd name="connsiteY5" fmla="*/ 819979 h 1573696"/>
              <a:gd name="connsiteX6" fmla="*/ 24848 w 1714500"/>
              <a:gd name="connsiteY6" fmla="*/ 0 h 1573696"/>
              <a:gd name="connsiteX0" fmla="*/ 24848 w 1714500"/>
              <a:gd name="connsiteY0" fmla="*/ 0 h 1573696"/>
              <a:gd name="connsiteX1" fmla="*/ 1714500 w 1714500"/>
              <a:gd name="connsiteY1" fmla="*/ 33131 h 1573696"/>
              <a:gd name="connsiteX2" fmla="*/ 1143000 w 1714500"/>
              <a:gd name="connsiteY2" fmla="*/ 1573696 h 1573696"/>
              <a:gd name="connsiteX3" fmla="*/ 762000 w 1714500"/>
              <a:gd name="connsiteY3" fmla="*/ 1416326 h 1573696"/>
              <a:gd name="connsiteX4" fmla="*/ 889665 w 1714500"/>
              <a:gd name="connsiteY4" fmla="*/ 891656 h 1573696"/>
              <a:gd name="connsiteX5" fmla="*/ 0 w 1714500"/>
              <a:gd name="connsiteY5" fmla="*/ 819979 h 1573696"/>
              <a:gd name="connsiteX6" fmla="*/ 24848 w 1714500"/>
              <a:gd name="connsiteY6" fmla="*/ 0 h 1573696"/>
              <a:gd name="connsiteX0" fmla="*/ 24848 w 1714500"/>
              <a:gd name="connsiteY0" fmla="*/ 0 h 1573696"/>
              <a:gd name="connsiteX1" fmla="*/ 1714500 w 1714500"/>
              <a:gd name="connsiteY1" fmla="*/ 33131 h 1573696"/>
              <a:gd name="connsiteX2" fmla="*/ 1143000 w 1714500"/>
              <a:gd name="connsiteY2" fmla="*/ 1573696 h 1573696"/>
              <a:gd name="connsiteX3" fmla="*/ 660688 w 1714500"/>
              <a:gd name="connsiteY3" fmla="*/ 1386063 h 1573696"/>
              <a:gd name="connsiteX4" fmla="*/ 889665 w 1714500"/>
              <a:gd name="connsiteY4" fmla="*/ 891656 h 1573696"/>
              <a:gd name="connsiteX5" fmla="*/ 0 w 1714500"/>
              <a:gd name="connsiteY5" fmla="*/ 819979 h 1573696"/>
              <a:gd name="connsiteX6" fmla="*/ 24848 w 1714500"/>
              <a:gd name="connsiteY6" fmla="*/ 0 h 1573696"/>
              <a:gd name="connsiteX0" fmla="*/ 24848 w 1714500"/>
              <a:gd name="connsiteY0" fmla="*/ 0 h 1573696"/>
              <a:gd name="connsiteX1" fmla="*/ 1714500 w 1714500"/>
              <a:gd name="connsiteY1" fmla="*/ 33131 h 1573696"/>
              <a:gd name="connsiteX2" fmla="*/ 1143000 w 1714500"/>
              <a:gd name="connsiteY2" fmla="*/ 1573696 h 1573696"/>
              <a:gd name="connsiteX3" fmla="*/ 660688 w 1714500"/>
              <a:gd name="connsiteY3" fmla="*/ 1386063 h 1573696"/>
              <a:gd name="connsiteX4" fmla="*/ 850699 w 1714500"/>
              <a:gd name="connsiteY4" fmla="*/ 891656 h 1573696"/>
              <a:gd name="connsiteX5" fmla="*/ 0 w 1714500"/>
              <a:gd name="connsiteY5" fmla="*/ 819979 h 1573696"/>
              <a:gd name="connsiteX6" fmla="*/ 24848 w 1714500"/>
              <a:gd name="connsiteY6" fmla="*/ 0 h 1573696"/>
              <a:gd name="connsiteX0" fmla="*/ 24848 w 1714500"/>
              <a:gd name="connsiteY0" fmla="*/ 0 h 1573696"/>
              <a:gd name="connsiteX1" fmla="*/ 1714500 w 1714500"/>
              <a:gd name="connsiteY1" fmla="*/ 33131 h 1573696"/>
              <a:gd name="connsiteX2" fmla="*/ 1143000 w 1714500"/>
              <a:gd name="connsiteY2" fmla="*/ 1573696 h 1573696"/>
              <a:gd name="connsiteX3" fmla="*/ 660688 w 1714500"/>
              <a:gd name="connsiteY3" fmla="*/ 1386063 h 1573696"/>
              <a:gd name="connsiteX4" fmla="*/ 850699 w 1714500"/>
              <a:gd name="connsiteY4" fmla="*/ 891656 h 1573696"/>
              <a:gd name="connsiteX5" fmla="*/ 0 w 1714500"/>
              <a:gd name="connsiteY5" fmla="*/ 857808 h 1573696"/>
              <a:gd name="connsiteX6" fmla="*/ 24848 w 1714500"/>
              <a:gd name="connsiteY6" fmla="*/ 0 h 1573696"/>
              <a:gd name="connsiteX0" fmla="*/ 0 w 1689652"/>
              <a:gd name="connsiteY0" fmla="*/ 0 h 1573696"/>
              <a:gd name="connsiteX1" fmla="*/ 1689652 w 1689652"/>
              <a:gd name="connsiteY1" fmla="*/ 33131 h 1573696"/>
              <a:gd name="connsiteX2" fmla="*/ 1118152 w 1689652"/>
              <a:gd name="connsiteY2" fmla="*/ 1573696 h 1573696"/>
              <a:gd name="connsiteX3" fmla="*/ 635840 w 1689652"/>
              <a:gd name="connsiteY3" fmla="*/ 1386063 h 1573696"/>
              <a:gd name="connsiteX4" fmla="*/ 825851 w 1689652"/>
              <a:gd name="connsiteY4" fmla="*/ 891656 h 1573696"/>
              <a:gd name="connsiteX5" fmla="*/ 6325 w 1689652"/>
              <a:gd name="connsiteY5" fmla="*/ 880506 h 1573696"/>
              <a:gd name="connsiteX6" fmla="*/ 0 w 1689652"/>
              <a:gd name="connsiteY6" fmla="*/ 0 h 157369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689652" h="1573696">
                <a:moveTo>
                  <a:pt x="0" y="0"/>
                </a:moveTo>
                <a:lnTo>
                  <a:pt x="1689652" y="33131"/>
                </a:lnTo>
                <a:lnTo>
                  <a:pt x="1118152" y="1573696"/>
                </a:lnTo>
                <a:lnTo>
                  <a:pt x="635840" y="1386063"/>
                </a:lnTo>
                <a:lnTo>
                  <a:pt x="825851" y="891656"/>
                </a:lnTo>
                <a:lnTo>
                  <a:pt x="6325" y="880506"/>
                </a:lnTo>
                <a:cubicBezTo>
                  <a:pt x="4217" y="587004"/>
                  <a:pt x="2108" y="293502"/>
                  <a:pt x="0" y="0"/>
                </a:cubicBezTo>
                <a:close/>
              </a:path>
            </a:pathLst>
          </a:custGeom>
          <a:noFill/>
          <a:ln w="28575">
            <a:solidFill>
              <a:srgbClr val="00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9" name="TextBox 12">
            <a:extLst>
              <a:ext uri="{FF2B5EF4-FFF2-40B4-BE49-F238E27FC236}">
                <a16:creationId xmlns:a16="http://schemas.microsoft.com/office/drawing/2014/main" xmlns="" id="{00000000-0008-0000-0000-00001D000000}"/>
              </a:ext>
            </a:extLst>
          </xdr:cNvPr>
          <xdr:cNvSpPr txBox="1"/>
        </xdr:nvSpPr>
        <xdr:spPr>
          <a:xfrm>
            <a:off x="2896040" y="61240556"/>
            <a:ext cx="1168133" cy="161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FF0000"/>
                </a:solidFill>
                <a:latin typeface="Times New Roman" panose="02020603050405020304" pitchFamily="18" charset="0"/>
                <a:cs typeface="Times New Roman" panose="02020603050405020304" pitchFamily="18" charset="0"/>
              </a:rPr>
              <a:t>Wing</a:t>
            </a:r>
            <a:r>
              <a:rPr lang="en-IN" sz="1400" b="1" baseline="0">
                <a:solidFill>
                  <a:srgbClr val="FF0000"/>
                </a:solidFill>
                <a:latin typeface="Times New Roman" panose="02020603050405020304" pitchFamily="18" charset="0"/>
                <a:cs typeface="Times New Roman" panose="02020603050405020304" pitchFamily="18" charset="0"/>
              </a:rPr>
              <a:t> B</a:t>
            </a:r>
            <a:endParaRPr lang="en-IN" sz="1400" b="1">
              <a:solidFill>
                <a:srgbClr val="FF0000"/>
              </a:solidFill>
              <a:latin typeface="Times New Roman" panose="02020603050405020304" pitchFamily="18" charset="0"/>
              <a:cs typeface="Times New Roman" panose="02020603050405020304" pitchFamily="18" charset="0"/>
            </a:endParaRPr>
          </a:p>
        </xdr:txBody>
      </xdr:sp>
      <xdr:sp macro="" textlink="">
        <xdr:nvSpPr>
          <xdr:cNvPr id="30" name="TextBox 12">
            <a:extLst>
              <a:ext uri="{FF2B5EF4-FFF2-40B4-BE49-F238E27FC236}">
                <a16:creationId xmlns:a16="http://schemas.microsoft.com/office/drawing/2014/main" xmlns="" id="{00000000-0008-0000-0000-00001E000000}"/>
              </a:ext>
            </a:extLst>
          </xdr:cNvPr>
          <xdr:cNvSpPr txBox="1"/>
        </xdr:nvSpPr>
        <xdr:spPr>
          <a:xfrm>
            <a:off x="1148410" y="61248838"/>
            <a:ext cx="1168133" cy="161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0099FF"/>
                </a:solidFill>
                <a:latin typeface="Times New Roman" panose="02020603050405020304" pitchFamily="18" charset="0"/>
                <a:cs typeface="Times New Roman" panose="02020603050405020304" pitchFamily="18" charset="0"/>
              </a:rPr>
              <a:t>Wing</a:t>
            </a:r>
            <a:r>
              <a:rPr lang="en-IN" sz="1400" b="1" baseline="0">
                <a:solidFill>
                  <a:srgbClr val="0099FF"/>
                </a:solidFill>
                <a:latin typeface="Times New Roman" panose="02020603050405020304" pitchFamily="18" charset="0"/>
                <a:cs typeface="Times New Roman" panose="02020603050405020304" pitchFamily="18" charset="0"/>
              </a:rPr>
              <a:t> A</a:t>
            </a:r>
            <a:endParaRPr lang="en-IN" sz="1400" b="1">
              <a:solidFill>
                <a:srgbClr val="0099FF"/>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8</xdr:col>
      <xdr:colOff>838200</xdr:colOff>
      <xdr:row>51</xdr:row>
      <xdr:rowOff>19050</xdr:rowOff>
    </xdr:from>
    <xdr:to>
      <xdr:col>17</xdr:col>
      <xdr:colOff>191440</xdr:colOff>
      <xdr:row>55</xdr:row>
      <xdr:rowOff>66902</xdr:rowOff>
    </xdr:to>
    <xdr:pic>
      <xdr:nvPicPr>
        <xdr:cNvPr id="32" name="Picture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8"/>
        <a:stretch>
          <a:fillRect/>
        </a:stretch>
      </xdr:blipFill>
      <xdr:spPr>
        <a:xfrm>
          <a:off x="7153275" y="12753975"/>
          <a:ext cx="6735115" cy="1629002"/>
        </a:xfrm>
        <a:prstGeom prst="rect">
          <a:avLst/>
        </a:prstGeom>
      </xdr:spPr>
    </xdr:pic>
    <xdr:clientData/>
  </xdr:twoCellAnchor>
  <xdr:twoCellAnchor>
    <xdr:from>
      <xdr:col>0</xdr:col>
      <xdr:colOff>366505</xdr:colOff>
      <xdr:row>414</xdr:row>
      <xdr:rowOff>62734</xdr:rowOff>
    </xdr:from>
    <xdr:to>
      <xdr:col>7</xdr:col>
      <xdr:colOff>176005</xdr:colOff>
      <xdr:row>433</xdr:row>
      <xdr:rowOff>0</xdr:rowOff>
    </xdr:to>
    <xdr:grpSp>
      <xdr:nvGrpSpPr>
        <xdr:cNvPr id="35" name="Group 34">
          <a:extLst>
            <a:ext uri="{FF2B5EF4-FFF2-40B4-BE49-F238E27FC236}">
              <a16:creationId xmlns:a16="http://schemas.microsoft.com/office/drawing/2014/main" xmlns="" id="{00000000-0008-0000-0000-000023000000}"/>
            </a:ext>
          </a:extLst>
        </xdr:cNvPr>
        <xdr:cNvGrpSpPr/>
      </xdr:nvGrpSpPr>
      <xdr:grpSpPr>
        <a:xfrm>
          <a:off x="366505" y="85540084"/>
          <a:ext cx="5391150" cy="3737741"/>
          <a:chOff x="423655" y="88883359"/>
          <a:chExt cx="5391150" cy="3801101"/>
        </a:xfrm>
      </xdr:grpSpPr>
      <xdr:grpSp>
        <xdr:nvGrpSpPr>
          <xdr:cNvPr id="20" name="Group 19">
            <a:extLst>
              <a:ext uri="{FF2B5EF4-FFF2-40B4-BE49-F238E27FC236}">
                <a16:creationId xmlns:a16="http://schemas.microsoft.com/office/drawing/2014/main" xmlns="" id="{00000000-0008-0000-0000-000014000000}"/>
              </a:ext>
            </a:extLst>
          </xdr:cNvPr>
          <xdr:cNvGrpSpPr/>
        </xdr:nvGrpSpPr>
        <xdr:grpSpPr>
          <a:xfrm>
            <a:off x="423655" y="88883359"/>
            <a:ext cx="5391150" cy="3801101"/>
            <a:chOff x="423655" y="69618425"/>
            <a:chExt cx="5391978" cy="3777496"/>
          </a:xfrm>
        </xdr:grpSpPr>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9"/>
            <a:stretch>
              <a:fillRect/>
            </a:stretch>
          </xdr:blipFill>
          <xdr:spPr>
            <a:xfrm>
              <a:off x="423655" y="69618425"/>
              <a:ext cx="5391978" cy="3777496"/>
            </a:xfrm>
            <a:prstGeom prst="rect">
              <a:avLst/>
            </a:prstGeom>
            <a:ln>
              <a:solidFill>
                <a:sysClr val="windowText" lastClr="000000"/>
              </a:solidFill>
            </a:ln>
          </xdr:spPr>
        </xdr:pic>
        <xdr:sp macro="" textlink="">
          <xdr:nvSpPr>
            <xdr:cNvPr id="19" name="TextBox 12">
              <a:extLst>
                <a:ext uri="{FF2B5EF4-FFF2-40B4-BE49-F238E27FC236}">
                  <a16:creationId xmlns:a16="http://schemas.microsoft.com/office/drawing/2014/main" xmlns="" id="{00000000-0008-0000-0000-000013000000}"/>
                </a:ext>
              </a:extLst>
            </xdr:cNvPr>
            <xdr:cNvSpPr txBox="1"/>
          </xdr:nvSpPr>
          <xdr:spPr>
            <a:xfrm rot="1026608">
              <a:off x="2167775" y="70988648"/>
              <a:ext cx="2144621" cy="358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b="1">
                  <a:solidFill>
                    <a:srgbClr val="FFFF00"/>
                  </a:solidFill>
                  <a:latin typeface="Times New Roman" panose="02020603050405020304" pitchFamily="18" charset="0"/>
                  <a:cs typeface="Times New Roman" panose="02020603050405020304" pitchFamily="18" charset="0"/>
                </a:rPr>
                <a:t>Rustomjee 180 Bayview Matunga W (Wing A &amp; B)</a:t>
              </a:r>
              <a:endParaRPr lang="en-IN" sz="1200" b="1">
                <a:solidFill>
                  <a:srgbClr val="FFFF00"/>
                </a:solidFill>
                <a:latin typeface="Times New Roman" panose="02020603050405020304" pitchFamily="18" charset="0"/>
                <a:cs typeface="Times New Roman" panose="02020603050405020304" pitchFamily="18" charset="0"/>
              </a:endParaRPr>
            </a:p>
          </xdr:txBody>
        </xdr:sp>
      </xdr:grpSp>
      <xdr:sp macro="" textlink="">
        <xdr:nvSpPr>
          <xdr:cNvPr id="34" name="Freeform 33">
            <a:extLst>
              <a:ext uri="{FF2B5EF4-FFF2-40B4-BE49-F238E27FC236}">
                <a16:creationId xmlns:a16="http://schemas.microsoft.com/office/drawing/2014/main" xmlns="" id="{00000000-0008-0000-0000-000022000000}"/>
              </a:ext>
            </a:extLst>
          </xdr:cNvPr>
          <xdr:cNvSpPr/>
        </xdr:nvSpPr>
        <xdr:spPr>
          <a:xfrm rot="6733712">
            <a:off x="2361746" y="90735075"/>
            <a:ext cx="903634" cy="443642"/>
          </a:xfrm>
          <a:custGeom>
            <a:avLst/>
            <a:gdLst>
              <a:gd name="connsiteX0" fmla="*/ 0 w 3619500"/>
              <a:gd name="connsiteY0" fmla="*/ 0 h 1733550"/>
              <a:gd name="connsiteX1" fmla="*/ 3619500 w 3619500"/>
              <a:gd name="connsiteY1" fmla="*/ 38100 h 1733550"/>
              <a:gd name="connsiteX2" fmla="*/ 3086100 w 3619500"/>
              <a:gd name="connsiteY2" fmla="*/ 1733550 h 1733550"/>
              <a:gd name="connsiteX3" fmla="*/ 2533650 w 3619500"/>
              <a:gd name="connsiteY3" fmla="*/ 1552575 h 1733550"/>
              <a:gd name="connsiteX4" fmla="*/ 2705100 w 3619500"/>
              <a:gd name="connsiteY4" fmla="*/ 962025 h 1733550"/>
              <a:gd name="connsiteX5" fmla="*/ 962025 w 3619500"/>
              <a:gd name="connsiteY5" fmla="*/ 904875 h 1733550"/>
              <a:gd name="connsiteX6" fmla="*/ 1162050 w 3619500"/>
              <a:gd name="connsiteY6" fmla="*/ 1438275 h 1733550"/>
              <a:gd name="connsiteX7" fmla="*/ 590550 w 3619500"/>
              <a:gd name="connsiteY7" fmla="*/ 1666875 h 1733550"/>
              <a:gd name="connsiteX8" fmla="*/ 0 w 3619500"/>
              <a:gd name="connsiteY8" fmla="*/ 0 h 1733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19500" h="1733550">
                <a:moveTo>
                  <a:pt x="0" y="0"/>
                </a:moveTo>
                <a:lnTo>
                  <a:pt x="3619500" y="38100"/>
                </a:lnTo>
                <a:lnTo>
                  <a:pt x="3086100" y="1733550"/>
                </a:lnTo>
                <a:lnTo>
                  <a:pt x="2533650" y="1552575"/>
                </a:lnTo>
                <a:lnTo>
                  <a:pt x="2705100" y="962025"/>
                </a:lnTo>
                <a:lnTo>
                  <a:pt x="962025" y="904875"/>
                </a:lnTo>
                <a:lnTo>
                  <a:pt x="1162050" y="1438275"/>
                </a:lnTo>
                <a:lnTo>
                  <a:pt x="590550" y="1666875"/>
                </a:lnTo>
                <a:lnTo>
                  <a:pt x="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152400</xdr:colOff>
      <xdr:row>310</xdr:row>
      <xdr:rowOff>76200</xdr:rowOff>
    </xdr:from>
    <xdr:to>
      <xdr:col>7</xdr:col>
      <xdr:colOff>657225</xdr:colOff>
      <xdr:row>347</xdr:row>
      <xdr:rowOff>121650</xdr:rowOff>
    </xdr:to>
    <xdr:grpSp>
      <xdr:nvGrpSpPr>
        <xdr:cNvPr id="5" name="Group 4"/>
        <xdr:cNvGrpSpPr/>
      </xdr:nvGrpSpPr>
      <xdr:grpSpPr>
        <a:xfrm>
          <a:off x="152400" y="64750950"/>
          <a:ext cx="6086475" cy="7446375"/>
          <a:chOff x="66675" y="64931925"/>
          <a:chExt cx="6086475" cy="7446375"/>
        </a:xfrm>
      </xdr:grpSpPr>
      <xdr:pic>
        <xdr:nvPicPr>
          <xdr:cNvPr id="42" name="Picture 41" descr="https://vsjcllp.vsjadon.com/upload/insp-239882-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095625" y="702087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9882-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66700" y="67656075"/>
            <a:ext cx="1855441" cy="2476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39882-844.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66675" y="64931925"/>
            <a:ext cx="1971675" cy="26316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39882-849.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209800" y="67656075"/>
            <a:ext cx="1855441" cy="2476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39882-86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133600" y="64931925"/>
            <a:ext cx="1971675" cy="26316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39882-86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162425" y="67656075"/>
            <a:ext cx="1855441" cy="24765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39882-94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4181475" y="64931925"/>
            <a:ext cx="1971675" cy="26316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9882-925.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381125" y="702183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jllhomes.co.in/apartments-new/mumbai/180-rustomjee-bayview" TargetMode="External"/><Relationship Id="rId7" Type="http://schemas.openxmlformats.org/officeDocument/2006/relationships/vmlDrawing" Target="../drawings/vmlDrawing2.vml"/><Relationship Id="rId2" Type="http://schemas.openxmlformats.org/officeDocument/2006/relationships/hyperlink" Target="https://www.99acres.com/rustomjee-180-bayview-matunga-west-mumbai-south-npxid-r428425" TargetMode="External"/><Relationship Id="rId1" Type="http://schemas.openxmlformats.org/officeDocument/2006/relationships/hyperlink" Target="https://maps.app.goo.gl/r4ENj2MJFUzgzskj7"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93"/>
  <sheetViews>
    <sheetView tabSelected="1" view="pageBreakPreview" zoomScaleNormal="100" zoomScaleSheetLayoutView="100" zoomScalePageLayoutView="85" workbookViewId="0">
      <selection activeCell="J289" sqref="J289"/>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81" t="s">
        <v>160</v>
      </c>
      <c r="B1" s="181"/>
      <c r="C1" s="181"/>
      <c r="D1" s="181"/>
      <c r="E1" s="181"/>
      <c r="F1" s="181"/>
      <c r="G1" s="181"/>
      <c r="H1" s="181"/>
    </row>
    <row r="2" spans="1:26" ht="16.5" customHeight="1" x14ac:dyDescent="0.25">
      <c r="A2" s="145" t="s">
        <v>0</v>
      </c>
      <c r="B2" s="145"/>
      <c r="C2" s="145"/>
      <c r="D2" s="145"/>
      <c r="E2" s="145"/>
      <c r="F2" s="145"/>
      <c r="G2" s="145"/>
      <c r="H2" s="145"/>
    </row>
    <row r="3" spans="1:26" x14ac:dyDescent="0.25">
      <c r="A3" s="118" t="s">
        <v>1</v>
      </c>
      <c r="B3" s="118"/>
      <c r="C3" s="118"/>
      <c r="D3" s="118"/>
      <c r="E3" s="118" t="str">
        <f ca="1">TEXT(TODAY(),"DD/MM/YYYY")</f>
        <v>14/07/2025</v>
      </c>
      <c r="F3" s="118"/>
      <c r="G3" s="118"/>
      <c r="H3" s="118"/>
      <c r="K3" s="55" t="s">
        <v>233</v>
      </c>
      <c r="L3" s="53" t="s">
        <v>231</v>
      </c>
      <c r="M3" s="53" t="s">
        <v>236</v>
      </c>
      <c r="N3" s="53" t="s">
        <v>234</v>
      </c>
      <c r="O3" s="53" t="s">
        <v>235</v>
      </c>
      <c r="P3" s="53" t="s">
        <v>237</v>
      </c>
    </row>
    <row r="4" spans="1:26" ht="15" customHeight="1" x14ac:dyDescent="0.25">
      <c r="A4" s="118" t="s">
        <v>230</v>
      </c>
      <c r="B4" s="118"/>
      <c r="C4" s="118"/>
      <c r="D4" s="118"/>
      <c r="E4" s="118" t="s">
        <v>231</v>
      </c>
      <c r="F4" s="118"/>
      <c r="G4" s="118"/>
      <c r="H4" s="118"/>
      <c r="K4" s="52" t="s">
        <v>232</v>
      </c>
      <c r="L4" s="53" t="s">
        <v>166</v>
      </c>
      <c r="M4" s="53" t="s">
        <v>241</v>
      </c>
      <c r="N4" s="53" t="s">
        <v>243</v>
      </c>
      <c r="O4" s="53" t="s">
        <v>245</v>
      </c>
      <c r="P4" s="53"/>
    </row>
    <row r="5" spans="1:26" ht="15" customHeight="1" x14ac:dyDescent="0.25">
      <c r="A5" s="118" t="s">
        <v>2</v>
      </c>
      <c r="B5" s="118"/>
      <c r="C5" s="118"/>
      <c r="D5" s="118"/>
      <c r="E5" s="118" t="s">
        <v>166</v>
      </c>
      <c r="F5" s="118"/>
      <c r="G5" s="118"/>
      <c r="H5" s="118"/>
      <c r="K5" s="52"/>
      <c r="L5" s="53" t="s">
        <v>238</v>
      </c>
      <c r="M5" s="53" t="s">
        <v>242</v>
      </c>
      <c r="N5" s="53" t="s">
        <v>244</v>
      </c>
      <c r="O5" s="53" t="s">
        <v>246</v>
      </c>
      <c r="P5" s="53"/>
    </row>
    <row r="6" spans="1:26" x14ac:dyDescent="0.25">
      <c r="A6" s="118" t="s">
        <v>3</v>
      </c>
      <c r="B6" s="118"/>
      <c r="C6" s="118"/>
      <c r="D6" s="118"/>
      <c r="E6" s="183">
        <v>45847</v>
      </c>
      <c r="F6" s="118"/>
      <c r="G6" s="118"/>
      <c r="H6" s="118"/>
      <c r="K6" s="52"/>
      <c r="L6" s="53" t="s">
        <v>239</v>
      </c>
      <c r="M6" s="53"/>
      <c r="N6" s="53"/>
      <c r="O6" s="53" t="s">
        <v>247</v>
      </c>
      <c r="P6" s="53"/>
    </row>
    <row r="7" spans="1:26" ht="16.5" customHeight="1" x14ac:dyDescent="0.25">
      <c r="A7" s="118" t="s">
        <v>4</v>
      </c>
      <c r="B7" s="118"/>
      <c r="C7" s="118"/>
      <c r="D7" s="118"/>
      <c r="E7" s="118" t="s">
        <v>365</v>
      </c>
      <c r="F7" s="118"/>
      <c r="G7" s="118"/>
      <c r="H7" s="118"/>
      <c r="K7" s="52"/>
      <c r="L7" s="53" t="s">
        <v>240</v>
      </c>
      <c r="M7" s="53"/>
      <c r="N7" s="53"/>
      <c r="O7" s="53" t="s">
        <v>247</v>
      </c>
      <c r="P7" s="53"/>
    </row>
    <row r="8" spans="1:26" ht="15" customHeight="1" x14ac:dyDescent="0.25">
      <c r="A8" s="118" t="s">
        <v>5</v>
      </c>
      <c r="B8" s="118"/>
      <c r="C8" s="118"/>
      <c r="D8" s="118"/>
      <c r="E8" s="118" t="s">
        <v>366</v>
      </c>
      <c r="F8" s="118"/>
      <c r="G8" s="118"/>
      <c r="H8" s="118"/>
      <c r="K8" s="52"/>
      <c r="L8" s="53"/>
      <c r="M8" s="53"/>
      <c r="N8" s="53"/>
      <c r="O8" s="53" t="s">
        <v>248</v>
      </c>
      <c r="P8" s="53"/>
    </row>
    <row r="9" spans="1:26" ht="33.75" customHeight="1" x14ac:dyDescent="0.25">
      <c r="A9" s="118" t="s">
        <v>6</v>
      </c>
      <c r="B9" s="118"/>
      <c r="C9" s="118"/>
      <c r="D9" s="118"/>
      <c r="E9" s="182" t="s">
        <v>333</v>
      </c>
      <c r="F9" s="182"/>
      <c r="G9" s="182"/>
      <c r="H9" s="182"/>
      <c r="K9" s="52"/>
      <c r="L9" s="53"/>
      <c r="M9" s="53"/>
      <c r="N9" s="53"/>
      <c r="O9" s="53" t="s">
        <v>249</v>
      </c>
      <c r="P9" s="53"/>
    </row>
    <row r="10" spans="1:26" x14ac:dyDescent="0.25">
      <c r="A10" s="118" t="s">
        <v>163</v>
      </c>
      <c r="B10" s="118"/>
      <c r="C10" s="118"/>
      <c r="D10" s="118"/>
      <c r="E10" s="118" t="s">
        <v>334</v>
      </c>
      <c r="F10" s="118"/>
      <c r="G10" s="118"/>
      <c r="H10" s="118"/>
      <c r="K10" s="52"/>
      <c r="L10" s="53"/>
      <c r="M10" s="53"/>
      <c r="N10" s="53"/>
      <c r="O10" s="53"/>
      <c r="P10" s="53"/>
    </row>
    <row r="11" spans="1:26" x14ac:dyDescent="0.25">
      <c r="A11" s="118" t="s">
        <v>164</v>
      </c>
      <c r="B11" s="118"/>
      <c r="C11" s="118"/>
      <c r="D11" s="118"/>
      <c r="E11" s="118" t="s">
        <v>334</v>
      </c>
      <c r="F11" s="118"/>
      <c r="G11" s="118"/>
      <c r="H11" s="118"/>
    </row>
    <row r="12" spans="1:26" x14ac:dyDescent="0.25">
      <c r="A12" s="118" t="s">
        <v>7</v>
      </c>
      <c r="B12" s="118"/>
      <c r="C12" s="118"/>
      <c r="D12" s="118"/>
      <c r="E12" s="118" t="s">
        <v>335</v>
      </c>
      <c r="F12" s="118"/>
      <c r="G12" s="118"/>
      <c r="H12" s="118"/>
    </row>
    <row r="13" spans="1:26" x14ac:dyDescent="0.25">
      <c r="A13" s="188" t="s">
        <v>167</v>
      </c>
      <c r="B13" s="188"/>
      <c r="C13" s="188"/>
      <c r="D13" s="188"/>
      <c r="E13" s="188" t="s">
        <v>416</v>
      </c>
      <c r="F13" s="188"/>
      <c r="G13" s="188"/>
      <c r="H13" s="188"/>
      <c r="S13" s="53" t="s">
        <v>176</v>
      </c>
      <c r="T13" s="53" t="s">
        <v>185</v>
      </c>
      <c r="U13" s="53" t="s">
        <v>168</v>
      </c>
      <c r="V13" s="53" t="s">
        <v>190</v>
      </c>
      <c r="W13" s="53" t="s">
        <v>208</v>
      </c>
      <c r="X13"/>
      <c r="Y13" t="s">
        <v>190</v>
      </c>
      <c r="Z13" t="e">
        <f ca="1">OFFSET($S$13,1,MATCH($G21,$S$13:$W$13,0)-1,15,1)</f>
        <v>#VALUE!</v>
      </c>
    </row>
    <row r="14" spans="1:26" x14ac:dyDescent="0.25">
      <c r="A14" s="188" t="s">
        <v>276</v>
      </c>
      <c r="B14" s="188"/>
      <c r="C14" s="188"/>
      <c r="D14" s="188"/>
      <c r="E14" s="187" t="s">
        <v>417</v>
      </c>
      <c r="F14" s="187"/>
      <c r="G14" s="187"/>
      <c r="H14" s="187"/>
      <c r="S14" s="53" t="s">
        <v>176</v>
      </c>
      <c r="T14" s="53" t="s">
        <v>183</v>
      </c>
      <c r="U14" s="53" t="s">
        <v>205</v>
      </c>
      <c r="V14" s="53" t="s">
        <v>191</v>
      </c>
      <c r="W14" s="53" t="s">
        <v>209</v>
      </c>
      <c r="X14"/>
      <c r="Y14"/>
      <c r="Z14"/>
    </row>
    <row r="15" spans="1:26" ht="30.75" customHeight="1" x14ac:dyDescent="0.25">
      <c r="A15" s="148" t="s">
        <v>336</v>
      </c>
      <c r="B15" s="149"/>
      <c r="C15" s="149"/>
      <c r="D15" s="150"/>
      <c r="E15" s="189" t="s">
        <v>338</v>
      </c>
      <c r="F15" s="190"/>
      <c r="G15" s="191" t="s">
        <v>337</v>
      </c>
      <c r="H15" s="192"/>
      <c r="I15" s="86" t="e">
        <f ca="1">OFFSET($D$5,1,MATCH($J13,$D$5:$H$5,0)-1,15,1)</f>
        <v>#N/A</v>
      </c>
      <c r="J15" s="87"/>
      <c r="K15" s="87"/>
      <c r="L15" s="87"/>
      <c r="M15" s="87"/>
      <c r="N15" s="87"/>
      <c r="O15" s="87"/>
      <c r="P15" s="87"/>
      <c r="S15" s="53" t="s">
        <v>177</v>
      </c>
      <c r="T15" s="53" t="s">
        <v>184</v>
      </c>
      <c r="U15" s="53" t="s">
        <v>206</v>
      </c>
      <c r="V15" s="53" t="s">
        <v>192</v>
      </c>
      <c r="W15" s="53" t="s">
        <v>222</v>
      </c>
      <c r="X15"/>
      <c r="Y15"/>
      <c r="Z15"/>
    </row>
    <row r="16" spans="1:26" ht="30.75" customHeight="1" x14ac:dyDescent="0.25">
      <c r="A16" s="151"/>
      <c r="B16" s="152"/>
      <c r="C16" s="152"/>
      <c r="D16" s="153"/>
      <c r="E16" s="189" t="s">
        <v>339</v>
      </c>
      <c r="F16" s="190"/>
      <c r="G16" s="191" t="s">
        <v>340</v>
      </c>
      <c r="H16" s="192"/>
      <c r="I16" s="73"/>
      <c r="J16" s="73"/>
      <c r="K16" s="73"/>
      <c r="L16" s="73"/>
      <c r="M16" s="73"/>
      <c r="N16" s="73"/>
      <c r="O16" s="73"/>
      <c r="P16" s="73"/>
      <c r="S16" s="53"/>
      <c r="T16" s="53"/>
      <c r="U16" s="53"/>
      <c r="V16" s="53"/>
      <c r="W16" s="53"/>
      <c r="X16"/>
      <c r="Y16"/>
      <c r="Z16"/>
    </row>
    <row r="17" spans="1:26" ht="48.75" customHeight="1" x14ac:dyDescent="0.25">
      <c r="A17" s="100" t="s">
        <v>8</v>
      </c>
      <c r="B17" s="100"/>
      <c r="C17" s="100" t="str">
        <f>CONCATENATE((IF(OR(E9="",E9="NA"),"",E9)),", ",(IF(OR(A18="",A18="NA"),"",A18)),".",(IF(OR(C18="",C18="NA"),"",C18)),", near ",(IF(OR(C23="",C23="NA"),"",C23)),", ",(IF(OR(C20="",C20="NA"),"",C20)),", ",(IF(OR(C19="",C19="NA"),"",C19)),", ",(IF(OR(G20="",G20="NA"),"",G20)),", ",(IF(OR(C21="",C21="NA"),"",C21)),", ",(IF(OR(C22="",C22="NA"),"",C22)),", ",(IF(OR(G21="",G21="NA"),"",G21))," - ",(IF(OR(G22="",G22="NA"),"",G22)),".")</f>
        <v>Rustomjee 180 Bayview Matunga W (Wing A &amp; B), CTS No.582, F.P No.231 of TPS - III, near Lokmanya Vidya Mandir Jr College, Internal Road, VSNL Colony, Mahim, Mahim West, Mumbai, Mumbai - 400016.</v>
      </c>
      <c r="D17" s="100"/>
      <c r="E17" s="100"/>
      <c r="F17" s="100"/>
      <c r="G17" s="100"/>
      <c r="H17" s="100"/>
      <c r="S17" s="53" t="s">
        <v>178</v>
      </c>
      <c r="T17" s="53" t="s">
        <v>186</v>
      </c>
      <c r="U17" s="53" t="s">
        <v>207</v>
      </c>
      <c r="V17" s="53" t="s">
        <v>193</v>
      </c>
      <c r="W17" s="53" t="s">
        <v>210</v>
      </c>
      <c r="X17"/>
      <c r="Y17"/>
      <c r="Z17"/>
    </row>
    <row r="18" spans="1:26" x14ac:dyDescent="0.25">
      <c r="A18" s="117" t="s">
        <v>171</v>
      </c>
      <c r="B18" s="117"/>
      <c r="C18" s="117" t="s">
        <v>348</v>
      </c>
      <c r="D18" s="117"/>
      <c r="E18" s="117"/>
      <c r="F18" s="117"/>
      <c r="G18" s="117"/>
      <c r="H18" s="117"/>
      <c r="I18" s="20" t="s">
        <v>347</v>
      </c>
      <c r="S18" s="53" t="s">
        <v>179</v>
      </c>
      <c r="T18" s="53" t="s">
        <v>187</v>
      </c>
      <c r="U18" s="53" t="s">
        <v>168</v>
      </c>
      <c r="V18" s="53" t="s">
        <v>194</v>
      </c>
      <c r="W18" s="53" t="s">
        <v>211</v>
      </c>
      <c r="X18"/>
      <c r="Y18"/>
      <c r="Z18"/>
    </row>
    <row r="19" spans="1:26" ht="15.75" customHeight="1" x14ac:dyDescent="0.25">
      <c r="A19" s="117" t="s">
        <v>158</v>
      </c>
      <c r="B19" s="117"/>
      <c r="C19" s="117" t="s">
        <v>349</v>
      </c>
      <c r="D19" s="117"/>
      <c r="E19" s="117"/>
      <c r="F19" s="117"/>
      <c r="G19" s="117"/>
      <c r="H19" s="117"/>
      <c r="S19" s="53" t="s">
        <v>180</v>
      </c>
      <c r="T19" s="53" t="s">
        <v>185</v>
      </c>
      <c r="U19" s="53"/>
      <c r="V19" s="53" t="s">
        <v>195</v>
      </c>
      <c r="W19" s="53" t="s">
        <v>212</v>
      </c>
      <c r="X19"/>
      <c r="Y19"/>
      <c r="Z19"/>
    </row>
    <row r="20" spans="1:26" ht="15.75" customHeight="1" x14ac:dyDescent="0.25">
      <c r="A20" s="100" t="s">
        <v>9</v>
      </c>
      <c r="B20" s="100"/>
      <c r="C20" s="118" t="s">
        <v>350</v>
      </c>
      <c r="D20" s="118"/>
      <c r="E20" s="100" t="s">
        <v>67</v>
      </c>
      <c r="F20" s="100"/>
      <c r="G20" s="117" t="s">
        <v>345</v>
      </c>
      <c r="H20" s="117"/>
      <c r="S20" s="53" t="s">
        <v>181</v>
      </c>
      <c r="T20" s="53" t="s">
        <v>188</v>
      </c>
      <c r="U20" s="53"/>
      <c r="V20" s="53" t="s">
        <v>196</v>
      </c>
      <c r="W20" s="53" t="s">
        <v>213</v>
      </c>
      <c r="X20"/>
      <c r="Y20"/>
      <c r="Z20"/>
    </row>
    <row r="21" spans="1:26" x14ac:dyDescent="0.25">
      <c r="A21" s="93" t="s">
        <v>11</v>
      </c>
      <c r="B21" s="93"/>
      <c r="C21" s="117" t="s">
        <v>344</v>
      </c>
      <c r="D21" s="117"/>
      <c r="E21" s="100" t="s">
        <v>10</v>
      </c>
      <c r="F21" s="100"/>
      <c r="G21" s="193" t="s">
        <v>168</v>
      </c>
      <c r="H21" s="193"/>
      <c r="S21" s="53" t="s">
        <v>182</v>
      </c>
      <c r="T21" s="53" t="s">
        <v>189</v>
      </c>
      <c r="U21" s="53"/>
      <c r="V21" s="53" t="s">
        <v>197</v>
      </c>
      <c r="W21" s="53" t="s">
        <v>214</v>
      </c>
      <c r="X21"/>
      <c r="Y21"/>
      <c r="Z21"/>
    </row>
    <row r="22" spans="1:26" x14ac:dyDescent="0.25">
      <c r="A22" s="93" t="s">
        <v>68</v>
      </c>
      <c r="B22" s="93"/>
      <c r="C22" s="117" t="s">
        <v>168</v>
      </c>
      <c r="D22" s="117"/>
      <c r="E22" s="117" t="s">
        <v>12</v>
      </c>
      <c r="F22" s="117"/>
      <c r="G22" s="117">
        <v>400016</v>
      </c>
      <c r="H22" s="117"/>
      <c r="S22" s="53"/>
      <c r="T22" s="53"/>
      <c r="U22" s="53"/>
      <c r="V22" s="53" t="s">
        <v>198</v>
      </c>
      <c r="W22" s="53" t="s">
        <v>215</v>
      </c>
      <c r="X22"/>
      <c r="Y22"/>
      <c r="Z22"/>
    </row>
    <row r="23" spans="1:26" ht="32.25" customHeight="1" x14ac:dyDescent="0.25">
      <c r="A23" s="93" t="s">
        <v>117</v>
      </c>
      <c r="B23" s="93"/>
      <c r="C23" s="117" t="s">
        <v>346</v>
      </c>
      <c r="D23" s="117"/>
      <c r="E23" s="100" t="s">
        <v>13</v>
      </c>
      <c r="F23" s="100"/>
      <c r="G23" s="117" t="s">
        <v>343</v>
      </c>
      <c r="H23" s="117"/>
      <c r="S23" s="53"/>
      <c r="T23" s="53"/>
      <c r="U23" s="53"/>
      <c r="V23" s="53" t="s">
        <v>199</v>
      </c>
      <c r="W23" s="53" t="s">
        <v>216</v>
      </c>
      <c r="X23"/>
      <c r="Y23"/>
      <c r="Z23"/>
    </row>
    <row r="24" spans="1:26" ht="15" customHeight="1" x14ac:dyDescent="0.25">
      <c r="A24" s="100" t="s">
        <v>70</v>
      </c>
      <c r="B24" s="100"/>
      <c r="C24" s="100"/>
      <c r="D24" s="100"/>
      <c r="E24" s="118" t="s">
        <v>14</v>
      </c>
      <c r="F24" s="118"/>
      <c r="G24" s="118"/>
      <c r="H24" s="118"/>
      <c r="S24" s="53"/>
      <c r="T24" s="53"/>
      <c r="U24" s="53"/>
      <c r="V24" s="53" t="s">
        <v>200</v>
      </c>
      <c r="W24" s="53" t="s">
        <v>217</v>
      </c>
      <c r="X24"/>
      <c r="Y24"/>
      <c r="Z24"/>
    </row>
    <row r="25" spans="1:26" ht="18.75" customHeight="1" x14ac:dyDescent="0.25">
      <c r="A25" s="100"/>
      <c r="B25" s="100"/>
      <c r="C25" s="100"/>
      <c r="D25" s="100"/>
      <c r="E25" s="118"/>
      <c r="F25" s="118"/>
      <c r="G25" s="118"/>
      <c r="H25" s="118"/>
      <c r="S25" s="53"/>
      <c r="T25" s="53"/>
      <c r="U25" s="53"/>
      <c r="V25" s="53" t="s">
        <v>201</v>
      </c>
      <c r="W25" s="53" t="s">
        <v>218</v>
      </c>
      <c r="X25"/>
      <c r="Y25"/>
      <c r="Z25"/>
    </row>
    <row r="26" spans="1:26" ht="15" customHeight="1" x14ac:dyDescent="0.25">
      <c r="A26" s="100" t="s">
        <v>15</v>
      </c>
      <c r="B26" s="100"/>
      <c r="C26" s="100"/>
      <c r="D26" s="100"/>
      <c r="E26" s="117" t="s">
        <v>16</v>
      </c>
      <c r="F26" s="117"/>
      <c r="G26" s="117"/>
      <c r="H26" s="117"/>
      <c r="S26" s="53"/>
      <c r="T26" s="53"/>
      <c r="U26" s="53"/>
      <c r="V26" s="53" t="s">
        <v>202</v>
      </c>
      <c r="W26" s="53" t="s">
        <v>219</v>
      </c>
      <c r="X26"/>
      <c r="Y26"/>
      <c r="Z26"/>
    </row>
    <row r="27" spans="1:26" ht="15" customHeight="1" x14ac:dyDescent="0.25">
      <c r="A27" s="93" t="s">
        <v>17</v>
      </c>
      <c r="B27" s="93"/>
      <c r="C27" s="93"/>
      <c r="D27" s="93"/>
      <c r="E27" s="117" t="str">
        <f>IF(AND(G21="Mumbai"),"Upper Class","Middle Class")</f>
        <v>Upper Class</v>
      </c>
      <c r="F27" s="117"/>
      <c r="G27" s="117"/>
      <c r="H27" s="117"/>
      <c r="S27" s="53"/>
      <c r="T27" s="53"/>
      <c r="U27" s="53"/>
      <c r="V27" s="53" t="s">
        <v>203</v>
      </c>
      <c r="W27" s="53" t="s">
        <v>220</v>
      </c>
      <c r="X27"/>
      <c r="Y27"/>
      <c r="Z27"/>
    </row>
    <row r="28" spans="1:26" x14ac:dyDescent="0.25">
      <c r="A28" s="93" t="s">
        <v>18</v>
      </c>
      <c r="B28" s="93"/>
      <c r="C28" s="93"/>
      <c r="D28" s="93"/>
      <c r="E28" s="117" t="s">
        <v>19</v>
      </c>
      <c r="F28" s="117"/>
      <c r="G28" s="117"/>
      <c r="H28" s="117"/>
      <c r="S28" s="53"/>
      <c r="T28" s="53"/>
      <c r="U28" s="53"/>
      <c r="V28" s="53" t="s">
        <v>204</v>
      </c>
      <c r="W28" s="53" t="s">
        <v>221</v>
      </c>
      <c r="X28"/>
      <c r="Y28"/>
      <c r="Z28"/>
    </row>
    <row r="29" spans="1:26" ht="15.75" customHeight="1" x14ac:dyDescent="0.25">
      <c r="A29" s="93" t="s">
        <v>20</v>
      </c>
      <c r="B29" s="93"/>
      <c r="C29" s="93"/>
      <c r="D29" s="93"/>
      <c r="E29" s="117" t="str">
        <f>IF(AND(G21="Mumbai"),"Developed","Developing")</f>
        <v>Developed</v>
      </c>
      <c r="F29" s="117"/>
      <c r="G29" s="117"/>
      <c r="H29" s="117"/>
    </row>
    <row r="30" spans="1:26" x14ac:dyDescent="0.25">
      <c r="A30" s="93" t="s">
        <v>21</v>
      </c>
      <c r="B30" s="93"/>
      <c r="C30" s="93"/>
      <c r="D30" s="93"/>
      <c r="E30" s="117" t="s">
        <v>22</v>
      </c>
      <c r="F30" s="117"/>
      <c r="G30" s="117"/>
      <c r="H30" s="117"/>
    </row>
    <row r="31" spans="1:26" ht="15.75" customHeight="1" x14ac:dyDescent="0.25">
      <c r="A31" s="93" t="s">
        <v>75</v>
      </c>
      <c r="B31" s="93"/>
      <c r="C31" s="93"/>
      <c r="D31" s="93"/>
      <c r="E31" s="117" t="s">
        <v>76</v>
      </c>
      <c r="F31" s="117"/>
      <c r="G31" s="117"/>
      <c r="H31" s="117"/>
    </row>
    <row r="32" spans="1:26" ht="15" customHeight="1" x14ac:dyDescent="0.25">
      <c r="A32" s="93" t="s">
        <v>29</v>
      </c>
      <c r="B32" s="93"/>
      <c r="C32" s="93"/>
      <c r="D32" s="93"/>
      <c r="E32" s="117"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2" s="117"/>
      <c r="G32" s="117"/>
      <c r="H32" s="117"/>
    </row>
    <row r="33" spans="1:19" ht="15.75" customHeight="1" x14ac:dyDescent="0.25">
      <c r="A33" s="93" t="s">
        <v>86</v>
      </c>
      <c r="B33" s="93"/>
      <c r="C33" s="93"/>
      <c r="D33" s="93"/>
      <c r="E33" s="117" t="s">
        <v>30</v>
      </c>
      <c r="F33" s="117"/>
      <c r="G33" s="117"/>
      <c r="H33" s="117"/>
    </row>
    <row r="34" spans="1:19" s="21" customFormat="1" x14ac:dyDescent="0.25">
      <c r="A34" s="198" t="s">
        <v>87</v>
      </c>
      <c r="B34" s="198"/>
      <c r="C34" s="195" t="s">
        <v>169</v>
      </c>
      <c r="D34" s="196"/>
      <c r="E34" s="197"/>
      <c r="F34" s="195" t="s">
        <v>28</v>
      </c>
      <c r="G34" s="196"/>
      <c r="H34" s="197"/>
      <c r="S34" s="21" t="e">
        <f ca="1">OFFSET($S$13,1,MATCH($G21,$S$13:$W$13,0)-1,15,1)</f>
        <v>#VALUE!</v>
      </c>
    </row>
    <row r="35" spans="1:19" s="21" customFormat="1" x14ac:dyDescent="0.25">
      <c r="A35" s="194" t="s">
        <v>23</v>
      </c>
      <c r="B35" s="194" t="s">
        <v>27</v>
      </c>
      <c r="C35" s="184" t="s">
        <v>353</v>
      </c>
      <c r="D35" s="185"/>
      <c r="E35" s="186"/>
      <c r="F35" s="184" t="s">
        <v>356</v>
      </c>
      <c r="G35" s="185"/>
      <c r="H35" s="186"/>
    </row>
    <row r="36" spans="1:19" x14ac:dyDescent="0.25">
      <c r="A36" s="194" t="s">
        <v>24</v>
      </c>
      <c r="B36" s="194" t="s">
        <v>27</v>
      </c>
      <c r="C36" s="184" t="s">
        <v>351</v>
      </c>
      <c r="D36" s="185"/>
      <c r="E36" s="186"/>
      <c r="F36" s="184" t="s">
        <v>354</v>
      </c>
      <c r="G36" s="185"/>
      <c r="H36" s="186"/>
    </row>
    <row r="37" spans="1:19" s="21" customFormat="1" x14ac:dyDescent="0.25">
      <c r="A37" s="194" t="s">
        <v>26</v>
      </c>
      <c r="B37" s="194" t="s">
        <v>27</v>
      </c>
      <c r="C37" s="184" t="s">
        <v>352</v>
      </c>
      <c r="D37" s="185"/>
      <c r="E37" s="186"/>
      <c r="F37" s="184" t="s">
        <v>346</v>
      </c>
      <c r="G37" s="185"/>
      <c r="H37" s="186"/>
    </row>
    <row r="38" spans="1:19" x14ac:dyDescent="0.25">
      <c r="A38" s="194" t="s">
        <v>25</v>
      </c>
      <c r="B38" s="194" t="s">
        <v>27</v>
      </c>
      <c r="C38" s="184" t="s">
        <v>352</v>
      </c>
      <c r="D38" s="185"/>
      <c r="E38" s="186"/>
      <c r="F38" s="184" t="s">
        <v>355</v>
      </c>
      <c r="G38" s="185"/>
      <c r="H38" s="186"/>
    </row>
    <row r="39" spans="1:19" x14ac:dyDescent="0.25">
      <c r="A39" s="93" t="s">
        <v>277</v>
      </c>
      <c r="B39" s="93"/>
      <c r="C39" s="93"/>
      <c r="D39" s="93"/>
      <c r="E39" s="93"/>
      <c r="F39" s="93"/>
      <c r="G39" s="93"/>
      <c r="H39" s="93"/>
    </row>
    <row r="40" spans="1:19" ht="15.75" customHeight="1" x14ac:dyDescent="0.25">
      <c r="A40" s="93" t="s">
        <v>161</v>
      </c>
      <c r="B40" s="93"/>
      <c r="C40" s="180" t="s">
        <v>341</v>
      </c>
      <c r="D40" s="180"/>
      <c r="E40" s="180"/>
      <c r="F40" s="180"/>
      <c r="G40" s="180"/>
      <c r="H40" s="180"/>
    </row>
    <row r="41" spans="1:19" x14ac:dyDescent="0.25">
      <c r="A41" s="93" t="s">
        <v>157</v>
      </c>
      <c r="B41" s="93"/>
      <c r="C41" s="231" t="s">
        <v>342</v>
      </c>
      <c r="D41" s="117"/>
      <c r="E41" s="117"/>
      <c r="F41" s="117"/>
      <c r="G41" s="117"/>
      <c r="H41" s="117"/>
    </row>
    <row r="42" spans="1:19" x14ac:dyDescent="0.25">
      <c r="A42" s="180" t="s">
        <v>31</v>
      </c>
      <c r="B42" s="180"/>
      <c r="C42" s="180"/>
      <c r="D42" s="180"/>
      <c r="E42" s="180"/>
      <c r="F42" s="180"/>
      <c r="G42" s="180"/>
      <c r="H42" s="180"/>
    </row>
    <row r="43" spans="1:19" x14ac:dyDescent="0.25">
      <c r="A43" s="93" t="s">
        <v>32</v>
      </c>
      <c r="B43" s="93"/>
      <c r="C43" s="93"/>
      <c r="D43" s="93"/>
      <c r="E43" s="199">
        <v>6067.96</v>
      </c>
      <c r="F43" s="199"/>
      <c r="G43" s="199"/>
      <c r="H43" s="199"/>
    </row>
    <row r="44" spans="1:19" x14ac:dyDescent="0.25">
      <c r="A44" s="93" t="s">
        <v>33</v>
      </c>
      <c r="B44" s="93"/>
      <c r="C44" s="93"/>
      <c r="D44" s="93"/>
      <c r="E44" s="102">
        <f>37613.45/E43</f>
        <v>6.1986977501499672</v>
      </c>
      <c r="F44" s="102"/>
      <c r="G44" s="102"/>
      <c r="H44" s="102"/>
    </row>
    <row r="45" spans="1:19" x14ac:dyDescent="0.25">
      <c r="A45" s="93" t="s">
        <v>34</v>
      </c>
      <c r="B45" s="93"/>
      <c r="C45" s="93"/>
      <c r="D45" s="93"/>
      <c r="E45" s="102">
        <f>E47/E43-E44</f>
        <v>1.8734451117014634</v>
      </c>
      <c r="F45" s="102"/>
      <c r="G45" s="102"/>
      <c r="H45" s="102"/>
    </row>
    <row r="46" spans="1:19" x14ac:dyDescent="0.25">
      <c r="A46" s="93" t="s">
        <v>35</v>
      </c>
      <c r="B46" s="93"/>
      <c r="C46" s="93"/>
      <c r="D46" s="93"/>
      <c r="E46" s="102">
        <f>E44+E45</f>
        <v>8.0721428618514306</v>
      </c>
      <c r="F46" s="102"/>
      <c r="G46" s="102"/>
      <c r="H46" s="102"/>
    </row>
    <row r="47" spans="1:19" x14ac:dyDescent="0.25">
      <c r="A47" s="93" t="s">
        <v>85</v>
      </c>
      <c r="B47" s="93"/>
      <c r="C47" s="93"/>
      <c r="D47" s="93"/>
      <c r="E47" s="212">
        <v>48981.440000000002</v>
      </c>
      <c r="F47" s="212"/>
      <c r="G47" s="212"/>
      <c r="H47" s="212"/>
    </row>
    <row r="48" spans="1:19" x14ac:dyDescent="0.25">
      <c r="A48" s="118" t="s">
        <v>36</v>
      </c>
      <c r="B48" s="118"/>
      <c r="C48" s="118"/>
      <c r="D48" s="118"/>
      <c r="E48" s="118" t="s">
        <v>357</v>
      </c>
      <c r="F48" s="118"/>
      <c r="G48" s="118"/>
      <c r="H48" s="118"/>
    </row>
    <row r="49" spans="1:24" x14ac:dyDescent="0.25">
      <c r="A49" s="180" t="s">
        <v>37</v>
      </c>
      <c r="B49" s="180"/>
      <c r="C49" s="180"/>
      <c r="D49" s="180"/>
      <c r="E49" s="180"/>
      <c r="F49" s="180"/>
      <c r="G49" s="180"/>
      <c r="H49" s="180"/>
    </row>
    <row r="50" spans="1:24" ht="33.75" customHeight="1" x14ac:dyDescent="0.25">
      <c r="A50" s="110" t="s">
        <v>146</v>
      </c>
      <c r="B50" s="111"/>
      <c r="C50" s="249" t="s">
        <v>252</v>
      </c>
      <c r="D50" s="250"/>
      <c r="E50" s="250"/>
      <c r="F50" s="250"/>
      <c r="G50" s="250"/>
      <c r="H50" s="251"/>
      <c r="R50" t="s">
        <v>250</v>
      </c>
      <c r="S50" t="s">
        <v>168</v>
      </c>
      <c r="T50" t="s">
        <v>175</v>
      </c>
      <c r="U50" t="s">
        <v>190</v>
      </c>
      <c r="V50" t="s">
        <v>185</v>
      </c>
    </row>
    <row r="51" spans="1:24" ht="35.25" customHeight="1" x14ac:dyDescent="0.25">
      <c r="A51" s="110" t="s">
        <v>38</v>
      </c>
      <c r="B51" s="111"/>
      <c r="C51" s="110" t="s">
        <v>426</v>
      </c>
      <c r="D51" s="112"/>
      <c r="E51" s="113"/>
      <c r="F51" s="17" t="s">
        <v>39</v>
      </c>
      <c r="G51" s="115">
        <v>45456</v>
      </c>
      <c r="H51" s="111"/>
      <c r="R51"/>
      <c r="S51" t="s">
        <v>251</v>
      </c>
      <c r="T51" t="s">
        <v>256</v>
      </c>
      <c r="U51" t="s">
        <v>267</v>
      </c>
      <c r="V51" t="s">
        <v>272</v>
      </c>
    </row>
    <row r="52" spans="1:24" ht="30.75" customHeight="1" x14ac:dyDescent="0.25">
      <c r="A52" s="110" t="s">
        <v>40</v>
      </c>
      <c r="B52" s="111"/>
      <c r="C52" s="110" t="str">
        <f>C51</f>
        <v>P-11998/2022/G/North/FP/337/3/
Amend</v>
      </c>
      <c r="D52" s="114"/>
      <c r="E52" s="111"/>
      <c r="F52" s="17" t="s">
        <v>39</v>
      </c>
      <c r="G52" s="115">
        <f>G51</f>
        <v>45456</v>
      </c>
      <c r="H52" s="111"/>
      <c r="R52"/>
      <c r="S52" t="s">
        <v>252</v>
      </c>
      <c r="T52" t="s">
        <v>257</v>
      </c>
      <c r="U52" t="s">
        <v>265</v>
      </c>
      <c r="V52" t="s">
        <v>273</v>
      </c>
    </row>
    <row r="53" spans="1:24" s="22" customFormat="1" ht="15.75" customHeight="1" x14ac:dyDescent="0.25">
      <c r="A53" s="129" t="s">
        <v>150</v>
      </c>
      <c r="B53" s="130"/>
      <c r="C53" s="110" t="s">
        <v>427</v>
      </c>
      <c r="D53" s="114"/>
      <c r="E53" s="111"/>
      <c r="F53" s="17" t="s">
        <v>39</v>
      </c>
      <c r="G53" s="115">
        <v>45503</v>
      </c>
      <c r="H53" s="111"/>
      <c r="R53"/>
      <c r="S53" t="s">
        <v>253</v>
      </c>
      <c r="T53" t="s">
        <v>258</v>
      </c>
      <c r="U53" t="s">
        <v>255</v>
      </c>
      <c r="V53" t="s">
        <v>274</v>
      </c>
    </row>
    <row r="54" spans="1:24" s="22" customFormat="1" ht="62.25" customHeight="1" x14ac:dyDescent="0.25">
      <c r="A54" s="131"/>
      <c r="B54" s="132"/>
      <c r="C54" s="110" t="s">
        <v>428</v>
      </c>
      <c r="D54" s="114"/>
      <c r="E54" s="111"/>
      <c r="F54" s="17" t="s">
        <v>116</v>
      </c>
      <c r="G54" s="115">
        <v>45867</v>
      </c>
      <c r="H54" s="111"/>
      <c r="R54"/>
      <c r="S54" t="s">
        <v>254</v>
      </c>
      <c r="T54" t="s">
        <v>261</v>
      </c>
      <c r="U54" t="s">
        <v>268</v>
      </c>
    </row>
    <row r="55" spans="1:24" s="22" customFormat="1" x14ac:dyDescent="0.25">
      <c r="A55" s="121" t="s">
        <v>278</v>
      </c>
      <c r="B55" s="122"/>
      <c r="C55" s="125" t="s">
        <v>414</v>
      </c>
      <c r="D55" s="126"/>
      <c r="E55" s="127"/>
      <c r="F55" s="78" t="s">
        <v>39</v>
      </c>
      <c r="G55" s="128">
        <v>45162</v>
      </c>
      <c r="H55" s="127"/>
      <c r="I55" s="79">
        <v>46840</v>
      </c>
      <c r="R55"/>
      <c r="S55" t="s">
        <v>253</v>
      </c>
      <c r="T55" t="s">
        <v>258</v>
      </c>
      <c r="U55" t="s">
        <v>255</v>
      </c>
      <c r="V55" t="s">
        <v>274</v>
      </c>
    </row>
    <row r="56" spans="1:24" s="22" customFormat="1" x14ac:dyDescent="0.25">
      <c r="A56" s="123"/>
      <c r="B56" s="124"/>
      <c r="C56" s="236" t="s">
        <v>409</v>
      </c>
      <c r="D56" s="237"/>
      <c r="E56" s="237"/>
      <c r="F56" s="237"/>
      <c r="G56" s="237"/>
      <c r="H56" s="238"/>
      <c r="R56"/>
      <c r="S56" t="s">
        <v>255</v>
      </c>
      <c r="T56" t="s">
        <v>259</v>
      </c>
      <c r="U56" t="s">
        <v>269</v>
      </c>
      <c r="V56" s="20"/>
      <c r="W56" s="20"/>
      <c r="X56" s="20"/>
    </row>
    <row r="57" spans="1:24" s="22" customFormat="1" ht="19.5" customHeight="1" x14ac:dyDescent="0.25">
      <c r="A57" s="121" t="s">
        <v>279</v>
      </c>
      <c r="B57" s="122"/>
      <c r="C57" s="125" t="s">
        <v>412</v>
      </c>
      <c r="D57" s="126"/>
      <c r="E57" s="127"/>
      <c r="F57" s="78" t="s">
        <v>39</v>
      </c>
      <c r="G57" s="128">
        <v>45330</v>
      </c>
      <c r="H57" s="127"/>
      <c r="R57"/>
      <c r="S57" s="20"/>
      <c r="T57" t="s">
        <v>260</v>
      </c>
      <c r="U57" t="s">
        <v>270</v>
      </c>
      <c r="V57" s="20"/>
      <c r="W57" s="20"/>
      <c r="X57" s="20"/>
    </row>
    <row r="58" spans="1:24" s="22" customFormat="1" ht="65.25" customHeight="1" x14ac:dyDescent="0.25">
      <c r="A58" s="123"/>
      <c r="B58" s="124"/>
      <c r="C58" s="125" t="s">
        <v>413</v>
      </c>
      <c r="D58" s="126"/>
      <c r="E58" s="126"/>
      <c r="F58" s="126"/>
      <c r="G58" s="126"/>
      <c r="H58" s="127"/>
      <c r="R58"/>
      <c r="S58" s="20"/>
      <c r="T58" t="s">
        <v>262</v>
      </c>
      <c r="U58" t="s">
        <v>271</v>
      </c>
      <c r="V58" s="20"/>
      <c r="W58" s="20"/>
      <c r="X58" s="20"/>
    </row>
    <row r="59" spans="1:24" s="22" customFormat="1" ht="15.75" customHeight="1" x14ac:dyDescent="0.25">
      <c r="A59" s="121" t="s">
        <v>280</v>
      </c>
      <c r="B59" s="122"/>
      <c r="C59" s="125" t="s">
        <v>406</v>
      </c>
      <c r="D59" s="126"/>
      <c r="E59" s="127"/>
      <c r="F59" s="17" t="s">
        <v>39</v>
      </c>
      <c r="G59" s="115">
        <v>44816</v>
      </c>
      <c r="H59" s="111"/>
      <c r="R59"/>
      <c r="S59" s="20"/>
      <c r="T59" t="s">
        <v>263</v>
      </c>
      <c r="U59" s="20" t="s">
        <v>293</v>
      </c>
      <c r="V59" s="20"/>
      <c r="W59" s="20"/>
      <c r="X59" s="20"/>
    </row>
    <row r="60" spans="1:24" s="22" customFormat="1" ht="33.75" customHeight="1" x14ac:dyDescent="0.25">
      <c r="A60" s="123"/>
      <c r="B60" s="124"/>
      <c r="C60" s="125" t="s">
        <v>407</v>
      </c>
      <c r="D60" s="126"/>
      <c r="E60" s="127"/>
      <c r="F60" s="17" t="s">
        <v>116</v>
      </c>
      <c r="G60" s="115">
        <v>47737</v>
      </c>
      <c r="H60" s="111"/>
      <c r="R60"/>
      <c r="S60" s="20"/>
      <c r="T60" t="s">
        <v>264</v>
      </c>
      <c r="U60" s="20"/>
      <c r="V60" s="20"/>
      <c r="W60" s="20"/>
      <c r="X60" s="20"/>
    </row>
    <row r="61" spans="1:24" x14ac:dyDescent="0.25">
      <c r="A61" s="94" t="s">
        <v>41</v>
      </c>
      <c r="B61" s="95"/>
      <c r="C61" s="94" t="s">
        <v>99</v>
      </c>
      <c r="D61" s="96"/>
      <c r="E61" s="95"/>
      <c r="F61" s="44" t="s">
        <v>39</v>
      </c>
      <c r="G61" s="119" t="s">
        <v>27</v>
      </c>
      <c r="H61" s="120"/>
      <c r="R61"/>
      <c r="T61" t="s">
        <v>266</v>
      </c>
    </row>
    <row r="62" spans="1:24" x14ac:dyDescent="0.25">
      <c r="A62" s="116" t="s">
        <v>43</v>
      </c>
      <c r="B62" s="116"/>
      <c r="C62" s="116"/>
      <c r="D62" s="116"/>
      <c r="E62" s="116"/>
      <c r="F62" s="116"/>
      <c r="G62" s="116"/>
      <c r="H62" s="116"/>
      <c r="T62" t="s">
        <v>275</v>
      </c>
    </row>
    <row r="63" spans="1:24" ht="34.5" customHeight="1" x14ac:dyDescent="0.25">
      <c r="A63" s="100" t="s">
        <v>358</v>
      </c>
      <c r="B63" s="100"/>
      <c r="C63" s="100"/>
      <c r="D63" s="93">
        <v>27944.18</v>
      </c>
      <c r="E63" s="93"/>
      <c r="F63" s="93"/>
      <c r="G63" s="93"/>
      <c r="H63" s="93"/>
      <c r="R63"/>
    </row>
    <row r="64" spans="1:24" x14ac:dyDescent="0.25">
      <c r="A64" s="117" t="s">
        <v>44</v>
      </c>
      <c r="B64" s="118"/>
      <c r="C64" s="118"/>
      <c r="D64" s="118" t="s">
        <v>405</v>
      </c>
      <c r="E64" s="118"/>
      <c r="F64" s="118"/>
      <c r="G64" s="118"/>
      <c r="H64" s="118"/>
      <c r="I64" s="23"/>
      <c r="R64"/>
    </row>
    <row r="65" spans="1:19" ht="33.75" customHeight="1" x14ac:dyDescent="0.25">
      <c r="A65" s="225" t="s">
        <v>45</v>
      </c>
      <c r="B65" s="226"/>
      <c r="C65" s="227"/>
      <c r="D65" s="158" t="s">
        <v>359</v>
      </c>
      <c r="E65" s="224"/>
      <c r="F65" s="224"/>
      <c r="G65" s="224"/>
      <c r="H65" s="224"/>
      <c r="R65"/>
    </row>
    <row r="66" spans="1:19" ht="15.75" customHeight="1" x14ac:dyDescent="0.25">
      <c r="A66" s="225" t="s">
        <v>83</v>
      </c>
      <c r="B66" s="226"/>
      <c r="C66" s="226"/>
      <c r="D66" s="241" t="s">
        <v>422</v>
      </c>
      <c r="E66" s="242"/>
      <c r="F66" s="242"/>
      <c r="G66" s="242"/>
      <c r="H66" s="243"/>
      <c r="N66" s="20">
        <f>37+4</f>
        <v>41</v>
      </c>
      <c r="R66"/>
    </row>
    <row r="67" spans="1:19" ht="15.75" hidden="1" customHeight="1" x14ac:dyDescent="0.25">
      <c r="A67" s="239"/>
      <c r="B67" s="240"/>
      <c r="C67" s="240"/>
      <c r="D67" s="244" t="s">
        <v>368</v>
      </c>
      <c r="E67" s="245"/>
      <c r="F67" s="245"/>
      <c r="G67" s="245"/>
      <c r="H67" s="246"/>
      <c r="R67"/>
    </row>
    <row r="68" spans="1:19" ht="31.5" customHeight="1" x14ac:dyDescent="0.25">
      <c r="A68" s="148" t="s">
        <v>42</v>
      </c>
      <c r="B68" s="149"/>
      <c r="C68" s="150"/>
      <c r="D68" s="154" t="s">
        <v>360</v>
      </c>
      <c r="E68" s="110" t="s">
        <v>362</v>
      </c>
      <c r="F68" s="111"/>
      <c r="G68" s="156">
        <v>47483</v>
      </c>
      <c r="H68" s="157"/>
      <c r="J68" s="24"/>
      <c r="K68" s="23"/>
      <c r="N68" s="23"/>
      <c r="S68"/>
    </row>
    <row r="69" spans="1:19" ht="31.5" customHeight="1" x14ac:dyDescent="0.25">
      <c r="A69" s="151"/>
      <c r="B69" s="152"/>
      <c r="C69" s="153"/>
      <c r="D69" s="155"/>
      <c r="E69" s="110" t="s">
        <v>361</v>
      </c>
      <c r="F69" s="111"/>
      <c r="G69" s="156">
        <v>47299</v>
      </c>
      <c r="H69" s="157"/>
      <c r="J69" s="24"/>
      <c r="K69" s="23"/>
      <c r="N69" s="23"/>
      <c r="S69"/>
    </row>
    <row r="70" spans="1:19" ht="15.75" customHeight="1" x14ac:dyDescent="0.25">
      <c r="A70" s="93" t="s">
        <v>81</v>
      </c>
      <c r="B70" s="93"/>
      <c r="C70" s="93"/>
      <c r="D70" s="211" t="str">
        <f>(IF(G61="NA","60 Years After Completion",IF(G61&lt;&gt;"NA",""&amp;60-ROUNDDOWN((E3-G61)/360,0)&amp;" Years"," ")))</f>
        <v>60 Years After Completion</v>
      </c>
      <c r="E70" s="211"/>
      <c r="F70" s="211"/>
      <c r="G70" s="211"/>
      <c r="H70" s="211"/>
      <c r="N70" s="23"/>
      <c r="S70"/>
    </row>
    <row r="71" spans="1:19" ht="15.75" customHeight="1" x14ac:dyDescent="0.25">
      <c r="A71" s="93" t="s">
        <v>82</v>
      </c>
      <c r="B71" s="93"/>
      <c r="C71" s="93"/>
      <c r="D71" s="100" t="s">
        <v>22</v>
      </c>
      <c r="E71" s="100"/>
      <c r="F71" s="100"/>
      <c r="G71" s="100"/>
      <c r="H71" s="100"/>
      <c r="I71" s="74" t="s">
        <v>367</v>
      </c>
      <c r="J71" s="25"/>
      <c r="K71" s="25"/>
      <c r="S71"/>
    </row>
    <row r="72" spans="1:19" ht="51.75" customHeight="1" x14ac:dyDescent="0.25">
      <c r="A72" s="118" t="s">
        <v>363</v>
      </c>
      <c r="B72" s="118"/>
      <c r="C72" s="118"/>
      <c r="D72" s="117" t="s">
        <v>420</v>
      </c>
      <c r="E72" s="117"/>
      <c r="F72" s="117"/>
      <c r="G72" s="117"/>
      <c r="H72" s="117"/>
      <c r="I72" s="74" t="s">
        <v>364</v>
      </c>
      <c r="S72"/>
    </row>
    <row r="73" spans="1:19" x14ac:dyDescent="0.25">
      <c r="A73" s="100" t="s">
        <v>143</v>
      </c>
      <c r="B73" s="100"/>
      <c r="C73" s="100"/>
      <c r="D73" s="100" t="s">
        <v>27</v>
      </c>
      <c r="E73" s="100"/>
      <c r="F73" s="100"/>
      <c r="G73" s="100"/>
      <c r="H73" s="100"/>
      <c r="I73" s="26"/>
      <c r="J73" s="26"/>
      <c r="K73" s="26"/>
      <c r="L73" s="26"/>
      <c r="M73" s="26"/>
      <c r="N73" s="26"/>
    </row>
    <row r="74" spans="1:19" ht="15.75" customHeight="1" x14ac:dyDescent="0.25">
      <c r="A74" s="101" t="s">
        <v>80</v>
      </c>
      <c r="B74" s="101"/>
      <c r="C74" s="101"/>
      <c r="D74" s="158" t="str">
        <f ca="1">(IF(G80&gt;95%,"Nothing",IF(G80&gt;0%,"Cement, Aggregate, Steel, etc",IF(G80=0%,"Work not yet Started"))))</f>
        <v>Cement, Aggregate, Steel, etc</v>
      </c>
      <c r="E74" s="158"/>
      <c r="F74" s="158"/>
      <c r="G74" s="158"/>
      <c r="H74" s="158"/>
      <c r="J74" s="25"/>
      <c r="S74"/>
    </row>
    <row r="75" spans="1:19" ht="33.75" customHeight="1" thickBot="1" x14ac:dyDescent="0.3">
      <c r="A75" s="261" t="s">
        <v>112</v>
      </c>
      <c r="B75" s="261"/>
      <c r="C75" s="261"/>
      <c r="D75" s="158" t="str">
        <f ca="1">(IF(D74="Nothing","Yes",IF(D74="Cement, Aggregate, Steel, etc","Under Construction",IF(D74="Work not yet Started","Work not yet Started"))))</f>
        <v>Under Construction</v>
      </c>
      <c r="E75" s="158"/>
      <c r="F75" s="158" t="str">
        <f ca="1">(IF(D74="Nothing","Yes",IF(D74="Cement, Aggregate, Steel, etc","Under Construction",IF(D74="Work not yet Started","Work not yet Started"))))</f>
        <v>Under Construction</v>
      </c>
      <c r="G75" s="158"/>
      <c r="H75" s="158"/>
      <c r="S75"/>
    </row>
    <row r="76" spans="1:19" ht="15.75" customHeight="1" x14ac:dyDescent="0.25">
      <c r="A76" s="215" t="s">
        <v>135</v>
      </c>
      <c r="B76" s="216"/>
      <c r="C76" s="217" t="s">
        <v>423</v>
      </c>
      <c r="D76" s="218"/>
      <c r="E76" s="218"/>
      <c r="F76" s="218"/>
      <c r="G76" s="218"/>
      <c r="H76" s="219"/>
      <c r="I76" s="48" t="str">
        <f ca="1">IF(D89=100%,"All work Completed. Possession granted to the Building.",IF(D88=100%,"All work Completed, Waiting for OC",I77&amp;""&amp;I78&amp;""&amp;J77&amp;""&amp;J76&amp;" "&amp;J78))</f>
        <v xml:space="preserve">Excavation Completed, Footing work is process </v>
      </c>
      <c r="J76" s="49"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25">
      <c r="A77" s="80" t="s">
        <v>137</v>
      </c>
      <c r="B77" s="81">
        <f>IF(AND(ISNUMBER(SEARCH("1B",C76))),1,IF(AND(ISNUMBER(SEARCH("2B",C76))),2,IF(AND(ISNUMBER(SEARCH("3B",C76))),3,IF(AND(ISNUMBER(SEARCH("4B",C76))),4,IF(ISNUMBER(SEARCH("5B",C76)),5,0)))))</f>
        <v>4</v>
      </c>
      <c r="C77" s="81" t="s">
        <v>66</v>
      </c>
      <c r="D77" s="81">
        <v>1</v>
      </c>
      <c r="E77" s="81" t="s">
        <v>65</v>
      </c>
      <c r="F77" s="81">
        <v>0</v>
      </c>
      <c r="G77" s="81" t="s">
        <v>74</v>
      </c>
      <c r="H77" s="82">
        <f ca="1">--TRIM(RIGHT(SUBSTITUTE(LEFT(C76,_xlfn.AGGREGATE(16,6,FIND({0,1,2,3,4,5,6,7,8,9},C76,ROW(INDIRECT("1:"&amp;LEN(C76)))),1))," ",REPT(" ",LEN(C76))),LEN(C76)))</f>
        <v>40</v>
      </c>
      <c r="I77" s="50" t="str">
        <f ca="1">IF(D80=100%,"Excavation","")&amp;IF(D81=100%,", Plinth","")&amp;IF(D82=100%,", RCC Slab","")&amp;IF(D83=100%,", Brickwork","")&amp;IF(D84=100%,", Internal Plaster","")&amp;IF(D85=100%,", External Plaster","")&amp;IF(D86=100%,", Flooring","")&amp;IF(D87=100%,", Painting","")&amp;IF(D88=100%,", Building common Amenities","")</f>
        <v>Excavation</v>
      </c>
      <c r="J77" s="51"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Footing work is process</v>
      </c>
      <c r="S77"/>
    </row>
    <row r="78" spans="1:19" x14ac:dyDescent="0.25">
      <c r="A78" s="213" t="s">
        <v>84</v>
      </c>
      <c r="B78" s="214"/>
      <c r="C78" s="255" t="str">
        <f ca="1">I76</f>
        <v xml:space="preserve">Excavation Completed, Footing work is process </v>
      </c>
      <c r="D78" s="255"/>
      <c r="E78" s="255"/>
      <c r="F78" s="255"/>
      <c r="G78" s="255"/>
      <c r="H78" s="256"/>
      <c r="I78" s="50" t="str">
        <f ca="1">IF(I77&lt;&gt;""," Completed","")</f>
        <v xml:space="preserve"> Completed</v>
      </c>
      <c r="J78" s="51" t="str">
        <f ca="1">IF(J76&lt;&gt;"","Completed","")</f>
        <v/>
      </c>
      <c r="K78" s="20" t="s">
        <v>425</v>
      </c>
      <c r="S78"/>
    </row>
    <row r="79" spans="1:19" ht="15.75" customHeight="1" x14ac:dyDescent="0.25">
      <c r="A79" s="108" t="s">
        <v>46</v>
      </c>
      <c r="B79" s="109"/>
      <c r="C79" s="42" t="s">
        <v>134</v>
      </c>
      <c r="D79" s="42" t="s">
        <v>77</v>
      </c>
      <c r="E79" s="109" t="s">
        <v>79</v>
      </c>
      <c r="F79" s="109"/>
      <c r="G79" s="109" t="s">
        <v>78</v>
      </c>
      <c r="H79" s="247"/>
      <c r="I79" s="13" t="s">
        <v>136</v>
      </c>
      <c r="J79" s="27">
        <f ca="1">H77*25%</f>
        <v>10</v>
      </c>
      <c r="S79"/>
    </row>
    <row r="80" spans="1:19" x14ac:dyDescent="0.25">
      <c r="A80" s="108" t="s">
        <v>123</v>
      </c>
      <c r="B80" s="109"/>
      <c r="C80" s="42">
        <f ca="1">J81</f>
        <v>40</v>
      </c>
      <c r="D80" s="18">
        <f ca="1">((100/H77)*C80)/100</f>
        <v>1</v>
      </c>
      <c r="E80" s="200">
        <f ca="1">(((C81/H77*10)+(40/(D77+F77+H77)*C82)+(7.5/(H77)*C83)+(7.5/(H77)*C84)+(10/H77*C85)+(10/H77*C86)+(5/H77*C87)+(5/H77*C88)+(5/H77*C89))/100)</f>
        <v>1.666666666666667E-2</v>
      </c>
      <c r="F80" s="201"/>
      <c r="G80" s="200">
        <f ca="1">((((C80/H77)*20)+((C81/H77)*25)+(30/(H77+F77+D77)*C82)+(5/H77*C83)+(5/H77*C84)+(5/H77*C85)+(5/H77*C86)+(0/H77*C87)+(0/H77*C88)+(5/H77*C89))/100)</f>
        <v>0.24166666666666667</v>
      </c>
      <c r="H80" s="206"/>
      <c r="I80" s="13" t="s">
        <v>94</v>
      </c>
      <c r="J80" s="28">
        <f ca="1">H77*50%</f>
        <v>20</v>
      </c>
    </row>
    <row r="81" spans="1:19" x14ac:dyDescent="0.25">
      <c r="A81" s="108" t="s">
        <v>47</v>
      </c>
      <c r="B81" s="109"/>
      <c r="C81" s="273">
        <f ca="1">J82</f>
        <v>6.666666666666667</v>
      </c>
      <c r="D81" s="18">
        <f ca="1">((100/H77)*C81)/100</f>
        <v>0.16666666666666669</v>
      </c>
      <c r="E81" s="202"/>
      <c r="F81" s="203"/>
      <c r="G81" s="202"/>
      <c r="H81" s="207"/>
      <c r="I81" s="13" t="s">
        <v>95</v>
      </c>
      <c r="J81" s="28">
        <f ca="1">H77</f>
        <v>40</v>
      </c>
      <c r="S81"/>
    </row>
    <row r="82" spans="1:19" ht="15.75" customHeight="1" x14ac:dyDescent="0.25">
      <c r="A82" s="108" t="s">
        <v>124</v>
      </c>
      <c r="B82" s="109"/>
      <c r="C82" s="42">
        <v>0</v>
      </c>
      <c r="D82" s="18">
        <f ca="1">((100/(D77+F77+H77))*C82)/100</f>
        <v>0</v>
      </c>
      <c r="E82" s="202"/>
      <c r="F82" s="203"/>
      <c r="G82" s="202"/>
      <c r="H82" s="207"/>
      <c r="I82" s="13" t="s">
        <v>96</v>
      </c>
      <c r="J82" s="29">
        <f ca="1">(IF(B77&gt;1,(H77/(B77+2)),H77/4))</f>
        <v>6.666666666666667</v>
      </c>
      <c r="S82"/>
    </row>
    <row r="83" spans="1:19" ht="15.75" customHeight="1" x14ac:dyDescent="0.25">
      <c r="A83" s="108" t="s">
        <v>131</v>
      </c>
      <c r="B83" s="109" t="s">
        <v>125</v>
      </c>
      <c r="C83" s="42">
        <v>0</v>
      </c>
      <c r="D83" s="18">
        <f ca="1">((100/H77)*C83)/100</f>
        <v>0</v>
      </c>
      <c r="E83" s="202"/>
      <c r="F83" s="203"/>
      <c r="G83" s="202"/>
      <c r="H83" s="207"/>
      <c r="I83" s="13" t="s">
        <v>97</v>
      </c>
      <c r="J83" s="29">
        <f ca="1">(IF(B77&gt;1,(H77/(B77+2)+J82),H77/4+J82))</f>
        <v>13.333333333333334</v>
      </c>
    </row>
    <row r="84" spans="1:19" ht="15.75" customHeight="1" x14ac:dyDescent="0.25">
      <c r="A84" s="108" t="s">
        <v>132</v>
      </c>
      <c r="B84" s="109" t="s">
        <v>125</v>
      </c>
      <c r="C84" s="42">
        <v>0</v>
      </c>
      <c r="D84" s="18">
        <f ca="1">((100/H77)*C84)/100</f>
        <v>0</v>
      </c>
      <c r="E84" s="202"/>
      <c r="F84" s="203"/>
      <c r="G84" s="202"/>
      <c r="H84" s="207"/>
      <c r="I84" s="13" t="s">
        <v>141</v>
      </c>
      <c r="J84" s="29">
        <f ca="1">(IF(B77&gt;1,(H77/(B77+2)+J83),0))</f>
        <v>20</v>
      </c>
    </row>
    <row r="85" spans="1:19" ht="15" customHeight="1" x14ac:dyDescent="0.25">
      <c r="A85" s="108" t="s">
        <v>130</v>
      </c>
      <c r="B85" s="109" t="s">
        <v>127</v>
      </c>
      <c r="C85" s="42">
        <v>0</v>
      </c>
      <c r="D85" s="18">
        <f ca="1">((100/(H77))*C85)/100</f>
        <v>0</v>
      </c>
      <c r="E85" s="202"/>
      <c r="F85" s="203"/>
      <c r="G85" s="202"/>
      <c r="H85" s="207"/>
      <c r="I85" s="13" t="s">
        <v>138</v>
      </c>
      <c r="J85" s="29">
        <f ca="1">(IF(B77&gt;2,(H77/(B77+2)+J84),0))</f>
        <v>26.666666666666668</v>
      </c>
    </row>
    <row r="86" spans="1:19" ht="15.75" customHeight="1" x14ac:dyDescent="0.25">
      <c r="A86" s="108" t="s">
        <v>126</v>
      </c>
      <c r="B86" s="109" t="s">
        <v>126</v>
      </c>
      <c r="C86" s="42">
        <v>0</v>
      </c>
      <c r="D86" s="18">
        <f ca="1">((100/H77)*C86)/100</f>
        <v>0</v>
      </c>
      <c r="E86" s="202"/>
      <c r="F86" s="203"/>
      <c r="G86" s="202"/>
      <c r="H86" s="207"/>
      <c r="I86" s="13" t="s">
        <v>139</v>
      </c>
      <c r="J86" s="30">
        <f ca="1">(IF(B77&gt;3,(H77/(B77+2)+J85),0))</f>
        <v>33.333333333333336</v>
      </c>
    </row>
    <row r="87" spans="1:19" ht="15.75" customHeight="1" x14ac:dyDescent="0.25">
      <c r="A87" s="108" t="s">
        <v>133</v>
      </c>
      <c r="B87" s="109"/>
      <c r="C87" s="42">
        <v>0</v>
      </c>
      <c r="D87" s="18">
        <f ca="1">((100/H77)*C87)/100</f>
        <v>0</v>
      </c>
      <c r="E87" s="202"/>
      <c r="F87" s="203"/>
      <c r="G87" s="202"/>
      <c r="H87" s="207"/>
      <c r="I87" s="13" t="s">
        <v>140</v>
      </c>
      <c r="J87" s="29">
        <f>(IF(B77&gt;4,(H77/(B77+2)+J86),0))</f>
        <v>0</v>
      </c>
    </row>
    <row r="88" spans="1:19" ht="15.75" customHeight="1" x14ac:dyDescent="0.25">
      <c r="A88" s="108" t="s">
        <v>128</v>
      </c>
      <c r="B88" s="109" t="s">
        <v>128</v>
      </c>
      <c r="C88" s="42">
        <v>0</v>
      </c>
      <c r="D88" s="18">
        <f ca="1">((100/(H77))*C88)/100</f>
        <v>0</v>
      </c>
      <c r="E88" s="202"/>
      <c r="F88" s="203"/>
      <c r="G88" s="202"/>
      <c r="H88" s="207"/>
      <c r="I88" s="13" t="s">
        <v>142</v>
      </c>
      <c r="J88" s="29">
        <f>(IF(B77=1,(H77/(B77+3)+J83),IF(B77=0,(H77/4+J83),IF(B77&gt;1,0))))</f>
        <v>0</v>
      </c>
    </row>
    <row r="89" spans="1:19" ht="16.5" thickBot="1" x14ac:dyDescent="0.3">
      <c r="A89" s="209" t="s">
        <v>129</v>
      </c>
      <c r="B89" s="210"/>
      <c r="C89" s="43">
        <v>0</v>
      </c>
      <c r="D89" s="19">
        <f ca="1">((100/(H77))*C89)/100</f>
        <v>0</v>
      </c>
      <c r="E89" s="204"/>
      <c r="F89" s="205"/>
      <c r="G89" s="204"/>
      <c r="H89" s="208"/>
      <c r="I89" s="14" t="s">
        <v>98</v>
      </c>
      <c r="J89" s="31">
        <f ca="1">(IF(B77&gt;1.5,(H77/(B77+2)+J83+MAX(0,J84-J83)+MAX(0,J85-J84)+MAX(0,J86-J85)+MAX(0,J87-J86)+MAX(0,J88-J87)),IF(B77=1,(H77/(B77+3)+J88),IF(B77=0,H77/4+J88))))</f>
        <v>40</v>
      </c>
    </row>
    <row r="90" spans="1:19" ht="15.75" customHeight="1" x14ac:dyDescent="0.25">
      <c r="A90" s="103" t="s">
        <v>135</v>
      </c>
      <c r="B90" s="104"/>
      <c r="C90" s="105" t="str">
        <f>D67</f>
        <v>Wing B = 4B + Gr + 1st to 40th Floor</v>
      </c>
      <c r="D90" s="106"/>
      <c r="E90" s="106"/>
      <c r="F90" s="106"/>
      <c r="G90" s="106"/>
      <c r="H90" s="107"/>
      <c r="I90" s="48" t="str">
        <f ca="1">IF(D103=100%,"All work Completed. Possession granted to the Building.",IF(D102=100%,"All work Completed, Waiting for OC",I91&amp;""&amp;I92&amp;""&amp;J91&amp;""&amp;J90&amp;" "&amp;J92))</f>
        <v xml:space="preserve">Excavation Completed, Footing work is process </v>
      </c>
      <c r="J90" s="49"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row>
    <row r="91" spans="1:19" x14ac:dyDescent="0.25">
      <c r="A91" s="15" t="s">
        <v>137</v>
      </c>
      <c r="B91" s="46">
        <f>IF(AND(ISNUMBER(SEARCH("1B",C90))),1,IF(AND(ISNUMBER(SEARCH("2B",C90))),2,IF(AND(ISNUMBER(SEARCH("3B",C90))),3,IF(AND(ISNUMBER(SEARCH("4B",C90))),4,IF(ISNUMBER(SEARCH("5B",C90)),5,0)))))</f>
        <v>4</v>
      </c>
      <c r="C91" s="46" t="s">
        <v>66</v>
      </c>
      <c r="D91" s="46">
        <v>1</v>
      </c>
      <c r="E91" s="46" t="s">
        <v>65</v>
      </c>
      <c r="F91" s="46">
        <v>0</v>
      </c>
      <c r="G91" s="47" t="s">
        <v>74</v>
      </c>
      <c r="H91" s="16">
        <f ca="1">--TRIM(RIGHT(SUBSTITUTE(LEFT(C90,_xlfn.AGGREGATE(16,6,FIND({0,1,2,3,4,5,6,7,8,9},C90,ROW(INDIRECT("1:"&amp;LEN(C90)))),1))," ",REPT(" ",LEN(C90))),LEN(C90)))</f>
        <v>40</v>
      </c>
      <c r="I91" s="50" t="str">
        <f ca="1">IF(D94=100%,"Excavation","")&amp;IF(D95=100%,", Plinth","")&amp;IF(D96=100%,", RCC Slab","")&amp;IF(D97=100%,", Brickwork","")&amp;IF(D98=100%,", Internal Plaster","")&amp;IF(D99=100%,", External Plaster","")&amp;IF(D100=100%,", Flooring","")&amp;IF(D101=100%,", Painting","")&amp;IF(D102=100%,", Building common Amenities","")</f>
        <v>Excavation</v>
      </c>
      <c r="J91" s="51"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Footing work is process</v>
      </c>
    </row>
    <row r="92" spans="1:19" x14ac:dyDescent="0.25">
      <c r="A92" s="229" t="s">
        <v>84</v>
      </c>
      <c r="B92" s="230"/>
      <c r="C92" s="182" t="str">
        <f ca="1">(IF($G$61="NA",I90,"All work Completed. OC Received."))</f>
        <v xml:space="preserve">Excavation Completed, Footing work is process </v>
      </c>
      <c r="D92" s="182"/>
      <c r="E92" s="182"/>
      <c r="F92" s="182"/>
      <c r="G92" s="182"/>
      <c r="H92" s="228"/>
      <c r="I92" s="50" t="str">
        <f ca="1">IF(I91&lt;&gt;""," Completed","")</f>
        <v xml:space="preserve"> Completed</v>
      </c>
      <c r="J92" s="51" t="str">
        <f ca="1">IF(J90&lt;&gt;"","Completed","")</f>
        <v/>
      </c>
    </row>
    <row r="93" spans="1:19" ht="15.75" customHeight="1" x14ac:dyDescent="0.25">
      <c r="A93" s="108" t="s">
        <v>46</v>
      </c>
      <c r="B93" s="109"/>
      <c r="C93" s="42" t="s">
        <v>134</v>
      </c>
      <c r="D93" s="42" t="s">
        <v>77</v>
      </c>
      <c r="E93" s="109" t="s">
        <v>79</v>
      </c>
      <c r="F93" s="109"/>
      <c r="G93" s="109" t="s">
        <v>78</v>
      </c>
      <c r="H93" s="247"/>
      <c r="I93" s="13" t="s">
        <v>136</v>
      </c>
      <c r="J93" s="27">
        <f ca="1">H91*25%</f>
        <v>10</v>
      </c>
      <c r="K93" s="20" t="s">
        <v>424</v>
      </c>
    </row>
    <row r="94" spans="1:19" x14ac:dyDescent="0.25">
      <c r="A94" s="108" t="s">
        <v>123</v>
      </c>
      <c r="B94" s="109"/>
      <c r="C94" s="84">
        <f ca="1">J95</f>
        <v>40</v>
      </c>
      <c r="D94" s="18">
        <f ca="1">((100/H91)*C94)/100</f>
        <v>1</v>
      </c>
      <c r="E94" s="200">
        <f ca="1">(((C95/H91*10)+(40/(D91+F91+H91)*C96)+(7.5/(H91)*C97)+(7.5/(H91)*C98)+(10/H91*C99)+(10/H91*C100)+(5/H91*C101)+(5/H91*C102)+(5/H91*C103))/100)</f>
        <v>1.666666666666667E-2</v>
      </c>
      <c r="F94" s="201"/>
      <c r="G94" s="200">
        <f ca="1">((((C94/H91)*20)+((C95/H91)*25)+(30/(H91+F91+D91)*C96)+(5/H91*C97)+(5/H91*C98)+(5/H91*C99)+(5/H91*C100)+(0/H91*C101)+(0/H91*C102)+(5/H91*C103))/100)</f>
        <v>0.24166666666666667</v>
      </c>
      <c r="H94" s="206"/>
      <c r="I94" s="13" t="s">
        <v>94</v>
      </c>
      <c r="J94" s="28">
        <f ca="1">H91*50%</f>
        <v>20</v>
      </c>
    </row>
    <row r="95" spans="1:19" x14ac:dyDescent="0.25">
      <c r="A95" s="108" t="s">
        <v>47</v>
      </c>
      <c r="B95" s="109"/>
      <c r="C95" s="83">
        <f ca="1">J96</f>
        <v>6.666666666666667</v>
      </c>
      <c r="D95" s="18">
        <f ca="1">((100/H91)*C95)/100</f>
        <v>0.16666666666666669</v>
      </c>
      <c r="E95" s="202"/>
      <c r="F95" s="203"/>
      <c r="G95" s="202"/>
      <c r="H95" s="207"/>
      <c r="I95" s="13" t="s">
        <v>95</v>
      </c>
      <c r="J95" s="28">
        <f ca="1">H91</f>
        <v>40</v>
      </c>
    </row>
    <row r="96" spans="1:19" ht="15.75" customHeight="1" x14ac:dyDescent="0.25">
      <c r="A96" s="108" t="s">
        <v>124</v>
      </c>
      <c r="B96" s="109"/>
      <c r="C96" s="42">
        <v>0</v>
      </c>
      <c r="D96" s="18">
        <f ca="1">((100/(D91+F91+H91))*C96)/100</f>
        <v>0</v>
      </c>
      <c r="E96" s="202"/>
      <c r="F96" s="203"/>
      <c r="G96" s="202"/>
      <c r="H96" s="207"/>
      <c r="I96" s="13" t="s">
        <v>96</v>
      </c>
      <c r="J96" s="29">
        <f ca="1">(IF(B91&gt;1,(H91/(B91+2)),H91/4))</f>
        <v>6.666666666666667</v>
      </c>
    </row>
    <row r="97" spans="1:22" ht="15.75" customHeight="1" x14ac:dyDescent="0.25">
      <c r="A97" s="108" t="s">
        <v>131</v>
      </c>
      <c r="B97" s="109" t="s">
        <v>125</v>
      </c>
      <c r="C97" s="42">
        <v>0</v>
      </c>
      <c r="D97" s="18">
        <f ca="1">((100/H91)*C97)/100</f>
        <v>0</v>
      </c>
      <c r="E97" s="202"/>
      <c r="F97" s="203"/>
      <c r="G97" s="202"/>
      <c r="H97" s="207"/>
      <c r="I97" s="13" t="s">
        <v>97</v>
      </c>
      <c r="J97" s="29">
        <f ca="1">(IF(B91&gt;1,(H91/(B91+2)+J96),H91/4+J96))</f>
        <v>13.333333333333334</v>
      </c>
    </row>
    <row r="98" spans="1:22" ht="15.75" customHeight="1" x14ac:dyDescent="0.25">
      <c r="A98" s="108" t="s">
        <v>132</v>
      </c>
      <c r="B98" s="109" t="s">
        <v>125</v>
      </c>
      <c r="C98" s="42">
        <v>0</v>
      </c>
      <c r="D98" s="18">
        <f ca="1">((100/H91)*C98)/100</f>
        <v>0</v>
      </c>
      <c r="E98" s="202"/>
      <c r="F98" s="203"/>
      <c r="G98" s="202"/>
      <c r="H98" s="207"/>
      <c r="I98" s="13" t="s">
        <v>141</v>
      </c>
      <c r="J98" s="29">
        <f ca="1">(IF(B91&gt;1,(H91/(B91+2)+J97),0))</f>
        <v>20</v>
      </c>
    </row>
    <row r="99" spans="1:22" ht="15" customHeight="1" x14ac:dyDescent="0.25">
      <c r="A99" s="108" t="s">
        <v>130</v>
      </c>
      <c r="B99" s="109" t="s">
        <v>127</v>
      </c>
      <c r="C99" s="42">
        <v>0</v>
      </c>
      <c r="D99" s="18">
        <f ca="1">((100/(H91))*C99)/100</f>
        <v>0</v>
      </c>
      <c r="E99" s="202"/>
      <c r="F99" s="203"/>
      <c r="G99" s="202"/>
      <c r="H99" s="207"/>
      <c r="I99" s="13" t="s">
        <v>138</v>
      </c>
      <c r="J99" s="29">
        <f ca="1">(IF(B91&gt;2,(H91/(B91+2)+J98),0))</f>
        <v>26.666666666666668</v>
      </c>
    </row>
    <row r="100" spans="1:22" ht="15.75" customHeight="1" x14ac:dyDescent="0.25">
      <c r="A100" s="108" t="s">
        <v>126</v>
      </c>
      <c r="B100" s="109" t="s">
        <v>126</v>
      </c>
      <c r="C100" s="42">
        <v>0</v>
      </c>
      <c r="D100" s="18">
        <f ca="1">((100/H91)*C100)/100</f>
        <v>0</v>
      </c>
      <c r="E100" s="202"/>
      <c r="F100" s="203"/>
      <c r="G100" s="202"/>
      <c r="H100" s="207"/>
      <c r="I100" s="13" t="s">
        <v>139</v>
      </c>
      <c r="J100" s="30">
        <f ca="1">(IF(B91&gt;3,(H91/(B91+2)+J99),0))</f>
        <v>33.333333333333336</v>
      </c>
    </row>
    <row r="101" spans="1:22" ht="15.75" customHeight="1" x14ac:dyDescent="0.25">
      <c r="A101" s="108" t="s">
        <v>133</v>
      </c>
      <c r="B101" s="109"/>
      <c r="C101" s="42">
        <v>0</v>
      </c>
      <c r="D101" s="18">
        <f ca="1">((100/H91)*C101)/100</f>
        <v>0</v>
      </c>
      <c r="E101" s="202"/>
      <c r="F101" s="203"/>
      <c r="G101" s="202"/>
      <c r="H101" s="207"/>
      <c r="I101" s="13" t="s">
        <v>140</v>
      </c>
      <c r="J101" s="29">
        <f>(IF(B91&gt;4,(H91/(B91+2)+J100),0))</f>
        <v>0</v>
      </c>
    </row>
    <row r="102" spans="1:22" ht="15.75" customHeight="1" x14ac:dyDescent="0.25">
      <c r="A102" s="108" t="s">
        <v>128</v>
      </c>
      <c r="B102" s="109" t="s">
        <v>128</v>
      </c>
      <c r="C102" s="42">
        <v>0</v>
      </c>
      <c r="D102" s="18">
        <f ca="1">((100/(H91))*C102)/100</f>
        <v>0</v>
      </c>
      <c r="E102" s="202"/>
      <c r="F102" s="203"/>
      <c r="G102" s="202"/>
      <c r="H102" s="207"/>
      <c r="I102" s="13" t="s">
        <v>142</v>
      </c>
      <c r="J102" s="29">
        <f>(IF(B91=1,(H91/(B91+3)+J97),IF(B91=0,(H91/4+J97),IF(B91&gt;1,0))))</f>
        <v>0</v>
      </c>
    </row>
    <row r="103" spans="1:22" ht="16.5" thickBot="1" x14ac:dyDescent="0.3">
      <c r="A103" s="209" t="s">
        <v>129</v>
      </c>
      <c r="B103" s="210"/>
      <c r="C103" s="43">
        <v>0</v>
      </c>
      <c r="D103" s="19">
        <f ca="1">((100/(H91))*C103)/100</f>
        <v>0</v>
      </c>
      <c r="E103" s="204"/>
      <c r="F103" s="205"/>
      <c r="G103" s="204"/>
      <c r="H103" s="208"/>
      <c r="I103" s="14" t="s">
        <v>98</v>
      </c>
      <c r="J103" s="31">
        <f ca="1">(IF(B91&gt;1.5,(H91/(B91+2)+J97+MAX(0,J98-J97)+MAX(0,J99-J98)+MAX(0,J100-J99)+MAX(0,J101-J100)+MAX(0,J102-J101)),IF(B91=1,(H91/(B91+3)+J102),IF(B91=0,H91/4+J102))))</f>
        <v>40</v>
      </c>
    </row>
    <row r="104" spans="1:22" x14ac:dyDescent="0.25">
      <c r="A104" s="254" t="s">
        <v>152</v>
      </c>
      <c r="B104" s="254"/>
      <c r="C104" s="254"/>
      <c r="D104" s="254"/>
      <c r="E104" s="254"/>
      <c r="F104" s="248" t="s">
        <v>156</v>
      </c>
      <c r="G104" s="248"/>
      <c r="H104" s="248"/>
      <c r="R104" t="s">
        <v>250</v>
      </c>
      <c r="S104" t="s">
        <v>168</v>
      </c>
      <c r="T104" t="s">
        <v>175</v>
      </c>
      <c r="U104" t="s">
        <v>190</v>
      </c>
      <c r="V104" t="s">
        <v>185</v>
      </c>
    </row>
    <row r="105" spans="1:22" x14ac:dyDescent="0.25">
      <c r="A105" s="93" t="s">
        <v>154</v>
      </c>
      <c r="B105" s="93"/>
      <c r="C105" s="93"/>
      <c r="D105" s="93"/>
      <c r="E105" s="93"/>
      <c r="F105" s="88">
        <v>33000</v>
      </c>
      <c r="G105" s="88"/>
      <c r="H105" s="88"/>
      <c r="R105"/>
      <c r="S105">
        <v>800000</v>
      </c>
      <c r="T105">
        <v>150000</v>
      </c>
      <c r="U105">
        <v>100000</v>
      </c>
      <c r="V105">
        <v>100000</v>
      </c>
    </row>
    <row r="106" spans="1:22" hidden="1" x14ac:dyDescent="0.25">
      <c r="A106" s="93" t="s">
        <v>153</v>
      </c>
      <c r="B106" s="93"/>
      <c r="C106" s="93"/>
      <c r="D106" s="93"/>
      <c r="E106" s="93"/>
      <c r="F106" s="88"/>
      <c r="G106" s="88"/>
      <c r="H106" s="88"/>
      <c r="R106"/>
      <c r="S106">
        <v>900000</v>
      </c>
      <c r="T106">
        <v>200000</v>
      </c>
      <c r="U106">
        <v>150000</v>
      </c>
      <c r="V106">
        <v>150000</v>
      </c>
    </row>
    <row r="107" spans="1:22" hidden="1" x14ac:dyDescent="0.25">
      <c r="A107" s="93" t="s">
        <v>155</v>
      </c>
      <c r="B107" s="93"/>
      <c r="C107" s="93"/>
      <c r="D107" s="93"/>
      <c r="E107" s="93"/>
      <c r="F107" s="88"/>
      <c r="G107" s="88"/>
      <c r="H107" s="88"/>
      <c r="R107"/>
      <c r="S107">
        <v>1000000</v>
      </c>
      <c r="T107">
        <v>250000</v>
      </c>
      <c r="U107">
        <v>200000</v>
      </c>
      <c r="V107">
        <v>200000</v>
      </c>
    </row>
    <row r="108" spans="1:22" s="32" customFormat="1" hidden="1" x14ac:dyDescent="0.25">
      <c r="A108" s="93" t="s">
        <v>170</v>
      </c>
      <c r="B108" s="93"/>
      <c r="C108" s="93"/>
      <c r="D108" s="93"/>
      <c r="E108" s="93"/>
      <c r="F108" s="88"/>
      <c r="G108" s="88"/>
      <c r="H108" s="88"/>
      <c r="R108"/>
      <c r="S108">
        <v>1100000</v>
      </c>
      <c r="T108">
        <v>300000</v>
      </c>
      <c r="U108">
        <v>250000</v>
      </c>
      <c r="V108" s="22">
        <v>250000</v>
      </c>
    </row>
    <row r="109" spans="1:22" s="32" customFormat="1" hidden="1" x14ac:dyDescent="0.25">
      <c r="A109" s="93" t="s">
        <v>88</v>
      </c>
      <c r="B109" s="93"/>
      <c r="C109" s="93"/>
      <c r="D109" s="93"/>
      <c r="E109" s="93"/>
      <c r="F109" s="88"/>
      <c r="G109" s="88"/>
      <c r="H109" s="88"/>
      <c r="R109"/>
      <c r="S109">
        <v>1200000</v>
      </c>
      <c r="T109">
        <v>350000</v>
      </c>
      <c r="U109">
        <v>300000</v>
      </c>
      <c r="V109">
        <v>300000</v>
      </c>
    </row>
    <row r="110" spans="1:22" s="32" customFormat="1" hidden="1" x14ac:dyDescent="0.25">
      <c r="A110" s="93" t="s">
        <v>89</v>
      </c>
      <c r="B110" s="93"/>
      <c r="C110" s="93"/>
      <c r="D110" s="93"/>
      <c r="E110" s="93"/>
      <c r="F110" s="88"/>
      <c r="G110" s="88"/>
      <c r="H110" s="88"/>
      <c r="R110"/>
      <c r="S110">
        <v>1300000</v>
      </c>
      <c r="T110">
        <v>400000</v>
      </c>
      <c r="U110">
        <v>350000</v>
      </c>
      <c r="V110" s="22">
        <v>400000</v>
      </c>
    </row>
    <row r="111" spans="1:22" s="32" customFormat="1" hidden="1" x14ac:dyDescent="0.25">
      <c r="A111" s="93" t="s">
        <v>90</v>
      </c>
      <c r="B111" s="93"/>
      <c r="C111" s="93"/>
      <c r="D111" s="93"/>
      <c r="E111" s="93"/>
      <c r="F111" s="88"/>
      <c r="G111" s="88"/>
      <c r="H111" s="88"/>
      <c r="R111"/>
      <c r="S111">
        <v>1400000</v>
      </c>
      <c r="T111">
        <v>500000</v>
      </c>
      <c r="U111">
        <v>400000</v>
      </c>
      <c r="V111"/>
    </row>
    <row r="112" spans="1:22" s="32" customFormat="1" hidden="1" x14ac:dyDescent="0.25">
      <c r="A112" s="93" t="s">
        <v>91</v>
      </c>
      <c r="B112" s="93"/>
      <c r="C112" s="93"/>
      <c r="D112" s="93"/>
      <c r="E112" s="93"/>
      <c r="F112" s="88"/>
      <c r="G112" s="88"/>
      <c r="H112" s="88"/>
      <c r="R112"/>
      <c r="S112">
        <v>1500000</v>
      </c>
      <c r="T112">
        <v>600000</v>
      </c>
      <c r="U112">
        <v>500000</v>
      </c>
      <c r="V112" s="22"/>
    </row>
    <row r="113" spans="1:22" s="32" customFormat="1" hidden="1" x14ac:dyDescent="0.25">
      <c r="A113" s="93" t="s">
        <v>92</v>
      </c>
      <c r="B113" s="93"/>
      <c r="C113" s="93"/>
      <c r="D113" s="93"/>
      <c r="E113" s="93"/>
      <c r="F113" s="88"/>
      <c r="G113" s="88"/>
      <c r="H113" s="88"/>
      <c r="R113"/>
      <c r="S113">
        <v>1600000</v>
      </c>
      <c r="T113">
        <v>700000</v>
      </c>
      <c r="U113">
        <v>600000</v>
      </c>
      <c r="V113"/>
    </row>
    <row r="114" spans="1:22" s="32" customFormat="1" hidden="1" x14ac:dyDescent="0.25">
      <c r="A114" s="93" t="s">
        <v>93</v>
      </c>
      <c r="B114" s="93"/>
      <c r="C114" s="93"/>
      <c r="D114" s="93"/>
      <c r="E114" s="93"/>
      <c r="F114" s="88"/>
      <c r="G114" s="88"/>
      <c r="H114" s="88"/>
      <c r="R114"/>
      <c r="S114">
        <v>1700000</v>
      </c>
      <c r="T114">
        <v>800000</v>
      </c>
      <c r="U114"/>
      <c r="V114" s="22"/>
    </row>
    <row r="115" spans="1:22" x14ac:dyDescent="0.25">
      <c r="A115" s="93" t="s">
        <v>48</v>
      </c>
      <c r="B115" s="93"/>
      <c r="C115" s="93"/>
      <c r="D115" s="93"/>
      <c r="E115" s="93"/>
      <c r="F115" s="179">
        <v>1500000</v>
      </c>
      <c r="G115" s="179"/>
      <c r="H115" s="179"/>
      <c r="R115"/>
      <c r="S115">
        <v>1800000</v>
      </c>
      <c r="T115">
        <v>900000</v>
      </c>
      <c r="U115"/>
    </row>
    <row r="116" spans="1:22" s="33" customFormat="1" x14ac:dyDescent="0.25">
      <c r="A116" s="180" t="s">
        <v>49</v>
      </c>
      <c r="B116" s="180"/>
      <c r="C116" s="180"/>
      <c r="D116" s="180"/>
      <c r="E116" s="180"/>
      <c r="F116" s="88">
        <f>F105*0.8</f>
        <v>26400</v>
      </c>
      <c r="G116" s="88"/>
      <c r="H116" s="88"/>
      <c r="R116" s="20"/>
      <c r="S116" s="20"/>
      <c r="T116">
        <v>1000000</v>
      </c>
      <c r="U116"/>
      <c r="V116" s="20"/>
    </row>
    <row r="117" spans="1:22" s="34" customFormat="1" ht="15.75" hidden="1" customHeight="1" x14ac:dyDescent="0.25">
      <c r="A117" s="178" t="s">
        <v>69</v>
      </c>
      <c r="B117" s="178"/>
      <c r="C117" s="178"/>
      <c r="D117" s="178"/>
      <c r="E117" s="178"/>
      <c r="F117" s="178"/>
      <c r="G117" s="178"/>
      <c r="H117" s="178"/>
      <c r="R117"/>
      <c r="S117" s="20"/>
      <c r="T117"/>
      <c r="U117"/>
      <c r="V117" s="20"/>
    </row>
    <row r="118" spans="1:22" s="34" customFormat="1" ht="15.75" hidden="1" customHeight="1" x14ac:dyDescent="0.25">
      <c r="A118" s="92" t="s">
        <v>50</v>
      </c>
      <c r="B118" s="92"/>
      <c r="C118" s="99" t="s">
        <v>72</v>
      </c>
      <c r="D118" s="99"/>
      <c r="E118" s="97" t="s">
        <v>51</v>
      </c>
      <c r="F118" s="97"/>
      <c r="G118" s="92" t="s">
        <v>52</v>
      </c>
      <c r="H118" s="92"/>
      <c r="R118"/>
      <c r="S118" s="20"/>
      <c r="T118"/>
      <c r="U118" s="20"/>
      <c r="V118" s="20"/>
    </row>
    <row r="119" spans="1:22" s="34" customFormat="1" hidden="1" x14ac:dyDescent="0.25">
      <c r="A119" s="98"/>
      <c r="B119" s="98"/>
      <c r="C119" s="232"/>
      <c r="D119" s="232"/>
      <c r="E119" s="233"/>
      <c r="F119" s="233"/>
      <c r="G119" s="138"/>
      <c r="H119" s="138"/>
      <c r="R119"/>
      <c r="S119" s="20"/>
      <c r="T119"/>
      <c r="U119" s="20"/>
      <c r="V119" s="20"/>
    </row>
    <row r="120" spans="1:22" s="34" customFormat="1" hidden="1" x14ac:dyDescent="0.25">
      <c r="A120" s="98"/>
      <c r="B120" s="98"/>
      <c r="C120" s="232"/>
      <c r="D120" s="232"/>
      <c r="E120" s="233"/>
      <c r="F120" s="233"/>
      <c r="G120" s="138"/>
      <c r="H120" s="138"/>
      <c r="R120"/>
      <c r="S120" s="20"/>
      <c r="T120"/>
      <c r="U120" s="20"/>
      <c r="V120" s="20"/>
    </row>
    <row r="121" spans="1:22" s="34" customFormat="1" hidden="1" x14ac:dyDescent="0.25">
      <c r="A121" s="178" t="s">
        <v>145</v>
      </c>
      <c r="B121" s="178"/>
      <c r="C121" s="99"/>
      <c r="D121" s="99"/>
      <c r="E121" s="97"/>
      <c r="F121" s="97"/>
      <c r="G121" s="92"/>
      <c r="H121" s="92"/>
      <c r="R121"/>
      <c r="S121" s="20"/>
      <c r="T121"/>
      <c r="U121" s="20"/>
      <c r="V121" s="20"/>
    </row>
    <row r="122" spans="1:22" s="34" customFormat="1" x14ac:dyDescent="0.25">
      <c r="A122" s="178" t="s">
        <v>404</v>
      </c>
      <c r="B122" s="178"/>
      <c r="C122" s="178"/>
      <c r="D122" s="178"/>
      <c r="E122" s="178"/>
      <c r="F122" s="178"/>
      <c r="G122" s="178"/>
      <c r="H122" s="178"/>
      <c r="T122"/>
    </row>
    <row r="123" spans="1:22" s="34" customFormat="1" ht="15.75" customHeight="1" x14ac:dyDescent="0.25">
      <c r="A123" s="92" t="s">
        <v>50</v>
      </c>
      <c r="B123" s="92"/>
      <c r="C123" s="99" t="s">
        <v>72</v>
      </c>
      <c r="D123" s="99"/>
      <c r="E123" s="97" t="s">
        <v>51</v>
      </c>
      <c r="F123" s="97"/>
      <c r="G123" s="92" t="s">
        <v>52</v>
      </c>
      <c r="H123" s="92"/>
      <c r="T123"/>
    </row>
    <row r="124" spans="1:22" s="34" customFormat="1" x14ac:dyDescent="0.25">
      <c r="A124" s="98" t="s">
        <v>369</v>
      </c>
      <c r="B124" s="98"/>
      <c r="C124" s="221">
        <f>COUNT(D149:D151)*3+COUNT(D154:D156)*9+COUNT(D160:D161)+COUNT(D164:D166)*5+COUNT(D170:D171)+COUNT(D175:D176)+COUNT(D179:D181)+COUNT(D184:D186)*3+COUNT(D189:D190)+COUNT(D192:D195)*6+COUNT(D198:D200)+COUNT(D202:D203,D205)</f>
        <v>101</v>
      </c>
      <c r="D124" s="221"/>
      <c r="E124" s="221">
        <f>SUM(F149:F151)*3+SUM(F154:F156)*9+SUM(F160:F161)+SUM(F164:F166)*5+SUM(F170:F171)+SUM(F175:F176)+SUM(F179:F181)+SUM(F184:F186)*3+SUM(F189:F190)+SUM(F192:F195)*6+SUM(F198:F200)+SUM(F202:F203,F205)</f>
        <v>122699.91239999999</v>
      </c>
      <c r="F124" s="221"/>
      <c r="G124" s="221">
        <f>SUM(H149:H151)*3+SUM(H154:H156)*9+SUM(H160:H161)+SUM(H164:H166)*5+SUM(H170:H171)+SUM(H175:H176)+SUM(H179:H181)+SUM(H184:H186)*3+SUM(H189:H190)+SUM(H192:H195)*6+SUM(H198:H200)+SUM(H202:H203,H205)</f>
        <v>184049.86859999999</v>
      </c>
      <c r="H124" s="221"/>
      <c r="T124"/>
    </row>
    <row r="125" spans="1:22" s="34" customFormat="1" x14ac:dyDescent="0.25">
      <c r="A125" s="98" t="s">
        <v>371</v>
      </c>
      <c r="B125" s="98"/>
      <c r="C125" s="221">
        <f>COUNT(D214:D217)*3+COUNT(D220:D223)*9+COUNT(D228:D229)+COUNT(D232:D235)*5+COUNT(D240:D241)+COUNT(D246:D247)+COUNT(D250:D253)+COUNT(D256:D259)*3+COUNT(D263:D264)+COUNT(D266:D270)*6+COUNT(D273:D276)+COUNT(D278:D280,D282)</f>
        <v>130</v>
      </c>
      <c r="D125" s="221"/>
      <c r="E125" s="221">
        <f>SUM(F214:F217)*3+SUM(F220:F223)*9+SUM(F228:F229)+SUM(F232:F235)*5+SUM(F240:F241)+SUM(F246:F247)+SUM(F250:F253)+SUM(F256:F259)*3+SUM(F263:F264)+SUM(F266:F270)*6+SUM(F273:F276)+SUM(F278:F280,F282)</f>
        <v>139029.65388</v>
      </c>
      <c r="F125" s="221"/>
      <c r="G125" s="221">
        <f>SUM(H214:H217)*3+SUM(H220:H223)*9+SUM(H228:H229)+SUM(H232:H235)*5+SUM(H240:H241)+SUM(H246:H247)+SUM(H250:H253)+SUM(H256:H259)*3+SUM(H263:H264)+SUM(H266:H270)*6+SUM(H273:H276)+SUM(H278:H280,H282)</f>
        <v>208544.48081999997</v>
      </c>
      <c r="H125" s="221"/>
      <c r="K125" s="34">
        <f>40000000-4500000</f>
        <v>35500000</v>
      </c>
      <c r="T125"/>
    </row>
    <row r="126" spans="1:22" s="34" customFormat="1" x14ac:dyDescent="0.25">
      <c r="A126" s="257" t="s">
        <v>145</v>
      </c>
      <c r="B126" s="257"/>
      <c r="C126" s="139">
        <f>SUM(C124:D125)</f>
        <v>231</v>
      </c>
      <c r="D126" s="140"/>
      <c r="E126" s="258">
        <f t="shared" ref="E126:G126" si="0">SUM(E124:F125)</f>
        <v>261729.56627999997</v>
      </c>
      <c r="F126" s="259"/>
      <c r="G126" s="260">
        <f t="shared" si="0"/>
        <v>392594.34941999998</v>
      </c>
      <c r="H126" s="260"/>
      <c r="T126"/>
    </row>
    <row r="127" spans="1:22" s="34" customFormat="1" hidden="1" x14ac:dyDescent="0.25">
      <c r="A127" s="162" t="s">
        <v>162</v>
      </c>
      <c r="B127" s="163"/>
      <c r="C127" s="164">
        <f>C121+C126</f>
        <v>231</v>
      </c>
      <c r="D127" s="164"/>
      <c r="E127" s="165">
        <f>E121+E126</f>
        <v>261729.56627999997</v>
      </c>
      <c r="F127" s="165"/>
      <c r="G127" s="234">
        <f>G121+G126</f>
        <v>392594.34941999998</v>
      </c>
      <c r="H127" s="235"/>
      <c r="T127"/>
    </row>
    <row r="128" spans="1:22" s="33" customFormat="1" x14ac:dyDescent="0.25">
      <c r="A128" s="145" t="s">
        <v>331</v>
      </c>
      <c r="B128" s="145"/>
      <c r="C128" s="145"/>
      <c r="D128" s="145"/>
      <c r="E128" s="145"/>
      <c r="F128" s="145"/>
      <c r="G128" s="145"/>
      <c r="H128" s="145"/>
      <c r="T128" s="34"/>
    </row>
    <row r="129" spans="1:20" x14ac:dyDescent="0.25">
      <c r="A129" s="91" t="s">
        <v>403</v>
      </c>
      <c r="B129" s="91"/>
      <c r="C129" s="91"/>
      <c r="D129" s="91"/>
      <c r="E129" s="91"/>
      <c r="F129" s="91"/>
      <c r="G129" s="91"/>
      <c r="H129" s="91"/>
      <c r="T129" s="34"/>
    </row>
    <row r="130" spans="1:20" ht="47.25" hidden="1" customHeight="1" x14ac:dyDescent="0.25">
      <c r="A130" s="136" t="s">
        <v>114</v>
      </c>
      <c r="B130" s="136" t="s">
        <v>172</v>
      </c>
      <c r="C130" s="136" t="s">
        <v>53</v>
      </c>
      <c r="D130" s="252" t="s">
        <v>229</v>
      </c>
      <c r="E130" s="222" t="s">
        <v>151</v>
      </c>
      <c r="F130" s="136" t="s">
        <v>54</v>
      </c>
      <c r="G130" s="222" t="s">
        <v>55</v>
      </c>
      <c r="H130" s="63" t="s">
        <v>144</v>
      </c>
      <c r="T130" s="34"/>
    </row>
    <row r="131" spans="1:20" s="36" customFormat="1" hidden="1" x14ac:dyDescent="0.25">
      <c r="A131" s="137"/>
      <c r="B131" s="137"/>
      <c r="C131" s="137"/>
      <c r="D131" s="253"/>
      <c r="E131" s="223"/>
      <c r="F131" s="137"/>
      <c r="G131" s="223"/>
      <c r="H131" s="54">
        <v>0.45</v>
      </c>
      <c r="T131" s="34"/>
    </row>
    <row r="132" spans="1:20" s="36" customFormat="1" hidden="1" x14ac:dyDescent="0.25">
      <c r="A132" s="141" t="s">
        <v>113</v>
      </c>
      <c r="B132" s="142"/>
      <c r="C132" s="142"/>
      <c r="D132" s="142"/>
      <c r="E132" s="142"/>
      <c r="F132" s="142"/>
      <c r="G132" s="142"/>
      <c r="H132" s="143"/>
      <c r="J132" s="35"/>
      <c r="T132" s="34"/>
    </row>
    <row r="133" spans="1:20" s="36" customFormat="1" ht="15.75" hidden="1" customHeight="1" x14ac:dyDescent="0.25">
      <c r="A133" s="89">
        <v>1</v>
      </c>
      <c r="B133" s="90"/>
      <c r="C133" s="41"/>
      <c r="D133" s="41">
        <v>0</v>
      </c>
      <c r="E133" s="41">
        <v>0</v>
      </c>
      <c r="F133" s="41">
        <f>D133+(IF(E133&lt;201,E133,IF(E133&lt;301,E133/2,E133/3)))</f>
        <v>0</v>
      </c>
      <c r="G133" s="41">
        <v>0</v>
      </c>
      <c r="H133" s="41">
        <f>(F133+(IF(G133&lt;101,G133,IF(G133&lt;201,G133/2,IF(G133&lt;=301,G133/3,G133/4)))))*(($H$131)+1)</f>
        <v>0</v>
      </c>
      <c r="I133" s="35"/>
      <c r="L133" s="220"/>
      <c r="M133" s="220"/>
      <c r="N133" s="35"/>
      <c r="T133" s="34"/>
    </row>
    <row r="134" spans="1:20" s="36" customFormat="1" ht="15.75" hidden="1" customHeight="1" x14ac:dyDescent="0.25">
      <c r="A134" s="89">
        <f>A133+1</f>
        <v>2</v>
      </c>
      <c r="B134" s="90"/>
      <c r="C134" s="41"/>
      <c r="D134" s="41"/>
      <c r="E134" s="41">
        <v>0</v>
      </c>
      <c r="F134" s="41">
        <f t="shared" ref="F134:F136" si="1">D134+(IF(E134&lt;201,E134,IF(E134&lt;301,E134/2,E134/3)))</f>
        <v>0</v>
      </c>
      <c r="G134" s="41">
        <v>0</v>
      </c>
      <c r="H134" s="41">
        <f t="shared" ref="H134:H136" si="2">(F134+(IF(G134&lt;101,G134,IF(G134&lt;201,G134/2,IF(G134&lt;=301,G134/3,G134/4)))))*(($H$131)+1)</f>
        <v>0</v>
      </c>
      <c r="I134" s="35"/>
      <c r="L134" s="220"/>
      <c r="M134" s="220"/>
      <c r="N134" s="35"/>
      <c r="T134" s="33"/>
    </row>
    <row r="135" spans="1:20" s="36" customFormat="1" ht="15.75" hidden="1" customHeight="1" x14ac:dyDescent="0.25">
      <c r="A135" s="89">
        <f>A134+1</f>
        <v>3</v>
      </c>
      <c r="B135" s="90"/>
      <c r="C135" s="41"/>
      <c r="D135" s="41"/>
      <c r="E135" s="41">
        <v>0</v>
      </c>
      <c r="F135" s="41">
        <f t="shared" si="1"/>
        <v>0</v>
      </c>
      <c r="G135" s="41">
        <v>0</v>
      </c>
      <c r="H135" s="41">
        <f t="shared" si="2"/>
        <v>0</v>
      </c>
      <c r="I135" s="35"/>
      <c r="L135" s="220"/>
      <c r="M135" s="220"/>
      <c r="N135" s="35"/>
      <c r="T135" s="20"/>
    </row>
    <row r="136" spans="1:20" s="36" customFormat="1" ht="15.75" hidden="1" customHeight="1" x14ac:dyDescent="0.25">
      <c r="A136" s="89">
        <f>A135+1</f>
        <v>4</v>
      </c>
      <c r="B136" s="90"/>
      <c r="C136" s="41"/>
      <c r="D136" s="41"/>
      <c r="E136" s="41">
        <v>0</v>
      </c>
      <c r="F136" s="41">
        <f t="shared" si="1"/>
        <v>0</v>
      </c>
      <c r="G136" s="41">
        <v>0</v>
      </c>
      <c r="H136" s="41">
        <f t="shared" si="2"/>
        <v>0</v>
      </c>
      <c r="I136" s="35"/>
      <c r="L136" s="220"/>
      <c r="M136" s="220"/>
      <c r="N136" s="35"/>
      <c r="T136" s="20"/>
    </row>
    <row r="137" spans="1:20" s="36" customFormat="1" x14ac:dyDescent="0.25">
      <c r="A137" s="89"/>
      <c r="B137" s="144"/>
      <c r="C137" s="144"/>
      <c r="D137" s="144"/>
      <c r="E137" s="144"/>
      <c r="F137" s="144"/>
      <c r="G137" s="144"/>
      <c r="H137" s="90"/>
      <c r="I137" s="35"/>
      <c r="N137" s="35"/>
    </row>
    <row r="138" spans="1:20" ht="47.25" customHeight="1" x14ac:dyDescent="0.25">
      <c r="A138" s="146" t="s">
        <v>115</v>
      </c>
      <c r="B138" s="136" t="s">
        <v>173</v>
      </c>
      <c r="C138" s="136" t="s">
        <v>53</v>
      </c>
      <c r="D138" s="134" t="s">
        <v>229</v>
      </c>
      <c r="E138" s="136" t="s">
        <v>228</v>
      </c>
      <c r="F138" s="136" t="s">
        <v>54</v>
      </c>
      <c r="G138" s="222" t="s">
        <v>55</v>
      </c>
      <c r="H138" s="62" t="s">
        <v>144</v>
      </c>
      <c r="I138" s="35"/>
      <c r="T138" s="36"/>
    </row>
    <row r="139" spans="1:20" s="36" customFormat="1" x14ac:dyDescent="0.25">
      <c r="A139" s="147"/>
      <c r="B139" s="137"/>
      <c r="C139" s="137"/>
      <c r="D139" s="135"/>
      <c r="E139" s="137"/>
      <c r="F139" s="137"/>
      <c r="G139" s="223"/>
      <c r="H139" s="76">
        <v>0.5</v>
      </c>
      <c r="I139" s="35"/>
    </row>
    <row r="140" spans="1:20" s="36" customFormat="1" x14ac:dyDescent="0.25">
      <c r="A140" s="141" t="s">
        <v>369</v>
      </c>
      <c r="B140" s="142"/>
      <c r="C140" s="142"/>
      <c r="D140" s="142"/>
      <c r="E140" s="142"/>
      <c r="F140" s="142"/>
      <c r="G140" s="142"/>
      <c r="H140" s="143"/>
      <c r="I140" s="77">
        <v>10.763999999999999</v>
      </c>
      <c r="J140" s="35"/>
    </row>
    <row r="141" spans="1:20" s="36" customFormat="1" ht="15.75" customHeight="1" x14ac:dyDescent="0.25">
      <c r="A141" s="141" t="s">
        <v>370</v>
      </c>
      <c r="B141" s="142"/>
      <c r="C141" s="142"/>
      <c r="D141" s="142"/>
      <c r="E141" s="142"/>
      <c r="F141" s="142"/>
      <c r="G141" s="142"/>
      <c r="H141" s="143"/>
      <c r="I141" s="35"/>
      <c r="L141" s="220"/>
      <c r="M141" s="220"/>
      <c r="N141" s="35"/>
    </row>
    <row r="142" spans="1:20" s="36" customFormat="1" ht="15.75" customHeight="1" x14ac:dyDescent="0.25">
      <c r="A142" s="141" t="s">
        <v>372</v>
      </c>
      <c r="B142" s="142"/>
      <c r="C142" s="142"/>
      <c r="D142" s="142"/>
      <c r="E142" s="142"/>
      <c r="F142" s="142"/>
      <c r="G142" s="142"/>
      <c r="H142" s="143"/>
      <c r="I142" s="35"/>
      <c r="L142" s="220"/>
      <c r="M142" s="220"/>
      <c r="N142" s="35"/>
    </row>
    <row r="143" spans="1:20" s="36" customFormat="1" ht="15.75" customHeight="1" x14ac:dyDescent="0.25">
      <c r="A143" s="141" t="s">
        <v>375</v>
      </c>
      <c r="B143" s="142"/>
      <c r="C143" s="142"/>
      <c r="D143" s="142"/>
      <c r="E143" s="142"/>
      <c r="F143" s="142"/>
      <c r="G143" s="142"/>
      <c r="H143" s="143"/>
      <c r="I143" s="35"/>
      <c r="L143" s="220"/>
      <c r="M143" s="220"/>
      <c r="N143" s="35"/>
    </row>
    <row r="144" spans="1:20" s="36" customFormat="1" ht="31.5" customHeight="1" x14ac:dyDescent="0.25">
      <c r="A144" s="141" t="s">
        <v>376</v>
      </c>
      <c r="B144" s="142"/>
      <c r="C144" s="142"/>
      <c r="D144" s="142"/>
      <c r="E144" s="142"/>
      <c r="F144" s="142"/>
      <c r="G144" s="142"/>
      <c r="H144" s="143"/>
      <c r="I144" s="35"/>
      <c r="L144" s="220"/>
      <c r="M144" s="220"/>
      <c r="N144" s="35"/>
      <c r="T144" s="20"/>
    </row>
    <row r="145" spans="1:15" s="36" customFormat="1" x14ac:dyDescent="0.25">
      <c r="A145" s="141" t="s">
        <v>379</v>
      </c>
      <c r="B145" s="142"/>
      <c r="C145" s="142"/>
      <c r="D145" s="142"/>
      <c r="E145" s="142"/>
      <c r="F145" s="142"/>
      <c r="G145" s="142"/>
      <c r="H145" s="143"/>
      <c r="I145" s="35"/>
      <c r="L145" s="220"/>
      <c r="M145" s="220"/>
    </row>
    <row r="146" spans="1:15" s="36" customFormat="1" x14ac:dyDescent="0.25">
      <c r="A146" s="141" t="s">
        <v>380</v>
      </c>
      <c r="B146" s="142"/>
      <c r="C146" s="142"/>
      <c r="D146" s="142"/>
      <c r="E146" s="142"/>
      <c r="F146" s="142"/>
      <c r="G146" s="142"/>
      <c r="H146" s="143"/>
      <c r="I146" s="35"/>
      <c r="N146" s="35"/>
    </row>
    <row r="147" spans="1:15" s="36" customFormat="1" x14ac:dyDescent="0.25">
      <c r="A147" s="141" t="s">
        <v>382</v>
      </c>
      <c r="B147" s="142"/>
      <c r="C147" s="142"/>
      <c r="D147" s="142"/>
      <c r="E147" s="142"/>
      <c r="F147" s="142"/>
      <c r="G147" s="142"/>
      <c r="H147" s="143"/>
      <c r="I147" s="35"/>
      <c r="N147" s="35"/>
    </row>
    <row r="148" spans="1:15" s="36" customFormat="1" x14ac:dyDescent="0.25">
      <c r="A148" s="141" t="s">
        <v>383</v>
      </c>
      <c r="B148" s="142"/>
      <c r="C148" s="142"/>
      <c r="D148" s="142"/>
      <c r="E148" s="142"/>
      <c r="F148" s="142"/>
      <c r="G148" s="142"/>
      <c r="H148" s="143"/>
      <c r="I148" s="35"/>
      <c r="N148" s="35"/>
    </row>
    <row r="149" spans="1:15" s="36" customFormat="1" x14ac:dyDescent="0.25">
      <c r="A149" s="89">
        <v>1</v>
      </c>
      <c r="B149" s="90"/>
      <c r="C149" s="41" t="s">
        <v>384</v>
      </c>
      <c r="D149" s="77">
        <f>(73.54)*10.764</f>
        <v>791.58456000000001</v>
      </c>
      <c r="E149" s="41">
        <v>0</v>
      </c>
      <c r="F149" s="41">
        <f>D149+E149</f>
        <v>791.58456000000001</v>
      </c>
      <c r="G149" s="41">
        <v>0</v>
      </c>
      <c r="H149" s="41">
        <f>F149*(($H$139)+1)+(IF(G149&lt;101,G149,IF(G149&lt;201,G149/2,IF(G149&lt;=301,G149/3,G149/4))))</f>
        <v>1187.3768399999999</v>
      </c>
      <c r="I149" s="35">
        <f>5.495*3.2+3.35*0.81+2.6*2.275+3.65*3.05+3.65*3.2+2.45*1.525+1.525*2.535+0.92*0.54+2.6*1.375+2.07*1.525+0.92*4.06</f>
        <v>67.590875000000011</v>
      </c>
      <c r="J149" s="75">
        <f>1.05*1.755+1.55*2.285</f>
        <v>5.3845000000000001</v>
      </c>
      <c r="K149" s="35">
        <f>I149+J149</f>
        <v>72.975375000000014</v>
      </c>
      <c r="L149" s="36">
        <f>35500000/H149</f>
        <v>29897.837656998599</v>
      </c>
      <c r="M149" s="36">
        <f>5.495*3.2+3.35*0.81+2.6*2.275+3.65*3.05+3.65*3.2+2.45*1.525+2.07*1.525+2*1.09+0.92*4.06+0.92*0.54+1.525*2.535+1.05*1.755+1.595*2.285</f>
        <v>71.683199999999999</v>
      </c>
      <c r="N149" s="35">
        <f>35000000/H149</f>
        <v>29476.741351970453</v>
      </c>
      <c r="O149" s="36">
        <f>35500000/H149</f>
        <v>29897.837656998599</v>
      </c>
    </row>
    <row r="150" spans="1:15" s="36" customFormat="1" x14ac:dyDescent="0.25">
      <c r="A150" s="89">
        <f>A149+1</f>
        <v>2</v>
      </c>
      <c r="B150" s="90"/>
      <c r="C150" s="41" t="s">
        <v>385</v>
      </c>
      <c r="D150" s="77">
        <f>(147.62)*10.764</f>
        <v>1588.9816799999999</v>
      </c>
      <c r="E150" s="41">
        <v>0</v>
      </c>
      <c r="F150" s="41">
        <f>D150+E150</f>
        <v>1588.9816799999999</v>
      </c>
      <c r="G150" s="41">
        <v>0</v>
      </c>
      <c r="H150" s="41">
        <f>F150*(($H$139)+1)+(IF(G150&lt;101,G150,IF(G150&lt;201,G150/2,IF(G150&lt;=301,G150/3,G150/4))))</f>
        <v>2383.4725199999998</v>
      </c>
      <c r="I150" s="35">
        <f>7.02*4.27+1.37*0.75+3.64*1.03+2.44*3.57+1.3*1.995+3.65*3.2+3.67*3.2+0.6*1.9+3.05*4.125+1.63*1.07+3.65*4.125+1.825*1.825*2+1.52*2.45+2.585*1.525+1.25*1.825+1.075*1.825+1.07*2.19+1.67*1.985+1.52*1.9+2.27*1.19</f>
        <v>129.82005000000001</v>
      </c>
      <c r="J150" s="75">
        <f>4.83*1.125+1.595*4.03+1.985*1.985</f>
        <v>15.801824999999999</v>
      </c>
      <c r="K150" s="35">
        <f>I150+J150</f>
        <v>145.62187500000002</v>
      </c>
      <c r="N150" s="35">
        <f t="shared" ref="N150:N151" si="3">35000000/H150</f>
        <v>14684.457113019285</v>
      </c>
    </row>
    <row r="151" spans="1:15" s="36" customFormat="1" ht="15.75" customHeight="1" x14ac:dyDescent="0.25">
      <c r="A151" s="89">
        <f>A150+1</f>
        <v>3</v>
      </c>
      <c r="B151" s="90"/>
      <c r="C151" s="41" t="s">
        <v>384</v>
      </c>
      <c r="D151" s="77">
        <f>(74.48)*10.764</f>
        <v>801.70272</v>
      </c>
      <c r="E151" s="41">
        <v>0</v>
      </c>
      <c r="F151" s="41">
        <f>D151+E151</f>
        <v>801.70272</v>
      </c>
      <c r="G151" s="41">
        <v>0</v>
      </c>
      <c r="H151" s="41">
        <f>F151*(($H$139)+1)+(IF(G151&lt;101,G151,IF(G151&lt;201,G151/2,IF(G151&lt;=301,G151/3,G151/4))))</f>
        <v>1202.5540799999999</v>
      </c>
      <c r="I151" s="35">
        <f>3.65*5.91+2.45*3.71+3.05*4.58+3.05*3.785+1.825*1.825*2+1.165*2.79+4.995*1.07</f>
        <v>71.430500000000009</v>
      </c>
      <c r="J151" s="75">
        <f>1.825*1.14</f>
        <v>2.0804999999999998</v>
      </c>
      <c r="K151" s="35">
        <f>I151+J151</f>
        <v>73.51100000000001</v>
      </c>
      <c r="L151" s="36">
        <f>3.65*5.91+2.45*3.71+0.5*1.73*2.79+3.05*4.58+3.05*3.785+1.825*1.825+1.825*1.825+4.995*1.07+1.825*1.14</f>
        <v>72.674000000000007</v>
      </c>
      <c r="M151" s="36">
        <f>40000000/H151</f>
        <v>33262.537348840066</v>
      </c>
      <c r="N151" s="35">
        <f t="shared" si="3"/>
        <v>29104.720180235057</v>
      </c>
    </row>
    <row r="152" spans="1:15" s="36" customFormat="1" ht="15.75" customHeight="1" x14ac:dyDescent="0.25">
      <c r="A152" s="89">
        <f>A151+1</f>
        <v>4</v>
      </c>
      <c r="B152" s="90"/>
      <c r="C152" s="89" t="s">
        <v>387</v>
      </c>
      <c r="D152" s="144"/>
      <c r="E152" s="144"/>
      <c r="F152" s="144"/>
      <c r="G152" s="90"/>
      <c r="H152" s="41" t="s">
        <v>386</v>
      </c>
    </row>
    <row r="153" spans="1:15" s="36" customFormat="1" ht="15.75" customHeight="1" x14ac:dyDescent="0.25">
      <c r="A153" s="141" t="s">
        <v>389</v>
      </c>
      <c r="B153" s="142"/>
      <c r="C153" s="142"/>
      <c r="D153" s="142"/>
      <c r="E153" s="142"/>
      <c r="F153" s="142"/>
      <c r="G153" s="142"/>
      <c r="H153" s="143"/>
      <c r="I153" s="35"/>
    </row>
    <row r="154" spans="1:15" s="36" customFormat="1" ht="15.75" customHeight="1" x14ac:dyDescent="0.25">
      <c r="A154" s="89">
        <v>1</v>
      </c>
      <c r="B154" s="90"/>
      <c r="C154" s="41" t="s">
        <v>384</v>
      </c>
      <c r="D154" s="77">
        <f>(73.54)*10.764</f>
        <v>791.58456000000001</v>
      </c>
      <c r="E154" s="41">
        <v>0</v>
      </c>
      <c r="F154" s="41">
        <f>D154+E154</f>
        <v>791.58456000000001</v>
      </c>
      <c r="G154" s="41">
        <v>0</v>
      </c>
      <c r="H154" s="41">
        <f>F154*(($H$139)+1)+(IF(G154&lt;101,G154,IF(G154&lt;201,G154/2,IF(G154&lt;=301,G154/3,G154/4))))</f>
        <v>1187.3768399999999</v>
      </c>
      <c r="I154" s="35">
        <f>40000000/H154</f>
        <v>33687.704402251948</v>
      </c>
    </row>
    <row r="155" spans="1:15" s="36" customFormat="1" ht="15.75" customHeight="1" x14ac:dyDescent="0.25">
      <c r="A155" s="89">
        <f>A154+1</f>
        <v>2</v>
      </c>
      <c r="B155" s="90"/>
      <c r="C155" s="41" t="s">
        <v>385</v>
      </c>
      <c r="D155" s="77">
        <f>(147.62)*10.764</f>
        <v>1588.9816799999999</v>
      </c>
      <c r="E155" s="41">
        <v>0</v>
      </c>
      <c r="F155" s="41">
        <f>D155+E155</f>
        <v>1588.9816799999999</v>
      </c>
      <c r="G155" s="41">
        <v>0</v>
      </c>
      <c r="H155" s="41">
        <f>F155*(($H$139)+1)+(IF(G155&lt;101,G155,IF(G155&lt;201,G155/2,IF(G155&lt;=301,G155/3,G155/4))))</f>
        <v>2383.4725199999998</v>
      </c>
      <c r="I155" s="35"/>
    </row>
    <row r="156" spans="1:15" s="36" customFormat="1" ht="15.75" customHeight="1" x14ac:dyDescent="0.25">
      <c r="A156" s="89">
        <f>A155+1</f>
        <v>3</v>
      </c>
      <c r="B156" s="90"/>
      <c r="C156" s="41" t="s">
        <v>388</v>
      </c>
      <c r="D156" s="77">
        <f>(110.56)*10.764</f>
        <v>1190.0678399999999</v>
      </c>
      <c r="E156" s="41">
        <v>0</v>
      </c>
      <c r="F156" s="41">
        <f>D156+E156</f>
        <v>1190.0678399999999</v>
      </c>
      <c r="G156" s="41">
        <v>0</v>
      </c>
      <c r="H156" s="41">
        <f>F156*(($H$139)+1)+(IF(G156&lt;101,G156,IF(G156&lt;201,G156/2,IF(G156&lt;=301,G156/3,G156/4))))</f>
        <v>1785.10176</v>
      </c>
      <c r="I156" s="35">
        <f>60000000/H156</f>
        <v>33611.529238534837</v>
      </c>
    </row>
    <row r="157" spans="1:15" s="36" customFormat="1" x14ac:dyDescent="0.25">
      <c r="A157" s="89">
        <f>A156+1</f>
        <v>4</v>
      </c>
      <c r="B157" s="90"/>
      <c r="C157" s="89" t="s">
        <v>387</v>
      </c>
      <c r="D157" s="144"/>
      <c r="E157" s="144"/>
      <c r="F157" s="144"/>
      <c r="G157" s="90"/>
      <c r="H157" s="41" t="s">
        <v>386</v>
      </c>
      <c r="I157" s="35"/>
    </row>
    <row r="158" spans="1:15" s="36" customFormat="1" ht="15.75" customHeight="1" x14ac:dyDescent="0.25">
      <c r="A158" s="141" t="s">
        <v>392</v>
      </c>
      <c r="B158" s="142"/>
      <c r="C158" s="142"/>
      <c r="D158" s="142"/>
      <c r="E158" s="142"/>
      <c r="F158" s="142"/>
      <c r="G158" s="142"/>
      <c r="H158" s="143"/>
      <c r="I158" s="35"/>
      <c r="K158" s="36">
        <f>40000000-1500000</f>
        <v>38500000</v>
      </c>
      <c r="L158" s="36">
        <f>K158/H149</f>
        <v>32424.415487167498</v>
      </c>
    </row>
    <row r="159" spans="1:15" s="36" customFormat="1" ht="15.75" customHeight="1" x14ac:dyDescent="0.25">
      <c r="A159" s="89">
        <v>1</v>
      </c>
      <c r="B159" s="90"/>
      <c r="C159" s="89" t="s">
        <v>390</v>
      </c>
      <c r="D159" s="144"/>
      <c r="E159" s="144"/>
      <c r="F159" s="144"/>
      <c r="G159" s="90"/>
      <c r="H159" s="41" t="s">
        <v>386</v>
      </c>
      <c r="I159" s="35"/>
    </row>
    <row r="160" spans="1:15" s="36" customFormat="1" ht="15.75" customHeight="1" x14ac:dyDescent="0.25">
      <c r="A160" s="89">
        <f>A159+1</f>
        <v>2</v>
      </c>
      <c r="B160" s="90"/>
      <c r="C160" s="41" t="s">
        <v>385</v>
      </c>
      <c r="D160" s="77">
        <f>(147.62)*10.764</f>
        <v>1588.9816799999999</v>
      </c>
      <c r="E160" s="41">
        <v>0</v>
      </c>
      <c r="F160" s="41">
        <f>D160+E160</f>
        <v>1588.9816799999999</v>
      </c>
      <c r="G160" s="41">
        <v>0</v>
      </c>
      <c r="H160" s="41">
        <f>F160*(($H$139)+1)+(IF(G160&lt;101,G160,IF(G160&lt;201,G160/2,IF(G160&lt;=301,G160/3,G160/4))))</f>
        <v>2383.4725199999998</v>
      </c>
      <c r="I160" s="35"/>
    </row>
    <row r="161" spans="1:20" s="36" customFormat="1" ht="15.75" customHeight="1" x14ac:dyDescent="0.25">
      <c r="A161" s="89">
        <f>A160+1</f>
        <v>3</v>
      </c>
      <c r="B161" s="90"/>
      <c r="C161" s="41" t="s">
        <v>388</v>
      </c>
      <c r="D161" s="77">
        <f>(110.56)*10.764</f>
        <v>1190.0678399999999</v>
      </c>
      <c r="E161" s="41">
        <v>0</v>
      </c>
      <c r="F161" s="41">
        <f>D161+E161</f>
        <v>1190.0678399999999</v>
      </c>
      <c r="G161" s="41">
        <v>0</v>
      </c>
      <c r="H161" s="41">
        <f>F161*(($H$139)+1)+(IF(G161&lt;101,G161,IF(G161&lt;201,G161/2,IF(G161&lt;=301,G161/3,G161/4))))</f>
        <v>1785.10176</v>
      </c>
      <c r="I161" s="35"/>
      <c r="L161" s="36">
        <f>50000/1.5</f>
        <v>33333.333333333336</v>
      </c>
    </row>
    <row r="162" spans="1:20" s="36" customFormat="1" ht="15.75" customHeight="1" x14ac:dyDescent="0.25">
      <c r="A162" s="89">
        <f>A161+1</f>
        <v>4</v>
      </c>
      <c r="B162" s="90"/>
      <c r="C162" s="89" t="s">
        <v>387</v>
      </c>
      <c r="D162" s="144"/>
      <c r="E162" s="144"/>
      <c r="F162" s="144"/>
      <c r="G162" s="90"/>
      <c r="H162" s="41" t="s">
        <v>386</v>
      </c>
      <c r="I162" s="35"/>
    </row>
    <row r="163" spans="1:20" s="36" customFormat="1" x14ac:dyDescent="0.25">
      <c r="A163" s="141" t="s">
        <v>393</v>
      </c>
      <c r="B163" s="142"/>
      <c r="C163" s="142"/>
      <c r="D163" s="142"/>
      <c r="E163" s="142"/>
      <c r="F163" s="142"/>
      <c r="G163" s="142"/>
      <c r="H163" s="143"/>
      <c r="I163" s="35"/>
    </row>
    <row r="164" spans="1:20" s="36" customFormat="1" ht="15.75" customHeight="1" x14ac:dyDescent="0.25">
      <c r="A164" s="89">
        <v>1</v>
      </c>
      <c r="B164" s="90"/>
      <c r="C164" s="41" t="s">
        <v>384</v>
      </c>
      <c r="D164" s="77">
        <f>(73.54)*10.764</f>
        <v>791.58456000000001</v>
      </c>
      <c r="E164" s="41">
        <v>0</v>
      </c>
      <c r="F164" s="41">
        <f>D164+E164</f>
        <v>791.58456000000001</v>
      </c>
      <c r="G164" s="41">
        <v>0</v>
      </c>
      <c r="H164" s="41">
        <f>F164*(($H$139)+1)+(IF(G164&lt;101,G164,IF(G164&lt;201,G164/2,IF(G164&lt;=301,G164/3,G164/4))))</f>
        <v>1187.3768399999999</v>
      </c>
      <c r="I164" s="35"/>
    </row>
    <row r="165" spans="1:20" s="36" customFormat="1" ht="15.75" customHeight="1" x14ac:dyDescent="0.25">
      <c r="A165" s="89">
        <f>A164+1</f>
        <v>2</v>
      </c>
      <c r="B165" s="90"/>
      <c r="C165" s="41" t="s">
        <v>385</v>
      </c>
      <c r="D165" s="77">
        <f>(147.62)*10.764</f>
        <v>1588.9816799999999</v>
      </c>
      <c r="E165" s="41">
        <v>0</v>
      </c>
      <c r="F165" s="41">
        <f>D165+E165</f>
        <v>1588.9816799999999</v>
      </c>
      <c r="G165" s="41">
        <v>0</v>
      </c>
      <c r="H165" s="41">
        <f>F165*(($H$139)+1)+(IF(G165&lt;101,G165,IF(G165&lt;201,G165/2,IF(G165&lt;=301,G165/3,G165/4))))</f>
        <v>2383.4725199999998</v>
      </c>
      <c r="I165" s="35"/>
    </row>
    <row r="166" spans="1:20" s="36" customFormat="1" ht="15.75" customHeight="1" x14ac:dyDescent="0.25">
      <c r="A166" s="89">
        <f>A165+1</f>
        <v>3</v>
      </c>
      <c r="B166" s="90"/>
      <c r="C166" s="41" t="s">
        <v>388</v>
      </c>
      <c r="D166" s="77">
        <f>(118.18)*10.764</f>
        <v>1272.08952</v>
      </c>
      <c r="E166" s="41">
        <v>0</v>
      </c>
      <c r="F166" s="41">
        <f>D166+E166</f>
        <v>1272.08952</v>
      </c>
      <c r="G166" s="41">
        <v>0</v>
      </c>
      <c r="H166" s="41">
        <f>F166*(($H$139)+1)+(IF(G166&lt;101,G166,IF(G166&lt;201,G166/2,IF(G166&lt;=301,G166/3,G166/4))))</f>
        <v>1908.13428</v>
      </c>
      <c r="I166" s="35"/>
    </row>
    <row r="167" spans="1:20" s="36" customFormat="1" ht="15.75" customHeight="1" x14ac:dyDescent="0.25">
      <c r="A167" s="89">
        <f>A166+1</f>
        <v>4</v>
      </c>
      <c r="B167" s="90"/>
      <c r="C167" s="89" t="s">
        <v>387</v>
      </c>
      <c r="D167" s="144"/>
      <c r="E167" s="144"/>
      <c r="F167" s="144"/>
      <c r="G167" s="90"/>
      <c r="H167" s="41" t="s">
        <v>386</v>
      </c>
      <c r="I167" s="35"/>
    </row>
    <row r="168" spans="1:20" s="36" customFormat="1" ht="15.75" customHeight="1" x14ac:dyDescent="0.25">
      <c r="A168" s="141" t="s">
        <v>394</v>
      </c>
      <c r="B168" s="142"/>
      <c r="C168" s="142"/>
      <c r="D168" s="142"/>
      <c r="E168" s="142"/>
      <c r="F168" s="142"/>
      <c r="G168" s="142"/>
      <c r="H168" s="143"/>
      <c r="I168" s="35"/>
      <c r="J168" s="36">
        <v>30000</v>
      </c>
    </row>
    <row r="169" spans="1:20" s="34" customFormat="1" x14ac:dyDescent="0.25">
      <c r="A169" s="89">
        <v>1</v>
      </c>
      <c r="B169" s="90"/>
      <c r="C169" s="89" t="s">
        <v>390</v>
      </c>
      <c r="D169" s="144"/>
      <c r="E169" s="144"/>
      <c r="F169" s="144"/>
      <c r="G169" s="90"/>
      <c r="H169" s="41" t="s">
        <v>386</v>
      </c>
      <c r="J169" s="34" t="e">
        <f>J$168*H169</f>
        <v>#VALUE!</v>
      </c>
      <c r="T169" s="36"/>
    </row>
    <row r="170" spans="1:20" s="34" customFormat="1" x14ac:dyDescent="0.25">
      <c r="A170" s="89">
        <f>A169+1</f>
        <v>2</v>
      </c>
      <c r="B170" s="90"/>
      <c r="C170" s="41" t="s">
        <v>385</v>
      </c>
      <c r="D170" s="77">
        <f>(147.62)*10.764</f>
        <v>1588.9816799999999</v>
      </c>
      <c r="E170" s="41">
        <v>0</v>
      </c>
      <c r="F170" s="41">
        <f>D170+E170</f>
        <v>1588.9816799999999</v>
      </c>
      <c r="G170" s="41">
        <v>0</v>
      </c>
      <c r="H170" s="41">
        <f>F170*(($H$139)+1)+(IF(G170&lt;101,G170,IF(G170&lt;201,G170/2,IF(G170&lt;=301,G170/3,G170/4))))</f>
        <v>2383.4725199999998</v>
      </c>
      <c r="J170" s="34">
        <f t="shared" ref="J170:J183" si="4">J$168*H170</f>
        <v>71504175.599999994</v>
      </c>
      <c r="T170" s="36"/>
    </row>
    <row r="171" spans="1:20" s="34" customFormat="1" x14ac:dyDescent="0.25">
      <c r="A171" s="89">
        <f>A170+1</f>
        <v>3</v>
      </c>
      <c r="B171" s="90"/>
      <c r="C171" s="41" t="s">
        <v>388</v>
      </c>
      <c r="D171" s="77">
        <f>(110.56)*10.764</f>
        <v>1190.0678399999999</v>
      </c>
      <c r="E171" s="41">
        <v>0</v>
      </c>
      <c r="F171" s="41">
        <f>D171+E171</f>
        <v>1190.0678399999999</v>
      </c>
      <c r="G171" s="41">
        <v>0</v>
      </c>
      <c r="H171" s="41">
        <f>F171*(($H$139)+1)+(IF(G171&lt;101,G171,IF(G171&lt;201,G171/2,IF(G171&lt;=301,G171/3,G171/4))))</f>
        <v>1785.10176</v>
      </c>
      <c r="J171" s="34">
        <f t="shared" si="4"/>
        <v>53553052.799999997</v>
      </c>
      <c r="T171" s="36"/>
    </row>
    <row r="172" spans="1:20" s="34" customFormat="1" x14ac:dyDescent="0.25">
      <c r="A172" s="89">
        <f>A171+1</f>
        <v>4</v>
      </c>
      <c r="B172" s="90"/>
      <c r="C172" s="89" t="s">
        <v>387</v>
      </c>
      <c r="D172" s="144"/>
      <c r="E172" s="144"/>
      <c r="F172" s="144"/>
      <c r="G172" s="90"/>
      <c r="H172" s="41" t="s">
        <v>386</v>
      </c>
      <c r="J172" s="34" t="e">
        <f t="shared" si="4"/>
        <v>#VALUE!</v>
      </c>
      <c r="T172" s="36"/>
    </row>
    <row r="173" spans="1:20" s="34" customFormat="1" x14ac:dyDescent="0.25">
      <c r="A173" s="141" t="s">
        <v>398</v>
      </c>
      <c r="B173" s="142"/>
      <c r="C173" s="142"/>
      <c r="D173" s="142"/>
      <c r="E173" s="142"/>
      <c r="F173" s="142"/>
      <c r="G173" s="142"/>
      <c r="H173" s="143"/>
      <c r="J173" s="34">
        <f t="shared" si="4"/>
        <v>0</v>
      </c>
      <c r="T173" s="36"/>
    </row>
    <row r="174" spans="1:20" s="34" customFormat="1" x14ac:dyDescent="0.25">
      <c r="A174" s="89">
        <v>1</v>
      </c>
      <c r="B174" s="90"/>
      <c r="C174" s="89" t="s">
        <v>390</v>
      </c>
      <c r="D174" s="144"/>
      <c r="E174" s="144"/>
      <c r="F174" s="144"/>
      <c r="G174" s="90"/>
      <c r="H174" s="41" t="s">
        <v>386</v>
      </c>
      <c r="J174" s="34" t="e">
        <f t="shared" si="4"/>
        <v>#VALUE!</v>
      </c>
      <c r="T174" s="36"/>
    </row>
    <row r="175" spans="1:20" s="34" customFormat="1" x14ac:dyDescent="0.25">
      <c r="A175" s="89">
        <f>A174+1</f>
        <v>2</v>
      </c>
      <c r="B175" s="90"/>
      <c r="C175" s="41" t="s">
        <v>385</v>
      </c>
      <c r="D175" s="77">
        <f>(147.62)*10.764</f>
        <v>1588.9816799999999</v>
      </c>
      <c r="E175" s="41">
        <v>0</v>
      </c>
      <c r="F175" s="41">
        <f>D175+E175</f>
        <v>1588.9816799999999</v>
      </c>
      <c r="G175" s="41">
        <v>0</v>
      </c>
      <c r="H175" s="41">
        <f>F175*(($H$139)+1)+(IF(G175&lt;101,G175,IF(G175&lt;201,G175/2,IF(G175&lt;=301,G175/3,G175/4))))</f>
        <v>2383.4725199999998</v>
      </c>
      <c r="J175" s="34">
        <f t="shared" si="4"/>
        <v>71504175.599999994</v>
      </c>
    </row>
    <row r="176" spans="1:20" s="34" customFormat="1" x14ac:dyDescent="0.25">
      <c r="A176" s="89">
        <f>A175+1</f>
        <v>3</v>
      </c>
      <c r="B176" s="90"/>
      <c r="C176" s="41" t="s">
        <v>388</v>
      </c>
      <c r="D176" s="77">
        <f>(118.18)*10.764</f>
        <v>1272.08952</v>
      </c>
      <c r="E176" s="41">
        <v>0</v>
      </c>
      <c r="F176" s="41">
        <f>D176+E176</f>
        <v>1272.08952</v>
      </c>
      <c r="G176" s="41">
        <v>0</v>
      </c>
      <c r="H176" s="41">
        <f>F176*(($H$139)+1)+(IF(G176&lt;101,G176,IF(G176&lt;201,G176/2,IF(G176&lt;=301,G176/3,G176/4))))</f>
        <v>1908.13428</v>
      </c>
      <c r="J176" s="34">
        <f t="shared" si="4"/>
        <v>57244028.399999999</v>
      </c>
    </row>
    <row r="177" spans="1:20" s="34" customFormat="1" x14ac:dyDescent="0.25">
      <c r="A177" s="89">
        <f>A176+1</f>
        <v>4</v>
      </c>
      <c r="B177" s="90"/>
      <c r="C177" s="89" t="s">
        <v>387</v>
      </c>
      <c r="D177" s="144"/>
      <c r="E177" s="144"/>
      <c r="F177" s="144"/>
      <c r="G177" s="90"/>
      <c r="H177" s="41" t="s">
        <v>386</v>
      </c>
      <c r="J177" s="34" t="e">
        <f t="shared" si="4"/>
        <v>#VALUE!</v>
      </c>
    </row>
    <row r="178" spans="1:20" s="34" customFormat="1" x14ac:dyDescent="0.25">
      <c r="A178" s="141" t="s">
        <v>395</v>
      </c>
      <c r="B178" s="142"/>
      <c r="C178" s="142"/>
      <c r="D178" s="142"/>
      <c r="E178" s="142"/>
      <c r="F178" s="142"/>
      <c r="G178" s="142"/>
      <c r="H178" s="143"/>
      <c r="J178" s="34">
        <f t="shared" si="4"/>
        <v>0</v>
      </c>
      <c r="L178" s="34">
        <f>50000/1.5</f>
        <v>33333.333333333336</v>
      </c>
    </row>
    <row r="179" spans="1:20" s="34" customFormat="1" x14ac:dyDescent="0.25">
      <c r="A179" s="89">
        <v>1</v>
      </c>
      <c r="B179" s="90"/>
      <c r="C179" s="41" t="s">
        <v>384</v>
      </c>
      <c r="D179" s="77">
        <f>(73.54)*10.764</f>
        <v>791.58456000000001</v>
      </c>
      <c r="E179" s="41">
        <v>0</v>
      </c>
      <c r="F179" s="41">
        <f>D179+E179</f>
        <v>791.58456000000001</v>
      </c>
      <c r="G179" s="41">
        <v>0</v>
      </c>
      <c r="H179" s="41">
        <f>F179*(($H$139)+1)+(IF(G179&lt;101,G179,IF(G179&lt;201,G179/2,IF(G179&lt;=301,G179/3,G179/4))))</f>
        <v>1187.3768399999999</v>
      </c>
      <c r="J179" s="34">
        <f t="shared" si="4"/>
        <v>35621305.199999996</v>
      </c>
    </row>
    <row r="180" spans="1:20" s="34" customFormat="1" x14ac:dyDescent="0.25">
      <c r="A180" s="89">
        <f>A179+1</f>
        <v>2</v>
      </c>
      <c r="B180" s="90"/>
      <c r="C180" s="41" t="s">
        <v>385</v>
      </c>
      <c r="D180" s="77">
        <f>(147.62)*10.764</f>
        <v>1588.9816799999999</v>
      </c>
      <c r="E180" s="41">
        <v>0</v>
      </c>
      <c r="F180" s="41">
        <f>D180+E180</f>
        <v>1588.9816799999999</v>
      </c>
      <c r="G180" s="41">
        <v>0</v>
      </c>
      <c r="H180" s="41">
        <f>F180*(($H$139)+1)+(IF(G180&lt;101,G180,IF(G180&lt;201,G180/2,IF(G180&lt;=301,G180/3,G180/4))))</f>
        <v>2383.4725199999998</v>
      </c>
      <c r="J180" s="34">
        <f>J$168*H180</f>
        <v>71504175.599999994</v>
      </c>
    </row>
    <row r="181" spans="1:20" x14ac:dyDescent="0.25">
      <c r="A181" s="89">
        <f>A180+1</f>
        <v>3</v>
      </c>
      <c r="B181" s="90"/>
      <c r="C181" s="41" t="s">
        <v>388</v>
      </c>
      <c r="D181" s="77">
        <f>(118.18)*10.764</f>
        <v>1272.08952</v>
      </c>
      <c r="E181" s="41">
        <v>0</v>
      </c>
      <c r="F181" s="41">
        <f>D181+E181</f>
        <v>1272.08952</v>
      </c>
      <c r="G181" s="41">
        <v>0</v>
      </c>
      <c r="H181" s="41">
        <f>F181*(($H$139)+1)+(IF(G181&lt;101,G181,IF(G181&lt;201,G181/2,IF(G181&lt;=301,G181/3,G181/4))))</f>
        <v>1908.13428</v>
      </c>
      <c r="J181" s="34">
        <f t="shared" si="4"/>
        <v>57244028.399999999</v>
      </c>
      <c r="T181" s="34"/>
    </row>
    <row r="182" spans="1:20" ht="15.75" customHeight="1" x14ac:dyDescent="0.25">
      <c r="A182" s="89">
        <f>A181+1</f>
        <v>4</v>
      </c>
      <c r="B182" s="90"/>
      <c r="C182" s="89" t="s">
        <v>396</v>
      </c>
      <c r="D182" s="144"/>
      <c r="E182" s="144"/>
      <c r="F182" s="144"/>
      <c r="G182" s="90"/>
      <c r="H182" s="41" t="s">
        <v>386</v>
      </c>
      <c r="J182" s="34" t="e">
        <f t="shared" si="4"/>
        <v>#VALUE!</v>
      </c>
      <c r="T182" s="34"/>
    </row>
    <row r="183" spans="1:20" ht="15.75" customHeight="1" x14ac:dyDescent="0.25">
      <c r="A183" s="141" t="s">
        <v>397</v>
      </c>
      <c r="B183" s="142"/>
      <c r="C183" s="142"/>
      <c r="D183" s="142"/>
      <c r="E183" s="142"/>
      <c r="F183" s="142"/>
      <c r="G183" s="142"/>
      <c r="H183" s="143"/>
      <c r="J183" s="34">
        <f t="shared" si="4"/>
        <v>0</v>
      </c>
      <c r="T183" s="34"/>
    </row>
    <row r="184" spans="1:20" ht="15.75" customHeight="1" x14ac:dyDescent="0.25">
      <c r="A184" s="89">
        <v>1</v>
      </c>
      <c r="B184" s="90"/>
      <c r="C184" s="41" t="s">
        <v>384</v>
      </c>
      <c r="D184" s="77">
        <f>(73.54)*10.764</f>
        <v>791.58456000000001</v>
      </c>
      <c r="E184" s="41">
        <v>0</v>
      </c>
      <c r="F184" s="41">
        <f>D184+E184</f>
        <v>791.58456000000001</v>
      </c>
      <c r="G184" s="41">
        <v>0</v>
      </c>
      <c r="H184" s="41">
        <f>F184*(($H$139)+1)+(IF(G184&lt;101,G184,IF(G184&lt;201,G184/2,IF(G184&lt;=301,G184/3,G184/4))))</f>
        <v>1187.3768399999999</v>
      </c>
      <c r="T184" s="34"/>
    </row>
    <row r="185" spans="1:20" x14ac:dyDescent="0.25">
      <c r="A185" s="89">
        <f>A184+1</f>
        <v>2</v>
      </c>
      <c r="B185" s="90"/>
      <c r="C185" s="41" t="s">
        <v>385</v>
      </c>
      <c r="D185" s="77">
        <f>(147.62)*10.764</f>
        <v>1588.9816799999999</v>
      </c>
      <c r="E185" s="41">
        <v>0</v>
      </c>
      <c r="F185" s="41">
        <f>D185+E185</f>
        <v>1588.9816799999999</v>
      </c>
      <c r="G185" s="41">
        <v>0</v>
      </c>
      <c r="H185" s="41">
        <f>F185*(($H$139)+1)+(IF(G185&lt;101,G185,IF(G185&lt;201,G185/2,IF(G185&lt;=301,G185/3,G185/4))))</f>
        <v>2383.4725199999998</v>
      </c>
      <c r="T185" s="34"/>
    </row>
    <row r="186" spans="1:20" x14ac:dyDescent="0.25">
      <c r="A186" s="89">
        <f>A185+1</f>
        <v>3</v>
      </c>
      <c r="B186" s="90"/>
      <c r="C186" s="41" t="s">
        <v>388</v>
      </c>
      <c r="D186" s="77">
        <f>(118.18)*10.764</f>
        <v>1272.08952</v>
      </c>
      <c r="E186" s="41">
        <v>0</v>
      </c>
      <c r="F186" s="41">
        <f>D186+E186</f>
        <v>1272.08952</v>
      </c>
      <c r="G186" s="41">
        <v>0</v>
      </c>
      <c r="H186" s="41">
        <f>F186*(($H$139)+1)+(IF(G186&lt;101,G186,IF(G186&lt;201,G186/2,IF(G186&lt;=301,G186/3,G186/4))))</f>
        <v>1908.13428</v>
      </c>
      <c r="T186" s="34"/>
    </row>
    <row r="187" spans="1:20" x14ac:dyDescent="0.25">
      <c r="A187" s="141" t="s">
        <v>399</v>
      </c>
      <c r="B187" s="142"/>
      <c r="C187" s="142"/>
      <c r="D187" s="142"/>
      <c r="E187" s="142"/>
      <c r="F187" s="142"/>
      <c r="G187" s="142"/>
      <c r="H187" s="143"/>
    </row>
    <row r="188" spans="1:20" x14ac:dyDescent="0.25">
      <c r="A188" s="89">
        <v>1</v>
      </c>
      <c r="B188" s="90"/>
      <c r="C188" s="89" t="s">
        <v>390</v>
      </c>
      <c r="D188" s="144"/>
      <c r="E188" s="144"/>
      <c r="F188" s="144"/>
      <c r="G188" s="90"/>
      <c r="H188" s="41" t="s">
        <v>386</v>
      </c>
    </row>
    <row r="189" spans="1:20" x14ac:dyDescent="0.25">
      <c r="A189" s="89">
        <f>A188+1</f>
        <v>2</v>
      </c>
      <c r="B189" s="90"/>
      <c r="C189" s="41" t="s">
        <v>385</v>
      </c>
      <c r="D189" s="77">
        <f>(147.62)*10.764</f>
        <v>1588.9816799999999</v>
      </c>
      <c r="E189" s="41">
        <v>0</v>
      </c>
      <c r="F189" s="41">
        <f>D189+E189</f>
        <v>1588.9816799999999</v>
      </c>
      <c r="G189" s="41">
        <v>0</v>
      </c>
      <c r="H189" s="41">
        <f>F189*(($H$139)+1)+(IF(G189&lt;101,G189,IF(G189&lt;201,G189/2,IF(G189&lt;=301,G189/3,G189/4))))</f>
        <v>2383.4725199999998</v>
      </c>
    </row>
    <row r="190" spans="1:20" ht="15.75" customHeight="1" x14ac:dyDescent="0.25">
      <c r="A190" s="89">
        <f>A189+1</f>
        <v>3</v>
      </c>
      <c r="B190" s="90"/>
      <c r="C190" s="41" t="s">
        <v>388</v>
      </c>
      <c r="D190" s="77">
        <f>(118.18)*10.764</f>
        <v>1272.08952</v>
      </c>
      <c r="E190" s="41">
        <v>0</v>
      </c>
      <c r="F190" s="41">
        <f>D190+E190</f>
        <v>1272.08952</v>
      </c>
      <c r="G190" s="41">
        <v>0</v>
      </c>
      <c r="H190" s="41">
        <f>F190*(($H$139)+1)+(IF(G190&lt;101,G190,IF(G190&lt;201,G190/2,IF(G190&lt;=301,G190/3,G190/4))))</f>
        <v>1908.13428</v>
      </c>
    </row>
    <row r="191" spans="1:20" ht="15.75" customHeight="1" x14ac:dyDescent="0.25">
      <c r="A191" s="141" t="s">
        <v>400</v>
      </c>
      <c r="B191" s="142"/>
      <c r="C191" s="142"/>
      <c r="D191" s="142"/>
      <c r="E191" s="142"/>
      <c r="F191" s="142"/>
      <c r="G191" s="142"/>
      <c r="H191" s="143"/>
    </row>
    <row r="192" spans="1:20" x14ac:dyDescent="0.25">
      <c r="A192" s="89">
        <v>1</v>
      </c>
      <c r="B192" s="90"/>
      <c r="C192" s="41" t="s">
        <v>384</v>
      </c>
      <c r="D192" s="77">
        <f>(73.54)*10.764</f>
        <v>791.58456000000001</v>
      </c>
      <c r="E192" s="41">
        <v>0</v>
      </c>
      <c r="F192" s="41">
        <f>D192+E192</f>
        <v>791.58456000000001</v>
      </c>
      <c r="G192" s="41">
        <v>0</v>
      </c>
      <c r="H192" s="41">
        <f>F192*(($H$139)+1)+(IF(G192&lt;101,G192,IF(G192&lt;201,G192/2,IF(G192&lt;=301,G192/3,G192/4))))</f>
        <v>1187.3768399999999</v>
      </c>
    </row>
    <row r="193" spans="1:8" x14ac:dyDescent="0.25">
      <c r="A193" s="89">
        <f>A192+1</f>
        <v>2</v>
      </c>
      <c r="B193" s="90"/>
      <c r="C193" s="41" t="s">
        <v>385</v>
      </c>
      <c r="D193" s="77">
        <f>(147.62)*10.764</f>
        <v>1588.9816799999999</v>
      </c>
      <c r="E193" s="41">
        <v>0</v>
      </c>
      <c r="F193" s="41">
        <f>D193+E193</f>
        <v>1588.9816799999999</v>
      </c>
      <c r="G193" s="41">
        <v>0</v>
      </c>
      <c r="H193" s="41">
        <f>F193*(($H$139)+1)+(IF(G193&lt;101,G193,IF(G193&lt;201,G193/2,IF(G193&lt;=301,G193/3,G193/4))))</f>
        <v>2383.4725199999998</v>
      </c>
    </row>
    <row r="194" spans="1:8" x14ac:dyDescent="0.25">
      <c r="A194" s="89">
        <f>A193+1</f>
        <v>3</v>
      </c>
      <c r="B194" s="90"/>
      <c r="C194" s="41" t="s">
        <v>388</v>
      </c>
      <c r="D194" s="77">
        <f>(118.18)*10.764</f>
        <v>1272.08952</v>
      </c>
      <c r="E194" s="41">
        <v>0</v>
      </c>
      <c r="F194" s="41">
        <f>D194+E194</f>
        <v>1272.08952</v>
      </c>
      <c r="G194" s="41">
        <v>0</v>
      </c>
      <c r="H194" s="41">
        <f>F194*(($H$139)+1)+(IF(G194&lt;101,G194,IF(G194&lt;201,G194/2,IF(G194&lt;=301,G194/3,G194/4))))</f>
        <v>1908.13428</v>
      </c>
    </row>
    <row r="195" spans="1:8" x14ac:dyDescent="0.25">
      <c r="A195" s="89">
        <f>A194+1</f>
        <v>4</v>
      </c>
      <c r="B195" s="90"/>
      <c r="C195" s="41" t="s">
        <v>388</v>
      </c>
      <c r="D195" s="77">
        <f>(97.99)*10.764</f>
        <v>1054.7643599999999</v>
      </c>
      <c r="E195" s="41">
        <v>0</v>
      </c>
      <c r="F195" s="41">
        <f>D195+E195</f>
        <v>1054.7643599999999</v>
      </c>
      <c r="G195" s="41">
        <v>0</v>
      </c>
      <c r="H195" s="41">
        <f>F195*(($H$139)+1)+(IF(G195&lt;101,G195,IF(G195&lt;201,G195/2,IF(G195&lt;=301,G195/3,G195/4))))</f>
        <v>1582.1465399999997</v>
      </c>
    </row>
    <row r="196" spans="1:8" ht="15" customHeight="1" x14ac:dyDescent="0.25">
      <c r="A196" s="141" t="s">
        <v>401</v>
      </c>
      <c r="B196" s="142"/>
      <c r="C196" s="142"/>
      <c r="D196" s="142"/>
      <c r="E196" s="142"/>
      <c r="F196" s="142"/>
      <c r="G196" s="142"/>
      <c r="H196" s="143"/>
    </row>
    <row r="197" spans="1:8" x14ac:dyDescent="0.25">
      <c r="A197" s="89">
        <v>1</v>
      </c>
      <c r="B197" s="90"/>
      <c r="C197" s="89" t="s">
        <v>390</v>
      </c>
      <c r="D197" s="144"/>
      <c r="E197" s="144"/>
      <c r="F197" s="144"/>
      <c r="G197" s="90"/>
      <c r="H197" s="41" t="s">
        <v>386</v>
      </c>
    </row>
    <row r="198" spans="1:8" x14ac:dyDescent="0.25">
      <c r="A198" s="89">
        <f>A197+1</f>
        <v>2</v>
      </c>
      <c r="B198" s="90"/>
      <c r="C198" s="41" t="s">
        <v>385</v>
      </c>
      <c r="D198" s="77">
        <f>(156.27)*10.764</f>
        <v>1682.0902800000001</v>
      </c>
      <c r="E198" s="41">
        <v>0</v>
      </c>
      <c r="F198" s="41">
        <f>D198+E198</f>
        <v>1682.0902800000001</v>
      </c>
      <c r="G198" s="41">
        <v>0</v>
      </c>
      <c r="H198" s="41">
        <f>F198*(($H$139)+1)+(IF(G198&lt;101,G198,IF(G198&lt;201,G198/2,IF(G198&lt;=301,G198/3,G198/4))))</f>
        <v>2523.1354200000001</v>
      </c>
    </row>
    <row r="199" spans="1:8" ht="52.5" customHeight="1" x14ac:dyDescent="0.25">
      <c r="A199" s="89">
        <f>A198+1</f>
        <v>3</v>
      </c>
      <c r="B199" s="90"/>
      <c r="C199" s="41" t="s">
        <v>410</v>
      </c>
      <c r="D199" s="77">
        <f>(211.86)*10.764</f>
        <v>2280.4610400000001</v>
      </c>
      <c r="E199" s="41">
        <v>0</v>
      </c>
      <c r="F199" s="41">
        <f>D199+E199</f>
        <v>2280.4610400000001</v>
      </c>
      <c r="G199" s="41">
        <v>0</v>
      </c>
      <c r="H199" s="41">
        <f>F199*(($H$139)+1)+(IF(G199&lt;101,G199,IF(G199&lt;201,G199/2,IF(G199&lt;=301,G199/3,G199/4))))</f>
        <v>3420.6915600000002</v>
      </c>
    </row>
    <row r="200" spans="1:8" x14ac:dyDescent="0.25">
      <c r="A200" s="89">
        <f>A199+1</f>
        <v>4</v>
      </c>
      <c r="B200" s="90"/>
      <c r="C200" s="41" t="s">
        <v>388</v>
      </c>
      <c r="D200" s="77">
        <f>(103.8)*10.764</f>
        <v>1117.3031999999998</v>
      </c>
      <c r="E200" s="41">
        <v>0</v>
      </c>
      <c r="F200" s="41">
        <f>D200+E200</f>
        <v>1117.3031999999998</v>
      </c>
      <c r="G200" s="41">
        <v>0</v>
      </c>
      <c r="H200" s="41">
        <f>F200*(($H$139)+1)+(IF(G200&lt;101,G200,IF(G200&lt;201,G200/2,IF(G200&lt;=301,G200/3,G200/4))))</f>
        <v>1675.9547999999998</v>
      </c>
    </row>
    <row r="201" spans="1:8" x14ac:dyDescent="0.25">
      <c r="A201" s="141" t="s">
        <v>402</v>
      </c>
      <c r="B201" s="142"/>
      <c r="C201" s="142"/>
      <c r="D201" s="142"/>
      <c r="E201" s="142"/>
      <c r="F201" s="142"/>
      <c r="G201" s="142"/>
      <c r="H201" s="143"/>
    </row>
    <row r="202" spans="1:8" x14ac:dyDescent="0.25">
      <c r="A202" s="89">
        <v>1</v>
      </c>
      <c r="B202" s="90"/>
      <c r="C202" s="41" t="s">
        <v>384</v>
      </c>
      <c r="D202" s="77">
        <f>(73.54)*10.764</f>
        <v>791.58456000000001</v>
      </c>
      <c r="E202" s="41">
        <v>0</v>
      </c>
      <c r="F202" s="41">
        <f>D202+E202</f>
        <v>791.58456000000001</v>
      </c>
      <c r="G202" s="41">
        <v>0</v>
      </c>
      <c r="H202" s="41">
        <f>F202*(($H$139)+1)+(IF(G202&lt;101,G202,IF(G202&lt;201,G202/2,IF(G202&lt;=301,G202/3,G202/4))))</f>
        <v>1187.3768399999999</v>
      </c>
    </row>
    <row r="203" spans="1:8" x14ac:dyDescent="0.25">
      <c r="A203" s="89">
        <f>A202+1</f>
        <v>2</v>
      </c>
      <c r="B203" s="90"/>
      <c r="C203" s="41" t="s">
        <v>385</v>
      </c>
      <c r="D203" s="77">
        <f>(151.43)*10.764</f>
        <v>1629.99252</v>
      </c>
      <c r="E203" s="41">
        <v>0</v>
      </c>
      <c r="F203" s="41">
        <f>D203+E203</f>
        <v>1629.99252</v>
      </c>
      <c r="G203" s="41">
        <v>0</v>
      </c>
      <c r="H203" s="41">
        <f>F203*(($H$139)+1)+(IF(G203&lt;101,G203,IF(G203&lt;201,G203/2,IF(G203&lt;=301,G203/3,G203/4))))</f>
        <v>2444.9887800000001</v>
      </c>
    </row>
    <row r="204" spans="1:8" x14ac:dyDescent="0.25">
      <c r="A204" s="89">
        <f>A203+1</f>
        <v>3</v>
      </c>
      <c r="B204" s="90"/>
      <c r="C204" s="89" t="s">
        <v>411</v>
      </c>
      <c r="D204" s="144"/>
      <c r="E204" s="144"/>
      <c r="F204" s="144"/>
      <c r="G204" s="90"/>
      <c r="H204" s="41" t="s">
        <v>386</v>
      </c>
    </row>
    <row r="205" spans="1:8" x14ac:dyDescent="0.25">
      <c r="A205" s="89">
        <f>A204+1</f>
        <v>4</v>
      </c>
      <c r="B205" s="90"/>
      <c r="C205" s="41" t="s">
        <v>388</v>
      </c>
      <c r="D205" s="77">
        <f>(103.8)*10.764</f>
        <v>1117.3031999999998</v>
      </c>
      <c r="E205" s="41">
        <v>0</v>
      </c>
      <c r="F205" s="41">
        <f>D205+E205</f>
        <v>1117.3031999999998</v>
      </c>
      <c r="G205" s="41">
        <v>0</v>
      </c>
      <c r="H205" s="41">
        <f>F205*(($H$139)+1)+(IF(G205&lt;101,G205,IF(G205&lt;201,G205/2,IF(G205&lt;=301,G205/3,G205/4))))</f>
        <v>1675.9547999999998</v>
      </c>
    </row>
    <row r="206" spans="1:8" x14ac:dyDescent="0.25">
      <c r="A206" s="141" t="s">
        <v>371</v>
      </c>
      <c r="B206" s="142"/>
      <c r="C206" s="142"/>
      <c r="D206" s="142"/>
      <c r="E206" s="142"/>
      <c r="F206" s="142"/>
      <c r="G206" s="142"/>
      <c r="H206" s="143"/>
    </row>
    <row r="207" spans="1:8" x14ac:dyDescent="0.25">
      <c r="A207" s="141" t="s">
        <v>373</v>
      </c>
      <c r="B207" s="142"/>
      <c r="C207" s="142"/>
      <c r="D207" s="142"/>
      <c r="E207" s="142"/>
      <c r="F207" s="142"/>
      <c r="G207" s="142"/>
      <c r="H207" s="143"/>
    </row>
    <row r="208" spans="1:8" x14ac:dyDescent="0.25">
      <c r="A208" s="141" t="s">
        <v>374</v>
      </c>
      <c r="B208" s="142"/>
      <c r="C208" s="142"/>
      <c r="D208" s="142"/>
      <c r="E208" s="142"/>
      <c r="F208" s="142"/>
      <c r="G208" s="142"/>
      <c r="H208" s="143"/>
    </row>
    <row r="209" spans="1:8" x14ac:dyDescent="0.25">
      <c r="A209" s="141" t="s">
        <v>377</v>
      </c>
      <c r="B209" s="142"/>
      <c r="C209" s="142"/>
      <c r="D209" s="142"/>
      <c r="E209" s="142"/>
      <c r="F209" s="142"/>
      <c r="G209" s="142"/>
      <c r="H209" s="143"/>
    </row>
    <row r="210" spans="1:8" x14ac:dyDescent="0.25">
      <c r="A210" s="141" t="s">
        <v>378</v>
      </c>
      <c r="B210" s="142"/>
      <c r="C210" s="142"/>
      <c r="D210" s="142"/>
      <c r="E210" s="142"/>
      <c r="F210" s="142"/>
      <c r="G210" s="142"/>
      <c r="H210" s="143"/>
    </row>
    <row r="211" spans="1:8" x14ac:dyDescent="0.25">
      <c r="A211" s="141" t="s">
        <v>381</v>
      </c>
      <c r="B211" s="142"/>
      <c r="C211" s="142"/>
      <c r="D211" s="142"/>
      <c r="E211" s="142"/>
      <c r="F211" s="142"/>
      <c r="G211" s="142"/>
      <c r="H211" s="143"/>
    </row>
    <row r="212" spans="1:8" x14ac:dyDescent="0.25">
      <c r="A212" s="141" t="s">
        <v>382</v>
      </c>
      <c r="B212" s="142"/>
      <c r="C212" s="142"/>
      <c r="D212" s="142"/>
      <c r="E212" s="142"/>
      <c r="F212" s="142"/>
      <c r="G212" s="142"/>
      <c r="H212" s="143"/>
    </row>
    <row r="213" spans="1:8" x14ac:dyDescent="0.25">
      <c r="A213" s="141" t="s">
        <v>383</v>
      </c>
      <c r="B213" s="142"/>
      <c r="C213" s="142"/>
      <c r="D213" s="142"/>
      <c r="E213" s="142"/>
      <c r="F213" s="142"/>
      <c r="G213" s="142"/>
      <c r="H213" s="143"/>
    </row>
    <row r="214" spans="1:8" x14ac:dyDescent="0.25">
      <c r="A214" s="89">
        <v>1</v>
      </c>
      <c r="B214" s="90"/>
      <c r="C214" s="41" t="s">
        <v>384</v>
      </c>
      <c r="D214" s="77">
        <f>(73.8)*10.764</f>
        <v>794.38319999999987</v>
      </c>
      <c r="E214" s="41">
        <v>0</v>
      </c>
      <c r="F214" s="41">
        <f>D214+E214</f>
        <v>794.38319999999987</v>
      </c>
      <c r="G214" s="41">
        <v>0</v>
      </c>
      <c r="H214" s="41">
        <f>F214*(($H$139)+1)+(IF(G214&lt;101,G214,IF(G214&lt;201,G214/2,IF(G214&lt;=301,G214/3,G214/4))))</f>
        <v>1191.5747999999999</v>
      </c>
    </row>
    <row r="215" spans="1:8" x14ac:dyDescent="0.25">
      <c r="A215" s="89">
        <f>A214+1</f>
        <v>2</v>
      </c>
      <c r="B215" s="90"/>
      <c r="C215" s="41" t="s">
        <v>384</v>
      </c>
      <c r="D215" s="77">
        <f>(73.12)*10.764</f>
        <v>787.06367999999998</v>
      </c>
      <c r="E215" s="41">
        <v>0</v>
      </c>
      <c r="F215" s="41">
        <f>D215+E215</f>
        <v>787.06367999999998</v>
      </c>
      <c r="G215" s="41">
        <v>0</v>
      </c>
      <c r="H215" s="41">
        <f>F215*(($H$139)+1)+(IF(G215&lt;101,G215,IF(G215&lt;201,G215/2,IF(G215&lt;=301,G215/3,G215/4))))</f>
        <v>1180.5955199999999</v>
      </c>
    </row>
    <row r="216" spans="1:8" x14ac:dyDescent="0.25">
      <c r="A216" s="89">
        <f>A215+1</f>
        <v>3</v>
      </c>
      <c r="B216" s="90"/>
      <c r="C216" s="41" t="s">
        <v>388</v>
      </c>
      <c r="D216" s="77">
        <f>(125.13)*10.764</f>
        <v>1346.8993199999998</v>
      </c>
      <c r="E216" s="41">
        <v>0</v>
      </c>
      <c r="F216" s="41">
        <f>D216+E216</f>
        <v>1346.8993199999998</v>
      </c>
      <c r="G216" s="41">
        <v>0</v>
      </c>
      <c r="H216" s="41">
        <f>F216*(($H$139)+1)+(IF(G216&lt;101,G216,IF(G216&lt;201,G216/2,IF(G216&lt;=301,G216/3,G216/4))))</f>
        <v>2020.3489799999998</v>
      </c>
    </row>
    <row r="217" spans="1:8" x14ac:dyDescent="0.25">
      <c r="A217" s="89">
        <f>A216+1</f>
        <v>4</v>
      </c>
      <c r="B217" s="90"/>
      <c r="C217" s="41" t="s">
        <v>384</v>
      </c>
      <c r="D217" s="77">
        <f>(73.64)*10.764</f>
        <v>792.66095999999993</v>
      </c>
      <c r="E217" s="41">
        <v>0</v>
      </c>
      <c r="F217" s="41">
        <f>D217+E217</f>
        <v>792.66095999999993</v>
      </c>
      <c r="G217" s="41">
        <v>0</v>
      </c>
      <c r="H217" s="41">
        <f>F217*(($H$139)+1)+(IF(G217&lt;101,G217,IF(G217&lt;201,G217/2,IF(G217&lt;=301,G217/3,G217/4))))</f>
        <v>1188.9914399999998</v>
      </c>
    </row>
    <row r="218" spans="1:8" x14ac:dyDescent="0.25">
      <c r="A218" s="89">
        <v>5</v>
      </c>
      <c r="B218" s="90"/>
      <c r="C218" s="89" t="s">
        <v>387</v>
      </c>
      <c r="D218" s="144"/>
      <c r="E218" s="144"/>
      <c r="F218" s="144"/>
      <c r="G218" s="90"/>
      <c r="H218" s="41" t="s">
        <v>386</v>
      </c>
    </row>
    <row r="219" spans="1:8" x14ac:dyDescent="0.25">
      <c r="A219" s="141" t="s">
        <v>389</v>
      </c>
      <c r="B219" s="142"/>
      <c r="C219" s="142"/>
      <c r="D219" s="142"/>
      <c r="E219" s="142"/>
      <c r="F219" s="142"/>
      <c r="G219" s="142"/>
      <c r="H219" s="143"/>
    </row>
    <row r="220" spans="1:8" x14ac:dyDescent="0.25">
      <c r="A220" s="89">
        <v>1</v>
      </c>
      <c r="B220" s="90"/>
      <c r="C220" s="41" t="s">
        <v>384</v>
      </c>
      <c r="D220" s="77">
        <f>(73.8)*10.764</f>
        <v>794.38319999999987</v>
      </c>
      <c r="E220" s="41">
        <v>0</v>
      </c>
      <c r="F220" s="41">
        <f>D220+E220</f>
        <v>794.38319999999987</v>
      </c>
      <c r="G220" s="41">
        <v>0</v>
      </c>
      <c r="H220" s="41">
        <f>F220*(($H$139)+1)+(IF(G220&lt;101,G220,IF(G220&lt;201,G220/2,IF(G220&lt;=301,G220/3,G220/4))))</f>
        <v>1191.5747999999999</v>
      </c>
    </row>
    <row r="221" spans="1:8" x14ac:dyDescent="0.25">
      <c r="A221" s="89">
        <f>A220+1</f>
        <v>2</v>
      </c>
      <c r="B221" s="90"/>
      <c r="C221" s="41" t="s">
        <v>384</v>
      </c>
      <c r="D221" s="77">
        <f>(73.12)*10.764</f>
        <v>787.06367999999998</v>
      </c>
      <c r="E221" s="41">
        <v>0</v>
      </c>
      <c r="F221" s="41">
        <f>D221+E221</f>
        <v>787.06367999999998</v>
      </c>
      <c r="G221" s="41">
        <v>0</v>
      </c>
      <c r="H221" s="41">
        <f>F221*(($H$139)+1)+(IF(G221&lt;101,G221,IF(G221&lt;201,G221/2,IF(G221&lt;=301,G221/3,G221/4))))</f>
        <v>1180.5955199999999</v>
      </c>
    </row>
    <row r="222" spans="1:8" x14ac:dyDescent="0.25">
      <c r="A222" s="89">
        <f>A221+1</f>
        <v>3</v>
      </c>
      <c r="B222" s="90"/>
      <c r="C222" s="41" t="s">
        <v>388</v>
      </c>
      <c r="D222" s="77">
        <f>(125.13)*10.764</f>
        <v>1346.8993199999998</v>
      </c>
      <c r="E222" s="41">
        <v>0</v>
      </c>
      <c r="F222" s="41">
        <f>D222+E222</f>
        <v>1346.8993199999998</v>
      </c>
      <c r="G222" s="41">
        <v>0</v>
      </c>
      <c r="H222" s="41">
        <f>F222*(($H$139)+1)+(IF(G222&lt;101,G222,IF(G222&lt;201,G222/2,IF(G222&lt;=301,G222/3,G222/4))))</f>
        <v>2020.3489799999998</v>
      </c>
    </row>
    <row r="223" spans="1:8" x14ac:dyDescent="0.25">
      <c r="A223" s="89">
        <f>A222+1</f>
        <v>4</v>
      </c>
      <c r="B223" s="90"/>
      <c r="C223" s="41" t="s">
        <v>388</v>
      </c>
      <c r="D223" s="77">
        <f>(110.58)*10.764</f>
        <v>1190.2831199999998</v>
      </c>
      <c r="E223" s="41">
        <v>0</v>
      </c>
      <c r="F223" s="41">
        <f>D223+E223</f>
        <v>1190.2831199999998</v>
      </c>
      <c r="G223" s="41">
        <v>0</v>
      </c>
      <c r="H223" s="41">
        <f>F223*(($H$139)+1)+(IF(G223&lt;101,G223,IF(G223&lt;201,G223/2,IF(G223&lt;=301,G223/3,G223/4))))</f>
        <v>1785.4246799999996</v>
      </c>
    </row>
    <row r="224" spans="1:8" x14ac:dyDescent="0.25">
      <c r="A224" s="89">
        <v>5</v>
      </c>
      <c r="B224" s="90"/>
      <c r="C224" s="89" t="s">
        <v>387</v>
      </c>
      <c r="D224" s="144"/>
      <c r="E224" s="144"/>
      <c r="F224" s="144"/>
      <c r="G224" s="90"/>
      <c r="H224" s="41" t="s">
        <v>386</v>
      </c>
    </row>
    <row r="225" spans="1:8" x14ac:dyDescent="0.25">
      <c r="A225" s="141" t="s">
        <v>392</v>
      </c>
      <c r="B225" s="142"/>
      <c r="C225" s="142"/>
      <c r="D225" s="142"/>
      <c r="E225" s="142"/>
      <c r="F225" s="142"/>
      <c r="G225" s="142"/>
      <c r="H225" s="143"/>
    </row>
    <row r="226" spans="1:8" x14ac:dyDescent="0.25">
      <c r="A226" s="89">
        <v>1</v>
      </c>
      <c r="B226" s="90"/>
      <c r="C226" s="262" t="s">
        <v>391</v>
      </c>
      <c r="D226" s="263"/>
      <c r="E226" s="263"/>
      <c r="F226" s="263"/>
      <c r="G226" s="264"/>
      <c r="H226" s="41" t="s">
        <v>386</v>
      </c>
    </row>
    <row r="227" spans="1:8" x14ac:dyDescent="0.25">
      <c r="A227" s="89">
        <f>A226+1</f>
        <v>2</v>
      </c>
      <c r="B227" s="90"/>
      <c r="C227" s="265"/>
      <c r="D227" s="266"/>
      <c r="E227" s="266"/>
      <c r="F227" s="266"/>
      <c r="G227" s="267"/>
      <c r="H227" s="41" t="s">
        <v>386</v>
      </c>
    </row>
    <row r="228" spans="1:8" x14ac:dyDescent="0.25">
      <c r="A228" s="89">
        <f>A227+1</f>
        <v>3</v>
      </c>
      <c r="B228" s="90"/>
      <c r="C228" s="41" t="s">
        <v>385</v>
      </c>
      <c r="D228" s="77">
        <f>(167.85)*10.764</f>
        <v>1806.7373999999998</v>
      </c>
      <c r="E228" s="41">
        <v>0</v>
      </c>
      <c r="F228" s="41">
        <f>D228+E228</f>
        <v>1806.7373999999998</v>
      </c>
      <c r="G228" s="41">
        <v>0</v>
      </c>
      <c r="H228" s="41">
        <f>F228*(($H$139)+1)+(IF(G228&lt;101,G228,IF(G228&lt;201,G228/2,IF(G228&lt;=301,G228/3,G228/4))))</f>
        <v>2710.1060999999995</v>
      </c>
    </row>
    <row r="229" spans="1:8" ht="15.75" customHeight="1" x14ac:dyDescent="0.25">
      <c r="A229" s="89">
        <f>A228+1</f>
        <v>4</v>
      </c>
      <c r="B229" s="90"/>
      <c r="C229" s="41" t="s">
        <v>388</v>
      </c>
      <c r="D229" s="77">
        <f>(110.58)*10.764</f>
        <v>1190.2831199999998</v>
      </c>
      <c r="E229" s="41">
        <v>0</v>
      </c>
      <c r="F229" s="41">
        <f>D229+E229</f>
        <v>1190.2831199999998</v>
      </c>
      <c r="G229" s="41">
        <v>0</v>
      </c>
      <c r="H229" s="41">
        <f>F229*(($H$139)+1)+(IF(G229&lt;101,G229,IF(G229&lt;201,G229/2,IF(G229&lt;=301,G229/3,G229/4))))</f>
        <v>1785.4246799999996</v>
      </c>
    </row>
    <row r="230" spans="1:8" x14ac:dyDescent="0.25">
      <c r="A230" s="89">
        <v>5</v>
      </c>
      <c r="B230" s="90"/>
      <c r="C230" s="89" t="s">
        <v>387</v>
      </c>
      <c r="D230" s="144"/>
      <c r="E230" s="144"/>
      <c r="F230" s="144"/>
      <c r="G230" s="90"/>
      <c r="H230" s="41" t="s">
        <v>386</v>
      </c>
    </row>
    <row r="231" spans="1:8" x14ac:dyDescent="0.25">
      <c r="A231" s="141" t="s">
        <v>393</v>
      </c>
      <c r="B231" s="142"/>
      <c r="C231" s="142"/>
      <c r="D231" s="142"/>
      <c r="E231" s="142"/>
      <c r="F231" s="142"/>
      <c r="G231" s="142"/>
      <c r="H231" s="143"/>
    </row>
    <row r="232" spans="1:8" x14ac:dyDescent="0.25">
      <c r="A232" s="89">
        <v>1</v>
      </c>
      <c r="B232" s="90"/>
      <c r="C232" s="41" t="s">
        <v>384</v>
      </c>
      <c r="D232" s="77">
        <f>(73.8)*10.764</f>
        <v>794.38319999999987</v>
      </c>
      <c r="E232" s="41">
        <v>0</v>
      </c>
      <c r="F232" s="41">
        <f>D232+E232</f>
        <v>794.38319999999987</v>
      </c>
      <c r="G232" s="41">
        <v>0</v>
      </c>
      <c r="H232" s="41">
        <f>F232*(($H$139)+1)+(IF(G232&lt;101,G232,IF(G232&lt;201,G232/2,IF(G232&lt;=301,G232/3,G232/4))))</f>
        <v>1191.5747999999999</v>
      </c>
    </row>
    <row r="233" spans="1:8" x14ac:dyDescent="0.25">
      <c r="A233" s="89">
        <f>A232+1</f>
        <v>2</v>
      </c>
      <c r="B233" s="90"/>
      <c r="C233" s="41" t="s">
        <v>384</v>
      </c>
      <c r="D233" s="77">
        <f>(73.12)*10.764</f>
        <v>787.06367999999998</v>
      </c>
      <c r="E233" s="41">
        <v>0</v>
      </c>
      <c r="F233" s="41">
        <f>D233+E233</f>
        <v>787.06367999999998</v>
      </c>
      <c r="G233" s="41">
        <v>0</v>
      </c>
      <c r="H233" s="41">
        <f>F233*(($H$139)+1)+(IF(G233&lt;101,G233,IF(G233&lt;201,G233/2,IF(G233&lt;=301,G233/3,G233/4))))</f>
        <v>1180.5955199999999</v>
      </c>
    </row>
    <row r="234" spans="1:8" ht="15.75" customHeight="1" x14ac:dyDescent="0.25">
      <c r="A234" s="89">
        <f>A233+1</f>
        <v>3</v>
      </c>
      <c r="B234" s="90"/>
      <c r="C234" s="41" t="s">
        <v>388</v>
      </c>
      <c r="D234" s="77">
        <f>(125.13)*10.764</f>
        <v>1346.8993199999998</v>
      </c>
      <c r="E234" s="41">
        <v>0</v>
      </c>
      <c r="F234" s="41">
        <f>D234+E234</f>
        <v>1346.8993199999998</v>
      </c>
      <c r="G234" s="41">
        <v>0</v>
      </c>
      <c r="H234" s="41">
        <f>F234*(($H$139)+1)+(IF(G234&lt;101,G234,IF(G234&lt;201,G234/2,IF(G234&lt;=301,G234/3,G234/4))))</f>
        <v>2020.3489799999998</v>
      </c>
    </row>
    <row r="235" spans="1:8" x14ac:dyDescent="0.25">
      <c r="A235" s="89">
        <f>A234+1</f>
        <v>4</v>
      </c>
      <c r="B235" s="90"/>
      <c r="C235" s="41" t="s">
        <v>388</v>
      </c>
      <c r="D235" s="77">
        <f>(118.12)*10.764</f>
        <v>1271.4436799999999</v>
      </c>
      <c r="E235" s="41">
        <v>0</v>
      </c>
      <c r="F235" s="41">
        <f>D235+E235</f>
        <v>1271.4436799999999</v>
      </c>
      <c r="G235" s="41">
        <v>0</v>
      </c>
      <c r="H235" s="41">
        <f>F235*(($H$139)+1)+(IF(G235&lt;101,G235,IF(G235&lt;201,G235/2,IF(G235&lt;=301,G235/3,G235/4))))</f>
        <v>1907.1655199999998</v>
      </c>
    </row>
    <row r="236" spans="1:8" x14ac:dyDescent="0.25">
      <c r="A236" s="89">
        <v>5</v>
      </c>
      <c r="B236" s="90"/>
      <c r="C236" s="89" t="s">
        <v>387</v>
      </c>
      <c r="D236" s="144"/>
      <c r="E236" s="144"/>
      <c r="F236" s="144"/>
      <c r="G236" s="90"/>
      <c r="H236" s="41" t="s">
        <v>386</v>
      </c>
    </row>
    <row r="237" spans="1:8" x14ac:dyDescent="0.25">
      <c r="A237" s="141" t="s">
        <v>394</v>
      </c>
      <c r="B237" s="142"/>
      <c r="C237" s="142"/>
      <c r="D237" s="142"/>
      <c r="E237" s="142"/>
      <c r="F237" s="142"/>
      <c r="G237" s="142"/>
      <c r="H237" s="143"/>
    </row>
    <row r="238" spans="1:8" x14ac:dyDescent="0.25">
      <c r="A238" s="89">
        <v>1</v>
      </c>
      <c r="B238" s="90"/>
      <c r="C238" s="262" t="s">
        <v>391</v>
      </c>
      <c r="D238" s="263"/>
      <c r="E238" s="263"/>
      <c r="F238" s="263"/>
      <c r="G238" s="264"/>
      <c r="H238" s="41" t="s">
        <v>386</v>
      </c>
    </row>
    <row r="239" spans="1:8" x14ac:dyDescent="0.25">
      <c r="A239" s="89">
        <f>A238+1</f>
        <v>2</v>
      </c>
      <c r="B239" s="90"/>
      <c r="C239" s="265"/>
      <c r="D239" s="266"/>
      <c r="E239" s="266"/>
      <c r="F239" s="266"/>
      <c r="G239" s="267"/>
      <c r="H239" s="41" t="s">
        <v>386</v>
      </c>
    </row>
    <row r="240" spans="1:8" ht="15.75" customHeight="1" x14ac:dyDescent="0.25">
      <c r="A240" s="89">
        <f>A239+1</f>
        <v>3</v>
      </c>
      <c r="B240" s="90"/>
      <c r="C240" s="41" t="s">
        <v>385</v>
      </c>
      <c r="D240" s="77">
        <f>(167.85)*10.764</f>
        <v>1806.7373999999998</v>
      </c>
      <c r="E240" s="41">
        <v>0</v>
      </c>
      <c r="F240" s="41">
        <f>D240+E240</f>
        <v>1806.7373999999998</v>
      </c>
      <c r="G240" s="41">
        <v>0</v>
      </c>
      <c r="H240" s="41">
        <f>F240*(($H$139)+1)+(IF(G240&lt;101,G240,IF(G240&lt;201,G240/2,IF(G240&lt;=301,G240/3,G240/4))))</f>
        <v>2710.1060999999995</v>
      </c>
    </row>
    <row r="241" spans="1:8" x14ac:dyDescent="0.25">
      <c r="A241" s="89">
        <f>A240+1</f>
        <v>4</v>
      </c>
      <c r="B241" s="90"/>
      <c r="C241" s="41" t="s">
        <v>388</v>
      </c>
      <c r="D241" s="77">
        <f>(110.58)*10.764</f>
        <v>1190.2831199999998</v>
      </c>
      <c r="E241" s="41">
        <v>0</v>
      </c>
      <c r="F241" s="41">
        <f>D241+E241</f>
        <v>1190.2831199999998</v>
      </c>
      <c r="G241" s="41">
        <v>0</v>
      </c>
      <c r="H241" s="41">
        <f>F241*(($H$139)+1)+(IF(G241&lt;101,G241,IF(G241&lt;201,G241/2,IF(G241&lt;=301,G241/3,G241/4))))</f>
        <v>1785.4246799999996</v>
      </c>
    </row>
    <row r="242" spans="1:8" x14ac:dyDescent="0.25">
      <c r="A242" s="89">
        <v>5</v>
      </c>
      <c r="B242" s="90"/>
      <c r="C242" s="89" t="s">
        <v>387</v>
      </c>
      <c r="D242" s="144"/>
      <c r="E242" s="144"/>
      <c r="F242" s="144"/>
      <c r="G242" s="90"/>
      <c r="H242" s="41" t="s">
        <v>386</v>
      </c>
    </row>
    <row r="243" spans="1:8" x14ac:dyDescent="0.25">
      <c r="A243" s="141" t="s">
        <v>398</v>
      </c>
      <c r="B243" s="142"/>
      <c r="C243" s="142"/>
      <c r="D243" s="142"/>
      <c r="E243" s="142"/>
      <c r="F243" s="142"/>
      <c r="G243" s="142"/>
      <c r="H243" s="143"/>
    </row>
    <row r="244" spans="1:8" x14ac:dyDescent="0.25">
      <c r="A244" s="89">
        <v>1</v>
      </c>
      <c r="B244" s="90"/>
      <c r="C244" s="262" t="s">
        <v>391</v>
      </c>
      <c r="D244" s="263"/>
      <c r="E244" s="263"/>
      <c r="F244" s="263"/>
      <c r="G244" s="264"/>
      <c r="H244" s="41" t="s">
        <v>386</v>
      </c>
    </row>
    <row r="245" spans="1:8" ht="15.75" customHeight="1" x14ac:dyDescent="0.25">
      <c r="A245" s="89">
        <f>A244+1</f>
        <v>2</v>
      </c>
      <c r="B245" s="90"/>
      <c r="C245" s="265"/>
      <c r="D245" s="266"/>
      <c r="E245" s="266"/>
      <c r="F245" s="266"/>
      <c r="G245" s="267"/>
      <c r="H245" s="41" t="s">
        <v>386</v>
      </c>
    </row>
    <row r="246" spans="1:8" x14ac:dyDescent="0.25">
      <c r="A246" s="89">
        <f>A245+1</f>
        <v>3</v>
      </c>
      <c r="B246" s="90"/>
      <c r="C246" s="41" t="s">
        <v>385</v>
      </c>
      <c r="D246" s="77">
        <f>(166.57)*10.764</f>
        <v>1792.9594799999998</v>
      </c>
      <c r="E246" s="41">
        <v>0</v>
      </c>
      <c r="F246" s="41">
        <f>D246+E246</f>
        <v>1792.9594799999998</v>
      </c>
      <c r="G246" s="41">
        <v>0</v>
      </c>
      <c r="H246" s="41">
        <f>F246*(($H$139)+1)+(IF(G246&lt;101,G246,IF(G246&lt;201,G246/2,IF(G246&lt;=301,G246/3,G246/4))))</f>
        <v>2689.4392199999998</v>
      </c>
    </row>
    <row r="247" spans="1:8" x14ac:dyDescent="0.25">
      <c r="A247" s="89">
        <f>A246+1</f>
        <v>4</v>
      </c>
      <c r="B247" s="90"/>
      <c r="C247" s="41" t="s">
        <v>388</v>
      </c>
      <c r="D247" s="77">
        <f>(118.12)*10.764</f>
        <v>1271.4436799999999</v>
      </c>
      <c r="E247" s="41">
        <v>0</v>
      </c>
      <c r="F247" s="41">
        <f>D247+E247</f>
        <v>1271.4436799999999</v>
      </c>
      <c r="G247" s="41">
        <v>0</v>
      </c>
      <c r="H247" s="41">
        <f>F247*(($H$139)+1)+(IF(G247&lt;101,G247,IF(G247&lt;201,G247/2,IF(G247&lt;=301,G247/3,G247/4))))</f>
        <v>1907.1655199999998</v>
      </c>
    </row>
    <row r="248" spans="1:8" x14ac:dyDescent="0.25">
      <c r="A248" s="89">
        <v>5</v>
      </c>
      <c r="B248" s="90"/>
      <c r="C248" s="89" t="s">
        <v>387</v>
      </c>
      <c r="D248" s="144"/>
      <c r="E248" s="144"/>
      <c r="F248" s="144"/>
      <c r="G248" s="90"/>
      <c r="H248" s="41" t="s">
        <v>386</v>
      </c>
    </row>
    <row r="249" spans="1:8" x14ac:dyDescent="0.25">
      <c r="A249" s="141" t="s">
        <v>395</v>
      </c>
      <c r="B249" s="142"/>
      <c r="C249" s="142"/>
      <c r="D249" s="142"/>
      <c r="E249" s="142"/>
      <c r="F249" s="142"/>
      <c r="G249" s="142"/>
      <c r="H249" s="143"/>
    </row>
    <row r="250" spans="1:8" x14ac:dyDescent="0.25">
      <c r="A250" s="89">
        <v>1</v>
      </c>
      <c r="B250" s="90"/>
      <c r="C250" s="41" t="s">
        <v>384</v>
      </c>
      <c r="D250" s="77">
        <f>(73.8)*10.764</f>
        <v>794.38319999999987</v>
      </c>
      <c r="E250" s="41">
        <v>0</v>
      </c>
      <c r="F250" s="41">
        <f>D250+E250</f>
        <v>794.38319999999987</v>
      </c>
      <c r="G250" s="41">
        <v>0</v>
      </c>
      <c r="H250" s="41">
        <f>F250*(($H$139)+1)+(IF(G250&lt;101,G250,IF(G250&lt;201,G250/2,IF(G250&lt;=301,G250/3,G250/4))))</f>
        <v>1191.5747999999999</v>
      </c>
    </row>
    <row r="251" spans="1:8" x14ac:dyDescent="0.25">
      <c r="A251" s="89">
        <f>A250+1</f>
        <v>2</v>
      </c>
      <c r="B251" s="90"/>
      <c r="C251" s="41" t="s">
        <v>384</v>
      </c>
      <c r="D251" s="77">
        <f>(73.12)*10.764</f>
        <v>787.06367999999998</v>
      </c>
      <c r="E251" s="41">
        <v>0</v>
      </c>
      <c r="F251" s="41">
        <f>D251+E251</f>
        <v>787.06367999999998</v>
      </c>
      <c r="G251" s="41">
        <v>0</v>
      </c>
      <c r="H251" s="41">
        <f>F251*(($H$139)+1)+(IF(G251&lt;101,G251,IF(G251&lt;201,G251/2,IF(G251&lt;=301,G251/3,G251/4))))</f>
        <v>1180.5955199999999</v>
      </c>
    </row>
    <row r="252" spans="1:8" x14ac:dyDescent="0.25">
      <c r="A252" s="89">
        <f>A251+1</f>
        <v>3</v>
      </c>
      <c r="B252" s="90"/>
      <c r="C252" s="41" t="s">
        <v>388</v>
      </c>
      <c r="D252" s="77">
        <f>(125.13)*10.764</f>
        <v>1346.8993199999998</v>
      </c>
      <c r="E252" s="41">
        <v>0</v>
      </c>
      <c r="F252" s="41">
        <f>D252+E252</f>
        <v>1346.8993199999998</v>
      </c>
      <c r="G252" s="41">
        <v>0</v>
      </c>
      <c r="H252" s="41">
        <f>F252*(($H$139)+1)+(IF(G252&lt;101,G252,IF(G252&lt;201,G252/2,IF(G252&lt;=301,G252/3,G252/4))))</f>
        <v>2020.3489799999998</v>
      </c>
    </row>
    <row r="253" spans="1:8" x14ac:dyDescent="0.25">
      <c r="A253" s="89">
        <f>A252+1</f>
        <v>4</v>
      </c>
      <c r="B253" s="90"/>
      <c r="C253" s="41" t="s">
        <v>388</v>
      </c>
      <c r="D253" s="77">
        <f>(118.12)*10.764</f>
        <v>1271.4436799999999</v>
      </c>
      <c r="E253" s="41">
        <v>0</v>
      </c>
      <c r="F253" s="41">
        <f>D253+E253</f>
        <v>1271.4436799999999</v>
      </c>
      <c r="G253" s="41">
        <v>0</v>
      </c>
      <c r="H253" s="41">
        <f>F253*(($H$139)+1)+(IF(G253&lt;101,G253,IF(G253&lt;201,G253/2,IF(G253&lt;=301,G253/3,G253/4))))</f>
        <v>1907.1655199999998</v>
      </c>
    </row>
    <row r="254" spans="1:8" x14ac:dyDescent="0.25">
      <c r="A254" s="89">
        <v>5</v>
      </c>
      <c r="B254" s="90"/>
      <c r="C254" s="89" t="s">
        <v>396</v>
      </c>
      <c r="D254" s="144"/>
      <c r="E254" s="144"/>
      <c r="F254" s="144"/>
      <c r="G254" s="90"/>
      <c r="H254" s="41" t="s">
        <v>386</v>
      </c>
    </row>
    <row r="255" spans="1:8" ht="15.75" customHeight="1" x14ac:dyDescent="0.25">
      <c r="A255" s="141" t="s">
        <v>397</v>
      </c>
      <c r="B255" s="142"/>
      <c r="C255" s="142"/>
      <c r="D255" s="142"/>
      <c r="E255" s="142"/>
      <c r="F255" s="142"/>
      <c r="G255" s="142"/>
      <c r="H255" s="143"/>
    </row>
    <row r="256" spans="1:8" x14ac:dyDescent="0.25">
      <c r="A256" s="89">
        <v>1</v>
      </c>
      <c r="B256" s="90"/>
      <c r="C256" s="41" t="s">
        <v>384</v>
      </c>
      <c r="D256" s="77">
        <f>(73.8)*10.764</f>
        <v>794.38319999999987</v>
      </c>
      <c r="E256" s="41">
        <v>0</v>
      </c>
      <c r="F256" s="41">
        <f>D256+E256</f>
        <v>794.38319999999987</v>
      </c>
      <c r="G256" s="41">
        <v>0</v>
      </c>
      <c r="H256" s="41">
        <f>F256*(($H$139)+1)+(IF(G256&lt;101,G256,IF(G256&lt;201,G256/2,IF(G256&lt;=301,G256/3,G256/4))))</f>
        <v>1191.5747999999999</v>
      </c>
    </row>
    <row r="257" spans="1:8" x14ac:dyDescent="0.25">
      <c r="A257" s="89">
        <f>A256+1</f>
        <v>2</v>
      </c>
      <c r="B257" s="90"/>
      <c r="C257" s="41" t="s">
        <v>384</v>
      </c>
      <c r="D257" s="77">
        <f>(73.12)*10.764</f>
        <v>787.06367999999998</v>
      </c>
      <c r="E257" s="41">
        <v>0</v>
      </c>
      <c r="F257" s="41">
        <f>D257+E257</f>
        <v>787.06367999999998</v>
      </c>
      <c r="G257" s="41">
        <v>0</v>
      </c>
      <c r="H257" s="41">
        <f>F257*(($H$139)+1)+(IF(G257&lt;101,G257,IF(G257&lt;201,G257/2,IF(G257&lt;=301,G257/3,G257/4))))</f>
        <v>1180.5955199999999</v>
      </c>
    </row>
    <row r="258" spans="1:8" x14ac:dyDescent="0.25">
      <c r="A258" s="89">
        <f>A257+1</f>
        <v>3</v>
      </c>
      <c r="B258" s="90"/>
      <c r="C258" s="41" t="s">
        <v>388</v>
      </c>
      <c r="D258" s="77">
        <f>(125.13)*10.764</f>
        <v>1346.8993199999998</v>
      </c>
      <c r="E258" s="41">
        <v>0</v>
      </c>
      <c r="F258" s="41">
        <f>D258+E258</f>
        <v>1346.8993199999998</v>
      </c>
      <c r="G258" s="41">
        <v>0</v>
      </c>
      <c r="H258" s="41">
        <f>F258*(($H$139)+1)+(IF(G258&lt;101,G258,IF(G258&lt;201,G258/2,IF(G258&lt;=301,G258/3,G258/4))))</f>
        <v>2020.3489799999998</v>
      </c>
    </row>
    <row r="259" spans="1:8" x14ac:dyDescent="0.25">
      <c r="A259" s="89">
        <f>A258+1</f>
        <v>4</v>
      </c>
      <c r="B259" s="90"/>
      <c r="C259" s="41" t="s">
        <v>388</v>
      </c>
      <c r="D259" s="77">
        <f>(118.12)*10.764</f>
        <v>1271.4436799999999</v>
      </c>
      <c r="E259" s="41">
        <v>0</v>
      </c>
      <c r="F259" s="41">
        <f>D259+E259</f>
        <v>1271.4436799999999</v>
      </c>
      <c r="G259" s="41">
        <v>0</v>
      </c>
      <c r="H259" s="41">
        <f>F259*(($H$139)+1)+(IF(G259&lt;101,G259,IF(G259&lt;201,G259/2,IF(G259&lt;=301,G259/3,G259/4))))</f>
        <v>1907.1655199999998</v>
      </c>
    </row>
    <row r="260" spans="1:8" x14ac:dyDescent="0.25">
      <c r="A260" s="141" t="s">
        <v>399</v>
      </c>
      <c r="B260" s="142"/>
      <c r="C260" s="142"/>
      <c r="D260" s="142"/>
      <c r="E260" s="142"/>
      <c r="F260" s="142"/>
      <c r="G260" s="142"/>
      <c r="H260" s="143"/>
    </row>
    <row r="261" spans="1:8" x14ac:dyDescent="0.25">
      <c r="A261" s="89">
        <v>1</v>
      </c>
      <c r="B261" s="90"/>
      <c r="C261" s="262" t="s">
        <v>391</v>
      </c>
      <c r="D261" s="263"/>
      <c r="E261" s="263"/>
      <c r="F261" s="263"/>
      <c r="G261" s="264"/>
      <c r="H261" s="41" t="s">
        <v>386</v>
      </c>
    </row>
    <row r="262" spans="1:8" x14ac:dyDescent="0.25">
      <c r="A262" s="89">
        <f>A261+1</f>
        <v>2</v>
      </c>
      <c r="B262" s="90"/>
      <c r="C262" s="265"/>
      <c r="D262" s="266"/>
      <c r="E262" s="266"/>
      <c r="F262" s="266"/>
      <c r="G262" s="267"/>
      <c r="H262" s="41" t="s">
        <v>386</v>
      </c>
    </row>
    <row r="263" spans="1:8" x14ac:dyDescent="0.25">
      <c r="A263" s="89">
        <f>A262+1</f>
        <v>3</v>
      </c>
      <c r="B263" s="90"/>
      <c r="C263" s="41" t="s">
        <v>385</v>
      </c>
      <c r="D263" s="77">
        <f>(145.87)*10.764</f>
        <v>1570.1446799999999</v>
      </c>
      <c r="E263" s="41">
        <v>0</v>
      </c>
      <c r="F263" s="41">
        <f>D263+E263</f>
        <v>1570.1446799999999</v>
      </c>
      <c r="G263" s="41">
        <v>0</v>
      </c>
      <c r="H263" s="41">
        <f>F263*(($H$139)+1)+(IF(G263&lt;101,G263,IF(G263&lt;201,G263/2,IF(G263&lt;=301,G263/3,G263/4))))</f>
        <v>2355.21702</v>
      </c>
    </row>
    <row r="264" spans="1:8" x14ac:dyDescent="0.25">
      <c r="A264" s="89">
        <f>A263+1</f>
        <v>4</v>
      </c>
      <c r="B264" s="90"/>
      <c r="C264" s="41" t="s">
        <v>388</v>
      </c>
      <c r="D264" s="77">
        <f>(118.12)*10.764</f>
        <v>1271.4436799999999</v>
      </c>
      <c r="E264" s="41">
        <v>0</v>
      </c>
      <c r="F264" s="41">
        <f>D264+E264</f>
        <v>1271.4436799999999</v>
      </c>
      <c r="G264" s="41">
        <v>0</v>
      </c>
      <c r="H264" s="41">
        <f>F264*(($H$139)+1)+(IF(G264&lt;101,G264,IF(G264&lt;201,G264/2,IF(G264&lt;=301,G264/3,G264/4))))</f>
        <v>1907.1655199999998</v>
      </c>
    </row>
    <row r="265" spans="1:8" x14ac:dyDescent="0.25">
      <c r="A265" s="141" t="s">
        <v>400</v>
      </c>
      <c r="B265" s="142"/>
      <c r="C265" s="142"/>
      <c r="D265" s="142"/>
      <c r="E265" s="142"/>
      <c r="F265" s="142"/>
      <c r="G265" s="142"/>
      <c r="H265" s="143"/>
    </row>
    <row r="266" spans="1:8" x14ac:dyDescent="0.25">
      <c r="A266" s="89">
        <v>1</v>
      </c>
      <c r="B266" s="90"/>
      <c r="C266" s="41" t="s">
        <v>384</v>
      </c>
      <c r="D266" s="77">
        <f>(73.8)*10.764</f>
        <v>794.38319999999987</v>
      </c>
      <c r="E266" s="41">
        <v>0</v>
      </c>
      <c r="F266" s="41">
        <f>D266+E266</f>
        <v>794.38319999999987</v>
      </c>
      <c r="G266" s="41">
        <v>0</v>
      </c>
      <c r="H266" s="41">
        <f>F266*(($H$139)+1)+(IF(G266&lt;101,G266,IF(G266&lt;201,G266/2,IF(G266&lt;=301,G266/3,G266/4))))</f>
        <v>1191.5747999999999</v>
      </c>
    </row>
    <row r="267" spans="1:8" x14ac:dyDescent="0.25">
      <c r="A267" s="89">
        <f>A266+1</f>
        <v>2</v>
      </c>
      <c r="B267" s="90"/>
      <c r="C267" s="41" t="s">
        <v>384</v>
      </c>
      <c r="D267" s="77">
        <f>(73.12)*10.764</f>
        <v>787.06367999999998</v>
      </c>
      <c r="E267" s="41">
        <v>0</v>
      </c>
      <c r="F267" s="41">
        <f>D267+E267</f>
        <v>787.06367999999998</v>
      </c>
      <c r="G267" s="41">
        <v>0</v>
      </c>
      <c r="H267" s="41">
        <f>F267*(($H$139)+1)+(IF(G267&lt;101,G267,IF(G267&lt;201,G267/2,IF(G267&lt;=301,G267/3,G267/4))))</f>
        <v>1180.5955199999999</v>
      </c>
    </row>
    <row r="268" spans="1:8" x14ac:dyDescent="0.25">
      <c r="A268" s="89">
        <f>A267+1</f>
        <v>3</v>
      </c>
      <c r="B268" s="90"/>
      <c r="C268" s="41" t="s">
        <v>388</v>
      </c>
      <c r="D268" s="77">
        <f>(125.13)*10.764</f>
        <v>1346.8993199999998</v>
      </c>
      <c r="E268" s="41">
        <v>0</v>
      </c>
      <c r="F268" s="41">
        <f>D268+E268</f>
        <v>1346.8993199999998</v>
      </c>
      <c r="G268" s="41">
        <v>0</v>
      </c>
      <c r="H268" s="41">
        <f>F268*(($H$139)+1)+(IF(G268&lt;101,G268,IF(G268&lt;201,G268/2,IF(G268&lt;=301,G268/3,G268/4))))</f>
        <v>2020.3489799999998</v>
      </c>
    </row>
    <row r="269" spans="1:8" x14ac:dyDescent="0.25">
      <c r="A269" s="89">
        <f>A268+1</f>
        <v>4</v>
      </c>
      <c r="B269" s="90"/>
      <c r="C269" s="41" t="s">
        <v>388</v>
      </c>
      <c r="D269" s="77">
        <f>(118.12)*10.764</f>
        <v>1271.4436799999999</v>
      </c>
      <c r="E269" s="41">
        <v>0</v>
      </c>
      <c r="F269" s="41">
        <f>D269+E269</f>
        <v>1271.4436799999999</v>
      </c>
      <c r="G269" s="41">
        <v>0</v>
      </c>
      <c r="H269" s="41">
        <f>F269*(($H$139)+1)+(IF(G269&lt;101,G269,IF(G269&lt;201,G269/2,IF(G269&lt;=301,G269/3,G269/4))))</f>
        <v>1907.1655199999998</v>
      </c>
    </row>
    <row r="270" spans="1:8" x14ac:dyDescent="0.25">
      <c r="A270" s="89">
        <v>5</v>
      </c>
      <c r="B270" s="90"/>
      <c r="C270" s="41" t="s">
        <v>388</v>
      </c>
      <c r="D270" s="77">
        <f>(98.06)*10.764</f>
        <v>1055.51784</v>
      </c>
      <c r="E270" s="41">
        <v>0</v>
      </c>
      <c r="F270" s="41">
        <f>D270+E270</f>
        <v>1055.51784</v>
      </c>
      <c r="G270" s="41">
        <v>0</v>
      </c>
      <c r="H270" s="41">
        <f>F270*(($H$139)+1)+(IF(G270&lt;101,G270,IF(G270&lt;201,G270/2,IF(G270&lt;=301,G270/3,G270/4))))</f>
        <v>1583.27676</v>
      </c>
    </row>
    <row r="271" spans="1:8" x14ac:dyDescent="0.25">
      <c r="A271" s="141" t="s">
        <v>401</v>
      </c>
      <c r="B271" s="142"/>
      <c r="C271" s="142"/>
      <c r="D271" s="142"/>
      <c r="E271" s="142"/>
      <c r="F271" s="142"/>
      <c r="G271" s="142"/>
      <c r="H271" s="143"/>
    </row>
    <row r="272" spans="1:8" x14ac:dyDescent="0.25">
      <c r="A272" s="89">
        <v>1</v>
      </c>
      <c r="B272" s="90"/>
      <c r="C272" s="89" t="s">
        <v>390</v>
      </c>
      <c r="D272" s="144"/>
      <c r="E272" s="144"/>
      <c r="F272" s="144"/>
      <c r="G272" s="90"/>
      <c r="H272" s="41" t="s">
        <v>386</v>
      </c>
    </row>
    <row r="273" spans="1:8" x14ac:dyDescent="0.25">
      <c r="A273" s="89">
        <f>A272+1</f>
        <v>2</v>
      </c>
      <c r="B273" s="90"/>
      <c r="C273" s="41" t="s">
        <v>384</v>
      </c>
      <c r="D273" s="77">
        <f>(73.12)*10.764</f>
        <v>787.06367999999998</v>
      </c>
      <c r="E273" s="41">
        <v>0</v>
      </c>
      <c r="F273" s="41">
        <f>D273+E273</f>
        <v>787.06367999999998</v>
      </c>
      <c r="G273" s="41">
        <v>0</v>
      </c>
      <c r="H273" s="41">
        <f>F273*(($H$139)+1)+(IF(G273&lt;101,G273,IF(G273&lt;201,G273/2,IF(G273&lt;=301,G273/3,G273/4))))</f>
        <v>1180.5955199999999</v>
      </c>
    </row>
    <row r="274" spans="1:8" x14ac:dyDescent="0.25">
      <c r="A274" s="89">
        <f>A273+1</f>
        <v>3</v>
      </c>
      <c r="B274" s="90"/>
      <c r="C274" s="41" t="s">
        <v>388</v>
      </c>
      <c r="D274" s="77">
        <f>(125.13)*10.764</f>
        <v>1346.8993199999998</v>
      </c>
      <c r="E274" s="41">
        <v>0</v>
      </c>
      <c r="F274" s="41">
        <f>D274+E274</f>
        <v>1346.8993199999998</v>
      </c>
      <c r="G274" s="41">
        <v>0</v>
      </c>
      <c r="H274" s="41">
        <f>F274*(($H$139)+1)+(IF(G274&lt;101,G274,IF(G274&lt;201,G274/2,IF(G274&lt;=301,G274/3,G274/4))))</f>
        <v>2020.3489799999998</v>
      </c>
    </row>
    <row r="275" spans="1:8" ht="49.5" customHeight="1" x14ac:dyDescent="0.25">
      <c r="A275" s="89">
        <f>A274+1</f>
        <v>4</v>
      </c>
      <c r="B275" s="90"/>
      <c r="C275" s="41" t="s">
        <v>410</v>
      </c>
      <c r="D275" s="77">
        <f>(211.08)*10.764</f>
        <v>2272.0651200000002</v>
      </c>
      <c r="E275" s="41">
        <v>0</v>
      </c>
      <c r="F275" s="41">
        <f>D275+E275</f>
        <v>2272.0651200000002</v>
      </c>
      <c r="G275" s="41">
        <v>0</v>
      </c>
      <c r="H275" s="41">
        <f>F275*(($H$139)+1)+(IF(G275&lt;101,G275,IF(G275&lt;201,G275/2,IF(G275&lt;=301,G275/3,G275/4))))</f>
        <v>3408.0976800000003</v>
      </c>
    </row>
    <row r="276" spans="1:8" x14ac:dyDescent="0.25">
      <c r="A276" s="89">
        <v>5</v>
      </c>
      <c r="B276" s="90"/>
      <c r="C276" s="41" t="s">
        <v>388</v>
      </c>
      <c r="D276" s="77">
        <f>(103.8)*10.764</f>
        <v>1117.3031999999998</v>
      </c>
      <c r="E276" s="41">
        <v>0</v>
      </c>
      <c r="F276" s="41">
        <f>D276+E276</f>
        <v>1117.3031999999998</v>
      </c>
      <c r="G276" s="41">
        <v>0</v>
      </c>
      <c r="H276" s="41">
        <f>F276*(($H$139)+1)+(IF(G276&lt;101,G276,IF(G276&lt;201,G276/2,IF(G276&lt;=301,G276/3,G276/4))))</f>
        <v>1675.9547999999998</v>
      </c>
    </row>
    <row r="277" spans="1:8" x14ac:dyDescent="0.25">
      <c r="A277" s="141" t="s">
        <v>402</v>
      </c>
      <c r="B277" s="142"/>
      <c r="C277" s="142"/>
      <c r="D277" s="142"/>
      <c r="E277" s="142"/>
      <c r="F277" s="142"/>
      <c r="G277" s="142"/>
      <c r="H277" s="143"/>
    </row>
    <row r="278" spans="1:8" x14ac:dyDescent="0.25">
      <c r="A278" s="89">
        <v>1</v>
      </c>
      <c r="B278" s="90"/>
      <c r="C278" s="41" t="s">
        <v>384</v>
      </c>
      <c r="D278" s="77">
        <f>(73.8)*10.764</f>
        <v>794.38319999999987</v>
      </c>
      <c r="E278" s="41">
        <v>0</v>
      </c>
      <c r="F278" s="41">
        <f>D278+E278</f>
        <v>794.38319999999987</v>
      </c>
      <c r="G278" s="41">
        <v>0</v>
      </c>
      <c r="H278" s="41">
        <f>F278*(($H$139)+1)+(IF(G278&lt;101,G278,IF(G278&lt;201,G278/2,IF(G278&lt;=301,G278/3,G278/4))))</f>
        <v>1191.5747999999999</v>
      </c>
    </row>
    <row r="279" spans="1:8" x14ac:dyDescent="0.25">
      <c r="A279" s="89">
        <f>A278+1</f>
        <v>2</v>
      </c>
      <c r="B279" s="90"/>
      <c r="C279" s="41" t="s">
        <v>384</v>
      </c>
      <c r="D279" s="77">
        <f>(73.12)*10.764</f>
        <v>787.06367999999998</v>
      </c>
      <c r="E279" s="41">
        <v>0</v>
      </c>
      <c r="F279" s="41">
        <f>D279+E279</f>
        <v>787.06367999999998</v>
      </c>
      <c r="G279" s="41">
        <v>0</v>
      </c>
      <c r="H279" s="41">
        <f>F279*(($H$139)+1)+(IF(G279&lt;101,G279,IF(G279&lt;201,G279/2,IF(G279&lt;=301,G279/3,G279/4))))</f>
        <v>1180.5955199999999</v>
      </c>
    </row>
    <row r="280" spans="1:8" x14ac:dyDescent="0.25">
      <c r="A280" s="89">
        <f>A279+1</f>
        <v>3</v>
      </c>
      <c r="B280" s="90"/>
      <c r="C280" s="41" t="s">
        <v>388</v>
      </c>
      <c r="D280" s="77">
        <f>(125.13)*10.764</f>
        <v>1346.8993199999998</v>
      </c>
      <c r="E280" s="41">
        <v>0</v>
      </c>
      <c r="F280" s="41">
        <f>D280+E280</f>
        <v>1346.8993199999998</v>
      </c>
      <c r="G280" s="41">
        <v>0</v>
      </c>
      <c r="H280" s="41">
        <f>F280*(($H$139)+1)+(IF(G280&lt;101,G280,IF(G280&lt;201,G280/2,IF(G280&lt;=301,G280/3,G280/4))))</f>
        <v>2020.3489799999998</v>
      </c>
    </row>
    <row r="281" spans="1:8" x14ac:dyDescent="0.25">
      <c r="A281" s="89">
        <f>A280+1</f>
        <v>4</v>
      </c>
      <c r="B281" s="90"/>
      <c r="C281" s="89" t="s">
        <v>411</v>
      </c>
      <c r="D281" s="144"/>
      <c r="E281" s="144"/>
      <c r="F281" s="144"/>
      <c r="G281" s="90"/>
      <c r="H281" s="41" t="s">
        <v>386</v>
      </c>
    </row>
    <row r="282" spans="1:8" x14ac:dyDescent="0.25">
      <c r="A282" s="89">
        <v>5</v>
      </c>
      <c r="B282" s="90"/>
      <c r="C282" s="41" t="s">
        <v>388</v>
      </c>
      <c r="D282" s="77">
        <f>(103.8)*10.764</f>
        <v>1117.3031999999998</v>
      </c>
      <c r="E282" s="41">
        <v>0</v>
      </c>
      <c r="F282" s="41">
        <f>D282+E282</f>
        <v>1117.3031999999998</v>
      </c>
      <c r="G282" s="41">
        <v>0</v>
      </c>
      <c r="H282" s="41">
        <f>F282*(($H$139)+1)+(IF(G282&lt;101,G282,IF(G282&lt;201,G282/2,IF(G282&lt;=301,G282/3,G282/4))))</f>
        <v>1675.9547999999998</v>
      </c>
    </row>
    <row r="283" spans="1:8" x14ac:dyDescent="0.25">
      <c r="A283" s="175" t="s">
        <v>63</v>
      </c>
      <c r="B283" s="175"/>
      <c r="C283" s="175"/>
      <c r="D283" s="175"/>
      <c r="E283" s="175"/>
      <c r="F283" s="175"/>
      <c r="G283" s="175"/>
      <c r="H283" s="175"/>
    </row>
    <row r="284" spans="1:8" x14ac:dyDescent="0.25">
      <c r="A284" s="45" t="s">
        <v>148</v>
      </c>
      <c r="B284" s="172" t="s">
        <v>431</v>
      </c>
      <c r="C284" s="173"/>
      <c r="D284" s="173"/>
      <c r="E284" s="173"/>
      <c r="F284" s="173"/>
      <c r="G284" s="173"/>
      <c r="H284" s="174"/>
    </row>
    <row r="285" spans="1:8" x14ac:dyDescent="0.25">
      <c r="A285" s="45" t="s">
        <v>148</v>
      </c>
      <c r="B285" s="169" t="str">
        <f>(IF(H138="Saleable area Loading :","We have considered Saleable area of Flats as per our Calculation.","We considered Saleable area of Flat as per Builder area Sheet."))</f>
        <v>We have considered Saleable area of Flats as per our Calculation.</v>
      </c>
      <c r="C285" s="170"/>
      <c r="D285" s="170"/>
      <c r="E285" s="170"/>
      <c r="F285" s="170"/>
      <c r="G285" s="170"/>
      <c r="H285" s="171"/>
    </row>
    <row r="286" spans="1:8" hidden="1" x14ac:dyDescent="0.25">
      <c r="A286" s="45" t="s">
        <v>148</v>
      </c>
      <c r="B286" s="169" t="str">
        <f>(IF(H130="Saleable area Loading :","We have considered Saleable area of Commercial as per our Calculation.","We considered Saleable area of Commercial as per Builder area Sheet."))</f>
        <v>We have considered Saleable area of Commercial as per our Calculation.</v>
      </c>
      <c r="C286" s="170"/>
      <c r="D286" s="170"/>
      <c r="E286" s="170"/>
      <c r="F286" s="170"/>
      <c r="G286" s="170"/>
      <c r="H286" s="171"/>
    </row>
    <row r="287" spans="1:8" x14ac:dyDescent="0.25">
      <c r="A287" s="45" t="s">
        <v>148</v>
      </c>
      <c r="B287" s="166" t="s">
        <v>118</v>
      </c>
      <c r="C287" s="167"/>
      <c r="D287" s="167"/>
      <c r="E287" s="167"/>
      <c r="F287" s="167"/>
      <c r="G287" s="167"/>
      <c r="H287" s="168"/>
    </row>
    <row r="288" spans="1:8" x14ac:dyDescent="0.25">
      <c r="A288" s="45" t="s">
        <v>148</v>
      </c>
      <c r="B288" s="166" t="s">
        <v>419</v>
      </c>
      <c r="C288" s="167"/>
      <c r="D288" s="167"/>
      <c r="E288" s="167"/>
      <c r="F288" s="167"/>
      <c r="G288" s="167"/>
      <c r="H288" s="168"/>
    </row>
    <row r="289" spans="1:8" x14ac:dyDescent="0.25">
      <c r="A289" s="45" t="s">
        <v>148</v>
      </c>
      <c r="B289" s="166" t="s">
        <v>147</v>
      </c>
      <c r="C289" s="167"/>
      <c r="D289" s="167"/>
      <c r="E289" s="167"/>
      <c r="F289" s="167"/>
      <c r="G289" s="167"/>
      <c r="H289" s="168"/>
    </row>
    <row r="290" spans="1:8" x14ac:dyDescent="0.25">
      <c r="A290" s="45" t="s">
        <v>148</v>
      </c>
      <c r="B290" s="166" t="s">
        <v>119</v>
      </c>
      <c r="C290" s="167"/>
      <c r="D290" s="167"/>
      <c r="E290" s="167"/>
      <c r="F290" s="167"/>
      <c r="G290" s="167"/>
      <c r="H290" s="168"/>
    </row>
    <row r="291" spans="1:8" ht="33" customHeight="1" x14ac:dyDescent="0.25">
      <c r="A291" s="45" t="s">
        <v>148</v>
      </c>
      <c r="B291" s="166" t="s">
        <v>149</v>
      </c>
      <c r="C291" s="167"/>
      <c r="D291" s="167"/>
      <c r="E291" s="167"/>
      <c r="F291" s="167"/>
      <c r="G291" s="167"/>
      <c r="H291" s="168"/>
    </row>
    <row r="292" spans="1:8" x14ac:dyDescent="0.25">
      <c r="A292" s="45" t="s">
        <v>148</v>
      </c>
      <c r="B292" s="166" t="s">
        <v>120</v>
      </c>
      <c r="C292" s="167"/>
      <c r="D292" s="167"/>
      <c r="E292" s="167"/>
      <c r="F292" s="167"/>
      <c r="G292" s="167"/>
      <c r="H292" s="168"/>
    </row>
    <row r="293" spans="1:8" hidden="1" x14ac:dyDescent="0.25">
      <c r="A293" s="45" t="s">
        <v>148</v>
      </c>
      <c r="B293" s="159" t="s">
        <v>174</v>
      </c>
      <c r="C293" s="160"/>
      <c r="D293" s="160"/>
      <c r="E293" s="160"/>
      <c r="F293" s="160"/>
      <c r="G293" s="160"/>
      <c r="H293" s="161"/>
    </row>
    <row r="294" spans="1:8" x14ac:dyDescent="0.25">
      <c r="A294" s="45" t="s">
        <v>148</v>
      </c>
      <c r="B294" s="166" t="s">
        <v>408</v>
      </c>
      <c r="C294" s="167"/>
      <c r="D294" s="167"/>
      <c r="E294" s="167"/>
      <c r="F294" s="167"/>
      <c r="G294" s="167"/>
      <c r="H294" s="168"/>
    </row>
    <row r="295" spans="1:8" ht="15.75" customHeight="1" x14ac:dyDescent="0.25">
      <c r="A295" s="45" t="s">
        <v>148</v>
      </c>
      <c r="B295" s="169" t="s">
        <v>415</v>
      </c>
      <c r="C295" s="170"/>
      <c r="D295" s="170"/>
      <c r="E295" s="170"/>
      <c r="F295" s="170"/>
      <c r="G295" s="170"/>
      <c r="H295" s="171"/>
    </row>
    <row r="296" spans="1:8" ht="65.25" customHeight="1" x14ac:dyDescent="0.25">
      <c r="A296" s="45" t="s">
        <v>148</v>
      </c>
      <c r="B296" s="169" t="s">
        <v>418</v>
      </c>
      <c r="C296" s="170"/>
      <c r="D296" s="170"/>
      <c r="E296" s="170"/>
      <c r="F296" s="170"/>
      <c r="G296" s="170"/>
      <c r="H296" s="171"/>
    </row>
    <row r="297" spans="1:8" ht="15.75" customHeight="1" x14ac:dyDescent="0.25">
      <c r="A297" s="85" t="s">
        <v>148</v>
      </c>
      <c r="B297" s="169" t="s">
        <v>429</v>
      </c>
      <c r="C297" s="170"/>
      <c r="D297" s="170"/>
      <c r="E297" s="170"/>
      <c r="F297" s="170"/>
      <c r="G297" s="170"/>
      <c r="H297" s="171"/>
    </row>
    <row r="298" spans="1:8" x14ac:dyDescent="0.25">
      <c r="A298" s="116" t="s">
        <v>56</v>
      </c>
      <c r="B298" s="116"/>
      <c r="C298" s="116"/>
      <c r="D298" s="116"/>
      <c r="E298" s="116"/>
      <c r="F298" s="116"/>
      <c r="G298" s="116"/>
      <c r="H298" s="116"/>
    </row>
    <row r="299" spans="1:8" x14ac:dyDescent="0.25">
      <c r="A299" s="93" t="s">
        <v>57</v>
      </c>
      <c r="B299" s="93"/>
      <c r="C299" s="93"/>
      <c r="D299" s="93"/>
      <c r="E299" s="93"/>
      <c r="F299" s="93"/>
      <c r="G299" s="93"/>
      <c r="H299" s="93"/>
    </row>
    <row r="300" spans="1:8" x14ac:dyDescent="0.25">
      <c r="A300" s="133" t="s">
        <v>58</v>
      </c>
      <c r="B300" s="133"/>
      <c r="C300" s="133"/>
      <c r="D300" s="133"/>
      <c r="E300" s="133"/>
      <c r="F300" s="133"/>
      <c r="G300" s="133"/>
      <c r="H300" s="133"/>
    </row>
    <row r="301" spans="1:8" x14ac:dyDescent="0.25">
      <c r="A301" s="93" t="s">
        <v>59</v>
      </c>
      <c r="B301" s="93"/>
      <c r="C301" s="93"/>
      <c r="D301" s="93"/>
      <c r="E301" s="93"/>
      <c r="F301" s="93"/>
      <c r="G301" s="93"/>
      <c r="H301" s="93"/>
    </row>
    <row r="302" spans="1:8" x14ac:dyDescent="0.25">
      <c r="A302" s="93" t="s">
        <v>60</v>
      </c>
      <c r="B302" s="93"/>
      <c r="C302" s="93"/>
      <c r="D302" s="93"/>
      <c r="E302" s="93"/>
      <c r="F302" s="93"/>
      <c r="G302" s="93"/>
      <c r="H302" s="93"/>
    </row>
    <row r="303" spans="1:8" x14ac:dyDescent="0.25">
      <c r="A303" s="93" t="s">
        <v>121</v>
      </c>
      <c r="B303" s="93"/>
      <c r="C303" s="93"/>
      <c r="D303" s="93"/>
      <c r="E303" s="93"/>
      <c r="F303" s="93"/>
      <c r="G303" s="93"/>
      <c r="H303" s="93"/>
    </row>
    <row r="304" spans="1:8" x14ac:dyDescent="0.25">
      <c r="A304" s="100" t="s">
        <v>122</v>
      </c>
      <c r="B304" s="100"/>
      <c r="C304" s="100"/>
      <c r="D304" s="100"/>
      <c r="E304" s="100"/>
      <c r="F304" s="100"/>
      <c r="G304" s="100"/>
      <c r="H304" s="100"/>
    </row>
    <row r="305" spans="1:8" x14ac:dyDescent="0.25">
      <c r="A305" s="177" t="s">
        <v>71</v>
      </c>
      <c r="B305" s="177"/>
      <c r="C305" s="177" t="s">
        <v>421</v>
      </c>
      <c r="D305" s="177"/>
      <c r="E305" s="177" t="s">
        <v>100</v>
      </c>
      <c r="F305" s="177"/>
      <c r="G305" s="177" t="s">
        <v>430</v>
      </c>
      <c r="H305" s="177"/>
    </row>
    <row r="306" spans="1:8" x14ac:dyDescent="0.25">
      <c r="A306" s="176" t="s">
        <v>73</v>
      </c>
      <c r="B306" s="176"/>
      <c r="C306" s="176"/>
      <c r="D306" s="176"/>
      <c r="E306" s="176"/>
      <c r="F306" s="176"/>
      <c r="G306" s="176"/>
      <c r="H306" s="176"/>
    </row>
    <row r="307" spans="1:8" x14ac:dyDescent="0.25">
      <c r="A307" s="176"/>
      <c r="B307" s="176"/>
      <c r="C307" s="176"/>
      <c r="D307" s="176"/>
      <c r="E307" s="176"/>
      <c r="F307" s="176"/>
      <c r="G307" s="176"/>
      <c r="H307" s="176"/>
    </row>
    <row r="308" spans="1:8" x14ac:dyDescent="0.25">
      <c r="A308" s="176"/>
      <c r="B308" s="176"/>
      <c r="C308" s="176"/>
      <c r="D308" s="176"/>
      <c r="E308" s="176"/>
      <c r="F308" s="176"/>
      <c r="G308" s="176"/>
      <c r="H308" s="176"/>
    </row>
    <row r="309" spans="1:8" x14ac:dyDescent="0.25">
      <c r="A309" s="176"/>
      <c r="B309" s="176"/>
      <c r="C309" s="176"/>
      <c r="D309" s="176"/>
      <c r="E309" s="176"/>
      <c r="F309" s="176"/>
      <c r="G309" s="176"/>
      <c r="H309" s="176"/>
    </row>
    <row r="310" spans="1:8" x14ac:dyDescent="0.25">
      <c r="A310" s="37" t="s">
        <v>61</v>
      </c>
      <c r="B310" s="38"/>
      <c r="C310" s="38"/>
      <c r="D310" s="37" t="str">
        <f>E9</f>
        <v>Rustomjee 180 Bayview Matunga W (Wing A &amp; B)</v>
      </c>
      <c r="F310" s="38"/>
      <c r="G310" s="38"/>
      <c r="H310" s="38"/>
    </row>
    <row r="311" spans="1:8" x14ac:dyDescent="0.25">
      <c r="A311" s="38"/>
      <c r="B311" s="38"/>
      <c r="C311" s="38"/>
      <c r="D311" s="38"/>
      <c r="E311" s="38"/>
      <c r="F311" s="38"/>
      <c r="G311" s="38"/>
      <c r="H311" s="38"/>
    </row>
    <row r="312" spans="1:8" x14ac:dyDescent="0.25">
      <c r="A312" s="38"/>
      <c r="B312" s="38"/>
      <c r="C312" s="38"/>
      <c r="D312" s="38"/>
      <c r="E312" s="38"/>
      <c r="F312" s="38"/>
      <c r="G312" s="38"/>
      <c r="H312" s="38"/>
    </row>
    <row r="351" spans="1:1" x14ac:dyDescent="0.25">
      <c r="A351" s="40" t="s">
        <v>159</v>
      </c>
    </row>
    <row r="393" spans="1:1" x14ac:dyDescent="0.25">
      <c r="A393" s="40" t="s">
        <v>62</v>
      </c>
    </row>
  </sheetData>
  <mergeCells count="492">
    <mergeCell ref="B297:H297"/>
    <mergeCell ref="B296:H296"/>
    <mergeCell ref="B295:H295"/>
    <mergeCell ref="B294:H294"/>
    <mergeCell ref="A279:B279"/>
    <mergeCell ref="A280:B280"/>
    <mergeCell ref="A281:B281"/>
    <mergeCell ref="A282:B282"/>
    <mergeCell ref="C281:G281"/>
    <mergeCell ref="C60:E60"/>
    <mergeCell ref="G60:H60"/>
    <mergeCell ref="A271:H271"/>
    <mergeCell ref="A272:B272"/>
    <mergeCell ref="A273:B273"/>
    <mergeCell ref="A274:B274"/>
    <mergeCell ref="A275:B275"/>
    <mergeCell ref="A276:B276"/>
    <mergeCell ref="C272:G272"/>
    <mergeCell ref="A277:H277"/>
    <mergeCell ref="A278:B278"/>
    <mergeCell ref="A265:H265"/>
    <mergeCell ref="A266:B266"/>
    <mergeCell ref="A267:B267"/>
    <mergeCell ref="A268:B268"/>
    <mergeCell ref="A269:B269"/>
    <mergeCell ref="A270:B270"/>
    <mergeCell ref="A196:H196"/>
    <mergeCell ref="A260:H260"/>
    <mergeCell ref="A261:B261"/>
    <mergeCell ref="A262:B262"/>
    <mergeCell ref="A263:B263"/>
    <mergeCell ref="A264:B264"/>
    <mergeCell ref="C261:G262"/>
    <mergeCell ref="A191:H191"/>
    <mergeCell ref="A192:B192"/>
    <mergeCell ref="A193:B193"/>
    <mergeCell ref="A194:B194"/>
    <mergeCell ref="A195:B195"/>
    <mergeCell ref="A255:H255"/>
    <mergeCell ref="A256:B256"/>
    <mergeCell ref="A257:B257"/>
    <mergeCell ref="A258:B258"/>
    <mergeCell ref="A259:B259"/>
    <mergeCell ref="A245:B245"/>
    <mergeCell ref="A246:B246"/>
    <mergeCell ref="A247:B247"/>
    <mergeCell ref="A248:B248"/>
    <mergeCell ref="C248:G248"/>
    <mergeCell ref="A231:H231"/>
    <mergeCell ref="A250:B250"/>
    <mergeCell ref="A251:B251"/>
    <mergeCell ref="A252:B252"/>
    <mergeCell ref="A253:B253"/>
    <mergeCell ref="A254:B254"/>
    <mergeCell ref="C254:G254"/>
    <mergeCell ref="A183:H183"/>
    <mergeCell ref="A184:B184"/>
    <mergeCell ref="A185:B185"/>
    <mergeCell ref="A186:B186"/>
    <mergeCell ref="A237:H237"/>
    <mergeCell ref="A238:B238"/>
    <mergeCell ref="C238:G239"/>
    <mergeCell ref="A239:B239"/>
    <mergeCell ref="A240:B240"/>
    <mergeCell ref="A241:B241"/>
    <mergeCell ref="A242:B242"/>
    <mergeCell ref="C242:G242"/>
    <mergeCell ref="A249:H249"/>
    <mergeCell ref="A243:H243"/>
    <mergeCell ref="A244:B244"/>
    <mergeCell ref="C244:G245"/>
    <mergeCell ref="A198:B198"/>
    <mergeCell ref="A234:B234"/>
    <mergeCell ref="A235:B235"/>
    <mergeCell ref="A236:B236"/>
    <mergeCell ref="C236:G236"/>
    <mergeCell ref="A168:H168"/>
    <mergeCell ref="A169:B169"/>
    <mergeCell ref="C169:G169"/>
    <mergeCell ref="A170:B170"/>
    <mergeCell ref="A171:B171"/>
    <mergeCell ref="A172:B172"/>
    <mergeCell ref="C172:G172"/>
    <mergeCell ref="A173:H173"/>
    <mergeCell ref="A174:B174"/>
    <mergeCell ref="C174:G174"/>
    <mergeCell ref="A175:B175"/>
    <mergeCell ref="A176:B176"/>
    <mergeCell ref="A177:B177"/>
    <mergeCell ref="C177:G177"/>
    <mergeCell ref="A178:H178"/>
    <mergeCell ref="A179:B179"/>
    <mergeCell ref="A225:H225"/>
    <mergeCell ref="A226:B226"/>
    <mergeCell ref="A227:B227"/>
    <mergeCell ref="A232:B232"/>
    <mergeCell ref="A233:B233"/>
    <mergeCell ref="A228:B228"/>
    <mergeCell ref="A229:B229"/>
    <mergeCell ref="A230:B230"/>
    <mergeCell ref="C230:G230"/>
    <mergeCell ref="C226:G227"/>
    <mergeCell ref="A163:H163"/>
    <mergeCell ref="C167:G167"/>
    <mergeCell ref="A180:B180"/>
    <mergeCell ref="A181:B181"/>
    <mergeCell ref="A182:B182"/>
    <mergeCell ref="C218:G218"/>
    <mergeCell ref="A187:H187"/>
    <mergeCell ref="C188:G188"/>
    <mergeCell ref="A200:B200"/>
    <mergeCell ref="C197:G197"/>
    <mergeCell ref="A201:H201"/>
    <mergeCell ref="A202:B202"/>
    <mergeCell ref="A203:B203"/>
    <mergeCell ref="A204:B204"/>
    <mergeCell ref="A205:B205"/>
    <mergeCell ref="C204:G204"/>
    <mergeCell ref="A220:B220"/>
    <mergeCell ref="A221:B221"/>
    <mergeCell ref="A222:B222"/>
    <mergeCell ref="A223:B223"/>
    <mergeCell ref="F109:H109"/>
    <mergeCell ref="A75:C75"/>
    <mergeCell ref="G93:H93"/>
    <mergeCell ref="A110:E110"/>
    <mergeCell ref="F110:H110"/>
    <mergeCell ref="A112:E112"/>
    <mergeCell ref="A224:B224"/>
    <mergeCell ref="C224:G224"/>
    <mergeCell ref="A158:H158"/>
    <mergeCell ref="A159:B159"/>
    <mergeCell ref="C162:G162"/>
    <mergeCell ref="C159:G159"/>
    <mergeCell ref="A212:H212"/>
    <mergeCell ref="A213:H213"/>
    <mergeCell ref="A214:B214"/>
    <mergeCell ref="A215:B215"/>
    <mergeCell ref="A216:B216"/>
    <mergeCell ref="A217:B217"/>
    <mergeCell ref="C182:G182"/>
    <mergeCell ref="A208:H208"/>
    <mergeCell ref="A160:B160"/>
    <mergeCell ref="A199:B199"/>
    <mergeCell ref="A219:H219"/>
    <mergeCell ref="A211:H211"/>
    <mergeCell ref="A109:E109"/>
    <mergeCell ref="A103:B103"/>
    <mergeCell ref="A126:B126"/>
    <mergeCell ref="E126:F126"/>
    <mergeCell ref="A114:E114"/>
    <mergeCell ref="G126:H126"/>
    <mergeCell ref="C120:D120"/>
    <mergeCell ref="E120:F120"/>
    <mergeCell ref="G120:H120"/>
    <mergeCell ref="A121:B121"/>
    <mergeCell ref="C121:D121"/>
    <mergeCell ref="E121:F121"/>
    <mergeCell ref="G121:H121"/>
    <mergeCell ref="A125:B125"/>
    <mergeCell ref="C125:D125"/>
    <mergeCell ref="E125:F125"/>
    <mergeCell ref="G125:H125"/>
    <mergeCell ref="A166:B166"/>
    <mergeCell ref="C157:G157"/>
    <mergeCell ref="A197:B197"/>
    <mergeCell ref="B291:H291"/>
    <mergeCell ref="A188:B188"/>
    <mergeCell ref="A157:B157"/>
    <mergeCell ref="A146:H146"/>
    <mergeCell ref="A147:H147"/>
    <mergeCell ref="A141:H141"/>
    <mergeCell ref="A50:B50"/>
    <mergeCell ref="C50:H50"/>
    <mergeCell ref="B289:H289"/>
    <mergeCell ref="G94:H103"/>
    <mergeCell ref="A95:B95"/>
    <mergeCell ref="A96:B96"/>
    <mergeCell ref="A97:B97"/>
    <mergeCell ref="F106:H106"/>
    <mergeCell ref="A106:E106"/>
    <mergeCell ref="D130:D131"/>
    <mergeCell ref="A108:E108"/>
    <mergeCell ref="A107:E107"/>
    <mergeCell ref="A104:E104"/>
    <mergeCell ref="F108:H108"/>
    <mergeCell ref="G130:G131"/>
    <mergeCell ref="A167:B167"/>
    <mergeCell ref="A82:B82"/>
    <mergeCell ref="C78:H78"/>
    <mergeCell ref="A81:B81"/>
    <mergeCell ref="A83:B83"/>
    <mergeCell ref="E79:F79"/>
    <mergeCell ref="A72:C72"/>
    <mergeCell ref="D72:H72"/>
    <mergeCell ref="A148:H148"/>
    <mergeCell ref="L145:M145"/>
    <mergeCell ref="A155:B155"/>
    <mergeCell ref="A156:B156"/>
    <mergeCell ref="L144:M144"/>
    <mergeCell ref="L141:M141"/>
    <mergeCell ref="A150:B150"/>
    <mergeCell ref="L142:M142"/>
    <mergeCell ref="A151:B151"/>
    <mergeCell ref="L143:M143"/>
    <mergeCell ref="A152:B152"/>
    <mergeCell ref="A80:B80"/>
    <mergeCell ref="G79:H79"/>
    <mergeCell ref="F104:H104"/>
    <mergeCell ref="A41:B41"/>
    <mergeCell ref="C41:H41"/>
    <mergeCell ref="F130:F131"/>
    <mergeCell ref="C119:D119"/>
    <mergeCell ref="E119:F119"/>
    <mergeCell ref="B130:B131"/>
    <mergeCell ref="A130:A131"/>
    <mergeCell ref="C138:C139"/>
    <mergeCell ref="G138:G139"/>
    <mergeCell ref="G127:H127"/>
    <mergeCell ref="C56:H56"/>
    <mergeCell ref="A79:B79"/>
    <mergeCell ref="D71:H71"/>
    <mergeCell ref="A66:C67"/>
    <mergeCell ref="D66:H66"/>
    <mergeCell ref="D67:H67"/>
    <mergeCell ref="C52:E52"/>
    <mergeCell ref="F107:H107"/>
    <mergeCell ref="A111:E111"/>
    <mergeCell ref="E94:F103"/>
    <mergeCell ref="A101:B101"/>
    <mergeCell ref="A102:B102"/>
    <mergeCell ref="A133:B133"/>
    <mergeCell ref="E93:F93"/>
    <mergeCell ref="A40:B40"/>
    <mergeCell ref="C40:H40"/>
    <mergeCell ref="A47:D47"/>
    <mergeCell ref="L136:M136"/>
    <mergeCell ref="L135:M135"/>
    <mergeCell ref="L134:M134"/>
    <mergeCell ref="L133:M133"/>
    <mergeCell ref="A87:B87"/>
    <mergeCell ref="C124:D124"/>
    <mergeCell ref="E124:F124"/>
    <mergeCell ref="G124:H124"/>
    <mergeCell ref="A105:E105"/>
    <mergeCell ref="A132:H132"/>
    <mergeCell ref="E130:E131"/>
    <mergeCell ref="A94:B94"/>
    <mergeCell ref="A48:D48"/>
    <mergeCell ref="A49:H49"/>
    <mergeCell ref="D65:H65"/>
    <mergeCell ref="A65:C65"/>
    <mergeCell ref="A86:B86"/>
    <mergeCell ref="C92:H92"/>
    <mergeCell ref="A46:D46"/>
    <mergeCell ref="A93:B93"/>
    <mergeCell ref="A92:B92"/>
    <mergeCell ref="A39:H39"/>
    <mergeCell ref="A38:B38"/>
    <mergeCell ref="C38:E38"/>
    <mergeCell ref="A43:D43"/>
    <mergeCell ref="E43:H43"/>
    <mergeCell ref="A42:H42"/>
    <mergeCell ref="A70:C70"/>
    <mergeCell ref="E80:F89"/>
    <mergeCell ref="G80:H89"/>
    <mergeCell ref="A88:B88"/>
    <mergeCell ref="A89:B89"/>
    <mergeCell ref="D70:H70"/>
    <mergeCell ref="A45:D45"/>
    <mergeCell ref="E45:H45"/>
    <mergeCell ref="E46:H46"/>
    <mergeCell ref="E47:H47"/>
    <mergeCell ref="E48:H48"/>
    <mergeCell ref="C58:H58"/>
    <mergeCell ref="F38:H38"/>
    <mergeCell ref="A78:B78"/>
    <mergeCell ref="A76:B76"/>
    <mergeCell ref="C76:H76"/>
    <mergeCell ref="A84:B84"/>
    <mergeCell ref="A71:C71"/>
    <mergeCell ref="E28:H28"/>
    <mergeCell ref="A30:D30"/>
    <mergeCell ref="E30:H30"/>
    <mergeCell ref="A27:D27"/>
    <mergeCell ref="E27:H27"/>
    <mergeCell ref="A31:D31"/>
    <mergeCell ref="E31:H31"/>
    <mergeCell ref="A28:D28"/>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E26:H26"/>
    <mergeCell ref="A20:B20"/>
    <mergeCell ref="C20:D20"/>
    <mergeCell ref="E20:F20"/>
    <mergeCell ref="G20:H20"/>
    <mergeCell ref="A21:B21"/>
    <mergeCell ref="C21:D21"/>
    <mergeCell ref="E21:F21"/>
    <mergeCell ref="G21:H21"/>
    <mergeCell ref="A22:B22"/>
    <mergeCell ref="C22:D22"/>
    <mergeCell ref="E22:F22"/>
    <mergeCell ref="G22:H22"/>
    <mergeCell ref="A23:B23"/>
    <mergeCell ref="C23:D23"/>
    <mergeCell ref="E23:F23"/>
    <mergeCell ref="G23:H23"/>
    <mergeCell ref="F35:H35"/>
    <mergeCell ref="F36:H36"/>
    <mergeCell ref="E14:H14"/>
    <mergeCell ref="A11:D11"/>
    <mergeCell ref="E11:H11"/>
    <mergeCell ref="A24:D25"/>
    <mergeCell ref="E24:H25"/>
    <mergeCell ref="A17:B17"/>
    <mergeCell ref="C17:H17"/>
    <mergeCell ref="C18:H18"/>
    <mergeCell ref="A19:B19"/>
    <mergeCell ref="C19:H19"/>
    <mergeCell ref="A13:D13"/>
    <mergeCell ref="E13:H13"/>
    <mergeCell ref="A12:D12"/>
    <mergeCell ref="E12:H12"/>
    <mergeCell ref="A18:B18"/>
    <mergeCell ref="A14:D14"/>
    <mergeCell ref="A15:D16"/>
    <mergeCell ref="E15:F15"/>
    <mergeCell ref="E16:F16"/>
    <mergeCell ref="G15:H15"/>
    <mergeCell ref="G16:H16"/>
    <mergeCell ref="A26:D2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306:H309"/>
    <mergeCell ref="A305:B305"/>
    <mergeCell ref="E305:F305"/>
    <mergeCell ref="C305:D305"/>
    <mergeCell ref="G305:H305"/>
    <mergeCell ref="A117:H117"/>
    <mergeCell ref="A115:E115"/>
    <mergeCell ref="F115:H115"/>
    <mergeCell ref="A116:E116"/>
    <mergeCell ref="F116:H116"/>
    <mergeCell ref="A153:H153"/>
    <mergeCell ref="A124:B124"/>
    <mergeCell ref="A162:B162"/>
    <mergeCell ref="A119:B119"/>
    <mergeCell ref="A301:H301"/>
    <mergeCell ref="A122:H122"/>
    <mergeCell ref="A304:H304"/>
    <mergeCell ref="A302:H302"/>
    <mergeCell ref="A298:H298"/>
    <mergeCell ref="G123:H123"/>
    <mergeCell ref="A164:B164"/>
    <mergeCell ref="C130:C131"/>
    <mergeCell ref="B138:B139"/>
    <mergeCell ref="A299:H299"/>
    <mergeCell ref="B293:H293"/>
    <mergeCell ref="A127:B127"/>
    <mergeCell ref="C127:D127"/>
    <mergeCell ref="E127:F127"/>
    <mergeCell ref="B292:H292"/>
    <mergeCell ref="B290:H290"/>
    <mergeCell ref="B286:H286"/>
    <mergeCell ref="A206:H206"/>
    <mergeCell ref="A165:B165"/>
    <mergeCell ref="A218:B218"/>
    <mergeCell ref="B284:H284"/>
    <mergeCell ref="B285:H285"/>
    <mergeCell ref="B287:H287"/>
    <mergeCell ref="B288:H288"/>
    <mergeCell ref="A283:H283"/>
    <mergeCell ref="A189:B189"/>
    <mergeCell ref="A190:B190"/>
    <mergeCell ref="A143:H143"/>
    <mergeCell ref="A149:B149"/>
    <mergeCell ref="C152:G152"/>
    <mergeCell ref="A142:H142"/>
    <mergeCell ref="A136:B136"/>
    <mergeCell ref="A135:B135"/>
    <mergeCell ref="A207:H207"/>
    <mergeCell ref="E68:F68"/>
    <mergeCell ref="A68:C69"/>
    <mergeCell ref="D68:D69"/>
    <mergeCell ref="G68:H68"/>
    <mergeCell ref="G69:H69"/>
    <mergeCell ref="E69:F69"/>
    <mergeCell ref="D75:H75"/>
    <mergeCell ref="A73:C73"/>
    <mergeCell ref="D74:H74"/>
    <mergeCell ref="A303:H303"/>
    <mergeCell ref="A300:H300"/>
    <mergeCell ref="A154:B154"/>
    <mergeCell ref="A123:B123"/>
    <mergeCell ref="D138:D139"/>
    <mergeCell ref="E138:E139"/>
    <mergeCell ref="A98:B98"/>
    <mergeCell ref="A99:B99"/>
    <mergeCell ref="A100:B100"/>
    <mergeCell ref="F105:H105"/>
    <mergeCell ref="G119:H119"/>
    <mergeCell ref="F111:H111"/>
    <mergeCell ref="C118:D118"/>
    <mergeCell ref="C126:D126"/>
    <mergeCell ref="A140:H140"/>
    <mergeCell ref="A137:H137"/>
    <mergeCell ref="E123:F123"/>
    <mergeCell ref="A128:H128"/>
    <mergeCell ref="A138:A139"/>
    <mergeCell ref="F138:F139"/>
    <mergeCell ref="A144:H144"/>
    <mergeCell ref="A209:H209"/>
    <mergeCell ref="A145:H145"/>
    <mergeCell ref="A210:H210"/>
    <mergeCell ref="C51:E51"/>
    <mergeCell ref="C54:E54"/>
    <mergeCell ref="G54:H54"/>
    <mergeCell ref="G51:H51"/>
    <mergeCell ref="G53:H53"/>
    <mergeCell ref="A52:B52"/>
    <mergeCell ref="A62:H62"/>
    <mergeCell ref="A63:C63"/>
    <mergeCell ref="A64:C64"/>
    <mergeCell ref="D64:H64"/>
    <mergeCell ref="G61:H61"/>
    <mergeCell ref="A55:B56"/>
    <mergeCell ref="C55:E55"/>
    <mergeCell ref="G55:H55"/>
    <mergeCell ref="A57:B58"/>
    <mergeCell ref="C57:E57"/>
    <mergeCell ref="G57:H57"/>
    <mergeCell ref="A59:B60"/>
    <mergeCell ref="C59:E59"/>
    <mergeCell ref="G59:H59"/>
    <mergeCell ref="G52:H52"/>
    <mergeCell ref="A53:B54"/>
    <mergeCell ref="C53:E53"/>
    <mergeCell ref="I15:P15"/>
    <mergeCell ref="F114:H114"/>
    <mergeCell ref="F112:H112"/>
    <mergeCell ref="A161:B161"/>
    <mergeCell ref="A129:H129"/>
    <mergeCell ref="G118:H118"/>
    <mergeCell ref="A113:E113"/>
    <mergeCell ref="A134:B134"/>
    <mergeCell ref="A61:B61"/>
    <mergeCell ref="C61:E61"/>
    <mergeCell ref="D63:H63"/>
    <mergeCell ref="F113:H113"/>
    <mergeCell ref="E118:F118"/>
    <mergeCell ref="A118:B118"/>
    <mergeCell ref="A120:B120"/>
    <mergeCell ref="C123:D123"/>
    <mergeCell ref="D73:H73"/>
    <mergeCell ref="A74:C74"/>
    <mergeCell ref="E44:H44"/>
    <mergeCell ref="A44:D44"/>
    <mergeCell ref="A90:B90"/>
    <mergeCell ref="C90:H90"/>
    <mergeCell ref="A85:B85"/>
    <mergeCell ref="A51:B51"/>
  </mergeCells>
  <dataValidations count="18">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$S$13:$W$13</formula1>
    </dataValidation>
    <dataValidation type="list" allowBlank="1" showInputMessage="1" showErrorMessage="1" sqref="E130:E131">
      <formula1>"Attached Loft area,Attached Otla area,Attached Mezzanine area"</formula1>
    </dataValidation>
    <dataValidation type="list" allowBlank="1" showInputMessage="1" showErrorMessage="1" sqref="G305:H305">
      <formula1>"Kunal Kadam,Pranita Mhatre,Shruti Fule,Pooja Kawale,Gaurav Panchal,Shruti Tathare, Hitakshi Mhatre, Sachin Sawant"</formula1>
    </dataValidation>
    <dataValidation type="list" allowBlank="1" showInputMessage="1" showErrorMessage="1" sqref="F104:H104">
      <formula1>"On Saleable Area,On Builtup Area,On Carpet Area,On Plot Area"</formula1>
    </dataValidation>
    <dataValidation type="list" allowBlank="1" showInputMessage="1" showErrorMessage="1" sqref="F115:H115">
      <formula1>OFFSET($S$104,1,MATCH($G21,$S$104:$W$104,0)-1,15,1)</formula1>
    </dataValidation>
    <dataValidation type="list" allowBlank="1" showInputMessage="1" showErrorMessage="1" sqref="B130:B131">
      <formula1>"Shop No. (Sale Plan),Sale / Rehab,Sale / Mhada"</formula1>
    </dataValidation>
    <dataValidation type="list" allowBlank="1" showInputMessage="1" showErrorMessage="1" sqref="B138:B139">
      <formula1>"Flat No. (Sale Plan),Sale / Rehab,Sale / Mhada"</formula1>
    </dataValidation>
    <dataValidation type="list" allowBlank="1" showInputMessage="1" showErrorMessage="1" sqref="C22:D22">
      <formula1>OFFSET($S$13,1,MATCH($G21,$S$13:$W$13,0)-1,15,1)</formula1>
    </dataValidation>
    <dataValidation type="list" allowBlank="1" showInputMessage="1" showErrorMessage="1" sqref="Y13">
      <formula1>$D$5:$H$5</formula1>
    </dataValidation>
    <dataValidation type="list" allowBlank="1" showInputMessage="1" showErrorMessage="1" sqref="E138:E139">
      <formula1>"Fungible area,Balcony Area,Chajja Area,Cornice Area,AP Area,WS Area"</formula1>
    </dataValidation>
    <dataValidation type="list" allowBlank="1" showInputMessage="1" showErrorMessage="1" sqref="H131 H139">
      <formula1>".45,.50,.55,.60"</formula1>
    </dataValidation>
    <dataValidation type="list" allowBlank="1" showInputMessage="1" showErrorMessage="1" sqref="E4:H4">
      <formula1>$L$3:$P$3</formula1>
    </dataValidation>
    <dataValidation type="list" allowBlank="1" showInputMessage="1" showErrorMessage="1" sqref="C50:H50">
      <formula1>OFFSET($S$50,1,MATCH($G21,$S$50:$W$50,0)-1,15,1)</formula1>
    </dataValidation>
    <dataValidation type="whole" allowBlank="1" showInputMessage="1" showErrorMessage="1" sqref="C85">
      <formula1>0</formula1>
      <formula2>H77</formula2>
    </dataValidation>
    <dataValidation type="list" allowBlank="1" showInputMessage="1" showErrorMessage="1" sqref="H130 H138">
      <formula1>"Saleable area Loading :,Builder Saleable Area"</formula1>
    </dataValidation>
    <dataValidation type="list" allowBlank="1" showInputMessage="1" showErrorMessage="1" sqref="D130:D131 D138:D139">
      <formula1>"Carpet area,RERA Carpet area"</formula1>
    </dataValidation>
  </dataValidations>
  <hyperlinks>
    <hyperlink ref="C41" r:id="rId1"/>
    <hyperlink ref="I72" r:id="rId2"/>
    <hyperlink ref="I71" r:id="rId3"/>
  </hyperlinks>
  <printOptions horizontalCentered="1"/>
  <pageMargins left="0.39370078740157483" right="0.39370078740157483" top="0.82677165354330717" bottom="0.78740157480314965" header="0.15748031496062992" footer="0.19685039370078741"/>
  <pageSetup paperSize="2" fitToHeight="0" orientation="portrait" r:id="rId4"/>
  <headerFooter>
    <oddHeader>&amp;C&amp;G</oddHeader>
    <oddFooter>&amp;L&amp;"Times New Roman,Bold"&amp;12Ref No: &amp;F&amp;C&amp;G&amp;R&amp;"Times New Roman,Bold"&amp;12&amp;P</oddFooter>
  </headerFooter>
  <rowBreaks count="4" manualBreakCount="4">
    <brk id="309" max="7" man="1"/>
    <brk id="350" max="7" man="1"/>
    <brk id="279" max="16383" man="1"/>
    <brk id="392" max="7" man="1"/>
  </rowBreaks>
  <drawing r:id="rId5"/>
  <legacy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8" t="s">
        <v>101</v>
      </c>
      <c r="C3" s="268"/>
      <c r="D3" s="268"/>
      <c r="E3" s="268"/>
      <c r="F3" s="268"/>
      <c r="G3" s="268"/>
      <c r="H3" s="268"/>
    </row>
    <row r="4" spans="1:9" x14ac:dyDescent="0.25">
      <c r="A4" s="2"/>
      <c r="B4" s="3" t="s">
        <v>102</v>
      </c>
      <c r="C4" s="3" t="s">
        <v>103</v>
      </c>
      <c r="D4" s="3" t="s">
        <v>64</v>
      </c>
      <c r="E4" s="3" t="s">
        <v>104</v>
      </c>
      <c r="F4" s="3" t="s">
        <v>110</v>
      </c>
      <c r="G4" s="3" t="s">
        <v>111</v>
      </c>
      <c r="H4" s="3" t="s">
        <v>105</v>
      </c>
    </row>
    <row r="5" spans="1:9" ht="15" customHeight="1" x14ac:dyDescent="0.25">
      <c r="A5" s="2"/>
      <c r="B5" s="5" t="s">
        <v>106</v>
      </c>
      <c r="C5" s="6"/>
      <c r="D5" s="5"/>
      <c r="E5" s="5"/>
      <c r="F5" s="7">
        <f>E5*1.6</f>
        <v>0</v>
      </c>
      <c r="G5" s="7" t="e">
        <f>H5/F5</f>
        <v>#DIV/0!</v>
      </c>
      <c r="H5" s="8"/>
    </row>
    <row r="6" spans="1:9" x14ac:dyDescent="0.25">
      <c r="A6" s="2"/>
      <c r="B6" s="5" t="s">
        <v>106</v>
      </c>
      <c r="C6" s="9"/>
      <c r="D6" s="5"/>
      <c r="E6" s="5"/>
      <c r="F6" s="7">
        <f t="shared" ref="F6:F11" si="0">E6*1.6</f>
        <v>0</v>
      </c>
      <c r="G6" s="7" t="e">
        <f t="shared" ref="G6:G11" si="1">H6/F6</f>
        <v>#DIV/0!</v>
      </c>
      <c r="H6" s="8"/>
    </row>
    <row r="7" spans="1:9" ht="15" customHeight="1" x14ac:dyDescent="0.25">
      <c r="A7" s="2"/>
      <c r="B7" s="5" t="s">
        <v>106</v>
      </c>
      <c r="C7" s="6"/>
      <c r="D7" s="5"/>
      <c r="E7" s="5"/>
      <c r="F7" s="7">
        <f t="shared" si="0"/>
        <v>0</v>
      </c>
      <c r="G7" s="7" t="e">
        <f t="shared" si="1"/>
        <v>#DIV/0!</v>
      </c>
      <c r="H7" s="8"/>
    </row>
    <row r="8" spans="1:9" x14ac:dyDescent="0.25">
      <c r="A8" s="2"/>
      <c r="B8" s="5" t="s">
        <v>106</v>
      </c>
      <c r="C8" s="9"/>
      <c r="D8" s="5"/>
      <c r="E8" s="5"/>
      <c r="F8" s="7">
        <f t="shared" si="0"/>
        <v>0</v>
      </c>
      <c r="G8" s="7" t="e">
        <f t="shared" si="1"/>
        <v>#DIV/0!</v>
      </c>
      <c r="H8" s="8"/>
    </row>
    <row r="9" spans="1:9" ht="15" customHeight="1" x14ac:dyDescent="0.25">
      <c r="A9" s="2"/>
      <c r="B9" s="5" t="s">
        <v>106</v>
      </c>
      <c r="C9" s="9"/>
      <c r="D9" s="5"/>
      <c r="E9" s="5"/>
      <c r="F9" s="7">
        <f t="shared" si="0"/>
        <v>0</v>
      </c>
      <c r="G9" s="7" t="e">
        <f t="shared" si="1"/>
        <v>#DIV/0!</v>
      </c>
      <c r="H9" s="8"/>
    </row>
    <row r="10" spans="1:9" ht="15" customHeight="1" x14ac:dyDescent="0.25">
      <c r="A10" s="2"/>
      <c r="B10" s="5" t="s">
        <v>107</v>
      </c>
      <c r="C10" s="6"/>
      <c r="D10" s="5"/>
      <c r="E10" s="5"/>
      <c r="F10" s="7">
        <f t="shared" si="0"/>
        <v>0</v>
      </c>
      <c r="G10" s="7" t="e">
        <f t="shared" si="1"/>
        <v>#DIV/0!</v>
      </c>
      <c r="H10" s="8"/>
    </row>
    <row r="11" spans="1:9" ht="15" customHeight="1" x14ac:dyDescent="0.25">
      <c r="A11" s="2"/>
      <c r="B11" s="5" t="s">
        <v>107</v>
      </c>
      <c r="C11" s="6"/>
      <c r="D11" s="5"/>
      <c r="E11" s="5"/>
      <c r="F11" s="7">
        <f t="shared" si="0"/>
        <v>0</v>
      </c>
      <c r="G11" s="7" t="e">
        <f t="shared" si="1"/>
        <v>#DIV/0!</v>
      </c>
      <c r="H11" s="8"/>
    </row>
    <row r="12" spans="1:9" ht="15" customHeight="1" x14ac:dyDescent="0.25">
      <c r="A12" s="2"/>
      <c r="B12" s="10" t="s">
        <v>108</v>
      </c>
      <c r="C12" s="5"/>
      <c r="D12" s="5"/>
      <c r="E12" s="5"/>
      <c r="F12" s="5"/>
      <c r="G12" s="11" t="e">
        <f>AVERAGE(G5:G11)</f>
        <v>#DIV/0!</v>
      </c>
      <c r="H12" s="5"/>
    </row>
    <row r="13" spans="1:9" ht="15" customHeight="1" x14ac:dyDescent="0.25">
      <c r="B13" s="10" t="s">
        <v>109</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10</v>
      </c>
      <c r="D4" s="53" t="s">
        <v>175</v>
      </c>
      <c r="E4" s="53" t="s">
        <v>185</v>
      </c>
      <c r="F4" s="53" t="s">
        <v>168</v>
      </c>
      <c r="G4" s="53" t="s">
        <v>190</v>
      </c>
      <c r="H4" s="53" t="s">
        <v>208</v>
      </c>
      <c r="J4" t="s">
        <v>190</v>
      </c>
      <c r="K4" t="s">
        <v>206</v>
      </c>
    </row>
    <row r="5" spans="2:11" x14ac:dyDescent="0.25">
      <c r="B5" s="52"/>
      <c r="C5" s="52"/>
      <c r="D5" s="53" t="s">
        <v>176</v>
      </c>
      <c r="E5" s="53" t="s">
        <v>183</v>
      </c>
      <c r="F5" s="53" t="s">
        <v>205</v>
      </c>
      <c r="G5" s="53" t="s">
        <v>191</v>
      </c>
      <c r="H5" s="53" t="s">
        <v>209</v>
      </c>
    </row>
    <row r="6" spans="2:11" x14ac:dyDescent="0.25">
      <c r="B6" s="52"/>
      <c r="C6" s="52"/>
      <c r="D6" s="53" t="s">
        <v>177</v>
      </c>
      <c r="E6" s="53" t="s">
        <v>184</v>
      </c>
      <c r="F6" s="53" t="s">
        <v>206</v>
      </c>
      <c r="G6" s="53" t="s">
        <v>192</v>
      </c>
      <c r="H6" s="53" t="s">
        <v>222</v>
      </c>
    </row>
    <row r="7" spans="2:11" x14ac:dyDescent="0.25">
      <c r="B7" s="52"/>
      <c r="C7" s="52"/>
      <c r="D7" s="53" t="s">
        <v>178</v>
      </c>
      <c r="E7" s="53" t="s">
        <v>186</v>
      </c>
      <c r="F7" s="53" t="s">
        <v>207</v>
      </c>
      <c r="G7" s="53" t="s">
        <v>193</v>
      </c>
      <c r="H7" s="53" t="s">
        <v>210</v>
      </c>
    </row>
    <row r="8" spans="2:11" x14ac:dyDescent="0.25">
      <c r="B8" s="52"/>
      <c r="C8" s="52"/>
      <c r="D8" s="53" t="s">
        <v>179</v>
      </c>
      <c r="E8" s="53" t="s">
        <v>187</v>
      </c>
      <c r="F8" s="53"/>
      <c r="G8" s="53" t="s">
        <v>194</v>
      </c>
      <c r="H8" s="53" t="s">
        <v>211</v>
      </c>
    </row>
    <row r="9" spans="2:11" x14ac:dyDescent="0.25">
      <c r="B9" s="52"/>
      <c r="C9" s="52"/>
      <c r="D9" s="53" t="s">
        <v>180</v>
      </c>
      <c r="E9" s="53" t="s">
        <v>185</v>
      </c>
      <c r="F9" s="53"/>
      <c r="G9" s="53" t="s">
        <v>195</v>
      </c>
      <c r="H9" s="53" t="s">
        <v>212</v>
      </c>
    </row>
    <row r="10" spans="2:11" x14ac:dyDescent="0.25">
      <c r="B10" s="52"/>
      <c r="C10" s="52"/>
      <c r="D10" s="53" t="s">
        <v>181</v>
      </c>
      <c r="E10" s="53" t="s">
        <v>188</v>
      </c>
      <c r="F10" s="53"/>
      <c r="G10" s="53" t="s">
        <v>196</v>
      </c>
      <c r="H10" s="53" t="s">
        <v>213</v>
      </c>
    </row>
    <row r="11" spans="2:11" x14ac:dyDescent="0.25">
      <c r="B11" s="52"/>
      <c r="C11" s="52"/>
      <c r="D11" s="53" t="s">
        <v>182</v>
      </c>
      <c r="E11" s="53" t="s">
        <v>189</v>
      </c>
      <c r="F11" s="53"/>
      <c r="G11" s="53" t="s">
        <v>197</v>
      </c>
      <c r="H11" s="53" t="s">
        <v>214</v>
      </c>
    </row>
    <row r="12" spans="2:11" x14ac:dyDescent="0.25">
      <c r="B12" s="52"/>
      <c r="C12" s="52"/>
      <c r="D12" s="53"/>
      <c r="E12" s="53"/>
      <c r="F12" s="53"/>
      <c r="G12" s="53" t="s">
        <v>198</v>
      </c>
      <c r="H12" s="53" t="s">
        <v>215</v>
      </c>
    </row>
    <row r="13" spans="2:11" x14ac:dyDescent="0.25">
      <c r="B13" s="52"/>
      <c r="C13" s="52"/>
      <c r="D13" s="53"/>
      <c r="E13" s="53"/>
      <c r="F13" s="53"/>
      <c r="G13" s="53" t="s">
        <v>199</v>
      </c>
      <c r="H13" s="53" t="s">
        <v>216</v>
      </c>
    </row>
    <row r="14" spans="2:11" x14ac:dyDescent="0.25">
      <c r="B14" s="52"/>
      <c r="C14" s="52"/>
      <c r="D14" s="53"/>
      <c r="E14" s="53"/>
      <c r="F14" s="53"/>
      <c r="G14" s="53" t="s">
        <v>200</v>
      </c>
      <c r="H14" s="53" t="s">
        <v>217</v>
      </c>
    </row>
    <row r="15" spans="2:11" x14ac:dyDescent="0.25">
      <c r="B15" s="52"/>
      <c r="C15" s="52"/>
      <c r="D15" s="53"/>
      <c r="E15" s="53"/>
      <c r="F15" s="53"/>
      <c r="G15" s="53" t="s">
        <v>201</v>
      </c>
      <c r="H15" s="53" t="s">
        <v>218</v>
      </c>
    </row>
    <row r="16" spans="2:11" x14ac:dyDescent="0.25">
      <c r="B16" s="52"/>
      <c r="C16" s="52"/>
      <c r="D16" s="53"/>
      <c r="E16" s="53"/>
      <c r="F16" s="53"/>
      <c r="G16" s="53" t="s">
        <v>202</v>
      </c>
      <c r="H16" s="53" t="s">
        <v>219</v>
      </c>
    </row>
    <row r="17" spans="2:8" x14ac:dyDescent="0.25">
      <c r="B17" s="52"/>
      <c r="C17" s="52"/>
      <c r="D17" s="53"/>
      <c r="E17" s="53"/>
      <c r="F17" s="53"/>
      <c r="G17" s="53" t="s">
        <v>203</v>
      </c>
      <c r="H17" s="53" t="s">
        <v>220</v>
      </c>
    </row>
    <row r="18" spans="2:8" x14ac:dyDescent="0.25">
      <c r="B18" s="52"/>
      <c r="C18" s="52"/>
      <c r="D18" s="53"/>
      <c r="E18" s="53"/>
      <c r="F18" s="53"/>
      <c r="G18" s="53" t="s">
        <v>204</v>
      </c>
      <c r="H18" s="53" t="s">
        <v>221</v>
      </c>
    </row>
    <row r="24" spans="2:8" x14ac:dyDescent="0.25">
      <c r="C24" t="s">
        <v>165</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165</v>
      </c>
    </row>
    <row r="33" spans="3:11" x14ac:dyDescent="0.25">
      <c r="J33">
        <v>1</v>
      </c>
      <c r="K33">
        <v>2</v>
      </c>
    </row>
    <row r="34" spans="3:11" x14ac:dyDescent="0.25">
      <c r="C34" s="55" t="s">
        <v>233</v>
      </c>
      <c r="D34" s="53" t="s">
        <v>231</v>
      </c>
      <c r="E34" s="53" t="s">
        <v>236</v>
      </c>
      <c r="F34" s="53" t="s">
        <v>234</v>
      </c>
      <c r="G34" s="53" t="s">
        <v>235</v>
      </c>
      <c r="H34" s="53" t="s">
        <v>237</v>
      </c>
      <c r="J34" t="s">
        <v>190</v>
      </c>
      <c r="K34" t="s">
        <v>206</v>
      </c>
    </row>
    <row r="35" spans="3:11" x14ac:dyDescent="0.25">
      <c r="C35" s="52" t="s">
        <v>232</v>
      </c>
      <c r="D35" s="53" t="s">
        <v>166</v>
      </c>
      <c r="E35" s="53" t="s">
        <v>241</v>
      </c>
      <c r="F35" s="53" t="s">
        <v>243</v>
      </c>
      <c r="G35" s="53" t="s">
        <v>245</v>
      </c>
      <c r="H35" s="53"/>
    </row>
    <row r="36" spans="3:11" x14ac:dyDescent="0.25">
      <c r="C36" s="52"/>
      <c r="D36" s="53" t="s">
        <v>238</v>
      </c>
      <c r="E36" s="53" t="s">
        <v>242</v>
      </c>
      <c r="F36" s="53" t="s">
        <v>244</v>
      </c>
      <c r="G36" s="53" t="s">
        <v>246</v>
      </c>
      <c r="H36" s="53"/>
    </row>
    <row r="37" spans="3:11" x14ac:dyDescent="0.25">
      <c r="C37" s="52"/>
      <c r="D37" s="53" t="s">
        <v>239</v>
      </c>
      <c r="E37" s="53"/>
      <c r="F37" s="53"/>
      <c r="G37" s="53" t="s">
        <v>247</v>
      </c>
      <c r="H37" s="53"/>
    </row>
    <row r="38" spans="3:11" x14ac:dyDescent="0.25">
      <c r="C38" s="52"/>
      <c r="D38" s="53" t="s">
        <v>240</v>
      </c>
      <c r="E38" s="53"/>
      <c r="F38" s="53"/>
      <c r="G38" s="53" t="s">
        <v>247</v>
      </c>
      <c r="H38" s="53"/>
    </row>
    <row r="39" spans="3:11" x14ac:dyDescent="0.25">
      <c r="C39" s="52"/>
      <c r="D39" s="53"/>
      <c r="E39" s="53"/>
      <c r="F39" s="53"/>
      <c r="G39" s="53" t="s">
        <v>248</v>
      </c>
      <c r="H39" s="53"/>
    </row>
    <row r="40" spans="3:11" x14ac:dyDescent="0.25">
      <c r="C40" s="52"/>
      <c r="D40" s="53"/>
      <c r="E40" s="53"/>
      <c r="F40" s="53"/>
      <c r="G40" s="53" t="s">
        <v>249</v>
      </c>
      <c r="H40" s="53"/>
    </row>
    <row r="41" spans="3:11" x14ac:dyDescent="0.25">
      <c r="C41" s="52"/>
      <c r="D41" s="53"/>
      <c r="E41" s="53"/>
      <c r="F41" s="53"/>
      <c r="G41" s="53"/>
      <c r="H41" s="53"/>
    </row>
    <row r="43" spans="3:11" x14ac:dyDescent="0.25">
      <c r="C43" t="s">
        <v>250</v>
      </c>
    </row>
    <row r="44" spans="3:11" x14ac:dyDescent="0.25">
      <c r="C44" t="s">
        <v>168</v>
      </c>
      <c r="D44" t="s">
        <v>251</v>
      </c>
    </row>
    <row r="45" spans="3:11" x14ac:dyDescent="0.25">
      <c r="D45" t="s">
        <v>252</v>
      </c>
    </row>
    <row r="46" spans="3:11" x14ac:dyDescent="0.25">
      <c r="D46" t="s">
        <v>253</v>
      </c>
    </row>
    <row r="47" spans="3:11" x14ac:dyDescent="0.25">
      <c r="D47" t="s">
        <v>254</v>
      </c>
    </row>
    <row r="48" spans="3:11" x14ac:dyDescent="0.25">
      <c r="D48" t="s">
        <v>255</v>
      </c>
    </row>
    <row r="49" spans="3:4" x14ac:dyDescent="0.25">
      <c r="C49" t="s">
        <v>175</v>
      </c>
      <c r="D49" t="s">
        <v>256</v>
      </c>
    </row>
    <row r="50" spans="3:4" x14ac:dyDescent="0.25">
      <c r="D50" t="s">
        <v>257</v>
      </c>
    </row>
    <row r="51" spans="3:4" x14ac:dyDescent="0.25">
      <c r="D51" t="s">
        <v>258</v>
      </c>
    </row>
    <row r="52" spans="3:4" x14ac:dyDescent="0.25">
      <c r="D52" t="s">
        <v>261</v>
      </c>
    </row>
    <row r="53" spans="3:4" x14ac:dyDescent="0.25">
      <c r="D53" t="s">
        <v>259</v>
      </c>
    </row>
    <row r="54" spans="3:4" x14ac:dyDescent="0.25">
      <c r="D54" t="s">
        <v>260</v>
      </c>
    </row>
    <row r="55" spans="3:4" x14ac:dyDescent="0.25">
      <c r="D55" t="s">
        <v>262</v>
      </c>
    </row>
    <row r="56" spans="3:4" x14ac:dyDescent="0.25">
      <c r="D56" t="s">
        <v>263</v>
      </c>
    </row>
    <row r="57" spans="3:4" x14ac:dyDescent="0.25">
      <c r="D57" t="s">
        <v>264</v>
      </c>
    </row>
    <row r="58" spans="3:4" x14ac:dyDescent="0.25">
      <c r="D58" t="s">
        <v>266</v>
      </c>
    </row>
    <row r="59" spans="3:4" x14ac:dyDescent="0.25">
      <c r="D59" t="s">
        <v>275</v>
      </c>
    </row>
    <row r="60" spans="3:4" x14ac:dyDescent="0.25">
      <c r="C60" t="s">
        <v>190</v>
      </c>
      <c r="D60" t="s">
        <v>267</v>
      </c>
    </row>
    <row r="61" spans="3:4" x14ac:dyDescent="0.25">
      <c r="D61" t="s">
        <v>265</v>
      </c>
    </row>
    <row r="62" spans="3:4" x14ac:dyDescent="0.25">
      <c r="D62" t="s">
        <v>255</v>
      </c>
    </row>
    <row r="63" spans="3:4" x14ac:dyDescent="0.25">
      <c r="D63" t="s">
        <v>268</v>
      </c>
    </row>
    <row r="64" spans="3:4" x14ac:dyDescent="0.25">
      <c r="D64" t="s">
        <v>269</v>
      </c>
    </row>
    <row r="65" spans="3:4" x14ac:dyDescent="0.25">
      <c r="D65" t="s">
        <v>270</v>
      </c>
    </row>
    <row r="66" spans="3:4" x14ac:dyDescent="0.25">
      <c r="D66" t="s">
        <v>271</v>
      </c>
    </row>
    <row r="67" spans="3:4" x14ac:dyDescent="0.25">
      <c r="C67" t="s">
        <v>185</v>
      </c>
      <c r="D67" t="s">
        <v>272</v>
      </c>
    </row>
    <row r="68" spans="3:4" x14ac:dyDescent="0.25">
      <c r="D68" t="s">
        <v>273</v>
      </c>
    </row>
    <row r="69" spans="3:4" x14ac:dyDescent="0.2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0" workbookViewId="0">
      <selection activeCell="C15" sqref="C15"/>
    </sheetView>
  </sheetViews>
  <sheetFormatPr defaultRowHeight="15" x14ac:dyDescent="0.25"/>
  <cols>
    <col min="2" max="2" width="3" bestFit="1" customWidth="1"/>
    <col min="3" max="3" width="155.28515625" customWidth="1"/>
  </cols>
  <sheetData>
    <row r="2" spans="2:3" ht="15" customHeight="1" x14ac:dyDescent="0.25">
      <c r="B2" s="56">
        <v>1</v>
      </c>
      <c r="C2" s="58" t="s">
        <v>281</v>
      </c>
    </row>
    <row r="3" spans="2:3" x14ac:dyDescent="0.25">
      <c r="B3" s="56">
        <v>2</v>
      </c>
      <c r="C3" s="57" t="s">
        <v>332</v>
      </c>
    </row>
    <row r="4" spans="2:3" x14ac:dyDescent="0.25">
      <c r="B4" s="56">
        <v>3</v>
      </c>
      <c r="C4" s="56" t="s">
        <v>282</v>
      </c>
    </row>
    <row r="5" spans="2:3" x14ac:dyDescent="0.25">
      <c r="B5" s="56">
        <v>4</v>
      </c>
      <c r="C5" s="57" t="s">
        <v>283</v>
      </c>
    </row>
    <row r="6" spans="2:3" x14ac:dyDescent="0.25">
      <c r="B6" s="56">
        <v>5</v>
      </c>
      <c r="C6" s="56" t="s">
        <v>284</v>
      </c>
    </row>
    <row r="7" spans="2:3" ht="30" x14ac:dyDescent="0.25">
      <c r="B7" s="56">
        <v>6</v>
      </c>
      <c r="C7" s="57" t="s">
        <v>285</v>
      </c>
    </row>
    <row r="8" spans="2:3" ht="75" x14ac:dyDescent="0.25">
      <c r="B8" s="56">
        <v>7</v>
      </c>
      <c r="C8" s="57" t="s">
        <v>286</v>
      </c>
    </row>
    <row r="9" spans="2:3" x14ac:dyDescent="0.25">
      <c r="B9" s="56">
        <v>8</v>
      </c>
      <c r="C9" s="56" t="s">
        <v>287</v>
      </c>
    </row>
    <row r="10" spans="2:3" x14ac:dyDescent="0.25">
      <c r="B10" s="56">
        <v>9</v>
      </c>
      <c r="C10" s="56" t="s">
        <v>288</v>
      </c>
    </row>
    <row r="11" spans="2:3" x14ac:dyDescent="0.25">
      <c r="B11" s="56">
        <v>10</v>
      </c>
      <c r="C11" s="56" t="s">
        <v>289</v>
      </c>
    </row>
    <row r="12" spans="2:3" x14ac:dyDescent="0.25">
      <c r="B12" s="56">
        <v>11</v>
      </c>
      <c r="C12" s="56" t="s">
        <v>290</v>
      </c>
    </row>
    <row r="13" spans="2:3" x14ac:dyDescent="0.25">
      <c r="B13" s="56">
        <v>12</v>
      </c>
      <c r="C13" s="56" t="s">
        <v>291</v>
      </c>
    </row>
    <row r="14" spans="2:3" x14ac:dyDescent="0.25">
      <c r="B14" s="56">
        <v>13</v>
      </c>
      <c r="C14" s="56" t="s">
        <v>292</v>
      </c>
    </row>
    <row r="15" spans="2:3" x14ac:dyDescent="0.25">
      <c r="B15" s="56">
        <v>14</v>
      </c>
      <c r="C15" s="56" t="s">
        <v>282</v>
      </c>
    </row>
    <row r="16" spans="2:3" x14ac:dyDescent="0.25">
      <c r="B16" s="56">
        <v>15</v>
      </c>
      <c r="C16" s="56" t="s">
        <v>294</v>
      </c>
    </row>
    <row r="17" spans="2:3" ht="31.5" customHeight="1" x14ac:dyDescent="0.25">
      <c r="B17" s="59">
        <v>16</v>
      </c>
      <c r="C17" s="61" t="s">
        <v>295</v>
      </c>
    </row>
    <row r="18" spans="2:3" x14ac:dyDescent="0.25">
      <c r="B18" s="60">
        <v>17</v>
      </c>
      <c r="C18" s="61" t="s">
        <v>296</v>
      </c>
    </row>
    <row r="19" spans="2:3" x14ac:dyDescent="0.25">
      <c r="B19" s="59">
        <v>18</v>
      </c>
      <c r="C19" s="56" t="s">
        <v>297</v>
      </c>
    </row>
    <row r="20" spans="2:3" x14ac:dyDescent="0.25">
      <c r="B20" s="60">
        <v>19</v>
      </c>
      <c r="C20" s="56" t="s">
        <v>298</v>
      </c>
    </row>
    <row r="21" spans="2:3" x14ac:dyDescent="0.25">
      <c r="B21" s="56">
        <v>20</v>
      </c>
      <c r="C21" s="56" t="s">
        <v>299</v>
      </c>
    </row>
    <row r="22" spans="2:3" x14ac:dyDescent="0.25">
      <c r="B22" s="60">
        <v>21</v>
      </c>
      <c r="C22" s="56" t="s">
        <v>297</v>
      </c>
    </row>
    <row r="23" spans="2:3" s="71" customFormat="1" ht="29.25" customHeight="1" x14ac:dyDescent="0.25">
      <c r="B23" s="70">
        <v>22</v>
      </c>
      <c r="C23" s="58" t="s">
        <v>326</v>
      </c>
    </row>
    <row r="24" spans="2:3" s="71" customFormat="1" ht="30.75" customHeight="1" x14ac:dyDescent="0.25">
      <c r="B24" s="72">
        <v>23</v>
      </c>
      <c r="C24" s="58" t="s">
        <v>327</v>
      </c>
    </row>
    <row r="25" spans="2:3" x14ac:dyDescent="0.25">
      <c r="B25" s="56">
        <v>24</v>
      </c>
      <c r="C25" s="56" t="s">
        <v>330</v>
      </c>
    </row>
    <row r="26" spans="2:3" x14ac:dyDescent="0.25">
      <c r="B26" s="60">
        <v>25</v>
      </c>
      <c r="C26" s="56" t="s">
        <v>328</v>
      </c>
    </row>
    <row r="27" spans="2:3" x14ac:dyDescent="0.25">
      <c r="B27" s="72">
        <v>26</v>
      </c>
      <c r="C27" s="56" t="s">
        <v>329</v>
      </c>
    </row>
    <row r="28" spans="2:3" x14ac:dyDescent="0.25">
      <c r="B28" s="60">
        <v>27</v>
      </c>
      <c r="C28" s="56"/>
    </row>
    <row r="29" spans="2:3" x14ac:dyDescent="0.25">
      <c r="B29" s="60">
        <v>28</v>
      </c>
      <c r="C29" s="56"/>
    </row>
    <row r="30" spans="2:3" x14ac:dyDescent="0.25">
      <c r="B30" s="72">
        <v>29</v>
      </c>
      <c r="C30" s="56"/>
    </row>
    <row r="31" spans="2:3" x14ac:dyDescent="0.25">
      <c r="B31" s="60">
        <v>30</v>
      </c>
      <c r="C31" s="56"/>
    </row>
    <row r="32" spans="2:3" x14ac:dyDescent="0.25">
      <c r="B32" s="60">
        <v>31</v>
      </c>
      <c r="C32" s="56"/>
    </row>
    <row r="33" spans="2:3" x14ac:dyDescent="0.25">
      <c r="B33" s="72">
        <v>32</v>
      </c>
      <c r="C33" s="56"/>
    </row>
    <row r="34" spans="2:3" x14ac:dyDescent="0.25">
      <c r="B34" s="60">
        <v>33</v>
      </c>
      <c r="C34" s="56"/>
    </row>
    <row r="35" spans="2:3" x14ac:dyDescent="0.25">
      <c r="B35" s="60">
        <v>34</v>
      </c>
      <c r="C35"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40625" defaultRowHeight="15" x14ac:dyDescent="0.25"/>
  <cols>
    <col min="1" max="1" width="9.140625" style="52"/>
    <col min="2" max="2" width="12.28515625" style="52" customWidth="1"/>
    <col min="3" max="16384" width="9.140625" style="52"/>
  </cols>
  <sheetData>
    <row r="2" spans="1:12" x14ac:dyDescent="0.25">
      <c r="B2" s="64" t="s">
        <v>300</v>
      </c>
      <c r="C2" s="269"/>
      <c r="D2" s="269"/>
    </row>
    <row r="3" spans="1:12" x14ac:dyDescent="0.25">
      <c r="D3" s="65"/>
      <c r="E3" s="65"/>
      <c r="F3" s="65"/>
      <c r="G3" s="65"/>
      <c r="H3" s="65"/>
      <c r="I3" s="65"/>
    </row>
    <row r="4" spans="1:12" x14ac:dyDescent="0.25">
      <c r="A4" s="64" t="s">
        <v>64</v>
      </c>
      <c r="B4" s="66" t="s">
        <v>301</v>
      </c>
      <c r="C4" s="270" t="s">
        <v>302</v>
      </c>
      <c r="D4" s="270"/>
      <c r="E4" s="270"/>
      <c r="F4" s="66"/>
      <c r="G4" s="271" t="s">
        <v>303</v>
      </c>
      <c r="H4" s="271"/>
      <c r="I4" s="271"/>
      <c r="J4" s="272" t="s">
        <v>304</v>
      </c>
      <c r="K4" s="272"/>
      <c r="L4" s="272"/>
    </row>
    <row r="5" spans="1:12" x14ac:dyDescent="0.25">
      <c r="A5" s="64"/>
      <c r="B5" s="66"/>
      <c r="C5" s="66" t="s">
        <v>305</v>
      </c>
      <c r="D5" s="66" t="s">
        <v>306</v>
      </c>
      <c r="E5" s="66" t="s">
        <v>307</v>
      </c>
      <c r="F5" s="66"/>
      <c r="G5" s="66" t="s">
        <v>305</v>
      </c>
      <c r="H5" s="66" t="s">
        <v>306</v>
      </c>
      <c r="I5" s="66" t="s">
        <v>307</v>
      </c>
      <c r="J5" s="66" t="s">
        <v>305</v>
      </c>
      <c r="K5" s="66" t="s">
        <v>306</v>
      </c>
      <c r="L5" s="66" t="s">
        <v>307</v>
      </c>
    </row>
    <row r="6" spans="1:12" x14ac:dyDescent="0.25">
      <c r="B6" s="53" t="s">
        <v>308</v>
      </c>
      <c r="C6" s="53"/>
      <c r="D6" s="53"/>
      <c r="E6" s="53">
        <f>C6*D6</f>
        <v>0</v>
      </c>
      <c r="F6" s="53" t="s">
        <v>325</v>
      </c>
      <c r="G6" s="53"/>
      <c r="H6" s="53"/>
      <c r="I6" s="53">
        <f>G6*H6</f>
        <v>0</v>
      </c>
      <c r="J6" s="53"/>
      <c r="K6" s="53"/>
      <c r="L6" s="53">
        <f>J6*K6</f>
        <v>0</v>
      </c>
    </row>
    <row r="7" spans="1:12" x14ac:dyDescent="0.25">
      <c r="B7" s="53"/>
      <c r="C7" s="53"/>
      <c r="D7" s="53"/>
      <c r="E7" s="53">
        <f t="shared" ref="E7:E41" si="0">C7*D7</f>
        <v>0</v>
      </c>
      <c r="F7" s="53" t="s">
        <v>325</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309</v>
      </c>
      <c r="G9" s="53"/>
      <c r="H9" s="53"/>
      <c r="I9" s="53">
        <f t="shared" si="1"/>
        <v>0</v>
      </c>
      <c r="J9" s="53"/>
      <c r="K9" s="53"/>
      <c r="L9" s="53">
        <f t="shared" si="2"/>
        <v>0</v>
      </c>
    </row>
    <row r="10" spans="1:12" x14ac:dyDescent="0.25">
      <c r="B10" s="53" t="s">
        <v>310</v>
      </c>
      <c r="C10" s="53"/>
      <c r="D10" s="53"/>
      <c r="E10" s="53">
        <f t="shared" si="0"/>
        <v>0</v>
      </c>
      <c r="F10" s="53" t="s">
        <v>309</v>
      </c>
      <c r="G10" s="53"/>
      <c r="H10" s="53"/>
      <c r="I10" s="53">
        <f t="shared" si="1"/>
        <v>0</v>
      </c>
      <c r="J10" s="53"/>
      <c r="K10" s="53"/>
      <c r="L10" s="53">
        <f t="shared" si="2"/>
        <v>0</v>
      </c>
    </row>
    <row r="11" spans="1:12" x14ac:dyDescent="0.25">
      <c r="B11" s="53"/>
      <c r="C11" s="53"/>
      <c r="D11" s="53"/>
      <c r="E11" s="53">
        <f t="shared" si="0"/>
        <v>0</v>
      </c>
      <c r="F11" s="53" t="s">
        <v>311</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312</v>
      </c>
      <c r="C14" s="53"/>
      <c r="D14" s="53"/>
      <c r="E14" s="53">
        <f t="shared" si="0"/>
        <v>0</v>
      </c>
      <c r="F14" s="53" t="s">
        <v>309</v>
      </c>
      <c r="G14" s="53"/>
      <c r="H14" s="53"/>
      <c r="I14" s="53">
        <f t="shared" si="1"/>
        <v>0</v>
      </c>
      <c r="J14" s="53"/>
      <c r="K14" s="53"/>
      <c r="L14" s="53">
        <f t="shared" si="2"/>
        <v>0</v>
      </c>
    </row>
    <row r="15" spans="1:12" x14ac:dyDescent="0.25">
      <c r="B15" s="53"/>
      <c r="C15" s="53"/>
      <c r="D15" s="53"/>
      <c r="E15" s="53">
        <f t="shared" si="0"/>
        <v>0</v>
      </c>
      <c r="F15" s="53" t="s">
        <v>311</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313</v>
      </c>
      <c r="C18" s="53"/>
      <c r="D18" s="53"/>
      <c r="E18" s="53">
        <f t="shared" si="0"/>
        <v>0</v>
      </c>
      <c r="F18" s="53" t="s">
        <v>309</v>
      </c>
      <c r="G18" s="53"/>
      <c r="H18" s="53"/>
      <c r="I18" s="53">
        <f t="shared" si="1"/>
        <v>0</v>
      </c>
      <c r="J18" s="53"/>
      <c r="K18" s="53"/>
      <c r="L18" s="53">
        <f t="shared" si="2"/>
        <v>0</v>
      </c>
    </row>
    <row r="19" spans="2:12" x14ac:dyDescent="0.25">
      <c r="B19" s="53"/>
      <c r="C19" s="53"/>
      <c r="D19" s="53"/>
      <c r="E19" s="53">
        <f t="shared" si="0"/>
        <v>0</v>
      </c>
      <c r="F19" s="53" t="s">
        <v>311</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314</v>
      </c>
      <c r="C21" s="53"/>
      <c r="D21" s="53"/>
      <c r="E21" s="53">
        <f t="shared" si="0"/>
        <v>0</v>
      </c>
      <c r="F21" s="53" t="s">
        <v>309</v>
      </c>
      <c r="G21" s="53"/>
      <c r="H21" s="53"/>
      <c r="I21" s="53">
        <f t="shared" si="1"/>
        <v>0</v>
      </c>
      <c r="J21" s="53"/>
      <c r="K21" s="53"/>
      <c r="L21" s="53">
        <f t="shared" si="2"/>
        <v>0</v>
      </c>
    </row>
    <row r="22" spans="2:12" x14ac:dyDescent="0.25">
      <c r="B22" s="53"/>
      <c r="C22" s="53"/>
      <c r="D22" s="53"/>
      <c r="E22" s="53">
        <f t="shared" si="0"/>
        <v>0</v>
      </c>
      <c r="F22" s="53" t="s">
        <v>311</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315</v>
      </c>
      <c r="C24" s="53"/>
      <c r="D24" s="53"/>
      <c r="E24" s="53">
        <f t="shared" si="0"/>
        <v>0</v>
      </c>
      <c r="F24" s="53" t="s">
        <v>316</v>
      </c>
      <c r="G24" s="53"/>
      <c r="H24" s="53"/>
      <c r="I24" s="53">
        <f t="shared" si="1"/>
        <v>0</v>
      </c>
      <c r="J24" s="53"/>
      <c r="K24" s="53"/>
      <c r="L24" s="53">
        <f t="shared" si="2"/>
        <v>0</v>
      </c>
    </row>
    <row r="25" spans="2:12" x14ac:dyDescent="0.25">
      <c r="B25" s="53"/>
      <c r="C25" s="53"/>
      <c r="D25" s="53"/>
      <c r="E25" s="53">
        <f t="shared" ref="E25:E27" si="3">C25*D25</f>
        <v>0</v>
      </c>
      <c r="F25" s="53" t="s">
        <v>316</v>
      </c>
      <c r="G25" s="53"/>
      <c r="H25" s="53"/>
      <c r="I25" s="53">
        <f t="shared" ref="I25:I27" si="4">G25*H25</f>
        <v>0</v>
      </c>
      <c r="J25" s="53"/>
      <c r="K25" s="53"/>
      <c r="L25" s="53">
        <f t="shared" ref="L25:L27" si="5">J25*K25</f>
        <v>0</v>
      </c>
    </row>
    <row r="26" spans="2:12" x14ac:dyDescent="0.25">
      <c r="B26" s="53"/>
      <c r="C26" s="53"/>
      <c r="D26" s="53"/>
      <c r="E26" s="53">
        <f t="shared" si="3"/>
        <v>0</v>
      </c>
      <c r="F26" s="53" t="s">
        <v>316</v>
      </c>
      <c r="G26" s="53"/>
      <c r="H26" s="53"/>
      <c r="I26" s="53">
        <f t="shared" si="4"/>
        <v>0</v>
      </c>
      <c r="J26" s="53"/>
      <c r="K26" s="53"/>
      <c r="L26" s="53">
        <f t="shared" si="5"/>
        <v>0</v>
      </c>
    </row>
    <row r="27" spans="2:12" x14ac:dyDescent="0.25">
      <c r="B27" s="53"/>
      <c r="C27" s="53"/>
      <c r="D27" s="53"/>
      <c r="E27" s="53">
        <f t="shared" si="3"/>
        <v>0</v>
      </c>
      <c r="F27" s="53" t="s">
        <v>316</v>
      </c>
      <c r="G27" s="53"/>
      <c r="H27" s="53"/>
      <c r="I27" s="53">
        <f t="shared" si="4"/>
        <v>0</v>
      </c>
      <c r="J27" s="53"/>
      <c r="K27" s="53"/>
      <c r="L27" s="53">
        <f t="shared" si="5"/>
        <v>0</v>
      </c>
    </row>
    <row r="28" spans="2:12" x14ac:dyDescent="0.25">
      <c r="B28" s="53" t="s">
        <v>317</v>
      </c>
      <c r="C28" s="53"/>
      <c r="D28" s="53"/>
      <c r="E28" s="53">
        <f t="shared" si="0"/>
        <v>0</v>
      </c>
      <c r="F28" s="53" t="s">
        <v>316</v>
      </c>
      <c r="G28" s="53"/>
      <c r="H28" s="53"/>
      <c r="I28" s="53">
        <f t="shared" si="1"/>
        <v>0</v>
      </c>
      <c r="J28" s="53"/>
      <c r="K28" s="53"/>
      <c r="L28" s="53">
        <f t="shared" si="2"/>
        <v>0</v>
      </c>
    </row>
    <row r="29" spans="2:12" x14ac:dyDescent="0.25">
      <c r="B29" s="53" t="s">
        <v>318</v>
      </c>
      <c r="C29" s="53"/>
      <c r="D29" s="53"/>
      <c r="E29" s="53">
        <f t="shared" si="0"/>
        <v>0</v>
      </c>
      <c r="F29" s="53" t="s">
        <v>316</v>
      </c>
      <c r="G29" s="53"/>
      <c r="H29" s="53"/>
      <c r="I29" s="53">
        <f t="shared" si="1"/>
        <v>0</v>
      </c>
      <c r="J29" s="53"/>
      <c r="K29" s="53"/>
      <c r="L29" s="53">
        <f t="shared" si="2"/>
        <v>0</v>
      </c>
    </row>
    <row r="30" spans="2:12" x14ac:dyDescent="0.25">
      <c r="B30" s="53" t="s">
        <v>322</v>
      </c>
      <c r="C30" s="53"/>
      <c r="D30" s="53"/>
      <c r="E30" s="53">
        <f t="shared" si="0"/>
        <v>0</v>
      </c>
      <c r="F30" s="53"/>
      <c r="G30" s="53"/>
      <c r="H30" s="53"/>
      <c r="I30" s="53">
        <f t="shared" si="1"/>
        <v>0</v>
      </c>
      <c r="J30" s="53"/>
      <c r="K30" s="53"/>
      <c r="L30" s="53">
        <f t="shared" si="2"/>
        <v>0</v>
      </c>
    </row>
    <row r="31" spans="2:12" x14ac:dyDescent="0.25">
      <c r="B31" s="53"/>
      <c r="C31" s="53"/>
      <c r="D31" s="53"/>
      <c r="E31" s="53">
        <f t="shared" ref="E31:E32" si="6">C31*D31</f>
        <v>0</v>
      </c>
      <c r="F31" s="53"/>
      <c r="G31" s="53"/>
      <c r="H31" s="53"/>
      <c r="I31" s="53">
        <f t="shared" ref="I31:I32" si="7">G31*H31</f>
        <v>0</v>
      </c>
      <c r="J31" s="53"/>
      <c r="K31" s="53"/>
      <c r="L31" s="53">
        <f t="shared" ref="L31:L32" si="8">J31*K31</f>
        <v>0</v>
      </c>
    </row>
    <row r="32" spans="2:12" x14ac:dyDescent="0.25">
      <c r="B32" s="53"/>
      <c r="C32" s="53"/>
      <c r="D32" s="53"/>
      <c r="E32" s="53">
        <f t="shared" si="6"/>
        <v>0</v>
      </c>
      <c r="F32" s="53"/>
      <c r="G32" s="53"/>
      <c r="H32" s="53"/>
      <c r="I32" s="53">
        <f t="shared" si="7"/>
        <v>0</v>
      </c>
      <c r="J32" s="53"/>
      <c r="K32" s="53"/>
      <c r="L32" s="53">
        <f t="shared" si="8"/>
        <v>0</v>
      </c>
    </row>
    <row r="33" spans="2:12" x14ac:dyDescent="0.25">
      <c r="B33" s="53" t="s">
        <v>319</v>
      </c>
      <c r="C33" s="53"/>
      <c r="D33" s="53"/>
      <c r="E33" s="53">
        <f t="shared" si="0"/>
        <v>0</v>
      </c>
      <c r="F33" s="53"/>
      <c r="G33" s="53"/>
      <c r="H33" s="53"/>
      <c r="I33" s="53">
        <f t="shared" si="1"/>
        <v>0</v>
      </c>
      <c r="J33" s="53"/>
      <c r="K33" s="53"/>
      <c r="L33" s="53">
        <f t="shared" si="2"/>
        <v>0</v>
      </c>
    </row>
    <row r="34" spans="2:12" x14ac:dyDescent="0.25">
      <c r="B34" s="53" t="s">
        <v>323</v>
      </c>
      <c r="C34" s="53"/>
      <c r="D34" s="53"/>
      <c r="E34" s="53">
        <f t="shared" si="0"/>
        <v>0</v>
      </c>
      <c r="F34" s="53"/>
      <c r="G34" s="53"/>
      <c r="H34" s="53"/>
      <c r="I34" s="53">
        <f t="shared" si="1"/>
        <v>0</v>
      </c>
      <c r="J34" s="53"/>
      <c r="K34" s="53"/>
      <c r="L34" s="53">
        <f t="shared" si="2"/>
        <v>0</v>
      </c>
    </row>
    <row r="35" spans="2:12" x14ac:dyDescent="0.25">
      <c r="B35" s="53" t="s">
        <v>320</v>
      </c>
      <c r="C35" s="53"/>
      <c r="D35" s="53"/>
      <c r="E35" s="53">
        <f t="shared" si="0"/>
        <v>0</v>
      </c>
      <c r="F35" s="53"/>
      <c r="G35" s="53"/>
      <c r="H35" s="53"/>
      <c r="I35" s="53">
        <f t="shared" si="1"/>
        <v>0</v>
      </c>
      <c r="J35" s="53"/>
      <c r="K35" s="53"/>
      <c r="L35" s="53">
        <f t="shared" si="2"/>
        <v>0</v>
      </c>
    </row>
    <row r="36" spans="2:12" x14ac:dyDescent="0.25">
      <c r="B36" s="53" t="s">
        <v>321</v>
      </c>
      <c r="C36" s="53"/>
      <c r="D36" s="53"/>
      <c r="E36" s="53">
        <f t="shared" si="0"/>
        <v>0</v>
      </c>
      <c r="F36" s="53"/>
      <c r="G36" s="53"/>
      <c r="H36" s="53"/>
      <c r="I36" s="53">
        <f>G36*H36</f>
        <v>0</v>
      </c>
      <c r="J36" s="53"/>
      <c r="K36" s="53"/>
      <c r="L36" s="53">
        <f>J36*K36</f>
        <v>0</v>
      </c>
    </row>
    <row r="37" spans="2:12" x14ac:dyDescent="0.25">
      <c r="B37" s="53"/>
      <c r="C37" s="53"/>
      <c r="D37" s="53"/>
      <c r="E37" s="53">
        <f t="shared" ref="E37:E38" si="9">C37*D37</f>
        <v>0</v>
      </c>
      <c r="F37" s="53"/>
      <c r="G37" s="53"/>
      <c r="H37" s="53"/>
      <c r="I37" s="53">
        <f t="shared" ref="I37:I38" si="10">G37*H37</f>
        <v>0</v>
      </c>
      <c r="J37" s="53"/>
      <c r="K37" s="53"/>
      <c r="L37" s="53">
        <f t="shared" ref="L37:L38" si="11">J37*K37</f>
        <v>0</v>
      </c>
    </row>
    <row r="38" spans="2:12" x14ac:dyDescent="0.25">
      <c r="B38" s="53" t="s">
        <v>324</v>
      </c>
      <c r="C38" s="53"/>
      <c r="D38" s="53"/>
      <c r="E38" s="53">
        <f t="shared" si="9"/>
        <v>0</v>
      </c>
      <c r="F38" s="53"/>
      <c r="G38" s="53"/>
      <c r="H38" s="53"/>
      <c r="I38" s="53">
        <f t="shared" si="10"/>
        <v>0</v>
      </c>
      <c r="J38" s="53"/>
      <c r="K38" s="53"/>
      <c r="L38" s="53">
        <f t="shared" si="11"/>
        <v>0</v>
      </c>
    </row>
    <row r="39" spans="2:12" x14ac:dyDescent="0.25">
      <c r="B39" s="53"/>
      <c r="C39" s="53"/>
      <c r="D39" s="53"/>
      <c r="E39" s="53">
        <f t="shared" si="0"/>
        <v>0</v>
      </c>
      <c r="F39" s="53"/>
      <c r="G39" s="53"/>
      <c r="H39" s="53"/>
      <c r="I39" s="53">
        <f>G39*H39</f>
        <v>0</v>
      </c>
      <c r="J39" s="53"/>
      <c r="K39" s="53"/>
      <c r="L39" s="53">
        <f>J39*K39</f>
        <v>0</v>
      </c>
    </row>
    <row r="40" spans="2:12" x14ac:dyDescent="0.25">
      <c r="B40" s="53"/>
      <c r="C40" s="53"/>
      <c r="D40" s="53"/>
      <c r="E40" s="53">
        <f t="shared" si="0"/>
        <v>0</v>
      </c>
      <c r="F40" s="53"/>
      <c r="G40" s="53"/>
      <c r="H40" s="53"/>
      <c r="I40" s="53">
        <f>G40*H40</f>
        <v>0</v>
      </c>
      <c r="J40" s="53"/>
      <c r="K40" s="53"/>
      <c r="L40" s="53">
        <f>J40*K40</f>
        <v>0</v>
      </c>
    </row>
    <row r="41" spans="2:12" x14ac:dyDescent="0.25">
      <c r="B41" s="53"/>
      <c r="C41" s="53"/>
      <c r="D41" s="53"/>
      <c r="E41" s="53">
        <f t="shared" si="0"/>
        <v>0</v>
      </c>
      <c r="F41" s="53"/>
      <c r="G41" s="53"/>
      <c r="H41" s="53"/>
      <c r="I41" s="53">
        <f>G41*H41</f>
        <v>0</v>
      </c>
      <c r="J41" s="53"/>
      <c r="K41" s="53"/>
      <c r="L41" s="53">
        <f>J41*K41</f>
        <v>0</v>
      </c>
    </row>
    <row r="42" spans="2:12" x14ac:dyDescent="0.25">
      <c r="B42" s="53" t="s">
        <v>145</v>
      </c>
      <c r="C42" s="53"/>
      <c r="D42" s="53">
        <f>E42*10.764</f>
        <v>0</v>
      </c>
      <c r="E42" s="69">
        <f>SUM(E6:E41)</f>
        <v>0</v>
      </c>
      <c r="F42" s="53"/>
      <c r="G42" s="53"/>
      <c r="H42" s="53">
        <f>I42*10.764</f>
        <v>0</v>
      </c>
      <c r="I42" s="68">
        <f>SUM(I6:I41)</f>
        <v>0</v>
      </c>
      <c r="J42" s="53"/>
      <c r="K42" s="53">
        <f>L42*10.764</f>
        <v>0</v>
      </c>
      <c r="L42" s="67">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2025-07-14T09:36:41Z</cp:lastPrinted>
  <dcterms:created xsi:type="dcterms:W3CDTF">2019-07-16T09:29:46Z</dcterms:created>
  <dcterms:modified xsi:type="dcterms:W3CDTF">2025-07-14T09:37:06Z</dcterms:modified>
</cp:coreProperties>
</file>