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E:\Shruti\July 25\Dump\"/>
    </mc:Choice>
  </mc:AlternateContent>
  <bookViews>
    <workbookView xWindow="0" yWindow="0" windowWidth="20490" windowHeight="7755" tabRatio="725"/>
  </bookViews>
  <sheets>
    <sheet name="Report" sheetId="1" r:id="rId1"/>
    <sheet name="valuation" sheetId="5" r:id="rId2"/>
    <sheet name="Note" sheetId="4" r:id="rId3"/>
  </sheets>
  <definedNames>
    <definedName name="_xlnm.Print_Area" localSheetId="0">Report!$A$1:$H$548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9" i="1" l="1"/>
  <c r="J168" i="1"/>
  <c r="J167" i="1"/>
  <c r="J166" i="1"/>
  <c r="H159" i="1"/>
  <c r="D170" i="1" l="1"/>
  <c r="D166" i="1"/>
  <c r="E162" i="1"/>
  <c r="D169" i="1"/>
  <c r="D165" i="1"/>
  <c r="J164" i="1"/>
  <c r="J165" i="1" s="1"/>
  <c r="J170" i="1" s="1"/>
  <c r="J171" i="1" s="1"/>
  <c r="J158" i="1"/>
  <c r="J160" i="1" s="1"/>
  <c r="D168" i="1"/>
  <c r="D164" i="1"/>
  <c r="J161" i="1"/>
  <c r="J163" i="1"/>
  <c r="D171" i="1"/>
  <c r="D167" i="1"/>
  <c r="D163" i="1"/>
  <c r="J162" i="1"/>
  <c r="C162" i="1" s="1"/>
  <c r="D162" i="1" s="1"/>
  <c r="J127" i="1"/>
  <c r="J126" i="1"/>
  <c r="J125" i="1"/>
  <c r="J124" i="1"/>
  <c r="H117" i="1"/>
  <c r="I159" i="1" l="1"/>
  <c r="I160" i="1" s="1"/>
  <c r="G162" i="1"/>
  <c r="J159" i="1"/>
  <c r="J121" i="1"/>
  <c r="C120" i="1" s="1"/>
  <c r="J116" i="1"/>
  <c r="J118" i="1" s="1"/>
  <c r="D129" i="1"/>
  <c r="D127" i="1"/>
  <c r="D125" i="1"/>
  <c r="D123" i="1"/>
  <c r="J122" i="1"/>
  <c r="J120" i="1"/>
  <c r="D128" i="1"/>
  <c r="D126" i="1"/>
  <c r="D124" i="1"/>
  <c r="D122" i="1"/>
  <c r="J119" i="1"/>
  <c r="J99" i="1"/>
  <c r="J98" i="1"/>
  <c r="J97" i="1"/>
  <c r="J96" i="1"/>
  <c r="I158" i="1" l="1"/>
  <c r="C160" i="1" s="1"/>
  <c r="D120" i="1"/>
  <c r="J123" i="1"/>
  <c r="D343" i="1"/>
  <c r="D318" i="1"/>
  <c r="D317" i="1"/>
  <c r="D316" i="1"/>
  <c r="D315" i="1"/>
  <c r="D308" i="1"/>
  <c r="D307" i="1"/>
  <c r="D306" i="1"/>
  <c r="D305" i="1"/>
  <c r="D304" i="1"/>
  <c r="D303" i="1"/>
  <c r="D302" i="1"/>
  <c r="D299" i="1"/>
  <c r="D300" i="1"/>
  <c r="D298" i="1"/>
  <c r="D297" i="1"/>
  <c r="D296" i="1"/>
  <c r="D295" i="1"/>
  <c r="D294" i="1"/>
  <c r="D292" i="1"/>
  <c r="D291" i="1"/>
  <c r="D290" i="1"/>
  <c r="D264" i="1"/>
  <c r="D279" i="1"/>
  <c r="D278" i="1"/>
  <c r="D277" i="1"/>
  <c r="D283" i="1"/>
  <c r="D282" i="1"/>
  <c r="D281" i="1"/>
  <c r="D275" i="1"/>
  <c r="D274" i="1"/>
  <c r="D269" i="1"/>
  <c r="D273" i="1"/>
  <c r="D272" i="1"/>
  <c r="D271" i="1"/>
  <c r="D270" i="1"/>
  <c r="J269" i="1"/>
  <c r="D265" i="1"/>
  <c r="J128" i="1" l="1"/>
  <c r="J129" i="1" s="1"/>
  <c r="C121" i="1" s="1"/>
  <c r="E120" i="1" s="1"/>
  <c r="C130" i="1"/>
  <c r="J113" i="1"/>
  <c r="J112" i="1"/>
  <c r="J111" i="1"/>
  <c r="J110" i="1"/>
  <c r="D397" i="1"/>
  <c r="D396" i="1"/>
  <c r="D395" i="1"/>
  <c r="D394" i="1"/>
  <c r="D393" i="1"/>
  <c r="D392" i="1"/>
  <c r="D391" i="1"/>
  <c r="D389" i="1"/>
  <c r="D388" i="1"/>
  <c r="D387" i="1"/>
  <c r="D386" i="1"/>
  <c r="D385" i="1"/>
  <c r="D384" i="1"/>
  <c r="D383" i="1"/>
  <c r="E381" i="1"/>
  <c r="E380" i="1"/>
  <c r="E379" i="1"/>
  <c r="D381" i="1"/>
  <c r="D380" i="1"/>
  <c r="D379" i="1"/>
  <c r="D373" i="1"/>
  <c r="D372" i="1"/>
  <c r="D371" i="1"/>
  <c r="D370" i="1"/>
  <c r="D368" i="1"/>
  <c r="D367" i="1"/>
  <c r="D366" i="1"/>
  <c r="D365" i="1"/>
  <c r="E363" i="1"/>
  <c r="E360" i="1"/>
  <c r="D363" i="1"/>
  <c r="D360" i="1"/>
  <c r="D357" i="1"/>
  <c r="D356" i="1"/>
  <c r="D355" i="1"/>
  <c r="D354" i="1"/>
  <c r="D353" i="1"/>
  <c r="D352" i="1"/>
  <c r="D351" i="1"/>
  <c r="D349" i="1"/>
  <c r="D348" i="1"/>
  <c r="D347" i="1"/>
  <c r="D346" i="1"/>
  <c r="D345" i="1"/>
  <c r="D344" i="1"/>
  <c r="E341" i="1"/>
  <c r="E340" i="1"/>
  <c r="E339" i="1"/>
  <c r="D341" i="1"/>
  <c r="D340" i="1"/>
  <c r="D339" i="1"/>
  <c r="D332" i="1"/>
  <c r="D331" i="1"/>
  <c r="D330" i="1"/>
  <c r="D329" i="1"/>
  <c r="D327" i="1"/>
  <c r="D325" i="1"/>
  <c r="D324" i="1"/>
  <c r="D323" i="1"/>
  <c r="D322" i="1"/>
  <c r="D321" i="1"/>
  <c r="D320" i="1"/>
  <c r="D254" i="1"/>
  <c r="F254" i="1" s="1"/>
  <c r="D253" i="1"/>
  <c r="F253" i="1" s="1"/>
  <c r="D252" i="1"/>
  <c r="F252" i="1" s="1"/>
  <c r="D251" i="1"/>
  <c r="F251" i="1" s="1"/>
  <c r="D250" i="1"/>
  <c r="F250" i="1" s="1"/>
  <c r="D249" i="1"/>
  <c r="F249" i="1" s="1"/>
  <c r="D248" i="1"/>
  <c r="F248" i="1" s="1"/>
  <c r="D247" i="1"/>
  <c r="F247" i="1" s="1"/>
  <c r="D246" i="1"/>
  <c r="F246" i="1" s="1"/>
  <c r="D245" i="1"/>
  <c r="F245" i="1" s="1"/>
  <c r="D244" i="1"/>
  <c r="F244" i="1" s="1"/>
  <c r="D243" i="1"/>
  <c r="D240" i="1"/>
  <c r="F240" i="1" s="1"/>
  <c r="D239" i="1"/>
  <c r="F239" i="1" s="1"/>
  <c r="D238" i="1"/>
  <c r="F238" i="1" s="1"/>
  <c r="D237" i="1"/>
  <c r="F237" i="1" s="1"/>
  <c r="D236" i="1"/>
  <c r="F236" i="1" s="1"/>
  <c r="D235" i="1"/>
  <c r="K236" i="1"/>
  <c r="C183" i="1" l="1"/>
  <c r="C182" i="1"/>
  <c r="C191" i="1"/>
  <c r="C189" i="1"/>
  <c r="C192" i="1"/>
  <c r="C190" i="1"/>
  <c r="J117" i="1"/>
  <c r="D121" i="1"/>
  <c r="I117" i="1" s="1"/>
  <c r="I118" i="1" s="1"/>
  <c r="G120" i="1"/>
  <c r="F235" i="1"/>
  <c r="G182" i="1" s="1"/>
  <c r="E182" i="1"/>
  <c r="E190" i="1"/>
  <c r="E183" i="1"/>
  <c r="E191" i="1"/>
  <c r="F243" i="1"/>
  <c r="G183" i="1" s="1"/>
  <c r="E192" i="1"/>
  <c r="E189" i="1"/>
  <c r="G11" i="5"/>
  <c r="F11" i="5"/>
  <c r="F10" i="5"/>
  <c r="G10" i="5" s="1"/>
  <c r="F9" i="5"/>
  <c r="G9" i="5" s="1"/>
  <c r="G8" i="5"/>
  <c r="F8" i="5"/>
  <c r="G7" i="5"/>
  <c r="F7" i="5"/>
  <c r="F6" i="5"/>
  <c r="G6" i="5" s="1"/>
  <c r="F5" i="5"/>
  <c r="G5" i="5" s="1"/>
  <c r="G12" i="5" s="1"/>
  <c r="D421" i="1"/>
  <c r="B401" i="1"/>
  <c r="B400" i="1"/>
  <c r="F397" i="1"/>
  <c r="F396" i="1"/>
  <c r="F395" i="1"/>
  <c r="F394" i="1"/>
  <c r="F393" i="1"/>
  <c r="F392" i="1"/>
  <c r="A392" i="1"/>
  <c r="A393" i="1" s="1"/>
  <c r="A394" i="1" s="1"/>
  <c r="A395" i="1" s="1"/>
  <c r="A396" i="1" s="1"/>
  <c r="A397" i="1" s="1"/>
  <c r="G391" i="1"/>
  <c r="F391" i="1"/>
  <c r="F389" i="1"/>
  <c r="F388" i="1"/>
  <c r="F387" i="1"/>
  <c r="F386" i="1"/>
  <c r="F385" i="1"/>
  <c r="F384" i="1"/>
  <c r="A384" i="1"/>
  <c r="A385" i="1" s="1"/>
  <c r="A386" i="1" s="1"/>
  <c r="A387" i="1" s="1"/>
  <c r="A388" i="1" s="1"/>
  <c r="A389" i="1" s="1"/>
  <c r="G383" i="1"/>
  <c r="F383" i="1"/>
  <c r="A377" i="1"/>
  <c r="A378" i="1" s="1"/>
  <c r="A379" i="1" s="1"/>
  <c r="A380" i="1" s="1"/>
  <c r="A381" i="1" s="1"/>
  <c r="G376" i="1"/>
  <c r="F373" i="1"/>
  <c r="F372" i="1"/>
  <c r="F371" i="1"/>
  <c r="A371" i="1"/>
  <c r="A372" i="1" s="1"/>
  <c r="A373" i="1" s="1"/>
  <c r="G370" i="1"/>
  <c r="F370" i="1"/>
  <c r="F368" i="1"/>
  <c r="F367" i="1"/>
  <c r="F366" i="1"/>
  <c r="A366" i="1"/>
  <c r="A367" i="1" s="1"/>
  <c r="A368" i="1" s="1"/>
  <c r="I365" i="1"/>
  <c r="G365" i="1"/>
  <c r="F365" i="1"/>
  <c r="I361" i="1"/>
  <c r="A361" i="1"/>
  <c r="A362" i="1" s="1"/>
  <c r="A363" i="1" s="1"/>
  <c r="J360" i="1"/>
  <c r="I360" i="1"/>
  <c r="G360" i="1"/>
  <c r="F360" i="1"/>
  <c r="F357" i="1"/>
  <c r="F356" i="1"/>
  <c r="F355" i="1"/>
  <c r="F354" i="1"/>
  <c r="F353" i="1"/>
  <c r="F352" i="1"/>
  <c r="A352" i="1"/>
  <c r="A353" i="1" s="1"/>
  <c r="A354" i="1" s="1"/>
  <c r="A355" i="1" s="1"/>
  <c r="A356" i="1" s="1"/>
  <c r="A357" i="1" s="1"/>
  <c r="G351" i="1"/>
  <c r="F351" i="1"/>
  <c r="F349" i="1"/>
  <c r="F348" i="1"/>
  <c r="F347" i="1"/>
  <c r="F346" i="1"/>
  <c r="F345" i="1"/>
  <c r="F344" i="1"/>
  <c r="A344" i="1"/>
  <c r="A345" i="1" s="1"/>
  <c r="A346" i="1" s="1"/>
  <c r="A347" i="1" s="1"/>
  <c r="A348" i="1" s="1"/>
  <c r="A349" i="1" s="1"/>
  <c r="G343" i="1"/>
  <c r="F343" i="1"/>
  <c r="I339" i="1"/>
  <c r="F338" i="1"/>
  <c r="A337" i="1"/>
  <c r="A338" i="1" s="1"/>
  <c r="A339" i="1" s="1"/>
  <c r="A340" i="1" s="1"/>
  <c r="A341" i="1" s="1"/>
  <c r="G336" i="1"/>
  <c r="F332" i="1"/>
  <c r="F331" i="1"/>
  <c r="F330" i="1"/>
  <c r="F329" i="1"/>
  <c r="A328" i="1"/>
  <c r="A329" i="1" s="1"/>
  <c r="A330" i="1" s="1"/>
  <c r="A331" i="1" s="1"/>
  <c r="A332" i="1" s="1"/>
  <c r="G327" i="1"/>
  <c r="F327" i="1"/>
  <c r="F325" i="1"/>
  <c r="F324" i="1"/>
  <c r="F323" i="1"/>
  <c r="F322" i="1"/>
  <c r="F321" i="1"/>
  <c r="A321" i="1"/>
  <c r="A322" i="1" s="1"/>
  <c r="A323" i="1" s="1"/>
  <c r="A324" i="1" s="1"/>
  <c r="A325" i="1" s="1"/>
  <c r="I320" i="1"/>
  <c r="G320" i="1"/>
  <c r="F320" i="1"/>
  <c r="F318" i="1"/>
  <c r="F317" i="1"/>
  <c r="I316" i="1"/>
  <c r="F316" i="1"/>
  <c r="J315" i="1"/>
  <c r="I315" i="1"/>
  <c r="F315" i="1"/>
  <c r="A315" i="1"/>
  <c r="A316" i="1" s="1"/>
  <c r="A317" i="1" s="1"/>
  <c r="A318" i="1" s="1"/>
  <c r="G314" i="1"/>
  <c r="F308" i="1"/>
  <c r="F307" i="1"/>
  <c r="F306" i="1"/>
  <c r="F305" i="1"/>
  <c r="F304" i="1"/>
  <c r="F303" i="1"/>
  <c r="I302" i="1"/>
  <c r="G302" i="1"/>
  <c r="F302" i="1"/>
  <c r="F300" i="1"/>
  <c r="F299" i="1"/>
  <c r="F298" i="1"/>
  <c r="F297" i="1"/>
  <c r="F296" i="1"/>
  <c r="F295" i="1"/>
  <c r="A295" i="1"/>
  <c r="A296" i="1" s="1"/>
  <c r="A297" i="1" s="1"/>
  <c r="A298" i="1" s="1"/>
  <c r="A299" i="1" s="1"/>
  <c r="A300" i="1" s="1"/>
  <c r="G294" i="1"/>
  <c r="F294" i="1"/>
  <c r="E292" i="1"/>
  <c r="E291" i="1"/>
  <c r="E290" i="1"/>
  <c r="A288" i="1"/>
  <c r="A289" i="1" s="1"/>
  <c r="A290" i="1" s="1"/>
  <c r="A291" i="1" s="1"/>
  <c r="A292" i="1" s="1"/>
  <c r="G287" i="1"/>
  <c r="F283" i="1"/>
  <c r="F282" i="1"/>
  <c r="F281" i="1"/>
  <c r="J281" i="1" s="1"/>
  <c r="F279" i="1"/>
  <c r="F278" i="1"/>
  <c r="A278" i="1"/>
  <c r="A279" i="1" s="1"/>
  <c r="A280" i="1" s="1"/>
  <c r="A281" i="1" s="1"/>
  <c r="A282" i="1" s="1"/>
  <c r="A283" i="1" s="1"/>
  <c r="G277" i="1"/>
  <c r="F277" i="1"/>
  <c r="J277" i="1" s="1"/>
  <c r="F275" i="1"/>
  <c r="J275" i="1" s="1"/>
  <c r="F274" i="1"/>
  <c r="F273" i="1"/>
  <c r="F272" i="1"/>
  <c r="F271" i="1"/>
  <c r="F270" i="1"/>
  <c r="A270" i="1"/>
  <c r="A271" i="1" s="1"/>
  <c r="A272" i="1" s="1"/>
  <c r="A273" i="1" s="1"/>
  <c r="A274" i="1" s="1"/>
  <c r="A275" i="1" s="1"/>
  <c r="G269" i="1"/>
  <c r="F269" i="1"/>
  <c r="E267" i="1"/>
  <c r="D267" i="1"/>
  <c r="E266" i="1"/>
  <c r="D266" i="1"/>
  <c r="E265" i="1"/>
  <c r="E264" i="1"/>
  <c r="A264" i="1"/>
  <c r="A265" i="1" s="1"/>
  <c r="A266" i="1" s="1"/>
  <c r="A267" i="1" s="1"/>
  <c r="G263" i="1"/>
  <c r="I251" i="1"/>
  <c r="I250" i="1"/>
  <c r="A244" i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I243" i="1"/>
  <c r="G243" i="1"/>
  <c r="I238" i="1"/>
  <c r="I237" i="1"/>
  <c r="I236" i="1"/>
  <c r="A236" i="1"/>
  <c r="A237" i="1" s="1"/>
  <c r="A238" i="1" s="1"/>
  <c r="A239" i="1" s="1"/>
  <c r="A240" i="1" s="1"/>
  <c r="I235" i="1"/>
  <c r="G235" i="1"/>
  <c r="D230" i="1"/>
  <c r="F230" i="1" s="1"/>
  <c r="D229" i="1"/>
  <c r="F229" i="1" s="1"/>
  <c r="D228" i="1"/>
  <c r="F228" i="1" s="1"/>
  <c r="D227" i="1"/>
  <c r="F227" i="1" s="1"/>
  <c r="D226" i="1"/>
  <c r="F226" i="1" s="1"/>
  <c r="D225" i="1"/>
  <c r="F225" i="1" s="1"/>
  <c r="D224" i="1"/>
  <c r="F224" i="1" s="1"/>
  <c r="D223" i="1"/>
  <c r="F223" i="1" s="1"/>
  <c r="D222" i="1"/>
  <c r="F222" i="1" s="1"/>
  <c r="D221" i="1"/>
  <c r="F221" i="1" s="1"/>
  <c r="D220" i="1"/>
  <c r="F220" i="1" s="1"/>
  <c r="A220" i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G219" i="1"/>
  <c r="D219" i="1"/>
  <c r="F219" i="1" s="1"/>
  <c r="D216" i="1"/>
  <c r="F216" i="1" s="1"/>
  <c r="D215" i="1"/>
  <c r="F215" i="1" s="1"/>
  <c r="D214" i="1"/>
  <c r="F214" i="1" s="1"/>
  <c r="D213" i="1"/>
  <c r="F213" i="1" s="1"/>
  <c r="D212" i="1"/>
  <c r="F212" i="1" s="1"/>
  <c r="D211" i="1"/>
  <c r="F211" i="1" s="1"/>
  <c r="D210" i="1"/>
  <c r="F210" i="1" s="1"/>
  <c r="D209" i="1"/>
  <c r="F209" i="1" s="1"/>
  <c r="D208" i="1"/>
  <c r="F208" i="1" s="1"/>
  <c r="D207" i="1"/>
  <c r="F207" i="1" s="1"/>
  <c r="D206" i="1"/>
  <c r="F206" i="1" s="1"/>
  <c r="D205" i="1"/>
  <c r="F205" i="1" s="1"/>
  <c r="D204" i="1"/>
  <c r="F204" i="1" s="1"/>
  <c r="J203" i="1"/>
  <c r="D203" i="1"/>
  <c r="F203" i="1" s="1"/>
  <c r="K204" i="1" s="1"/>
  <c r="A203" i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G202" i="1"/>
  <c r="D202" i="1"/>
  <c r="F202" i="1" s="1"/>
  <c r="F177" i="1"/>
  <c r="J155" i="1"/>
  <c r="J154" i="1"/>
  <c r="J153" i="1"/>
  <c r="J152" i="1"/>
  <c r="C144" i="1"/>
  <c r="J141" i="1"/>
  <c r="J140" i="1"/>
  <c r="J139" i="1"/>
  <c r="J138" i="1"/>
  <c r="D82" i="1"/>
  <c r="D75" i="1"/>
  <c r="G54" i="1"/>
  <c r="E42" i="1"/>
  <c r="E43" i="1" s="1"/>
  <c r="E29" i="1"/>
  <c r="E26" i="1"/>
  <c r="E24" i="1"/>
  <c r="C14" i="1"/>
  <c r="E7" i="1"/>
  <c r="E3" i="1"/>
  <c r="H131" i="1"/>
  <c r="H145" i="1"/>
  <c r="I116" i="1" l="1"/>
  <c r="C118" i="1" s="1"/>
  <c r="G189" i="1"/>
  <c r="C187" i="1"/>
  <c r="F292" i="1"/>
  <c r="F341" i="1"/>
  <c r="G180" i="1"/>
  <c r="F290" i="1"/>
  <c r="E188" i="1"/>
  <c r="C188" i="1"/>
  <c r="C181" i="1"/>
  <c r="E180" i="1"/>
  <c r="E181" i="1"/>
  <c r="G181" i="1"/>
  <c r="E187" i="1"/>
  <c r="F265" i="1"/>
  <c r="F267" i="1"/>
  <c r="F339" i="1"/>
  <c r="F363" i="1"/>
  <c r="G191" i="1" s="1"/>
  <c r="F379" i="1"/>
  <c r="F380" i="1"/>
  <c r="F381" i="1"/>
  <c r="D143" i="1"/>
  <c r="D142" i="1"/>
  <c r="D141" i="1"/>
  <c r="D140" i="1"/>
  <c r="D139" i="1"/>
  <c r="D138" i="1"/>
  <c r="D137" i="1"/>
  <c r="D136" i="1"/>
  <c r="J133" i="1"/>
  <c r="J136" i="1"/>
  <c r="J137" i="1" s="1"/>
  <c r="J142" i="1" s="1"/>
  <c r="J135" i="1"/>
  <c r="C134" i="1" s="1"/>
  <c r="J134" i="1"/>
  <c r="J130" i="1"/>
  <c r="J132" i="1" s="1"/>
  <c r="J150" i="1"/>
  <c r="J151" i="1" s="1"/>
  <c r="J156" i="1" s="1"/>
  <c r="J149" i="1"/>
  <c r="C148" i="1" s="1"/>
  <c r="J148" i="1"/>
  <c r="J144" i="1"/>
  <c r="J146" i="1" s="1"/>
  <c r="D157" i="1"/>
  <c r="D155" i="1"/>
  <c r="D153" i="1"/>
  <c r="D151" i="1"/>
  <c r="J147" i="1"/>
  <c r="D156" i="1"/>
  <c r="D154" i="1"/>
  <c r="D152" i="1"/>
  <c r="D150" i="1"/>
  <c r="F291" i="1"/>
  <c r="K203" i="1"/>
  <c r="C180" i="1"/>
  <c r="C184" i="1" s="1"/>
  <c r="F264" i="1"/>
  <c r="F266" i="1"/>
  <c r="K275" i="1"/>
  <c r="F340" i="1"/>
  <c r="H103" i="1"/>
  <c r="H89" i="1"/>
  <c r="G184" i="1" l="1"/>
  <c r="G192" i="1"/>
  <c r="E184" i="1"/>
  <c r="G190" i="1"/>
  <c r="D134" i="1"/>
  <c r="J93" i="1"/>
  <c r="C92" i="1" s="1"/>
  <c r="D101" i="1"/>
  <c r="D99" i="1"/>
  <c r="D97" i="1"/>
  <c r="D95" i="1"/>
  <c r="J88" i="1"/>
  <c r="J90" i="1" s="1"/>
  <c r="J94" i="1"/>
  <c r="J92" i="1"/>
  <c r="J91" i="1"/>
  <c r="D100" i="1"/>
  <c r="D98" i="1"/>
  <c r="D96" i="1"/>
  <c r="D94" i="1"/>
  <c r="J157" i="1"/>
  <c r="J143" i="1"/>
  <c r="C135" i="1" s="1"/>
  <c r="D135" i="1" s="1"/>
  <c r="C193" i="1"/>
  <c r="E193" i="1"/>
  <c r="D148" i="1"/>
  <c r="J108" i="1"/>
  <c r="J109" i="1" s="1"/>
  <c r="J114" i="1" s="1"/>
  <c r="J107" i="1"/>
  <c r="C106" i="1" s="1"/>
  <c r="D106" i="1" s="1"/>
  <c r="J106" i="1"/>
  <c r="J102" i="1"/>
  <c r="J104" i="1" s="1"/>
  <c r="D115" i="1"/>
  <c r="D114" i="1"/>
  <c r="D113" i="1"/>
  <c r="D112" i="1"/>
  <c r="D111" i="1"/>
  <c r="D110" i="1"/>
  <c r="D109" i="1"/>
  <c r="D108" i="1"/>
  <c r="J105" i="1"/>
  <c r="G188" i="1"/>
  <c r="G187" i="1"/>
  <c r="D92" i="1" l="1"/>
  <c r="J95" i="1"/>
  <c r="J100" i="1" s="1"/>
  <c r="J101" i="1" s="1"/>
  <c r="C93" i="1" s="1"/>
  <c r="C149" i="1"/>
  <c r="D149" i="1" s="1"/>
  <c r="I145" i="1" s="1"/>
  <c r="I146" i="1" s="1"/>
  <c r="J115" i="1"/>
  <c r="C107" i="1" s="1"/>
  <c r="J103" i="1" s="1"/>
  <c r="I131" i="1"/>
  <c r="I132" i="1" s="1"/>
  <c r="G134" i="1"/>
  <c r="D86" i="1" s="1"/>
  <c r="F87" i="1" s="1"/>
  <c r="J131" i="1"/>
  <c r="E134" i="1"/>
  <c r="G193" i="1"/>
  <c r="J89" i="1" l="1"/>
  <c r="G92" i="1"/>
  <c r="D93" i="1"/>
  <c r="I89" i="1" s="1"/>
  <c r="I90" i="1" s="1"/>
  <c r="E92" i="1"/>
  <c r="J145" i="1"/>
  <c r="I144" i="1" s="1"/>
  <c r="C146" i="1" s="1"/>
  <c r="E148" i="1"/>
  <c r="G148" i="1"/>
  <c r="G106" i="1"/>
  <c r="E106" i="1"/>
  <c r="D107" i="1"/>
  <c r="I103" i="1" s="1"/>
  <c r="I104" i="1" s="1"/>
  <c r="I130" i="1"/>
  <c r="C132" i="1" s="1"/>
  <c r="D87" i="1"/>
  <c r="I88" i="1" l="1"/>
  <c r="C90" i="1" s="1"/>
  <c r="I102" i="1"/>
  <c r="C104" i="1" s="1"/>
</calcChain>
</file>

<file path=xl/sharedStrings.xml><?xml version="1.0" encoding="utf-8"?>
<sst xmlns="http://schemas.openxmlformats.org/spreadsheetml/2006/main" count="714" uniqueCount="264">
  <si>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</si>
  <si>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</si>
  <si>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</si>
  <si>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</si>
  <si>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</si>
  <si>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</si>
  <si>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</si>
  <si>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</si>
  <si>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</si>
  <si>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</si>
  <si>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</si>
  <si>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</si>
  <si>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</si>
  <si>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</si>
  <si>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</si>
  <si>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</si>
  <si>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</si>
  <si>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</si>
  <si>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</si>
  <si>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</si>
  <si>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</si>
  <si>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</si>
  <si>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</si>
  <si>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</si>
  <si>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</si>
  <si>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</si>
  <si>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</si>
  <si>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</si>
  <si>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</si>
  <si>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</si>
  <si>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</si>
  <si>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</si>
  <si>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</si>
  <si>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</si>
  <si>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</si>
  <si>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</si>
  <si>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</si>
  <si>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</si>
  <si>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</si>
  <si>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</si>
  <si>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</si>
  <si>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</si>
  <si>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>Dated</t>
  </si>
  <si>
    <t xml:space="preserve">O. Certificate No.: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</si>
  <si>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</si>
  <si>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</si>
  <si>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</si>
  <si>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</si>
  <si>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</si>
  <si>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</si>
  <si>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</si>
  <si>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</si>
  <si>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</si>
  <si>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</si>
  <si>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</si>
  <si>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</si>
  <si>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</si>
  <si>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</si>
  <si>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</si>
  <si>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</si>
  <si>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</si>
  <si>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</si>
  <si>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</si>
  <si>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</si>
  <si>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</si>
  <si>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</si>
  <si>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</si>
  <si>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</si>
  <si>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</si>
  <si>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</si>
  <si>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Residential Area Details :</t>
  </si>
  <si>
    <t>Podium</t>
  </si>
  <si>
    <t>Ground</t>
  </si>
  <si>
    <t>Locality/Village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</si>
  <si>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</si>
  <si>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</si>
  <si>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Commercial Area Details :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</si>
  <si>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</si>
  <si>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</si>
  <si>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</si>
  <si>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</si>
  <si>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</si>
  <si>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</si>
  <si>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</si>
  <si>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</si>
  <si>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</si>
  <si>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</si>
  <si>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</si>
  <si>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</si>
  <si>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</si>
  <si>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</si>
  <si>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</si>
  <si>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</si>
  <si>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</si>
  <si>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</si>
  <si>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</si>
  <si>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Excavation in process</t>
  </si>
  <si>
    <t>Excavation Completed</t>
  </si>
  <si>
    <t>Footing in Process</t>
  </si>
  <si>
    <t>Footing Completed</t>
  </si>
  <si>
    <t>Plinth completed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</si>
  <si>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</si>
  <si>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</si>
  <si>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</si>
  <si>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</si>
  <si>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</si>
  <si>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</si>
  <si>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</si>
  <si>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</si>
  <si>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</si>
  <si>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</si>
  <si>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</si>
  <si>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</si>
  <si>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</si>
  <si>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</si>
  <si>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t>Shop No.
(Sale Plan)</t>
  </si>
  <si>
    <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</si>
  <si>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</si>
  <si>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</si>
  <si>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</si>
  <si>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</si>
  <si>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</si>
  <si>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</si>
  <si>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</si>
  <si>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</si>
  <si>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</si>
  <si>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</si>
  <si>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</si>
  <si>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</si>
  <si>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</si>
  <si>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</si>
  <si>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</si>
  <si>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</si>
  <si>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</si>
  <si>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</si>
  <si>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</si>
  <si>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</si>
  <si>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</si>
  <si>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</si>
  <si>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</si>
  <si>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</si>
  <si>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</si>
  <si>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</si>
  <si>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</si>
  <si>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</si>
  <si>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 xml:space="preserve">Violations Observed if any : </t>
  </si>
  <si>
    <t>Saleable area Loading :</t>
  </si>
  <si>
    <t>Total</t>
  </si>
  <si>
    <t>Name of Municipal Corporation/Authority</t>
  </si>
  <si>
    <t>We have considered proposed No. of Floor for Stage Calculation.</t>
  </si>
  <si>
    <t>*</t>
  </si>
  <si>
    <t>Recommended rate should be considered as all inclusive rate if other charges are not mentioned. (Excluding GST &amp; other government Taxes)</t>
  </si>
  <si>
    <t>Attached Loft area</t>
  </si>
  <si>
    <t xml:space="preserve">Recommended Rates of the Property : </t>
  </si>
  <si>
    <t>Recommended rate of the Shop Per Sq. Ft.</t>
  </si>
  <si>
    <t>Recommended rate of the Flat Per Sq. Ft.</t>
  </si>
  <si>
    <t>On Saleable Area</t>
  </si>
  <si>
    <t>Location Link</t>
  </si>
  <si>
    <t>Locality</t>
  </si>
  <si>
    <t>Provided Contact Details ( Name &amp; Contact No.)</t>
  </si>
  <si>
    <t>Site Person - Contact Details ( Name &amp; Contact No.)</t>
  </si>
  <si>
    <t>Layout :</t>
  </si>
  <si>
    <t xml:space="preserve">1. Vitrified tiles flooring 2. Granite Kitchen Platform 3. Decorative
Enternace etc.
</t>
  </si>
  <si>
    <t>Axis Goregaon</t>
  </si>
  <si>
    <t>Nakshatra Veda</t>
  </si>
  <si>
    <t>Jsb Homemakers Pvt Ltd</t>
  </si>
  <si>
    <t>Gokhiware</t>
  </si>
  <si>
    <t>Palghar</t>
  </si>
  <si>
    <t>Vasai</t>
  </si>
  <si>
    <t>Survey No</t>
  </si>
  <si>
    <t>Vasai Virar City Municipal Corporation (VVCMC)</t>
  </si>
  <si>
    <t>VVCMC/TP/AMEND/VP/0329, 0815 &amp; 0509/241/2022-23</t>
  </si>
  <si>
    <t xml:space="preserve"> </t>
  </si>
  <si>
    <t>As per RERA - 31/12/2027</t>
  </si>
  <si>
    <t>H Wing = G + 1st to 23rd Floor</t>
  </si>
  <si>
    <t>https://goo.gl/maps/THCqgWBY1PHRoKuk8</t>
  </si>
  <si>
    <t>Samaira Residency</t>
  </si>
  <si>
    <t>Open Plot</t>
  </si>
  <si>
    <t>4.7KM from Vasai Road Railway Station</t>
  </si>
  <si>
    <t>Vasai Road</t>
  </si>
  <si>
    <t>Madhuvan city</t>
  </si>
  <si>
    <t>VVCMC/TP/CC/VP/0329, 0815 &amp; 0509/217/2022-23</t>
  </si>
  <si>
    <t>VVCMC/TP/CC/VP/0329, 0815 &amp; 0509/216/2022-23</t>
  </si>
  <si>
    <t>H Wing</t>
  </si>
  <si>
    <t>Ground Floor For Commercial &amp; Parking</t>
  </si>
  <si>
    <t>Shop</t>
  </si>
  <si>
    <t>1st Floor For Residential &amp; Parking</t>
  </si>
  <si>
    <t>Parking</t>
  </si>
  <si>
    <t>1BHK</t>
  </si>
  <si>
    <t>2BHK</t>
  </si>
  <si>
    <t>3BHK</t>
  </si>
  <si>
    <t>2nd to 7th, 9th to 12th, 14th to 18th, 20th to 23rd Floor</t>
  </si>
  <si>
    <t>Refuge Area</t>
  </si>
  <si>
    <t>I Wing</t>
  </si>
  <si>
    <t>Ground Floor For Commercial , Society Office &amp; Parking</t>
  </si>
  <si>
    <t>8th, 13th &amp; 19th Floor (Part Refuge Area)</t>
  </si>
  <si>
    <t>8th, 13th &amp; 19th Floor ( Part Refuge Area)</t>
  </si>
  <si>
    <t>Approved Plans, CC, Cost Sheet</t>
  </si>
  <si>
    <t>I Wing = G + P1+ 2nd to 23rd Floor</t>
  </si>
  <si>
    <t>Society Charges</t>
  </si>
  <si>
    <t>73 Out of larger layout land bearing S.No.62, H.No.1, 2/Pt, 3, 4, 5, 7, S.No.63, H.No.2/1, 2/2, 3 &amp; Others</t>
  </si>
  <si>
    <t>Ambadi Road</t>
  </si>
  <si>
    <t>Nakshatra Veda II</t>
  </si>
  <si>
    <t>Layout Approval No
Sector III Building No.2 (Wing E to G &amp; J)</t>
  </si>
  <si>
    <t xml:space="preserve">Building No.2 (Wing H) </t>
  </si>
  <si>
    <t xml:space="preserve">Building No.2 (Wing I) </t>
  </si>
  <si>
    <t xml:space="preserve">Building No.2 (Wing E) </t>
  </si>
  <si>
    <t xml:space="preserve">Building No.2 (Wing F) </t>
  </si>
  <si>
    <t xml:space="preserve">Building No.2 (Wing G) </t>
  </si>
  <si>
    <t xml:space="preserve">Building No.2 (Wing J) </t>
  </si>
  <si>
    <t xml:space="preserve">Approved Floor plan No. </t>
  </si>
  <si>
    <t xml:space="preserve">Commencement-CC No
Valid Up to: </t>
  </si>
  <si>
    <t>Approved Floor plan No.</t>
  </si>
  <si>
    <t>J Wing = G + P1+ 2nd to 23rd Floor</t>
  </si>
  <si>
    <t>G Wing = G + P1+ 2nd to 23rd Floor</t>
  </si>
  <si>
    <t>VVCMC/TP/CC/VP/0329, 0815 &amp; 0509/213/2022-23</t>
  </si>
  <si>
    <t>VVCMC/TP/CC/VP/0329, 0815 &amp; 0509/214/2022-23</t>
  </si>
  <si>
    <t>VVCMC/TP/CC/VP/0329, 0815 &amp; 0509/215/2022-23</t>
  </si>
  <si>
    <t>VVCMC/TP/CC/VP/0329, 0815 &amp; 0509/218/2022-23</t>
  </si>
  <si>
    <t>Building No. 2</t>
  </si>
  <si>
    <t>E Wing</t>
  </si>
  <si>
    <t>-</t>
  </si>
  <si>
    <t>F Wing</t>
  </si>
  <si>
    <t>Ground Floor For Meter Room, Entrance Lobby &amp; Parking</t>
  </si>
  <si>
    <t>G Wing</t>
  </si>
  <si>
    <t>Ground Floor For Commercial, Entrance Lobby, Meter Room &amp; Parking</t>
  </si>
  <si>
    <t>Ground Floor For Society Office, Meter Room, Entrance Lobby &amp; Parking</t>
  </si>
  <si>
    <t>J Wing</t>
  </si>
  <si>
    <t>Ground Floor For Commercial, Society Office, Entrance Lobby, Meter Room &amp; Parking</t>
  </si>
  <si>
    <t>We considered Gross carpet area = Net carpet + Enclose balcony + A.P Area.</t>
  </si>
  <si>
    <t>Ground Floor For Commercial, Meter Room, Entrance Lobby &amp; Parking</t>
  </si>
  <si>
    <t>Ground Floor For Commercial, Society Office, Meter Room, Entrance Lobby &amp; Parking</t>
  </si>
  <si>
    <t>Flats - 849, Shops - 45</t>
  </si>
  <si>
    <t xml:space="preserve">E Wing = G + P1 + 2nd to 23rd Floor
</t>
  </si>
  <si>
    <t>F Wing = G + P1 + 2nd to 23rd Floor</t>
  </si>
  <si>
    <t>06 Building</t>
  </si>
  <si>
    <t>H Wing = Nakshatra Veda = G + 1st to 23rd Floor
I Wing = Nakshatra Veda = G + 1st to 23rd Floor
E to G &amp; J Wing = Nakshatra Veda II = G + 1st to 23rd Floor</t>
  </si>
  <si>
    <t>H Wing = Nakshatra Veda = G + 1st to 23rd Floor</t>
  </si>
  <si>
    <t>I Wing = Nakshatra Veda = G + 1st to 23rd Floor</t>
  </si>
  <si>
    <t>E to G &amp; J Wing = Nakshatra Veda II = G + 1st to 23rd Floor</t>
  </si>
  <si>
    <t>Sector -III, Building No.2
Wing H &amp; I (Nakshatra Veda)
Wing E to G &amp; J (Nakshatra Veda II)</t>
  </si>
  <si>
    <t>Nakshatra Veda - P99000047826
Nakshatra Veda II - P99000048852</t>
  </si>
  <si>
    <t>8th, 13th &amp; 19th Floor ( Part Refuge Area at midlanding)</t>
  </si>
  <si>
    <t xml:space="preserve">We have updated revised approved for Nakshatra Veda II (Wing E, F, G &amp; J) floor plan &amp; C.C (on 25/02/2023). </t>
  </si>
  <si>
    <t>Nakshatra Veda &amp; II</t>
  </si>
  <si>
    <t>F Wing = Nakshatra Veda II = G + 1st to 23rd Floor</t>
  </si>
  <si>
    <t>G Wing = Nakshatra Veda II = G + 1st to 23rd Floor</t>
  </si>
  <si>
    <t>6000 to 6500</t>
  </si>
  <si>
    <t>verbal</t>
  </si>
  <si>
    <t>Nikhil</t>
  </si>
  <si>
    <t>on higher side</t>
  </si>
  <si>
    <t>9500 to 11000</t>
  </si>
  <si>
    <t>Trupti</t>
  </si>
  <si>
    <t>Latitude,Longitude</t>
  </si>
  <si>
    <t>19.3945194,72.8486385</t>
  </si>
  <si>
    <t>Navnath Bhatkar</t>
  </si>
  <si>
    <t>E Wing = Nakshatra Veda II = G + 1st to 23rd Floor</t>
  </si>
  <si>
    <t>J Wing = Nakshatra Veda II = G + 1st to 23rd Floor</t>
  </si>
  <si>
    <t>J wing not started yet</t>
  </si>
  <si>
    <t>Office No. 1031, Wing J, Akshar Business Park, Plot No. 03 Sector 25, Near APMC Market,
Vashi, Navi Mumbai, Maharashtra 400703 TEL: 022-46090378/79/80
E mail : vsjcapf@gmail.com. Web site : www.vsjadon.com</t>
  </si>
  <si>
    <t>J wing Not yet started 11/07/2024</t>
  </si>
  <si>
    <t>Construction work is in process at the time of Visit. Internal photographs was not allowed.</t>
  </si>
  <si>
    <t>Shruti Tathare</t>
  </si>
  <si>
    <t>Mr. Yogendra 9867717257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</si>
</sst>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64" formatCode="0.0"/>
    <numFmt numFmtId="165" formatCode="_(* #,##0.00_);_(* \(#,##0.00\);_(* &quot;-&quot;??_);_(@_)"/>
    <numFmt numFmtId="166" formatCode="_(* #,##0_);_(* \(#,##0\);_(* &quot;-&quot;??_);_(@_)"/>
    <numFmt numFmtId="167" formatCode="_ * #,##0_ ;_ * \-#,##0_ ;_ * &quot;-&quot;??_ ;_ @_ "/>
    <numFmt numFmtId="168" formatCode="0.000"/>
  </numFmts>
  <fonts count="27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1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5" fontId="5" fillId="0" borderId="0" applyFont="0" applyFill="0" applyBorder="0" applyAlignment="0" applyProtection="0"/>
    <xf numFmtId="0" fontId="20" fillId="0" borderId="0"/>
    <xf numFmtId="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6" fillId="0" borderId="0" applyNumberFormat="0" applyFill="0" applyBorder="0" applyAlignment="0" applyProtection="0"/>
  </cellStyleXfs>
  <cellXfs count="235">
    <xf numFmtId="0" fontId="0" fillId="0" borderId="0" xfId="0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19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8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9" fontId="8" fillId="0" borderId="15" xfId="8" applyFont="1" applyFill="1" applyBorder="1" applyAlignment="1" applyProtection="1">
      <alignment horizontal="center" vertical="top" wrapText="1"/>
      <protection locked="0"/>
    </xf>
    <xf numFmtId="0" fontId="17" fillId="0" borderId="0" xfId="0" applyFont="1" applyProtection="1">
      <protection hidden="1"/>
    </xf>
    <xf numFmtId="0" fontId="17" fillId="0" borderId="10" xfId="0" applyFont="1" applyBorder="1" applyProtection="1">
      <protection hidden="1"/>
    </xf>
    <xf numFmtId="0" fontId="12" fillId="0" borderId="3" xfId="1" applyFont="1" applyBorder="1" applyAlignment="1" applyProtection="1">
      <alignment horizontal="center" vertical="top"/>
      <protection locked="0"/>
    </xf>
    <xf numFmtId="0" fontId="12" fillId="0" borderId="4" xfId="1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vertical="top" wrapText="1"/>
      <protection locked="0"/>
    </xf>
    <xf numFmtId="9" fontId="7" fillId="0" borderId="1" xfId="8" applyFont="1" applyFill="1" applyBorder="1" applyAlignment="1" applyProtection="1">
      <alignment horizontal="center" vertical="top" wrapText="1"/>
      <protection locked="0"/>
    </xf>
    <xf numFmtId="9" fontId="7" fillId="0" borderId="6" xfId="8" applyFont="1" applyFill="1" applyBorder="1" applyAlignment="1" applyProtection="1">
      <alignment horizontal="center" vertical="top" wrapText="1"/>
      <protection locked="0"/>
    </xf>
    <xf numFmtId="0" fontId="7" fillId="0" borderId="0" xfId="1" applyFont="1"/>
    <xf numFmtId="0" fontId="15" fillId="0" borderId="0" xfId="1" applyFont="1"/>
    <xf numFmtId="0" fontId="12" fillId="0" borderId="0" xfId="1" applyFont="1"/>
    <xf numFmtId="1" fontId="7" fillId="0" borderId="0" xfId="1" applyNumberFormat="1" applyFont="1"/>
    <xf numFmtId="14" fontId="7" fillId="0" borderId="0" xfId="1" applyNumberFormat="1" applyFont="1"/>
    <xf numFmtId="0" fontId="7" fillId="0" borderId="0" xfId="1" applyFont="1" applyProtection="1">
      <protection hidden="1"/>
    </xf>
    <xf numFmtId="0" fontId="23" fillId="0" borderId="0" xfId="1" applyFont="1"/>
    <xf numFmtId="0" fontId="7" fillId="0" borderId="9" xfId="1" applyFont="1" applyBorder="1"/>
    <xf numFmtId="0" fontId="17" fillId="0" borderId="9" xfId="0" applyFont="1" applyBorder="1" applyProtection="1">
      <protection hidden="1"/>
    </xf>
    <xf numFmtId="1" fontId="0" fillId="0" borderId="9" xfId="0" applyNumberFormat="1" applyBorder="1"/>
    <xf numFmtId="1" fontId="0" fillId="0" borderId="9" xfId="0" applyNumberFormat="1" applyBorder="1" applyAlignment="1">
      <alignment horizontal="right"/>
    </xf>
    <xf numFmtId="1" fontId="0" fillId="0" borderId="11" xfId="0" applyNumberFormat="1" applyBorder="1"/>
    <xf numFmtId="0" fontId="16" fillId="0" borderId="0" xfId="1" applyFont="1"/>
    <xf numFmtId="0" fontId="6" fillId="0" borderId="0" xfId="2" applyFont="1"/>
    <xf numFmtId="0" fontId="7" fillId="0" borderId="0" xfId="0" applyFont="1" applyAlignment="1">
      <alignment horizontal="center" vertical="center"/>
    </xf>
    <xf numFmtId="1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2" xfId="1" applyNumberFormat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7" fillId="0" borderId="6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6" fillId="0" borderId="1" xfId="1" applyFont="1" applyBorder="1" applyAlignment="1" applyProtection="1">
      <alignment horizontal="center" vertical="top"/>
      <protection locked="0"/>
    </xf>
    <xf numFmtId="0" fontId="24" fillId="2" borderId="29" xfId="0" applyFont="1" applyFill="1" applyBorder="1"/>
    <xf numFmtId="0" fontId="25" fillId="0" borderId="30" xfId="0" applyFont="1" applyBorder="1"/>
    <xf numFmtId="0" fontId="25" fillId="0" borderId="1" xfId="0" applyFont="1" applyBorder="1"/>
    <xf numFmtId="0" fontId="25" fillId="0" borderId="4" xfId="0" applyFont="1" applyBorder="1"/>
    <xf numFmtId="0" fontId="12" fillId="0" borderId="1" xfId="1" applyFont="1" applyBorder="1" applyAlignment="1" applyProtection="1">
      <alignment horizontal="center" vertical="top"/>
      <protection locked="0"/>
    </xf>
    <xf numFmtId="168" fontId="7" fillId="0" borderId="0" xfId="1" applyNumberFormat="1" applyFont="1"/>
    <xf numFmtId="2" fontId="7" fillId="0" borderId="0" xfId="1" applyNumberFormat="1" applyFont="1" applyAlignment="1">
      <alignment horizontal="center" vertical="center"/>
    </xf>
    <xf numFmtId="1" fontId="7" fillId="0" borderId="1" xfId="1" applyNumberFormat="1" applyFont="1" applyBorder="1" applyAlignment="1" applyProtection="1">
      <alignment horizontal="center" vertical="top" wrapText="1"/>
      <protection locked="0"/>
    </xf>
    <xf numFmtId="0" fontId="7" fillId="0" borderId="0" xfId="1" applyFont="1" applyAlignment="1">
      <alignment horizontal="center" vertical="center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0" fontId="7" fillId="0" borderId="0" xfId="1" applyFont="1" applyAlignment="1">
      <alignment horizontal="center" vertical="center"/>
    </xf>
    <xf numFmtId="1" fontId="6" fillId="0" borderId="0" xfId="1" applyNumberFormat="1" applyFont="1" applyBorder="1" applyAlignment="1" applyProtection="1">
      <alignment horizontal="center" vertical="center" wrapText="1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7" fillId="0" borderId="6" xfId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horizontal="center" vertical="top"/>
      <protection locked="0"/>
    </xf>
    <xf numFmtId="1" fontId="6" fillId="0" borderId="1" xfId="0" applyNumberFormat="1" applyFont="1" applyBorder="1" applyAlignment="1" applyProtection="1">
      <alignment vertical="center" wrapText="1"/>
      <protection locked="0"/>
    </xf>
    <xf numFmtId="1" fontId="7" fillId="0" borderId="1" xfId="1" applyNumberFormat="1" applyFont="1" applyBorder="1" applyAlignment="1">
      <alignment horizontal="center" vertical="center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7" fillId="0" borderId="6" xfId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horizontal="center" vertical="top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horizontal="center" vertical="top"/>
      <protection locked="0"/>
    </xf>
    <xf numFmtId="0" fontId="7" fillId="0" borderId="6" xfId="1" applyFont="1" applyBorder="1" applyAlignment="1" applyProtection="1">
      <alignment horizontal="center" vertical="top" wrapText="1"/>
      <protection locked="0"/>
    </xf>
    <xf numFmtId="1" fontId="7" fillId="0" borderId="0" xfId="0" applyNumberFormat="1" applyFont="1" applyAlignment="1">
      <alignment horizontal="center" vertical="center"/>
    </xf>
    <xf numFmtId="0" fontId="7" fillId="2" borderId="0" xfId="1" applyFont="1" applyFill="1"/>
    <xf numFmtId="14" fontId="7" fillId="2" borderId="0" xfId="1" applyNumberFormat="1" applyFont="1" applyFill="1"/>
    <xf numFmtId="0" fontId="7" fillId="5" borderId="0" xfId="1" applyFont="1" applyFill="1"/>
    <xf numFmtId="14" fontId="7" fillId="5" borderId="0" xfId="1" applyNumberFormat="1" applyFont="1" applyFill="1"/>
    <xf numFmtId="0" fontId="7" fillId="0" borderId="1" xfId="1" applyFont="1" applyBorder="1" applyAlignment="1" applyProtection="1">
      <alignment horizontal="center" vertical="top" wrapText="1"/>
      <protection locked="0"/>
    </xf>
    <xf numFmtId="0" fontId="7" fillId="0" borderId="6" xfId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15" fillId="2" borderId="0" xfId="1" applyFont="1" applyFill="1"/>
    <xf numFmtId="14" fontId="15" fillId="0" borderId="0" xfId="1" applyNumberFormat="1" applyFont="1"/>
    <xf numFmtId="0" fontId="10" fillId="0" borderId="7" xfId="1" applyFont="1" applyBorder="1" applyAlignment="1" applyProtection="1">
      <alignment horizontal="left"/>
      <protection locked="0"/>
    </xf>
    <xf numFmtId="0" fontId="10" fillId="0" borderId="20" xfId="1" applyFont="1" applyBorder="1" applyAlignment="1" applyProtection="1">
      <alignment horizontal="left"/>
      <protection locked="0"/>
    </xf>
    <xf numFmtId="0" fontId="10" fillId="0" borderId="8" xfId="1" applyFont="1" applyBorder="1" applyAlignment="1" applyProtection="1">
      <alignment horizontal="left"/>
      <protection locked="0"/>
    </xf>
    <xf numFmtId="0" fontId="8" fillId="0" borderId="21" xfId="1" applyFont="1" applyBorder="1" applyAlignment="1" applyProtection="1">
      <alignment horizontal="left" vertical="top" wrapText="1"/>
      <protection locked="0"/>
    </xf>
    <xf numFmtId="0" fontId="8" fillId="0" borderId="14" xfId="1" applyFont="1" applyBorder="1" applyAlignment="1" applyProtection="1">
      <alignment horizontal="left" vertical="top" wrapText="1"/>
      <protection locked="0"/>
    </xf>
    <xf numFmtId="0" fontId="8" fillId="0" borderId="12" xfId="1" applyFont="1" applyBorder="1" applyAlignment="1" applyProtection="1">
      <alignment horizontal="left" vertical="top" wrapText="1"/>
      <protection locked="0"/>
    </xf>
    <xf numFmtId="0" fontId="8" fillId="0" borderId="13" xfId="1" applyFont="1" applyBorder="1" applyAlignment="1" applyProtection="1">
      <alignment horizontal="left" vertical="top" wrapText="1"/>
      <protection locked="0"/>
    </xf>
    <xf numFmtId="0" fontId="8" fillId="0" borderId="22" xfId="1" applyFont="1" applyBorder="1" applyAlignment="1" applyProtection="1">
      <alignment horizontal="left" vertical="top" wrapText="1"/>
      <protection locked="0"/>
    </xf>
    <xf numFmtId="0" fontId="13" fillId="0" borderId="3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0" fontId="13" fillId="0" borderId="4" xfId="1" applyFont="1" applyBorder="1" applyAlignment="1" applyProtection="1">
      <alignment horizontal="left" vertical="top" wrapText="1"/>
      <protection locked="0"/>
    </xf>
    <xf numFmtId="0" fontId="7" fillId="0" borderId="3" xfId="1" applyFont="1" applyBorder="1" applyAlignment="1" applyProtection="1">
      <alignment horizontal="center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7" fillId="0" borderId="4" xfId="1" applyFont="1" applyBorder="1" applyAlignment="1" applyProtection="1">
      <alignment horizontal="center" vertical="top" wrapText="1"/>
      <protection locked="0"/>
    </xf>
    <xf numFmtId="9" fontId="7" fillId="0" borderId="16" xfId="8" applyFont="1" applyFill="1" applyBorder="1" applyAlignment="1" applyProtection="1">
      <alignment horizontal="center" vertical="center" wrapText="1"/>
      <protection locked="0"/>
    </xf>
    <xf numFmtId="9" fontId="7" fillId="0" borderId="17" xfId="8" applyFont="1" applyFill="1" applyBorder="1" applyAlignment="1" applyProtection="1">
      <alignment horizontal="center" vertical="center" wrapText="1"/>
      <protection locked="0"/>
    </xf>
    <xf numFmtId="9" fontId="7" fillId="0" borderId="24" xfId="8" applyFont="1" applyFill="1" applyBorder="1" applyAlignment="1" applyProtection="1">
      <alignment horizontal="center" vertical="center" wrapText="1"/>
      <protection locked="0"/>
    </xf>
    <xf numFmtId="9" fontId="7" fillId="0" borderId="25" xfId="8" applyFont="1" applyFill="1" applyBorder="1" applyAlignment="1" applyProtection="1">
      <alignment horizontal="center" vertical="center" wrapText="1"/>
      <protection locked="0"/>
    </xf>
    <xf numFmtId="9" fontId="7" fillId="0" borderId="27" xfId="8" applyFont="1" applyFill="1" applyBorder="1" applyAlignment="1" applyProtection="1">
      <alignment horizontal="center" vertical="center" wrapText="1"/>
      <protection locked="0"/>
    </xf>
    <xf numFmtId="9" fontId="7" fillId="0" borderId="28" xfId="8" applyFont="1" applyFill="1" applyBorder="1" applyAlignment="1" applyProtection="1">
      <alignment horizontal="center" vertical="center" wrapText="1"/>
      <protection locked="0"/>
    </xf>
    <xf numFmtId="9" fontId="7" fillId="0" borderId="26" xfId="8" applyFont="1" applyFill="1" applyBorder="1" applyAlignment="1" applyProtection="1">
      <alignment horizontal="center" vertical="center" wrapText="1"/>
      <protection locked="0"/>
    </xf>
    <xf numFmtId="9" fontId="7" fillId="0" borderId="9" xfId="8" applyFont="1" applyFill="1" applyBorder="1" applyAlignment="1" applyProtection="1">
      <alignment horizontal="center" vertical="center" wrapText="1"/>
      <protection locked="0"/>
    </xf>
    <xf numFmtId="9" fontId="7" fillId="0" borderId="11" xfId="8" applyFont="1" applyFill="1" applyBorder="1" applyAlignment="1" applyProtection="1">
      <alignment horizontal="center" vertical="center" wrapText="1"/>
      <protection locked="0"/>
    </xf>
    <xf numFmtId="0" fontId="7" fillId="0" borderId="5" xfId="1" applyFont="1" applyBorder="1" applyAlignment="1" applyProtection="1">
      <alignment horizontal="center" vertical="top" wrapText="1"/>
      <protection locked="0"/>
    </xf>
    <xf numFmtId="0" fontId="7" fillId="0" borderId="6" xfId="1" applyFont="1" applyBorder="1" applyAlignment="1" applyProtection="1">
      <alignment horizontal="center" vertical="top" wrapText="1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0" fontId="12" fillId="0" borderId="24" xfId="1" applyFont="1" applyBorder="1" applyAlignment="1" applyProtection="1">
      <alignment horizontal="left" vertical="top"/>
      <protection locked="0"/>
    </xf>
    <xf numFmtId="0" fontId="12" fillId="0" borderId="0" xfId="1" applyFont="1" applyAlignment="1" applyProtection="1">
      <alignment horizontal="left" vertical="top"/>
      <protection locked="0"/>
    </xf>
    <xf numFmtId="0" fontId="12" fillId="0" borderId="25" xfId="1" applyFont="1" applyBorder="1" applyAlignment="1" applyProtection="1">
      <alignment horizontal="left" vertical="top"/>
      <protection locked="0"/>
    </xf>
    <xf numFmtId="0" fontId="12" fillId="0" borderId="16" xfId="1" applyFont="1" applyBorder="1" applyAlignment="1" applyProtection="1">
      <alignment horizontal="left" vertical="top" wrapText="1"/>
      <protection locked="0"/>
    </xf>
    <xf numFmtId="0" fontId="12" fillId="0" borderId="23" xfId="1" applyFont="1" applyBorder="1" applyAlignment="1" applyProtection="1">
      <alignment horizontal="left" vertical="top" wrapText="1"/>
      <protection locked="0"/>
    </xf>
    <xf numFmtId="0" fontId="12" fillId="0" borderId="17" xfId="1" applyFont="1" applyBorder="1" applyAlignment="1" applyProtection="1">
      <alignment horizontal="left" vertical="top" wrapText="1"/>
      <protection locked="0"/>
    </xf>
    <xf numFmtId="0" fontId="12" fillId="0" borderId="24" xfId="1" applyFont="1" applyBorder="1" applyAlignment="1" applyProtection="1">
      <alignment horizontal="left" vertical="top" wrapText="1"/>
      <protection locked="0"/>
    </xf>
    <xf numFmtId="0" fontId="12" fillId="0" borderId="0" xfId="1" applyFont="1" applyBorder="1" applyAlignment="1" applyProtection="1">
      <alignment horizontal="left" vertical="top" wrapText="1"/>
      <protection locked="0"/>
    </xf>
    <xf numFmtId="0" fontId="12" fillId="0" borderId="25" xfId="1" applyFont="1" applyBorder="1" applyAlignment="1" applyProtection="1">
      <alignment horizontal="left" vertical="top" wrapText="1"/>
      <protection locked="0"/>
    </xf>
    <xf numFmtId="0" fontId="12" fillId="0" borderId="18" xfId="1" applyFont="1" applyBorder="1" applyAlignment="1" applyProtection="1">
      <alignment horizontal="left" vertical="top" wrapText="1"/>
      <protection locked="0"/>
    </xf>
    <xf numFmtId="0" fontId="12" fillId="0" borderId="32" xfId="1" applyFont="1" applyBorder="1" applyAlignment="1" applyProtection="1">
      <alignment horizontal="left" vertical="top" wrapText="1"/>
      <protection locked="0"/>
    </xf>
    <xf numFmtId="0" fontId="12" fillId="0" borderId="19" xfId="1" applyFont="1" applyBorder="1" applyAlignment="1" applyProtection="1">
      <alignment horizontal="left" vertical="top" wrapText="1"/>
      <protection locked="0"/>
    </xf>
    <xf numFmtId="1" fontId="8" fillId="0" borderId="7" xfId="0" applyNumberFormat="1" applyFont="1" applyBorder="1" applyAlignment="1" applyProtection="1">
      <alignment vertical="top" wrapText="1"/>
      <protection locked="0"/>
    </xf>
    <xf numFmtId="1" fontId="8" fillId="0" borderId="20" xfId="0" applyNumberFormat="1" applyFont="1" applyBorder="1" applyAlignment="1" applyProtection="1">
      <alignment vertical="top" wrapText="1"/>
      <protection locked="0"/>
    </xf>
    <xf numFmtId="1" fontId="8" fillId="0" borderId="8" xfId="0" applyNumberFormat="1" applyFont="1" applyBorder="1" applyAlignment="1" applyProtection="1">
      <alignment vertical="top" wrapText="1"/>
      <protection locked="0"/>
    </xf>
    <xf numFmtId="1" fontId="6" fillId="0" borderId="7" xfId="1" applyNumberFormat="1" applyFont="1" applyBorder="1" applyAlignment="1" applyProtection="1">
      <alignment horizontal="center" vertical="center" wrapText="1"/>
      <protection locked="0"/>
    </xf>
    <xf numFmtId="1" fontId="6" fillId="0" borderId="8" xfId="1" applyNumberFormat="1" applyFont="1" applyBorder="1" applyAlignment="1" applyProtection="1">
      <alignment horizontal="center" vertical="center" wrapText="1"/>
      <protection locked="0"/>
    </xf>
    <xf numFmtId="1" fontId="6" fillId="0" borderId="16" xfId="1" applyNumberFormat="1" applyFont="1" applyBorder="1" applyAlignment="1" applyProtection="1">
      <alignment horizontal="center" vertical="center" wrapText="1"/>
      <protection locked="0"/>
    </xf>
    <xf numFmtId="1" fontId="6" fillId="0" borderId="17" xfId="1" applyNumberFormat="1" applyFont="1" applyBorder="1" applyAlignment="1" applyProtection="1">
      <alignment horizontal="center" vertical="center" wrapText="1"/>
      <protection locked="0"/>
    </xf>
    <xf numFmtId="1" fontId="6" fillId="0" borderId="24" xfId="1" applyNumberFormat="1" applyFont="1" applyBorder="1" applyAlignment="1" applyProtection="1">
      <alignment horizontal="center" vertical="center" wrapText="1"/>
      <protection locked="0"/>
    </xf>
    <xf numFmtId="1" fontId="6" fillId="0" borderId="25" xfId="1" applyNumberFormat="1" applyFont="1" applyBorder="1" applyAlignment="1" applyProtection="1">
      <alignment horizontal="center" vertical="center" wrapText="1"/>
      <protection locked="0"/>
    </xf>
    <xf numFmtId="1" fontId="6" fillId="0" borderId="18" xfId="1" applyNumberFormat="1" applyFont="1" applyBorder="1" applyAlignment="1" applyProtection="1">
      <alignment horizontal="center" vertical="center" wrapText="1"/>
      <protection locked="0"/>
    </xf>
    <xf numFmtId="1" fontId="6" fillId="0" borderId="19" xfId="1" applyNumberFormat="1" applyFont="1" applyBorder="1" applyAlignment="1" applyProtection="1">
      <alignment horizontal="center" vertical="center" wrapText="1"/>
      <protection locked="0"/>
    </xf>
    <xf numFmtId="1" fontId="8" fillId="0" borderId="7" xfId="1" applyNumberFormat="1" applyFont="1" applyBorder="1" applyAlignment="1" applyProtection="1">
      <alignment horizontal="center" vertical="center" wrapText="1"/>
      <protection locked="0"/>
    </xf>
    <xf numFmtId="1" fontId="8" fillId="0" borderId="20" xfId="1" applyNumberFormat="1" applyFont="1" applyBorder="1" applyAlignment="1" applyProtection="1">
      <alignment horizontal="center" vertical="center" wrapText="1"/>
      <protection locked="0"/>
    </xf>
    <xf numFmtId="1" fontId="8" fillId="0" borderId="8" xfId="1" applyNumberFormat="1" applyFont="1" applyBorder="1" applyAlignment="1" applyProtection="1">
      <alignment horizontal="center" vertical="center" wrapText="1"/>
      <protection locked="0"/>
    </xf>
    <xf numFmtId="1" fontId="8" fillId="0" borderId="1" xfId="0" applyNumberFormat="1" applyFont="1" applyBorder="1" applyAlignment="1" applyProtection="1">
      <alignment horizontal="left" vertical="top" wrapText="1"/>
      <protection locked="0"/>
    </xf>
    <xf numFmtId="1" fontId="6" fillId="0" borderId="20" xfId="1" applyNumberFormat="1" applyFont="1" applyBorder="1" applyAlignment="1" applyProtection="1">
      <alignment horizontal="center" vertical="center" wrapText="1"/>
      <protection locked="0"/>
    </xf>
    <xf numFmtId="0" fontId="7" fillId="0" borderId="0" xfId="1" applyFont="1" applyAlignment="1">
      <alignment horizontal="center" vertical="center"/>
    </xf>
    <xf numFmtId="1" fontId="8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16" xfId="1" applyNumberFormat="1" applyFont="1" applyBorder="1" applyAlignment="1" applyProtection="1">
      <alignment horizontal="center" vertical="top" wrapText="1"/>
      <protection locked="0"/>
    </xf>
    <xf numFmtId="1" fontId="8" fillId="0" borderId="18" xfId="1" applyNumberFormat="1" applyFont="1" applyBorder="1" applyAlignment="1" applyProtection="1">
      <alignment horizontal="center" vertical="top" wrapText="1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0" fontId="12" fillId="0" borderId="7" xfId="1" applyFont="1" applyBorder="1" applyAlignment="1" applyProtection="1">
      <alignment horizontal="left" vertical="top" wrapText="1"/>
      <protection locked="0"/>
    </xf>
    <xf numFmtId="0" fontId="12" fillId="0" borderId="20" xfId="1" applyFont="1" applyBorder="1" applyAlignment="1" applyProtection="1">
      <alignment horizontal="left" vertical="top" wrapText="1"/>
      <protection locked="0"/>
    </xf>
    <xf numFmtId="0" fontId="12" fillId="0" borderId="8" xfId="1" applyFont="1" applyBorder="1" applyAlignment="1" applyProtection="1">
      <alignment horizontal="left" vertical="top" wrapText="1"/>
      <protection locked="0"/>
    </xf>
    <xf numFmtId="0" fontId="6" fillId="0" borderId="7" xfId="1" applyFont="1" applyBorder="1" applyAlignment="1" applyProtection="1">
      <alignment horizontal="left" vertical="top" wrapText="1"/>
      <protection locked="0"/>
    </xf>
    <xf numFmtId="0" fontId="6" fillId="0" borderId="8" xfId="1" applyFont="1" applyBorder="1" applyAlignment="1" applyProtection="1">
      <alignment horizontal="left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14" fontId="6" fillId="0" borderId="7" xfId="1" applyNumberFormat="1" applyFont="1" applyBorder="1" applyAlignment="1" applyProtection="1">
      <alignment horizontal="left" vertical="top" wrapText="1"/>
      <protection locked="0"/>
    </xf>
    <xf numFmtId="14" fontId="6" fillId="0" borderId="8" xfId="1" applyNumberFormat="1" applyFont="1" applyBorder="1" applyAlignment="1" applyProtection="1">
      <alignment horizontal="left" vertical="top" wrapText="1"/>
      <protection locked="0"/>
    </xf>
    <xf numFmtId="0" fontId="6" fillId="0" borderId="16" xfId="1" applyFont="1" applyBorder="1" applyAlignment="1" applyProtection="1">
      <alignment horizontal="left" vertical="top" wrapText="1"/>
      <protection locked="0"/>
    </xf>
    <xf numFmtId="0" fontId="6" fillId="0" borderId="17" xfId="1" applyFont="1" applyBorder="1" applyAlignment="1" applyProtection="1">
      <alignment horizontal="left" vertical="top" wrapText="1"/>
      <protection locked="0"/>
    </xf>
    <xf numFmtId="0" fontId="6" fillId="0" borderId="18" xfId="1" applyFont="1" applyBorder="1" applyAlignment="1" applyProtection="1">
      <alignment horizontal="left" vertical="top" wrapText="1"/>
      <protection locked="0"/>
    </xf>
    <xf numFmtId="0" fontId="6" fillId="0" borderId="19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0" fontId="6" fillId="0" borderId="2" xfId="1" applyFont="1" applyBorder="1" applyAlignment="1" applyProtection="1">
      <alignment horizontal="left" vertical="top" wrapText="1"/>
      <protection locked="0"/>
    </xf>
    <xf numFmtId="0" fontId="12" fillId="0" borderId="2" xfId="1" applyFont="1" applyBorder="1" applyAlignment="1" applyProtection="1">
      <alignment horizontal="left" vertical="top" wrapText="1"/>
      <protection locked="0"/>
    </xf>
    <xf numFmtId="0" fontId="6" fillId="0" borderId="2" xfId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0" fontId="8" fillId="0" borderId="7" xfId="1" applyFont="1" applyBorder="1" applyAlignment="1" applyProtection="1">
      <alignment horizontal="left" vertical="top"/>
      <protection locked="0"/>
    </xf>
    <xf numFmtId="0" fontId="8" fillId="0" borderId="8" xfId="1" applyFont="1" applyBorder="1" applyAlignment="1" applyProtection="1">
      <alignment horizontal="left" vertical="top"/>
      <protection locked="0"/>
    </xf>
    <xf numFmtId="1" fontId="8" fillId="0" borderId="2" xfId="1" applyNumberFormat="1" applyFont="1" applyBorder="1" applyAlignment="1" applyProtection="1">
      <alignment horizontal="center" vertical="top" wrapText="1"/>
      <protection locked="0"/>
    </xf>
    <xf numFmtId="1" fontId="8" fillId="0" borderId="15" xfId="1" applyNumberFormat="1" applyFont="1" applyBorder="1" applyAlignment="1" applyProtection="1">
      <alignment horizontal="center" vertical="top" wrapText="1"/>
      <protection locked="0"/>
    </xf>
    <xf numFmtId="1" fontId="4" fillId="0" borderId="2" xfId="1" applyNumberFormat="1" applyFont="1" applyBorder="1" applyAlignment="1" applyProtection="1">
      <alignment horizontal="center" vertical="top" wrapText="1"/>
      <protection locked="0"/>
    </xf>
    <xf numFmtId="1" fontId="4" fillId="0" borderId="15" xfId="1" applyNumberFormat="1" applyFont="1" applyBorder="1" applyAlignment="1" applyProtection="1">
      <alignment horizontal="center" vertical="top" wrapText="1"/>
      <protection locked="0"/>
    </xf>
    <xf numFmtId="1" fontId="8" fillId="0" borderId="17" xfId="1" applyNumberFormat="1" applyFont="1" applyBorder="1" applyAlignment="1" applyProtection="1">
      <alignment horizontal="center" vertical="top" wrapText="1"/>
      <protection locked="0"/>
    </xf>
    <xf numFmtId="1" fontId="8" fillId="0" borderId="19" xfId="1" applyNumberFormat="1" applyFont="1" applyBorder="1" applyAlignment="1" applyProtection="1">
      <alignment horizontal="center" vertical="top" wrapText="1"/>
      <protection locked="0"/>
    </xf>
    <xf numFmtId="167" fontId="12" fillId="0" borderId="1" xfId="9" applyNumberFormat="1" applyFont="1" applyFill="1" applyBorder="1" applyAlignment="1" applyProtection="1">
      <alignment horizontal="left" vertical="top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0" fontId="7" fillId="0" borderId="1" xfId="0" applyFont="1" applyBorder="1" applyAlignment="1" applyProtection="1">
      <alignment horizontal="center" vertical="top" wrapText="1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1" fontId="7" fillId="0" borderId="7" xfId="0" applyNumberFormat="1" applyFont="1" applyBorder="1" applyAlignment="1" applyProtection="1">
      <alignment horizontal="center" vertical="top" wrapText="1"/>
      <protection locked="0"/>
    </xf>
    <xf numFmtId="1" fontId="7" fillId="0" borderId="8" xfId="0" applyNumberFormat="1" applyFont="1" applyBorder="1" applyAlignment="1" applyProtection="1">
      <alignment horizontal="center" vertical="top" wrapText="1"/>
      <protection locked="0"/>
    </xf>
    <xf numFmtId="1" fontId="7" fillId="0" borderId="7" xfId="0" applyNumberFormat="1" applyFont="1" applyBorder="1" applyAlignment="1" applyProtection="1">
      <alignment horizontal="center" vertical="center"/>
      <protection locked="0"/>
    </xf>
    <xf numFmtId="1" fontId="7" fillId="0" borderId="8" xfId="0" applyNumberFormat="1" applyFont="1" applyBorder="1" applyAlignment="1" applyProtection="1">
      <alignment horizontal="center" vertical="center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1" fontId="7" fillId="0" borderId="1" xfId="0" applyNumberFormat="1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1" fontId="10" fillId="0" borderId="1" xfId="0" applyNumberFormat="1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0" fontId="6" fillId="0" borderId="1" xfId="1" applyFont="1" applyBorder="1" applyAlignment="1" applyProtection="1">
      <alignment vertical="top"/>
      <protection locked="0"/>
    </xf>
    <xf numFmtId="1" fontId="13" fillId="0" borderId="7" xfId="0" applyNumberFormat="1" applyFont="1" applyBorder="1" applyAlignment="1" applyProtection="1">
      <alignment vertical="top" wrapText="1"/>
      <protection locked="0"/>
    </xf>
    <xf numFmtId="1" fontId="13" fillId="0" borderId="20" xfId="0" applyNumberFormat="1" applyFont="1" applyBorder="1" applyAlignment="1" applyProtection="1">
      <alignment vertical="top" wrapText="1"/>
      <protection locked="0"/>
    </xf>
    <xf numFmtId="1" fontId="13" fillId="0" borderId="8" xfId="0" applyNumberFormat="1" applyFont="1" applyBorder="1" applyAlignment="1" applyProtection="1">
      <alignment vertical="top" wrapText="1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1" fontId="6" fillId="0" borderId="2" xfId="0" applyNumberFormat="1" applyFont="1" applyBorder="1" applyAlignment="1" applyProtection="1">
      <alignment horizontal="center" vertical="center" wrapText="1"/>
      <protection locked="0"/>
    </xf>
    <xf numFmtId="1" fontId="6" fillId="0" borderId="15" xfId="0" applyNumberFormat="1" applyFont="1" applyBorder="1" applyAlignment="1" applyProtection="1">
      <alignment horizontal="center" vertical="center" wrapText="1"/>
      <protection locked="0"/>
    </xf>
    <xf numFmtId="1" fontId="8" fillId="4" borderId="7" xfId="1" applyNumberFormat="1" applyFont="1" applyFill="1" applyBorder="1" applyAlignment="1" applyProtection="1">
      <alignment horizontal="center" vertical="center" wrapText="1"/>
      <protection locked="0"/>
    </xf>
    <xf numFmtId="1" fontId="8" fillId="4" borderId="20" xfId="1" applyNumberFormat="1" applyFont="1" applyFill="1" applyBorder="1" applyAlignment="1" applyProtection="1">
      <alignment horizontal="center" vertical="center" wrapText="1"/>
      <protection locked="0"/>
    </xf>
    <xf numFmtId="1" fontId="8" fillId="4" borderId="8" xfId="1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14" fontId="12" fillId="0" borderId="1" xfId="1" applyNumberFormat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left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/>
      <protection locked="0"/>
    </xf>
    <xf numFmtId="0" fontId="26" fillId="0" borderId="1" xfId="10" applyFill="1" applyBorder="1" applyAlignment="1" applyProtection="1">
      <alignment horizontal="left" vertical="top" wrapText="1"/>
      <protection locked="0"/>
    </xf>
    <xf numFmtId="0" fontId="12" fillId="0" borderId="2" xfId="1" applyFont="1" applyBorder="1" applyAlignment="1" applyProtection="1">
      <alignment horizontal="left" vertical="top"/>
      <protection locked="0"/>
    </xf>
    <xf numFmtId="0" fontId="12" fillId="0" borderId="16" xfId="1" applyFont="1" applyBorder="1" applyAlignment="1" applyProtection="1">
      <alignment horizontal="left" vertical="top"/>
      <protection locked="0"/>
    </xf>
    <xf numFmtId="0" fontId="12" fillId="0" borderId="23" xfId="1" applyFont="1" applyBorder="1" applyAlignment="1" applyProtection="1">
      <alignment horizontal="left" vertical="top"/>
      <protection locked="0"/>
    </xf>
    <xf numFmtId="0" fontId="12" fillId="0" borderId="17" xfId="1" applyFont="1" applyBorder="1" applyAlignment="1" applyProtection="1">
      <alignment horizontal="left" vertical="top"/>
      <protection locked="0"/>
    </xf>
    <xf numFmtId="2" fontId="6" fillId="0" borderId="1" xfId="1" applyNumberFormat="1" applyFont="1" applyBorder="1" applyAlignment="1" applyProtection="1">
      <alignment horizontal="left" vertical="top" wrapText="1"/>
      <protection locked="0"/>
    </xf>
    <xf numFmtId="0" fontId="8" fillId="0" borderId="7" xfId="1" applyFont="1" applyBorder="1" applyAlignment="1" applyProtection="1">
      <alignment horizontal="left" vertical="top" wrapText="1"/>
      <protection locked="0"/>
    </xf>
    <xf numFmtId="0" fontId="8" fillId="0" borderId="8" xfId="1" applyFont="1" applyBorder="1" applyAlignment="1" applyProtection="1">
      <alignment horizontal="left" vertical="top" wrapText="1"/>
      <protection locked="0"/>
    </xf>
    <xf numFmtId="0" fontId="8" fillId="0" borderId="20" xfId="1" applyFont="1" applyBorder="1" applyAlignment="1" applyProtection="1">
      <alignment horizontal="left" vertical="top" wrapText="1"/>
      <protection locked="0"/>
    </xf>
    <xf numFmtId="0" fontId="8" fillId="0" borderId="7" xfId="1" applyFont="1" applyBorder="1" applyAlignment="1" applyProtection="1">
      <alignment horizontal="center" vertical="top" wrapText="1"/>
      <protection locked="0"/>
    </xf>
    <xf numFmtId="0" fontId="8" fillId="0" borderId="20" xfId="1" applyFont="1" applyBorder="1" applyAlignment="1" applyProtection="1">
      <alignment horizontal="center" vertical="top" wrapText="1"/>
      <protection locked="0"/>
    </xf>
    <xf numFmtId="0" fontId="8" fillId="0" borderId="8" xfId="1" applyFont="1" applyBorder="1" applyAlignment="1" applyProtection="1">
      <alignment horizontal="center" vertical="top" wrapText="1"/>
      <protection locked="0"/>
    </xf>
    <xf numFmtId="164" fontId="6" fillId="0" borderId="1" xfId="1" applyNumberFormat="1" applyFont="1" applyBorder="1" applyAlignment="1" applyProtection="1">
      <alignment horizontal="left" vertical="top"/>
      <protection locked="0"/>
    </xf>
    <xf numFmtId="0" fontId="8" fillId="0" borderId="15" xfId="1" applyFont="1" applyBorder="1" applyAlignment="1" applyProtection="1">
      <alignment horizontal="left" vertical="top"/>
      <protection locked="0"/>
    </xf>
    <xf numFmtId="2" fontId="6" fillId="0" borderId="1" xfId="1" applyNumberFormat="1" applyFont="1" applyBorder="1" applyAlignment="1" applyProtection="1">
      <alignment horizontal="left" vertical="top"/>
      <protection locked="0"/>
    </xf>
    <xf numFmtId="0" fontId="8" fillId="0" borderId="15" xfId="1" applyFont="1" applyBorder="1" applyAlignment="1" applyProtection="1">
      <alignment horizontal="center" vertical="top"/>
      <protection locked="0"/>
    </xf>
    <xf numFmtId="1" fontId="8" fillId="3" borderId="7" xfId="1" applyNumberFormat="1" applyFont="1" applyFill="1" applyBorder="1" applyAlignment="1" applyProtection="1">
      <alignment horizontal="center" vertical="center" wrapText="1"/>
      <protection locked="0"/>
    </xf>
    <xf numFmtId="1" fontId="8" fillId="3" borderId="20" xfId="1" applyNumberFormat="1" applyFont="1" applyFill="1" applyBorder="1" applyAlignment="1" applyProtection="1">
      <alignment horizontal="center" vertical="center" wrapText="1"/>
      <protection locked="0"/>
    </xf>
    <xf numFmtId="1" fontId="8" fillId="3" borderId="8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20" xfId="1" applyFont="1" applyBorder="1" applyAlignment="1" applyProtection="1">
      <alignment horizontal="left" vertical="top" wrapText="1"/>
      <protection locked="0"/>
    </xf>
    <xf numFmtId="1" fontId="6" fillId="0" borderId="1" xfId="1" applyNumberFormat="1" applyFont="1" applyBorder="1" applyAlignment="1" applyProtection="1">
      <alignment horizontal="left" vertical="top" wrapText="1"/>
      <protection locked="0"/>
    </xf>
    <xf numFmtId="0" fontId="13" fillId="0" borderId="7" xfId="1" applyFont="1" applyBorder="1" applyAlignment="1" applyProtection="1">
      <alignment horizontal="left" vertical="top"/>
      <protection locked="0"/>
    </xf>
    <xf numFmtId="0" fontId="13" fillId="0" borderId="20" xfId="1" applyFont="1" applyBorder="1" applyAlignment="1" applyProtection="1">
      <alignment horizontal="left" vertical="top"/>
      <protection locked="0"/>
    </xf>
    <xf numFmtId="0" fontId="13" fillId="0" borderId="8" xfId="1" applyFont="1" applyBorder="1" applyAlignment="1" applyProtection="1">
      <alignment horizontal="left" vertical="top"/>
      <protection locked="0"/>
    </xf>
    <xf numFmtId="1" fontId="6" fillId="0" borderId="31" xfId="0" applyNumberFormat="1" applyFont="1" applyBorder="1" applyAlignment="1" applyProtection="1">
      <alignment horizontal="center" vertical="center" wrapText="1"/>
      <protection locked="0"/>
    </xf>
    <xf numFmtId="0" fontId="9" fillId="0" borderId="1" xfId="5" applyFont="1" applyBorder="1" applyAlignment="1">
      <alignment horizontal="left"/>
    </xf>
  </cellXfs>
  <cellStyles count="11">
    <cellStyle name="Comma" xfId="9" builtinId="3"/>
    <cellStyle name="Comma 2" xfId="6"/>
    <cellStyle name="Excel Built-in Normal" xfId="2"/>
    <cellStyle name="Excel Built-in Normal 2" xfId="4"/>
    <cellStyle name="Hyperlink" xfId="10" builtinId="8"/>
    <cellStyle name="Normal" xfId="0" builtinId="0"/>
    <cellStyle name="Normal 2" xfId="3"/>
    <cellStyle name="Normal 3" xfId="1"/>
    <cellStyle name="Normal 3 3" xfId="7"/>
    <cellStyle name="Normal 4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7.png"/><Relationship Id="rId1" Type="http://schemas.openxmlformats.org/officeDocument/2006/relationships/image" Target="../media/image1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590550</xdr:colOff>
      <xdr:row>509</xdr:row>
      <xdr:rowOff>142875</xdr:rowOff>
    </xdr:from>
    <xdr:to>
      <xdr:col>7</xdr:col>
      <xdr:colOff>356482</xdr:colOff>
      <xdr:row>525</xdr:row>
      <xdr:rowOff>182475</xdr:rowOff>
    </xdr:to>
    <xdr:pic>
      <xdr:nvPicPr>
        <xdr:cNvPr id="67" name="Picture 66">
          <a:extLst>
            <a:ext uri="{FF2B5EF4-FFF2-40B4-BE49-F238E27FC236}">
              <a16:creationId xmlns:a16="http://schemas.microsoft.com/office/drawing/2014/main" xmlns="" id="{00000000-0008-0000-0000-00004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352550" y="109813725"/>
          <a:ext cx="4718932" cy="3240000"/>
        </a:xfrm>
        <a:prstGeom prst="rect">
          <a:avLst/>
        </a:prstGeom>
        <a:ln w="9525"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590550</xdr:colOff>
      <xdr:row>526</xdr:row>
      <xdr:rowOff>95250</xdr:rowOff>
    </xdr:from>
    <xdr:to>
      <xdr:col>7</xdr:col>
      <xdr:colOff>356482</xdr:colOff>
      <xdr:row>542</xdr:row>
      <xdr:rowOff>134850</xdr:rowOff>
    </xdr:to>
    <xdr:pic>
      <xdr:nvPicPr>
        <xdr:cNvPr id="68" name="Picture 67">
          <a:extLst>
            <a:ext uri="{FF2B5EF4-FFF2-40B4-BE49-F238E27FC236}">
              <a16:creationId xmlns:a16="http://schemas.microsoft.com/office/drawing/2014/main" xmlns="" id="{00000000-0008-0000-0000-00004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352550" y="113166525"/>
          <a:ext cx="4718932" cy="3240000"/>
        </a:xfrm>
        <a:prstGeom prst="rect">
          <a:avLst/>
        </a:prstGeom>
        <a:ln w="9525">
          <a:solidFill>
            <a:schemeClr val="tx1"/>
          </a:solidFill>
        </a:ln>
      </xdr:spPr>
    </xdr:pic>
    <xdr:clientData/>
  </xdr:twoCellAnchor>
  <xdr:twoCellAnchor>
    <xdr:from>
      <xdr:col>1</xdr:col>
      <xdr:colOff>129885</xdr:colOff>
      <xdr:row>466</xdr:row>
      <xdr:rowOff>0</xdr:rowOff>
    </xdr:from>
    <xdr:to>
      <xdr:col>6</xdr:col>
      <xdr:colOff>701385</xdr:colOff>
      <xdr:row>505</xdr:row>
      <xdr:rowOff>47625</xdr:rowOff>
    </xdr:to>
    <xdr:grpSp>
      <xdr:nvGrpSpPr>
        <xdr:cNvPr id="56" name="Group 55"/>
        <xdr:cNvGrpSpPr/>
      </xdr:nvGrpSpPr>
      <xdr:grpSpPr>
        <a:xfrm>
          <a:off x="891885" y="101098350"/>
          <a:ext cx="4743450" cy="7848600"/>
          <a:chOff x="1060738" y="664585"/>
          <a:chExt cx="4736523" cy="7814830"/>
        </a:xfrm>
      </xdr:grpSpPr>
      <xdr:pic>
        <xdr:nvPicPr>
          <xdr:cNvPr id="57" name="Picture 56">
            <a:extLst>
              <a:ext uri="{FF2B5EF4-FFF2-40B4-BE49-F238E27FC236}">
                <a16:creationId xmlns:a16="http://schemas.microsoft.com/office/drawing/2014/main" xmlns="" id="{00000000-0008-0000-0000-000058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26667"/>
          <a:stretch/>
        </xdr:blipFill>
        <xdr:spPr>
          <a:xfrm>
            <a:off x="1060738" y="664585"/>
            <a:ext cx="4736523" cy="3841027"/>
          </a:xfrm>
          <a:prstGeom prst="rect">
            <a:avLst/>
          </a:prstGeom>
          <a:ln w="9525">
            <a:solidFill>
              <a:schemeClr val="tx1"/>
            </a:solidFill>
          </a:ln>
        </xdr:spPr>
      </xdr:pic>
      <xdr:pic>
        <xdr:nvPicPr>
          <xdr:cNvPr id="58" name="Picture 57">
            <a:extLst>
              <a:ext uri="{FF2B5EF4-FFF2-40B4-BE49-F238E27FC236}">
                <a16:creationId xmlns:a16="http://schemas.microsoft.com/office/drawing/2014/main" xmlns="" id="{00000000-0008-0000-0000-000059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4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3888" t="3210" r="38334"/>
          <a:stretch/>
        </xdr:blipFill>
        <xdr:spPr>
          <a:xfrm>
            <a:off x="1886041" y="4761680"/>
            <a:ext cx="3085917" cy="3717735"/>
          </a:xfrm>
          <a:prstGeom prst="rect">
            <a:avLst/>
          </a:prstGeom>
          <a:ln w="9525">
            <a:solidFill>
              <a:schemeClr val="tx1"/>
            </a:solidFill>
          </a:ln>
        </xdr:spPr>
      </xdr:pic>
      <xdr:sp macro="" textlink="">
        <xdr:nvSpPr>
          <xdr:cNvPr id="59" name="Flowchart: Manual Input 58">
            <a:extLst>
              <a:ext uri="{FF2B5EF4-FFF2-40B4-BE49-F238E27FC236}">
                <a16:creationId xmlns:a16="http://schemas.microsoft.com/office/drawing/2014/main" xmlns="" id="{00000000-0008-0000-0000-00005A000000}"/>
              </a:ext>
            </a:extLst>
          </xdr:cNvPr>
          <xdr:cNvSpPr/>
        </xdr:nvSpPr>
        <xdr:spPr>
          <a:xfrm rot="8900616">
            <a:off x="3086964" y="1060747"/>
            <a:ext cx="648540" cy="797435"/>
          </a:xfrm>
          <a:prstGeom prst="flowChartManualInput">
            <a:avLst/>
          </a:prstGeom>
          <a:noFill/>
          <a:ln w="12700">
            <a:solidFill>
              <a:srgbClr val="FFFF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IN"/>
          </a:p>
        </xdr:txBody>
      </xdr:sp>
      <xdr:sp macro="" textlink="">
        <xdr:nvSpPr>
          <xdr:cNvPr id="60" name="Rectangle 59">
            <a:extLst>
              <a:ext uri="{FF2B5EF4-FFF2-40B4-BE49-F238E27FC236}">
                <a16:creationId xmlns:a16="http://schemas.microsoft.com/office/drawing/2014/main" xmlns="" id="{00000000-0008-0000-0000-00005B000000}"/>
              </a:ext>
            </a:extLst>
          </xdr:cNvPr>
          <xdr:cNvSpPr/>
        </xdr:nvSpPr>
        <xdr:spPr>
          <a:xfrm rot="20151285">
            <a:off x="3382764" y="1238924"/>
            <a:ext cx="215297" cy="75872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IN" sz="1100"/>
          </a:p>
        </xdr:txBody>
      </xdr:sp>
      <xdr:sp macro="" textlink="">
        <xdr:nvSpPr>
          <xdr:cNvPr id="61" name="Rectangle 60">
            <a:extLst>
              <a:ext uri="{FF2B5EF4-FFF2-40B4-BE49-F238E27FC236}">
                <a16:creationId xmlns:a16="http://schemas.microsoft.com/office/drawing/2014/main" xmlns="" id="{00000000-0008-0000-0000-00005C000000}"/>
              </a:ext>
            </a:extLst>
          </xdr:cNvPr>
          <xdr:cNvSpPr/>
        </xdr:nvSpPr>
        <xdr:spPr>
          <a:xfrm rot="20405485">
            <a:off x="3154224" y="1225450"/>
            <a:ext cx="554758" cy="179226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US" sz="800">
                <a:solidFill>
                  <a:srgbClr val="FFFF00"/>
                </a:solidFill>
              </a:rPr>
              <a:t>Sector-III</a:t>
            </a:r>
            <a:endParaRPr lang="en-IN" sz="800">
              <a:solidFill>
                <a:srgbClr val="FFFF00"/>
              </a:solidFill>
            </a:endParaRPr>
          </a:p>
        </xdr:txBody>
      </xdr:sp>
      <xdr:sp macro="" textlink="">
        <xdr:nvSpPr>
          <xdr:cNvPr id="62" name="Rectangle 61">
            <a:extLst>
              <a:ext uri="{FF2B5EF4-FFF2-40B4-BE49-F238E27FC236}">
                <a16:creationId xmlns:a16="http://schemas.microsoft.com/office/drawing/2014/main" xmlns="" id="{00000000-0008-0000-0000-00005D000000}"/>
              </a:ext>
            </a:extLst>
          </xdr:cNvPr>
          <xdr:cNvSpPr/>
        </xdr:nvSpPr>
        <xdr:spPr>
          <a:xfrm rot="18719233">
            <a:off x="3284608" y="1731588"/>
            <a:ext cx="75872" cy="68555"/>
          </a:xfrm>
          <a:prstGeom prst="rect">
            <a:avLst/>
          </a:prstGeom>
          <a:noFill/>
          <a:ln w="3175">
            <a:solidFill>
              <a:srgbClr val="FFFF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IN"/>
          </a:p>
        </xdr:txBody>
      </xdr:sp>
      <xdr:sp macro="" textlink="">
        <xdr:nvSpPr>
          <xdr:cNvPr id="63" name="Rectangle 62">
            <a:extLst>
              <a:ext uri="{FF2B5EF4-FFF2-40B4-BE49-F238E27FC236}">
                <a16:creationId xmlns:a16="http://schemas.microsoft.com/office/drawing/2014/main" xmlns="" id="{00000000-0008-0000-0000-00005E000000}"/>
              </a:ext>
            </a:extLst>
          </xdr:cNvPr>
          <xdr:cNvSpPr/>
        </xdr:nvSpPr>
        <xdr:spPr>
          <a:xfrm rot="19043471">
            <a:off x="3342262" y="1776542"/>
            <a:ext cx="89838" cy="107206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US" sz="800">
                <a:solidFill>
                  <a:srgbClr val="FFFF00"/>
                </a:solidFill>
              </a:rPr>
              <a:t>H </a:t>
            </a:r>
            <a:endParaRPr lang="en-IN" sz="800">
              <a:solidFill>
                <a:srgbClr val="FFFF00"/>
              </a:solidFill>
            </a:endParaRPr>
          </a:p>
        </xdr:txBody>
      </xdr:sp>
      <xdr:sp macro="" textlink="">
        <xdr:nvSpPr>
          <xdr:cNvPr id="64" name="Rectangle 63">
            <a:extLst>
              <a:ext uri="{FF2B5EF4-FFF2-40B4-BE49-F238E27FC236}">
                <a16:creationId xmlns:a16="http://schemas.microsoft.com/office/drawing/2014/main" xmlns="" id="{00000000-0008-0000-0000-00005F000000}"/>
              </a:ext>
            </a:extLst>
          </xdr:cNvPr>
          <xdr:cNvSpPr/>
        </xdr:nvSpPr>
        <xdr:spPr>
          <a:xfrm rot="18719233">
            <a:off x="3372047" y="1630830"/>
            <a:ext cx="75872" cy="68555"/>
          </a:xfrm>
          <a:prstGeom prst="rect">
            <a:avLst/>
          </a:prstGeom>
          <a:noFill/>
          <a:ln w="3175">
            <a:solidFill>
              <a:srgbClr val="FFFF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IN"/>
          </a:p>
        </xdr:txBody>
      </xdr:sp>
      <xdr:sp macro="" textlink="">
        <xdr:nvSpPr>
          <xdr:cNvPr id="65" name="Rectangle 64">
            <a:extLst>
              <a:ext uri="{FF2B5EF4-FFF2-40B4-BE49-F238E27FC236}">
                <a16:creationId xmlns:a16="http://schemas.microsoft.com/office/drawing/2014/main" xmlns="" id="{00000000-0008-0000-0000-000060000000}"/>
              </a:ext>
            </a:extLst>
          </xdr:cNvPr>
          <xdr:cNvSpPr/>
        </xdr:nvSpPr>
        <xdr:spPr>
          <a:xfrm rot="19043471">
            <a:off x="3431380" y="1689680"/>
            <a:ext cx="89838" cy="107206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US" sz="800">
                <a:solidFill>
                  <a:srgbClr val="FFFF00"/>
                </a:solidFill>
              </a:rPr>
              <a:t>I </a:t>
            </a:r>
            <a:endParaRPr lang="en-IN" sz="800">
              <a:solidFill>
                <a:srgbClr val="FFFF00"/>
              </a:solidFill>
            </a:endParaRPr>
          </a:p>
        </xdr:txBody>
      </xdr:sp>
      <xdr:sp macro="" textlink="">
        <xdr:nvSpPr>
          <xdr:cNvPr id="69" name="Rectangle 68">
            <a:extLst>
              <a:ext uri="{FF2B5EF4-FFF2-40B4-BE49-F238E27FC236}">
                <a16:creationId xmlns:a16="http://schemas.microsoft.com/office/drawing/2014/main" xmlns="" id="{00000000-0008-0000-0000-000061000000}"/>
              </a:ext>
            </a:extLst>
          </xdr:cNvPr>
          <xdr:cNvSpPr/>
        </xdr:nvSpPr>
        <xdr:spPr>
          <a:xfrm rot="18642085">
            <a:off x="3210159" y="6921785"/>
            <a:ext cx="543945" cy="262059"/>
          </a:xfrm>
          <a:prstGeom prst="rect">
            <a:avLst/>
          </a:prstGeom>
          <a:noFill/>
          <a:ln w="12700">
            <a:solidFill>
              <a:srgbClr val="FFFF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IN"/>
          </a:p>
        </xdr:txBody>
      </xdr:sp>
      <xdr:sp macro="" textlink="">
        <xdr:nvSpPr>
          <xdr:cNvPr id="70" name="Rectangle 69">
            <a:extLst>
              <a:ext uri="{FF2B5EF4-FFF2-40B4-BE49-F238E27FC236}">
                <a16:creationId xmlns:a16="http://schemas.microsoft.com/office/drawing/2014/main" xmlns="" id="{00000000-0008-0000-0000-000062000000}"/>
              </a:ext>
            </a:extLst>
          </xdr:cNvPr>
          <xdr:cNvSpPr/>
        </xdr:nvSpPr>
        <xdr:spPr>
          <a:xfrm rot="18592959">
            <a:off x="3295726" y="7099321"/>
            <a:ext cx="748854" cy="282062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US" sz="1400">
                <a:solidFill>
                  <a:srgbClr val="FFFF00"/>
                </a:solidFill>
              </a:rPr>
              <a:t>H Wing</a:t>
            </a:r>
            <a:endParaRPr lang="en-IN" sz="1400">
              <a:solidFill>
                <a:srgbClr val="FFFF00"/>
              </a:solidFill>
            </a:endParaRPr>
          </a:p>
        </xdr:txBody>
      </xdr:sp>
      <xdr:sp macro="" textlink="">
        <xdr:nvSpPr>
          <xdr:cNvPr id="71" name="Rectangle 70">
            <a:extLst>
              <a:ext uri="{FF2B5EF4-FFF2-40B4-BE49-F238E27FC236}">
                <a16:creationId xmlns:a16="http://schemas.microsoft.com/office/drawing/2014/main" xmlns="" id="{00000000-0008-0000-0000-000063000000}"/>
              </a:ext>
            </a:extLst>
          </xdr:cNvPr>
          <xdr:cNvSpPr/>
        </xdr:nvSpPr>
        <xdr:spPr>
          <a:xfrm rot="18642085">
            <a:off x="3623530" y="6461702"/>
            <a:ext cx="523179" cy="262059"/>
          </a:xfrm>
          <a:prstGeom prst="rect">
            <a:avLst/>
          </a:prstGeom>
          <a:noFill/>
          <a:ln w="12700">
            <a:solidFill>
              <a:srgbClr val="FFFF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IN"/>
          </a:p>
        </xdr:txBody>
      </xdr:sp>
      <xdr:sp macro="" textlink="">
        <xdr:nvSpPr>
          <xdr:cNvPr id="72" name="Rectangle 71">
            <a:extLst>
              <a:ext uri="{FF2B5EF4-FFF2-40B4-BE49-F238E27FC236}">
                <a16:creationId xmlns:a16="http://schemas.microsoft.com/office/drawing/2014/main" xmlns="" id="{00000000-0008-0000-0000-000064000000}"/>
              </a:ext>
            </a:extLst>
          </xdr:cNvPr>
          <xdr:cNvSpPr/>
        </xdr:nvSpPr>
        <xdr:spPr>
          <a:xfrm rot="18722039">
            <a:off x="3731456" y="6627370"/>
            <a:ext cx="808329" cy="264802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US" sz="1400">
                <a:solidFill>
                  <a:srgbClr val="FFFF00"/>
                </a:solidFill>
              </a:rPr>
              <a:t>I</a:t>
            </a:r>
            <a:r>
              <a:rPr lang="en-US" sz="1400" baseline="0">
                <a:solidFill>
                  <a:srgbClr val="FFFF00"/>
                </a:solidFill>
              </a:rPr>
              <a:t> Wing</a:t>
            </a:r>
            <a:endParaRPr lang="en-US" sz="1400">
              <a:solidFill>
                <a:srgbClr val="FFFF00"/>
              </a:solidFill>
            </a:endParaRPr>
          </a:p>
        </xdr:txBody>
      </xdr:sp>
      <xdr:sp macro="" textlink="">
        <xdr:nvSpPr>
          <xdr:cNvPr id="73" name="Rectangle 72">
            <a:extLst>
              <a:ext uri="{FF2B5EF4-FFF2-40B4-BE49-F238E27FC236}">
                <a16:creationId xmlns:a16="http://schemas.microsoft.com/office/drawing/2014/main" xmlns="" id="{00000000-0008-0000-0000-000063000000}"/>
              </a:ext>
            </a:extLst>
          </xdr:cNvPr>
          <xdr:cNvSpPr/>
        </xdr:nvSpPr>
        <xdr:spPr>
          <a:xfrm rot="18515847">
            <a:off x="3981174" y="5903861"/>
            <a:ext cx="648699" cy="302798"/>
          </a:xfrm>
          <a:prstGeom prst="rect">
            <a:avLst/>
          </a:prstGeom>
          <a:noFill/>
          <a:ln w="12700">
            <a:solidFill>
              <a:srgbClr val="FFFF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IN"/>
          </a:p>
        </xdr:txBody>
      </xdr:sp>
      <xdr:sp macro="" textlink="">
        <xdr:nvSpPr>
          <xdr:cNvPr id="74" name="Rectangle 73">
            <a:extLst>
              <a:ext uri="{FF2B5EF4-FFF2-40B4-BE49-F238E27FC236}">
                <a16:creationId xmlns:a16="http://schemas.microsoft.com/office/drawing/2014/main" xmlns="" id="{00000000-0008-0000-0000-000064000000}"/>
              </a:ext>
            </a:extLst>
          </xdr:cNvPr>
          <xdr:cNvSpPr/>
        </xdr:nvSpPr>
        <xdr:spPr>
          <a:xfrm rot="18581998">
            <a:off x="4142762" y="6058846"/>
            <a:ext cx="860986" cy="301653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US" sz="1400">
                <a:solidFill>
                  <a:srgbClr val="FFFF00"/>
                </a:solidFill>
              </a:rPr>
              <a:t>J</a:t>
            </a:r>
            <a:r>
              <a:rPr lang="en-US" sz="1400" baseline="0">
                <a:solidFill>
                  <a:srgbClr val="FFFF00"/>
                </a:solidFill>
              </a:rPr>
              <a:t> Wing</a:t>
            </a:r>
            <a:endParaRPr lang="en-US" sz="1400">
              <a:solidFill>
                <a:srgbClr val="FFFF00"/>
              </a:solidFill>
            </a:endParaRPr>
          </a:p>
        </xdr:txBody>
      </xdr:sp>
      <xdr:sp macro="" textlink="">
        <xdr:nvSpPr>
          <xdr:cNvPr id="75" name="Rectangle 74">
            <a:extLst>
              <a:ext uri="{FF2B5EF4-FFF2-40B4-BE49-F238E27FC236}">
                <a16:creationId xmlns:a16="http://schemas.microsoft.com/office/drawing/2014/main" xmlns="" id="{00000000-0008-0000-0000-00005D000000}"/>
              </a:ext>
            </a:extLst>
          </xdr:cNvPr>
          <xdr:cNvSpPr/>
        </xdr:nvSpPr>
        <xdr:spPr>
          <a:xfrm rot="19785713">
            <a:off x="3152088" y="1501259"/>
            <a:ext cx="75872" cy="58903"/>
          </a:xfrm>
          <a:prstGeom prst="rect">
            <a:avLst/>
          </a:prstGeom>
          <a:noFill/>
          <a:ln w="3175">
            <a:solidFill>
              <a:srgbClr val="FFFF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IN"/>
          </a:p>
        </xdr:txBody>
      </xdr:sp>
      <xdr:sp macro="" textlink="">
        <xdr:nvSpPr>
          <xdr:cNvPr id="76" name="Rectangle 75">
            <a:extLst>
              <a:ext uri="{FF2B5EF4-FFF2-40B4-BE49-F238E27FC236}">
                <a16:creationId xmlns:a16="http://schemas.microsoft.com/office/drawing/2014/main" xmlns="" id="{00000000-0008-0000-0000-00005D000000}"/>
              </a:ext>
            </a:extLst>
          </xdr:cNvPr>
          <xdr:cNvSpPr/>
        </xdr:nvSpPr>
        <xdr:spPr>
          <a:xfrm rot="19712607">
            <a:off x="3192802" y="1571525"/>
            <a:ext cx="80671" cy="72671"/>
          </a:xfrm>
          <a:prstGeom prst="rect">
            <a:avLst/>
          </a:prstGeom>
          <a:noFill/>
          <a:ln w="3175">
            <a:solidFill>
              <a:srgbClr val="FFFF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IN"/>
          </a:p>
        </xdr:txBody>
      </xdr:sp>
      <xdr:sp macro="" textlink="">
        <xdr:nvSpPr>
          <xdr:cNvPr id="77" name="Rectangle 76">
            <a:extLst>
              <a:ext uri="{FF2B5EF4-FFF2-40B4-BE49-F238E27FC236}">
                <a16:creationId xmlns:a16="http://schemas.microsoft.com/office/drawing/2014/main" xmlns="" id="{00000000-0008-0000-0000-00005D000000}"/>
              </a:ext>
            </a:extLst>
          </xdr:cNvPr>
          <xdr:cNvSpPr/>
        </xdr:nvSpPr>
        <xdr:spPr>
          <a:xfrm rot="19712607">
            <a:off x="3240480" y="1648773"/>
            <a:ext cx="75560" cy="72671"/>
          </a:xfrm>
          <a:prstGeom prst="rect">
            <a:avLst/>
          </a:prstGeom>
          <a:noFill/>
          <a:ln w="3175">
            <a:solidFill>
              <a:srgbClr val="FFFF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IN"/>
          </a:p>
        </xdr:txBody>
      </xdr:sp>
      <xdr:sp macro="" textlink="">
        <xdr:nvSpPr>
          <xdr:cNvPr id="78" name="Rectangle 77">
            <a:extLst>
              <a:ext uri="{FF2B5EF4-FFF2-40B4-BE49-F238E27FC236}">
                <a16:creationId xmlns:a16="http://schemas.microsoft.com/office/drawing/2014/main" xmlns="" id="{00000000-0008-0000-0000-00005E000000}"/>
              </a:ext>
            </a:extLst>
          </xdr:cNvPr>
          <xdr:cNvSpPr/>
        </xdr:nvSpPr>
        <xdr:spPr>
          <a:xfrm rot="19043471">
            <a:off x="3210372" y="1427471"/>
            <a:ext cx="89838" cy="107206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US" sz="800">
                <a:solidFill>
                  <a:srgbClr val="FFFF00"/>
                </a:solidFill>
              </a:rPr>
              <a:t>E </a:t>
            </a:r>
            <a:endParaRPr lang="en-IN" sz="800">
              <a:solidFill>
                <a:srgbClr val="FFFF00"/>
              </a:solidFill>
            </a:endParaRPr>
          </a:p>
        </xdr:txBody>
      </xdr:sp>
      <xdr:sp macro="" textlink="">
        <xdr:nvSpPr>
          <xdr:cNvPr id="79" name="Rectangle 78">
            <a:extLst>
              <a:ext uri="{FF2B5EF4-FFF2-40B4-BE49-F238E27FC236}">
                <a16:creationId xmlns:a16="http://schemas.microsoft.com/office/drawing/2014/main" xmlns="" id="{00000000-0008-0000-0000-00005E000000}"/>
              </a:ext>
            </a:extLst>
          </xdr:cNvPr>
          <xdr:cNvSpPr/>
        </xdr:nvSpPr>
        <xdr:spPr>
          <a:xfrm rot="19043471">
            <a:off x="3262396" y="1511684"/>
            <a:ext cx="89838" cy="107206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US" sz="800">
                <a:solidFill>
                  <a:srgbClr val="FFFF00"/>
                </a:solidFill>
              </a:rPr>
              <a:t>F </a:t>
            </a:r>
            <a:endParaRPr lang="en-IN" sz="800">
              <a:solidFill>
                <a:srgbClr val="FFFF00"/>
              </a:solidFill>
            </a:endParaRPr>
          </a:p>
        </xdr:txBody>
      </xdr:sp>
      <xdr:sp macro="" textlink="">
        <xdr:nvSpPr>
          <xdr:cNvPr id="80" name="Rectangle 79">
            <a:extLst>
              <a:ext uri="{FF2B5EF4-FFF2-40B4-BE49-F238E27FC236}">
                <a16:creationId xmlns:a16="http://schemas.microsoft.com/office/drawing/2014/main" xmlns="" id="{00000000-0008-0000-0000-00005E000000}"/>
              </a:ext>
            </a:extLst>
          </xdr:cNvPr>
          <xdr:cNvSpPr/>
        </xdr:nvSpPr>
        <xdr:spPr>
          <a:xfrm rot="19043471">
            <a:off x="3299872" y="1581731"/>
            <a:ext cx="89838" cy="107206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US" sz="800">
                <a:solidFill>
                  <a:srgbClr val="FFFF00"/>
                </a:solidFill>
              </a:rPr>
              <a:t>G </a:t>
            </a:r>
            <a:endParaRPr lang="en-IN" sz="800">
              <a:solidFill>
                <a:srgbClr val="FFFF00"/>
              </a:solidFill>
            </a:endParaRPr>
          </a:p>
        </xdr:txBody>
      </xdr:sp>
      <xdr:sp macro="" textlink="">
        <xdr:nvSpPr>
          <xdr:cNvPr id="81" name="Rectangle 80">
            <a:extLst>
              <a:ext uri="{FF2B5EF4-FFF2-40B4-BE49-F238E27FC236}">
                <a16:creationId xmlns:a16="http://schemas.microsoft.com/office/drawing/2014/main" xmlns="" id="{00000000-0008-0000-0000-00005F000000}"/>
              </a:ext>
            </a:extLst>
          </xdr:cNvPr>
          <xdr:cNvSpPr/>
        </xdr:nvSpPr>
        <xdr:spPr>
          <a:xfrm rot="18719233">
            <a:off x="3442759" y="1548942"/>
            <a:ext cx="84538" cy="68555"/>
          </a:xfrm>
          <a:prstGeom prst="rect">
            <a:avLst/>
          </a:prstGeom>
          <a:noFill/>
          <a:ln w="3175">
            <a:solidFill>
              <a:srgbClr val="FFFF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IN"/>
          </a:p>
        </xdr:txBody>
      </xdr:sp>
      <xdr:sp macro="" textlink="">
        <xdr:nvSpPr>
          <xdr:cNvPr id="82" name="Rectangle 81">
            <a:extLst>
              <a:ext uri="{FF2B5EF4-FFF2-40B4-BE49-F238E27FC236}">
                <a16:creationId xmlns:a16="http://schemas.microsoft.com/office/drawing/2014/main" xmlns="" id="{00000000-0008-0000-0000-000060000000}"/>
              </a:ext>
            </a:extLst>
          </xdr:cNvPr>
          <xdr:cNvSpPr/>
        </xdr:nvSpPr>
        <xdr:spPr>
          <a:xfrm rot="19043471">
            <a:off x="3507176" y="1599475"/>
            <a:ext cx="89838" cy="107206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US" sz="800">
                <a:solidFill>
                  <a:srgbClr val="FFFF00"/>
                </a:solidFill>
              </a:rPr>
              <a:t>J </a:t>
            </a:r>
            <a:endParaRPr lang="en-IN" sz="800">
              <a:solidFill>
                <a:srgbClr val="FFFF00"/>
              </a:solidFill>
            </a:endParaRPr>
          </a:p>
        </xdr:txBody>
      </xdr:sp>
    </xdr:grpSp>
    <xdr:clientData/>
  </xdr:twoCellAnchor>
  <xdr:twoCellAnchor>
    <xdr:from>
      <xdr:col>3</xdr:col>
      <xdr:colOff>303830</xdr:colOff>
      <xdr:row>493</xdr:row>
      <xdr:rowOff>153327</xdr:rowOff>
    </xdr:from>
    <xdr:to>
      <xdr:col>3</xdr:col>
      <xdr:colOff>565951</xdr:colOff>
      <xdr:row>496</xdr:row>
      <xdr:rowOff>59607</xdr:rowOff>
    </xdr:to>
    <xdr:sp macro="" textlink="">
      <xdr:nvSpPr>
        <xdr:cNvPr id="83" name="Rectangle 82">
          <a:extLst>
            <a:ext uri="{FF2B5EF4-FFF2-40B4-BE49-F238E27FC236}">
              <a16:creationId xmlns:a16="http://schemas.microsoft.com/office/drawing/2014/main" xmlns="" id="{00000000-0008-0000-0000-000061000000}"/>
            </a:ext>
          </a:extLst>
        </xdr:cNvPr>
        <xdr:cNvSpPr/>
      </xdr:nvSpPr>
      <xdr:spPr>
        <a:xfrm rot="20334887">
          <a:off x="2714069" y="95295653"/>
          <a:ext cx="262121" cy="502628"/>
        </a:xfrm>
        <a:prstGeom prst="rect">
          <a:avLst/>
        </a:prstGeom>
        <a:noFill/>
        <a:ln w="12700"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IN"/>
        </a:p>
      </xdr:txBody>
    </xdr:sp>
    <xdr:clientData/>
  </xdr:twoCellAnchor>
  <xdr:twoCellAnchor>
    <xdr:from>
      <xdr:col>3</xdr:col>
      <xdr:colOff>64238</xdr:colOff>
      <xdr:row>490</xdr:row>
      <xdr:rowOff>131061</xdr:rowOff>
    </xdr:from>
    <xdr:to>
      <xdr:col>3</xdr:col>
      <xdr:colOff>326359</xdr:colOff>
      <xdr:row>493</xdr:row>
      <xdr:rowOff>125894</xdr:rowOff>
    </xdr:to>
    <xdr:sp macro="" textlink="">
      <xdr:nvSpPr>
        <xdr:cNvPr id="84" name="Rectangle 83">
          <a:extLst>
            <a:ext uri="{FF2B5EF4-FFF2-40B4-BE49-F238E27FC236}">
              <a16:creationId xmlns:a16="http://schemas.microsoft.com/office/drawing/2014/main" xmlns="" id="{00000000-0008-0000-0000-000061000000}"/>
            </a:ext>
          </a:extLst>
        </xdr:cNvPr>
        <xdr:cNvSpPr/>
      </xdr:nvSpPr>
      <xdr:spPr>
        <a:xfrm rot="20239540">
          <a:off x="2474477" y="94677039"/>
          <a:ext cx="262121" cy="591181"/>
        </a:xfrm>
        <a:prstGeom prst="rect">
          <a:avLst/>
        </a:prstGeom>
        <a:noFill/>
        <a:ln w="12700"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IN"/>
        </a:p>
      </xdr:txBody>
    </xdr:sp>
    <xdr:clientData/>
  </xdr:twoCellAnchor>
  <xdr:twoCellAnchor>
    <xdr:from>
      <xdr:col>3</xdr:col>
      <xdr:colOff>469827</xdr:colOff>
      <xdr:row>496</xdr:row>
      <xdr:rowOff>92907</xdr:rowOff>
    </xdr:from>
    <xdr:to>
      <xdr:col>3</xdr:col>
      <xdr:colOff>731948</xdr:colOff>
      <xdr:row>498</xdr:row>
      <xdr:rowOff>29353</xdr:rowOff>
    </xdr:to>
    <xdr:sp macro="" textlink="">
      <xdr:nvSpPr>
        <xdr:cNvPr id="85" name="Rectangle 84">
          <a:extLst>
            <a:ext uri="{FF2B5EF4-FFF2-40B4-BE49-F238E27FC236}">
              <a16:creationId xmlns:a16="http://schemas.microsoft.com/office/drawing/2014/main" xmlns="" id="{00000000-0008-0000-0000-000061000000}"/>
            </a:ext>
          </a:extLst>
        </xdr:cNvPr>
        <xdr:cNvSpPr/>
      </xdr:nvSpPr>
      <xdr:spPr>
        <a:xfrm rot="20458068">
          <a:off x="2880066" y="95831581"/>
          <a:ext cx="262121" cy="334011"/>
        </a:xfrm>
        <a:prstGeom prst="rect">
          <a:avLst/>
        </a:prstGeom>
        <a:noFill/>
        <a:ln w="12700"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IN"/>
        </a:p>
      </xdr:txBody>
    </xdr:sp>
    <xdr:clientData/>
  </xdr:twoCellAnchor>
  <xdr:twoCellAnchor>
    <xdr:from>
      <xdr:col>2</xdr:col>
      <xdr:colOff>835170</xdr:colOff>
      <xdr:row>493</xdr:row>
      <xdr:rowOff>95823</xdr:rowOff>
    </xdr:from>
    <xdr:to>
      <xdr:col>3</xdr:col>
      <xdr:colOff>328928</xdr:colOff>
      <xdr:row>497</xdr:row>
      <xdr:rowOff>146343</xdr:rowOff>
    </xdr:to>
    <xdr:sp macro="" textlink="">
      <xdr:nvSpPr>
        <xdr:cNvPr id="86" name="Rectangle 85">
          <a:extLst>
            <a:ext uri="{FF2B5EF4-FFF2-40B4-BE49-F238E27FC236}">
              <a16:creationId xmlns:a16="http://schemas.microsoft.com/office/drawing/2014/main" xmlns="" id="{00000000-0008-0000-0000-000062000000}"/>
            </a:ext>
          </a:extLst>
        </xdr:cNvPr>
        <xdr:cNvSpPr/>
      </xdr:nvSpPr>
      <xdr:spPr>
        <a:xfrm rot="14770617">
          <a:off x="2147049" y="95491683"/>
          <a:ext cx="845651" cy="338584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400">
              <a:solidFill>
                <a:srgbClr val="FFFF00"/>
              </a:solidFill>
            </a:rPr>
            <a:t>F Wing</a:t>
          </a:r>
          <a:endParaRPr lang="en-IN" sz="1400">
            <a:solidFill>
              <a:srgbClr val="FFFF00"/>
            </a:solidFill>
          </a:endParaRPr>
        </a:p>
      </xdr:txBody>
    </xdr:sp>
    <xdr:clientData/>
  </xdr:twoCellAnchor>
  <xdr:twoCellAnchor>
    <xdr:from>
      <xdr:col>3</xdr:col>
      <xdr:colOff>254073</xdr:colOff>
      <xdr:row>489</xdr:row>
      <xdr:rowOff>193810</xdr:rowOff>
    </xdr:from>
    <xdr:to>
      <xdr:col>3</xdr:col>
      <xdr:colOff>608414</xdr:colOff>
      <xdr:row>493</xdr:row>
      <xdr:rowOff>90535</xdr:rowOff>
    </xdr:to>
    <xdr:sp macro="" textlink="">
      <xdr:nvSpPr>
        <xdr:cNvPr id="101" name="Rectangle 100">
          <a:extLst>
            <a:ext uri="{FF2B5EF4-FFF2-40B4-BE49-F238E27FC236}">
              <a16:creationId xmlns:a16="http://schemas.microsoft.com/office/drawing/2014/main" xmlns="" id="{00000000-0008-0000-0000-000062000000}"/>
            </a:ext>
          </a:extLst>
        </xdr:cNvPr>
        <xdr:cNvSpPr/>
      </xdr:nvSpPr>
      <xdr:spPr>
        <a:xfrm rot="14624217">
          <a:off x="2495555" y="94709763"/>
          <a:ext cx="691855" cy="35434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400">
              <a:solidFill>
                <a:srgbClr val="FFFF00"/>
              </a:solidFill>
            </a:rPr>
            <a:t>E Wing</a:t>
          </a:r>
          <a:endParaRPr lang="en-IN" sz="1400">
            <a:solidFill>
              <a:srgbClr val="FFFF00"/>
            </a:solidFill>
          </a:endParaRPr>
        </a:p>
      </xdr:txBody>
    </xdr:sp>
    <xdr:clientData/>
  </xdr:twoCellAnchor>
  <xdr:twoCellAnchor>
    <xdr:from>
      <xdr:col>3</xdr:col>
      <xdr:colOff>593336</xdr:colOff>
      <xdr:row>493</xdr:row>
      <xdr:rowOff>195657</xdr:rowOff>
    </xdr:from>
    <xdr:to>
      <xdr:col>3</xdr:col>
      <xdr:colOff>947677</xdr:colOff>
      <xdr:row>497</xdr:row>
      <xdr:rowOff>148327</xdr:rowOff>
    </xdr:to>
    <xdr:sp macro="" textlink="">
      <xdr:nvSpPr>
        <xdr:cNvPr id="102" name="Rectangle 101">
          <a:extLst>
            <a:ext uri="{FF2B5EF4-FFF2-40B4-BE49-F238E27FC236}">
              <a16:creationId xmlns:a16="http://schemas.microsoft.com/office/drawing/2014/main" xmlns="" id="{00000000-0008-0000-0000-000062000000}"/>
            </a:ext>
          </a:extLst>
        </xdr:cNvPr>
        <xdr:cNvSpPr/>
      </xdr:nvSpPr>
      <xdr:spPr>
        <a:xfrm rot="14920387">
          <a:off x="2806845" y="95534713"/>
          <a:ext cx="747801" cy="35434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400">
              <a:solidFill>
                <a:srgbClr val="FFFF00"/>
              </a:solidFill>
            </a:rPr>
            <a:t>G Wing</a:t>
          </a:r>
          <a:endParaRPr lang="en-IN" sz="1400">
            <a:solidFill>
              <a:srgbClr val="FFFF00"/>
            </a:solidFill>
          </a:endParaRPr>
        </a:p>
      </xdr:txBody>
    </xdr:sp>
    <xdr:clientData/>
  </xdr:twoCellAnchor>
  <xdr:twoCellAnchor>
    <xdr:from>
      <xdr:col>14</xdr:col>
      <xdr:colOff>129005</xdr:colOff>
      <xdr:row>439</xdr:row>
      <xdr:rowOff>182581</xdr:rowOff>
    </xdr:from>
    <xdr:to>
      <xdr:col>15</xdr:col>
      <xdr:colOff>158748</xdr:colOff>
      <xdr:row>441</xdr:row>
      <xdr:rowOff>72640</xdr:rowOff>
    </xdr:to>
    <xdr:sp macro="" textlink="">
      <xdr:nvSpPr>
        <xdr:cNvPr id="109" name="TextBox 108"/>
        <xdr:cNvSpPr txBox="1"/>
      </xdr:nvSpPr>
      <xdr:spPr>
        <a:xfrm>
          <a:off x="11616983" y="91937320"/>
          <a:ext cx="684069" cy="28762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IN" sz="1200" b="1"/>
            <a:t>E Wing</a:t>
          </a:r>
        </a:p>
      </xdr:txBody>
    </xdr:sp>
    <xdr:clientData/>
  </xdr:twoCellAnchor>
  <xdr:twoCellAnchor>
    <xdr:from>
      <xdr:col>14</xdr:col>
      <xdr:colOff>634244</xdr:colOff>
      <xdr:row>431</xdr:row>
      <xdr:rowOff>66625</xdr:rowOff>
    </xdr:from>
    <xdr:to>
      <xdr:col>15</xdr:col>
      <xdr:colOff>663987</xdr:colOff>
      <xdr:row>432</xdr:row>
      <xdr:rowOff>155464</xdr:rowOff>
    </xdr:to>
    <xdr:sp macro="" textlink="">
      <xdr:nvSpPr>
        <xdr:cNvPr id="110" name="TextBox 109"/>
        <xdr:cNvSpPr txBox="1"/>
      </xdr:nvSpPr>
      <xdr:spPr>
        <a:xfrm>
          <a:off x="12122222" y="90231103"/>
          <a:ext cx="684069" cy="28762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IN" sz="1200" b="1"/>
            <a:t>F Wing</a:t>
          </a:r>
        </a:p>
      </xdr:txBody>
    </xdr:sp>
    <xdr:clientData/>
  </xdr:twoCellAnchor>
  <xdr:twoCellAnchor editAs="oneCell">
    <xdr:from>
      <xdr:col>8</xdr:col>
      <xdr:colOff>1159565</xdr:colOff>
      <xdr:row>443</xdr:row>
      <xdr:rowOff>0</xdr:rowOff>
    </xdr:from>
    <xdr:to>
      <xdr:col>12</xdr:col>
      <xdr:colOff>657593</xdr:colOff>
      <xdr:row>453</xdr:row>
      <xdr:rowOff>172174</xdr:rowOff>
    </xdr:to>
    <xdr:pic>
      <xdr:nvPicPr>
        <xdr:cNvPr id="112" name="Picture 111" descr="https://vsjcllp.vsjadon.com/upload/insp-138045-916.jpg"/>
        <xdr:cNvPicPr>
          <a:picLocks noChangeAspect="1" noChangeArrowheads="1"/>
        </xdr:cNvPicPr>
      </xdr:nvPicPr>
      <xdr:blipFill>
        <a:blip xmlns:r="http://schemas.openxmlformats.org/officeDocument/2006/relationships" r:embed="rId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694543" y="92549870"/>
          <a:ext cx="2877333" cy="2160000"/>
        </a:xfrm>
        <a:prstGeom prst="rect">
          <a:avLst/>
        </a:prstGeom>
        <a:noFill/>
        <a:ln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248478</xdr:colOff>
      <xdr:row>449</xdr:row>
      <xdr:rowOff>107674</xdr:rowOff>
    </xdr:from>
    <xdr:to>
      <xdr:col>12</xdr:col>
      <xdr:colOff>382010</xdr:colOff>
      <xdr:row>450</xdr:row>
      <xdr:rowOff>196513</xdr:rowOff>
    </xdr:to>
    <xdr:sp macro="" textlink="">
      <xdr:nvSpPr>
        <xdr:cNvPr id="113" name="TextBox 112"/>
        <xdr:cNvSpPr txBox="1"/>
      </xdr:nvSpPr>
      <xdr:spPr>
        <a:xfrm>
          <a:off x="8705021" y="93850239"/>
          <a:ext cx="1541576" cy="287622"/>
        </a:xfrm>
        <a:prstGeom prst="rect">
          <a:avLst/>
        </a:prstGeom>
        <a:noFill/>
        <a:ln w="5715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IN" sz="1200" b="1"/>
        </a:p>
      </xdr:txBody>
    </xdr:sp>
    <xdr:clientData/>
  </xdr:twoCellAnchor>
  <xdr:twoCellAnchor>
    <xdr:from>
      <xdr:col>10</xdr:col>
      <xdr:colOff>591824</xdr:colOff>
      <xdr:row>444</xdr:row>
      <xdr:rowOff>42654</xdr:rowOff>
    </xdr:from>
    <xdr:to>
      <xdr:col>11</xdr:col>
      <xdr:colOff>215608</xdr:colOff>
      <xdr:row>450</xdr:row>
      <xdr:rowOff>136798</xdr:rowOff>
    </xdr:to>
    <xdr:sp macro="" textlink="">
      <xdr:nvSpPr>
        <xdr:cNvPr id="114" name="TextBox 113"/>
        <xdr:cNvSpPr txBox="1"/>
      </xdr:nvSpPr>
      <xdr:spPr>
        <a:xfrm rot="18418371">
          <a:off x="8568850" y="93270823"/>
          <a:ext cx="1286840" cy="327806"/>
        </a:xfrm>
        <a:custGeom>
          <a:avLst/>
          <a:gdLst>
            <a:gd name="connsiteX0" fmla="*/ 0 w 1286841"/>
            <a:gd name="connsiteY0" fmla="*/ 0 h 327806"/>
            <a:gd name="connsiteX1" fmla="*/ 1286841 w 1286841"/>
            <a:gd name="connsiteY1" fmla="*/ 0 h 327806"/>
            <a:gd name="connsiteX2" fmla="*/ 1286841 w 1286841"/>
            <a:gd name="connsiteY2" fmla="*/ 327806 h 327806"/>
            <a:gd name="connsiteX3" fmla="*/ 0 w 1286841"/>
            <a:gd name="connsiteY3" fmla="*/ 327806 h 327806"/>
            <a:gd name="connsiteX4" fmla="*/ 0 w 1286841"/>
            <a:gd name="connsiteY4" fmla="*/ 0 h 327806"/>
            <a:gd name="connsiteX0" fmla="*/ 0 w 1286841"/>
            <a:gd name="connsiteY0" fmla="*/ 0 h 327806"/>
            <a:gd name="connsiteX1" fmla="*/ 1286841 w 1286841"/>
            <a:gd name="connsiteY1" fmla="*/ 0 h 327806"/>
            <a:gd name="connsiteX2" fmla="*/ 1286841 w 1286841"/>
            <a:gd name="connsiteY2" fmla="*/ 327806 h 327806"/>
            <a:gd name="connsiteX3" fmla="*/ 225281 w 1286841"/>
            <a:gd name="connsiteY3" fmla="*/ 324088 h 327806"/>
            <a:gd name="connsiteX4" fmla="*/ 0 w 1286841"/>
            <a:gd name="connsiteY4" fmla="*/ 0 h 327806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1286841" h="327806">
              <a:moveTo>
                <a:pt x="0" y="0"/>
              </a:moveTo>
              <a:lnTo>
                <a:pt x="1286841" y="0"/>
              </a:lnTo>
              <a:lnTo>
                <a:pt x="1286841" y="327806"/>
              </a:lnTo>
              <a:lnTo>
                <a:pt x="225281" y="324088"/>
              </a:lnTo>
              <a:lnTo>
                <a:pt x="0" y="0"/>
              </a:lnTo>
              <a:close/>
            </a:path>
          </a:pathLst>
        </a:custGeom>
        <a:noFill/>
        <a:ln w="5715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IN" sz="1200" b="1"/>
        </a:p>
      </xdr:txBody>
    </xdr:sp>
    <xdr:clientData/>
  </xdr:twoCellAnchor>
  <xdr:twoCellAnchor>
    <xdr:from>
      <xdr:col>9</xdr:col>
      <xdr:colOff>505239</xdr:colOff>
      <xdr:row>443</xdr:row>
      <xdr:rowOff>8282</xdr:rowOff>
    </xdr:from>
    <xdr:to>
      <xdr:col>11</xdr:col>
      <xdr:colOff>108685</xdr:colOff>
      <xdr:row>444</xdr:row>
      <xdr:rowOff>97123</xdr:rowOff>
    </xdr:to>
    <xdr:sp macro="" textlink="">
      <xdr:nvSpPr>
        <xdr:cNvPr id="115" name="TextBox 114"/>
        <xdr:cNvSpPr txBox="1"/>
      </xdr:nvSpPr>
      <xdr:spPr>
        <a:xfrm>
          <a:off x="8199782" y="92558152"/>
          <a:ext cx="1069468" cy="28762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IN" sz="1200" b="1"/>
            <a:t>E, F &amp; G Wing</a:t>
          </a:r>
        </a:p>
      </xdr:txBody>
    </xdr:sp>
    <xdr:clientData/>
  </xdr:twoCellAnchor>
  <xdr:twoCellAnchor>
    <xdr:from>
      <xdr:col>9</xdr:col>
      <xdr:colOff>215348</xdr:colOff>
      <xdr:row>452</xdr:row>
      <xdr:rowOff>8283</xdr:rowOff>
    </xdr:from>
    <xdr:to>
      <xdr:col>10</xdr:col>
      <xdr:colOff>522816</xdr:colOff>
      <xdr:row>453</xdr:row>
      <xdr:rowOff>97122</xdr:rowOff>
    </xdr:to>
    <xdr:sp macro="" textlink="">
      <xdr:nvSpPr>
        <xdr:cNvPr id="116" name="TextBox 115"/>
        <xdr:cNvSpPr txBox="1"/>
      </xdr:nvSpPr>
      <xdr:spPr>
        <a:xfrm>
          <a:off x="7909891" y="94347196"/>
          <a:ext cx="1069468" cy="28762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IN" sz="1200" b="1"/>
            <a:t>H, I &amp; J Wing</a:t>
          </a:r>
        </a:p>
      </xdr:txBody>
    </xdr:sp>
    <xdr:clientData/>
  </xdr:twoCellAnchor>
  <xdr:twoCellAnchor>
    <xdr:from>
      <xdr:col>10</xdr:col>
      <xdr:colOff>277973</xdr:colOff>
      <xdr:row>444</xdr:row>
      <xdr:rowOff>97123</xdr:rowOff>
    </xdr:from>
    <xdr:to>
      <xdr:col>10</xdr:col>
      <xdr:colOff>572510</xdr:colOff>
      <xdr:row>447</xdr:row>
      <xdr:rowOff>73811</xdr:rowOff>
    </xdr:to>
    <xdr:cxnSp macro="">
      <xdr:nvCxnSpPr>
        <xdr:cNvPr id="117" name="Straight Arrow Connector 116"/>
        <xdr:cNvCxnSpPr>
          <a:stCxn id="115" idx="2"/>
        </xdr:cNvCxnSpPr>
      </xdr:nvCxnSpPr>
      <xdr:spPr>
        <a:xfrm>
          <a:off x="8734516" y="92845775"/>
          <a:ext cx="294537" cy="573036"/>
        </a:xfrm>
        <a:prstGeom prst="straightConnector1">
          <a:avLst/>
        </a:prstGeom>
        <a:ln w="28575"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522816</xdr:colOff>
      <xdr:row>450</xdr:row>
      <xdr:rowOff>196513</xdr:rowOff>
    </xdr:from>
    <xdr:to>
      <xdr:col>11</xdr:col>
      <xdr:colOff>315244</xdr:colOff>
      <xdr:row>452</xdr:row>
      <xdr:rowOff>152095</xdr:rowOff>
    </xdr:to>
    <xdr:cxnSp macro="">
      <xdr:nvCxnSpPr>
        <xdr:cNvPr id="118" name="Straight Arrow Connector 117"/>
        <xdr:cNvCxnSpPr>
          <a:stCxn id="116" idx="3"/>
          <a:endCxn id="113" idx="2"/>
        </xdr:cNvCxnSpPr>
      </xdr:nvCxnSpPr>
      <xdr:spPr>
        <a:xfrm flipV="1">
          <a:off x="8979359" y="94137861"/>
          <a:ext cx="496450" cy="353147"/>
        </a:xfrm>
        <a:prstGeom prst="straightConnector1">
          <a:avLst/>
        </a:prstGeom>
        <a:ln w="28575"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390525</xdr:colOff>
      <xdr:row>421</xdr:row>
      <xdr:rowOff>104774</xdr:rowOff>
    </xdr:from>
    <xdr:to>
      <xdr:col>7</xdr:col>
      <xdr:colOff>1427813</xdr:colOff>
      <xdr:row>462</xdr:row>
      <xdr:rowOff>45450</xdr:rowOff>
    </xdr:to>
    <xdr:grpSp>
      <xdr:nvGrpSpPr>
        <xdr:cNvPr id="5" name="Group 4"/>
        <xdr:cNvGrpSpPr/>
      </xdr:nvGrpSpPr>
      <xdr:grpSpPr>
        <a:xfrm>
          <a:off x="390525" y="92211524"/>
          <a:ext cx="6752288" cy="8132176"/>
          <a:chOff x="371475" y="92182949"/>
          <a:chExt cx="6752288" cy="8132176"/>
        </a:xfrm>
      </xdr:grpSpPr>
      <xdr:grpSp>
        <xdr:nvGrpSpPr>
          <xdr:cNvPr id="4" name="Group 3"/>
          <xdr:cNvGrpSpPr/>
        </xdr:nvGrpSpPr>
        <xdr:grpSpPr>
          <a:xfrm>
            <a:off x="371475" y="92182949"/>
            <a:ext cx="6752288" cy="8132176"/>
            <a:chOff x="371475" y="92182949"/>
            <a:chExt cx="6752288" cy="8132176"/>
          </a:xfrm>
        </xdr:grpSpPr>
        <xdr:pic>
          <xdr:nvPicPr>
            <xdr:cNvPr id="104" name="Picture 103" descr="https://vsjcllp.vsjadon.com/upload/insp-239883-1525.jpg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6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5505450" y="98155125"/>
              <a:ext cx="1618313" cy="2160000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107" name="Picture 106" descr="https://vsjcllp.vsjadon.com/upload/insp-239883-845.jpg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7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4933950" y="92182949"/>
              <a:ext cx="2162302" cy="2886075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125" name="Picture 124" descr="https://vsjcllp.vsjadon.com/upload/insp-239883-847.jpg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8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447675" y="95164274"/>
              <a:ext cx="2162302" cy="2886075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126" name="Picture 125" descr="https://vsjcllp.vsjadon.com/upload/insp-239883-851.jpg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9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2686050" y="95164274"/>
              <a:ext cx="2162302" cy="2886075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127" name="Picture 126" descr="https://vsjcllp.vsjadon.com/upload/insp-239883-862.jpg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0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3790950" y="98155125"/>
              <a:ext cx="1618313" cy="2160000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128" name="Picture 127" descr="https://vsjcllp.vsjadon.com/upload/insp-239883-860.jpg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1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457200" y="92182949"/>
              <a:ext cx="2162302" cy="2886075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129" name="Picture 128" descr="https://vsjcllp.vsjadon.com/upload/insp-239883-871.jpg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2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371475" y="98145600"/>
              <a:ext cx="1618313" cy="2160000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130" name="Picture 129" descr="https://vsjcllp.vsjadon.com/upload/insp-239883-874.jpg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3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2695575" y="92182949"/>
              <a:ext cx="2162302" cy="2886075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131" name="Picture 130" descr="https://vsjcllp.vsjadon.com/upload/insp-239883-883.jpg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4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4933950" y="95164274"/>
              <a:ext cx="2162302" cy="2886075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132" name="Picture 131" descr="https://vsjcllp.vsjadon.com/upload/insp-239883-916.jpg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5" cstate="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2066925" y="98155125"/>
              <a:ext cx="1618313" cy="2160000"/>
            </a:xfrm>
            <a:prstGeom prst="rect">
              <a:avLst/>
            </a:prstGeom>
            <a:noFill/>
            <a:ln>
              <a:solidFill>
                <a:schemeClr val="tx1"/>
              </a:solidFill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  <xdr:sp macro="" textlink="">
        <xdr:nvSpPr>
          <xdr:cNvPr id="133" name="TextBox 132"/>
          <xdr:cNvSpPr txBox="1"/>
        </xdr:nvSpPr>
        <xdr:spPr>
          <a:xfrm>
            <a:off x="485775" y="92182949"/>
            <a:ext cx="652173" cy="28897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IN" sz="1200" b="1">
                <a:solidFill>
                  <a:srgbClr val="C00000"/>
                </a:solidFill>
              </a:rPr>
              <a:t>E Wing</a:t>
            </a:r>
          </a:p>
        </xdr:txBody>
      </xdr:sp>
      <xdr:sp macro="" textlink="">
        <xdr:nvSpPr>
          <xdr:cNvPr id="134" name="TextBox 133"/>
          <xdr:cNvSpPr txBox="1"/>
        </xdr:nvSpPr>
        <xdr:spPr>
          <a:xfrm>
            <a:off x="2733675" y="92182949"/>
            <a:ext cx="652173" cy="28897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IN" sz="1200" b="1">
                <a:solidFill>
                  <a:srgbClr val="C00000"/>
                </a:solidFill>
              </a:rPr>
              <a:t>F Wing</a:t>
            </a:r>
          </a:p>
        </xdr:txBody>
      </xdr:sp>
      <xdr:sp macro="" textlink="">
        <xdr:nvSpPr>
          <xdr:cNvPr id="135" name="TextBox 134"/>
          <xdr:cNvSpPr txBox="1"/>
        </xdr:nvSpPr>
        <xdr:spPr>
          <a:xfrm>
            <a:off x="6372225" y="92249624"/>
            <a:ext cx="652173" cy="28897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IN" sz="1200" b="1">
                <a:solidFill>
                  <a:srgbClr val="C00000"/>
                </a:solidFill>
              </a:rPr>
              <a:t>G Wing</a:t>
            </a:r>
          </a:p>
        </xdr:txBody>
      </xdr:sp>
      <xdr:sp macro="" textlink="">
        <xdr:nvSpPr>
          <xdr:cNvPr id="136" name="TextBox 135"/>
          <xdr:cNvSpPr txBox="1"/>
        </xdr:nvSpPr>
        <xdr:spPr>
          <a:xfrm>
            <a:off x="485775" y="95183325"/>
            <a:ext cx="652173" cy="28897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IN" sz="1200" b="1">
                <a:solidFill>
                  <a:srgbClr val="C00000"/>
                </a:solidFill>
              </a:rPr>
              <a:t>H Wing</a:t>
            </a:r>
          </a:p>
        </xdr:txBody>
      </xdr:sp>
      <xdr:sp macro="" textlink="">
        <xdr:nvSpPr>
          <xdr:cNvPr id="137" name="TextBox 136"/>
          <xdr:cNvSpPr txBox="1"/>
        </xdr:nvSpPr>
        <xdr:spPr>
          <a:xfrm>
            <a:off x="2705100" y="95135700"/>
            <a:ext cx="652173" cy="28897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IN" sz="1200" b="1">
                <a:solidFill>
                  <a:srgbClr val="C00000"/>
                </a:solidFill>
              </a:rPr>
              <a:t>I Wing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THCqgWBY1PHRoKuk8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509"/>
  <sheetViews>
    <sheetView tabSelected="1" view="pageBreakPreview" zoomScaleNormal="100" zoomScaleSheetLayoutView="100" workbookViewId="0">
      <selection activeCell="E148" sqref="E148:F157"/>
    </sheetView>
  </sheetViews>
  <sheetFormatPr defaultColWidth="9.140625" defaultRowHeight="15.75" x14ac:dyDescent="0.25"/>
  <cols>
    <col min="1" max="1" width="11.42578125" style="40" customWidth="1"/>
    <col min="2" max="2" width="12" style="40" customWidth="1"/>
    <col min="3" max="3" width="12.7109375" style="40" customWidth="1"/>
    <col min="4" max="4" width="14.42578125" style="40" customWidth="1"/>
    <col min="5" max="7" width="11.7109375" style="40" customWidth="1"/>
    <col min="8" max="8" width="27.28515625" style="40" customWidth="1"/>
    <col min="9" max="9" width="17.42578125" style="21" customWidth="1"/>
    <col min="10" max="10" width="11.42578125" style="21" customWidth="1"/>
    <col min="11" max="11" width="11.28515625" style="21" bestFit="1" customWidth="1"/>
    <col min="12" max="12" width="10.5703125" style="21" customWidth="1"/>
    <col min="13" max="13" width="11.85546875" style="21" customWidth="1"/>
    <col min="14" max="14" width="12.5703125" style="21" customWidth="1"/>
    <col min="15" max="15" width="9.85546875" style="21" customWidth="1"/>
    <col min="16" max="16" width="11.7109375" style="21" customWidth="1"/>
    <col min="17" max="247" width="9.140625" style="21"/>
    <col min="248" max="248" width="8.7109375" style="21" customWidth="1"/>
    <col min="249" max="249" width="9.85546875" style="21" customWidth="1"/>
    <col min="250" max="250" width="14.42578125" style="21" customWidth="1"/>
    <col min="251" max="251" width="7.28515625" style="21" customWidth="1"/>
    <col min="252" max="252" width="5.5703125" style="21" customWidth="1"/>
    <col min="253" max="253" width="9" style="21" customWidth="1"/>
    <col min="254" max="255" width="9.85546875" style="21" customWidth="1"/>
    <col min="256" max="256" width="11.140625" style="21" customWidth="1"/>
    <col min="257" max="257" width="2.85546875" style="21" customWidth="1"/>
    <col min="258" max="258" width="3.5703125" style="21" customWidth="1"/>
    <col min="259" max="503" width="9.140625" style="21"/>
    <col min="504" max="504" width="8.7109375" style="21" customWidth="1"/>
    <col min="505" max="505" width="9.85546875" style="21" customWidth="1"/>
    <col min="506" max="506" width="14.42578125" style="21" customWidth="1"/>
    <col min="507" max="507" width="7.28515625" style="21" customWidth="1"/>
    <col min="508" max="508" width="5.5703125" style="21" customWidth="1"/>
    <col min="509" max="509" width="9" style="21" customWidth="1"/>
    <col min="510" max="511" width="9.85546875" style="21" customWidth="1"/>
    <col min="512" max="512" width="11.140625" style="21" customWidth="1"/>
    <col min="513" max="513" width="2.85546875" style="21" customWidth="1"/>
    <col min="514" max="514" width="3.5703125" style="21" customWidth="1"/>
    <col min="515" max="759" width="9.140625" style="21"/>
    <col min="760" max="760" width="8.7109375" style="21" customWidth="1"/>
    <col min="761" max="761" width="9.85546875" style="21" customWidth="1"/>
    <col min="762" max="762" width="14.42578125" style="21" customWidth="1"/>
    <col min="763" max="763" width="7.28515625" style="21" customWidth="1"/>
    <col min="764" max="764" width="5.5703125" style="21" customWidth="1"/>
    <col min="765" max="765" width="9" style="21" customWidth="1"/>
    <col min="766" max="767" width="9.85546875" style="21" customWidth="1"/>
    <col min="768" max="768" width="11.140625" style="21" customWidth="1"/>
    <col min="769" max="769" width="2.85546875" style="21" customWidth="1"/>
    <col min="770" max="770" width="3.5703125" style="21" customWidth="1"/>
    <col min="771" max="1015" width="9.140625" style="21"/>
    <col min="1016" max="1016" width="8.7109375" style="21" customWidth="1"/>
    <col min="1017" max="1017" width="9.85546875" style="21" customWidth="1"/>
    <col min="1018" max="1018" width="14.42578125" style="21" customWidth="1"/>
    <col min="1019" max="1019" width="7.28515625" style="21" customWidth="1"/>
    <col min="1020" max="1020" width="5.5703125" style="21" customWidth="1"/>
    <col min="1021" max="1021" width="9" style="21" customWidth="1"/>
    <col min="1022" max="1023" width="9.85546875" style="21" customWidth="1"/>
    <col min="1024" max="1024" width="11.140625" style="21" customWidth="1"/>
    <col min="1025" max="1025" width="2.85546875" style="21" customWidth="1"/>
    <col min="1026" max="1026" width="3.5703125" style="21" customWidth="1"/>
    <col min="1027" max="1271" width="9.140625" style="21"/>
    <col min="1272" max="1272" width="8.7109375" style="21" customWidth="1"/>
    <col min="1273" max="1273" width="9.85546875" style="21" customWidth="1"/>
    <col min="1274" max="1274" width="14.42578125" style="21" customWidth="1"/>
    <col min="1275" max="1275" width="7.28515625" style="21" customWidth="1"/>
    <col min="1276" max="1276" width="5.5703125" style="21" customWidth="1"/>
    <col min="1277" max="1277" width="9" style="21" customWidth="1"/>
    <col min="1278" max="1279" width="9.85546875" style="21" customWidth="1"/>
    <col min="1280" max="1280" width="11.140625" style="21" customWidth="1"/>
    <col min="1281" max="1281" width="2.85546875" style="21" customWidth="1"/>
    <col min="1282" max="1282" width="3.5703125" style="21" customWidth="1"/>
    <col min="1283" max="1527" width="9.140625" style="21"/>
    <col min="1528" max="1528" width="8.7109375" style="21" customWidth="1"/>
    <col min="1529" max="1529" width="9.85546875" style="21" customWidth="1"/>
    <col min="1530" max="1530" width="14.42578125" style="21" customWidth="1"/>
    <col min="1531" max="1531" width="7.28515625" style="21" customWidth="1"/>
    <col min="1532" max="1532" width="5.5703125" style="21" customWidth="1"/>
    <col min="1533" max="1533" width="9" style="21" customWidth="1"/>
    <col min="1534" max="1535" width="9.85546875" style="21" customWidth="1"/>
    <col min="1536" max="1536" width="11.140625" style="21" customWidth="1"/>
    <col min="1537" max="1537" width="2.85546875" style="21" customWidth="1"/>
    <col min="1538" max="1538" width="3.5703125" style="21" customWidth="1"/>
    <col min="1539" max="1783" width="9.140625" style="21"/>
    <col min="1784" max="1784" width="8.7109375" style="21" customWidth="1"/>
    <col min="1785" max="1785" width="9.85546875" style="21" customWidth="1"/>
    <col min="1786" max="1786" width="14.42578125" style="21" customWidth="1"/>
    <col min="1787" max="1787" width="7.28515625" style="21" customWidth="1"/>
    <col min="1788" max="1788" width="5.5703125" style="21" customWidth="1"/>
    <col min="1789" max="1789" width="9" style="21" customWidth="1"/>
    <col min="1790" max="1791" width="9.85546875" style="21" customWidth="1"/>
    <col min="1792" max="1792" width="11.140625" style="21" customWidth="1"/>
    <col min="1793" max="1793" width="2.85546875" style="21" customWidth="1"/>
    <col min="1794" max="1794" width="3.5703125" style="21" customWidth="1"/>
    <col min="1795" max="2039" width="9.140625" style="21"/>
    <col min="2040" max="2040" width="8.7109375" style="21" customWidth="1"/>
    <col min="2041" max="2041" width="9.85546875" style="21" customWidth="1"/>
    <col min="2042" max="2042" width="14.42578125" style="21" customWidth="1"/>
    <col min="2043" max="2043" width="7.28515625" style="21" customWidth="1"/>
    <col min="2044" max="2044" width="5.5703125" style="21" customWidth="1"/>
    <col min="2045" max="2045" width="9" style="21" customWidth="1"/>
    <col min="2046" max="2047" width="9.85546875" style="21" customWidth="1"/>
    <col min="2048" max="2048" width="11.140625" style="21" customWidth="1"/>
    <col min="2049" max="2049" width="2.85546875" style="21" customWidth="1"/>
    <col min="2050" max="2050" width="3.5703125" style="21" customWidth="1"/>
    <col min="2051" max="2295" width="9.140625" style="21"/>
    <col min="2296" max="2296" width="8.7109375" style="21" customWidth="1"/>
    <col min="2297" max="2297" width="9.85546875" style="21" customWidth="1"/>
    <col min="2298" max="2298" width="14.42578125" style="21" customWidth="1"/>
    <col min="2299" max="2299" width="7.28515625" style="21" customWidth="1"/>
    <col min="2300" max="2300" width="5.5703125" style="21" customWidth="1"/>
    <col min="2301" max="2301" width="9" style="21" customWidth="1"/>
    <col min="2302" max="2303" width="9.85546875" style="21" customWidth="1"/>
    <col min="2304" max="2304" width="11.140625" style="21" customWidth="1"/>
    <col min="2305" max="2305" width="2.85546875" style="21" customWidth="1"/>
    <col min="2306" max="2306" width="3.5703125" style="21" customWidth="1"/>
    <col min="2307" max="2551" width="9.140625" style="21"/>
    <col min="2552" max="2552" width="8.7109375" style="21" customWidth="1"/>
    <col min="2553" max="2553" width="9.85546875" style="21" customWidth="1"/>
    <col min="2554" max="2554" width="14.42578125" style="21" customWidth="1"/>
    <col min="2555" max="2555" width="7.28515625" style="21" customWidth="1"/>
    <col min="2556" max="2556" width="5.5703125" style="21" customWidth="1"/>
    <col min="2557" max="2557" width="9" style="21" customWidth="1"/>
    <col min="2558" max="2559" width="9.85546875" style="21" customWidth="1"/>
    <col min="2560" max="2560" width="11.140625" style="21" customWidth="1"/>
    <col min="2561" max="2561" width="2.85546875" style="21" customWidth="1"/>
    <col min="2562" max="2562" width="3.5703125" style="21" customWidth="1"/>
    <col min="2563" max="2807" width="9.140625" style="21"/>
    <col min="2808" max="2808" width="8.7109375" style="21" customWidth="1"/>
    <col min="2809" max="2809" width="9.85546875" style="21" customWidth="1"/>
    <col min="2810" max="2810" width="14.42578125" style="21" customWidth="1"/>
    <col min="2811" max="2811" width="7.28515625" style="21" customWidth="1"/>
    <col min="2812" max="2812" width="5.5703125" style="21" customWidth="1"/>
    <col min="2813" max="2813" width="9" style="21" customWidth="1"/>
    <col min="2814" max="2815" width="9.85546875" style="21" customWidth="1"/>
    <col min="2816" max="2816" width="11.140625" style="21" customWidth="1"/>
    <col min="2817" max="2817" width="2.85546875" style="21" customWidth="1"/>
    <col min="2818" max="2818" width="3.5703125" style="21" customWidth="1"/>
    <col min="2819" max="3063" width="9.140625" style="21"/>
    <col min="3064" max="3064" width="8.7109375" style="21" customWidth="1"/>
    <col min="3065" max="3065" width="9.85546875" style="21" customWidth="1"/>
    <col min="3066" max="3066" width="14.42578125" style="21" customWidth="1"/>
    <col min="3067" max="3067" width="7.28515625" style="21" customWidth="1"/>
    <col min="3068" max="3068" width="5.5703125" style="21" customWidth="1"/>
    <col min="3069" max="3069" width="9" style="21" customWidth="1"/>
    <col min="3070" max="3071" width="9.85546875" style="21" customWidth="1"/>
    <col min="3072" max="3072" width="11.140625" style="21" customWidth="1"/>
    <col min="3073" max="3073" width="2.85546875" style="21" customWidth="1"/>
    <col min="3074" max="3074" width="3.5703125" style="21" customWidth="1"/>
    <col min="3075" max="3319" width="9.140625" style="21"/>
    <col min="3320" max="3320" width="8.7109375" style="21" customWidth="1"/>
    <col min="3321" max="3321" width="9.85546875" style="21" customWidth="1"/>
    <col min="3322" max="3322" width="14.42578125" style="21" customWidth="1"/>
    <col min="3323" max="3323" width="7.28515625" style="21" customWidth="1"/>
    <col min="3324" max="3324" width="5.5703125" style="21" customWidth="1"/>
    <col min="3325" max="3325" width="9" style="21" customWidth="1"/>
    <col min="3326" max="3327" width="9.85546875" style="21" customWidth="1"/>
    <col min="3328" max="3328" width="11.140625" style="21" customWidth="1"/>
    <col min="3329" max="3329" width="2.85546875" style="21" customWidth="1"/>
    <col min="3330" max="3330" width="3.5703125" style="21" customWidth="1"/>
    <col min="3331" max="3575" width="9.140625" style="21"/>
    <col min="3576" max="3576" width="8.7109375" style="21" customWidth="1"/>
    <col min="3577" max="3577" width="9.85546875" style="21" customWidth="1"/>
    <col min="3578" max="3578" width="14.42578125" style="21" customWidth="1"/>
    <col min="3579" max="3579" width="7.28515625" style="21" customWidth="1"/>
    <col min="3580" max="3580" width="5.5703125" style="21" customWidth="1"/>
    <col min="3581" max="3581" width="9" style="21" customWidth="1"/>
    <col min="3582" max="3583" width="9.85546875" style="21" customWidth="1"/>
    <col min="3584" max="3584" width="11.140625" style="21" customWidth="1"/>
    <col min="3585" max="3585" width="2.85546875" style="21" customWidth="1"/>
    <col min="3586" max="3586" width="3.5703125" style="21" customWidth="1"/>
    <col min="3587" max="3831" width="9.140625" style="21"/>
    <col min="3832" max="3832" width="8.7109375" style="21" customWidth="1"/>
    <col min="3833" max="3833" width="9.85546875" style="21" customWidth="1"/>
    <col min="3834" max="3834" width="14.42578125" style="21" customWidth="1"/>
    <col min="3835" max="3835" width="7.28515625" style="21" customWidth="1"/>
    <col min="3836" max="3836" width="5.5703125" style="21" customWidth="1"/>
    <col min="3837" max="3837" width="9" style="21" customWidth="1"/>
    <col min="3838" max="3839" width="9.85546875" style="21" customWidth="1"/>
    <col min="3840" max="3840" width="11.140625" style="21" customWidth="1"/>
    <col min="3841" max="3841" width="2.85546875" style="21" customWidth="1"/>
    <col min="3842" max="3842" width="3.5703125" style="21" customWidth="1"/>
    <col min="3843" max="4087" width="9.140625" style="21"/>
    <col min="4088" max="4088" width="8.7109375" style="21" customWidth="1"/>
    <col min="4089" max="4089" width="9.85546875" style="21" customWidth="1"/>
    <col min="4090" max="4090" width="14.42578125" style="21" customWidth="1"/>
    <col min="4091" max="4091" width="7.28515625" style="21" customWidth="1"/>
    <col min="4092" max="4092" width="5.5703125" style="21" customWidth="1"/>
    <col min="4093" max="4093" width="9" style="21" customWidth="1"/>
    <col min="4094" max="4095" width="9.85546875" style="21" customWidth="1"/>
    <col min="4096" max="4096" width="11.140625" style="21" customWidth="1"/>
    <col min="4097" max="4097" width="2.85546875" style="21" customWidth="1"/>
    <col min="4098" max="4098" width="3.5703125" style="21" customWidth="1"/>
    <col min="4099" max="4343" width="9.140625" style="21"/>
    <col min="4344" max="4344" width="8.7109375" style="21" customWidth="1"/>
    <col min="4345" max="4345" width="9.85546875" style="21" customWidth="1"/>
    <col min="4346" max="4346" width="14.42578125" style="21" customWidth="1"/>
    <col min="4347" max="4347" width="7.28515625" style="21" customWidth="1"/>
    <col min="4348" max="4348" width="5.5703125" style="21" customWidth="1"/>
    <col min="4349" max="4349" width="9" style="21" customWidth="1"/>
    <col min="4350" max="4351" width="9.85546875" style="21" customWidth="1"/>
    <col min="4352" max="4352" width="11.140625" style="21" customWidth="1"/>
    <col min="4353" max="4353" width="2.85546875" style="21" customWidth="1"/>
    <col min="4354" max="4354" width="3.5703125" style="21" customWidth="1"/>
    <col min="4355" max="4599" width="9.140625" style="21"/>
    <col min="4600" max="4600" width="8.7109375" style="21" customWidth="1"/>
    <col min="4601" max="4601" width="9.85546875" style="21" customWidth="1"/>
    <col min="4602" max="4602" width="14.42578125" style="21" customWidth="1"/>
    <col min="4603" max="4603" width="7.28515625" style="21" customWidth="1"/>
    <col min="4604" max="4604" width="5.5703125" style="21" customWidth="1"/>
    <col min="4605" max="4605" width="9" style="21" customWidth="1"/>
    <col min="4606" max="4607" width="9.85546875" style="21" customWidth="1"/>
    <col min="4608" max="4608" width="11.140625" style="21" customWidth="1"/>
    <col min="4609" max="4609" width="2.85546875" style="21" customWidth="1"/>
    <col min="4610" max="4610" width="3.5703125" style="21" customWidth="1"/>
    <col min="4611" max="4855" width="9.140625" style="21"/>
    <col min="4856" max="4856" width="8.7109375" style="21" customWidth="1"/>
    <col min="4857" max="4857" width="9.85546875" style="21" customWidth="1"/>
    <col min="4858" max="4858" width="14.42578125" style="21" customWidth="1"/>
    <col min="4859" max="4859" width="7.28515625" style="21" customWidth="1"/>
    <col min="4860" max="4860" width="5.5703125" style="21" customWidth="1"/>
    <col min="4861" max="4861" width="9" style="21" customWidth="1"/>
    <col min="4862" max="4863" width="9.85546875" style="21" customWidth="1"/>
    <col min="4864" max="4864" width="11.140625" style="21" customWidth="1"/>
    <col min="4865" max="4865" width="2.85546875" style="21" customWidth="1"/>
    <col min="4866" max="4866" width="3.5703125" style="21" customWidth="1"/>
    <col min="4867" max="5111" width="9.140625" style="21"/>
    <col min="5112" max="5112" width="8.7109375" style="21" customWidth="1"/>
    <col min="5113" max="5113" width="9.85546875" style="21" customWidth="1"/>
    <col min="5114" max="5114" width="14.42578125" style="21" customWidth="1"/>
    <col min="5115" max="5115" width="7.28515625" style="21" customWidth="1"/>
    <col min="5116" max="5116" width="5.5703125" style="21" customWidth="1"/>
    <col min="5117" max="5117" width="9" style="21" customWidth="1"/>
    <col min="5118" max="5119" width="9.85546875" style="21" customWidth="1"/>
    <col min="5120" max="5120" width="11.140625" style="21" customWidth="1"/>
    <col min="5121" max="5121" width="2.85546875" style="21" customWidth="1"/>
    <col min="5122" max="5122" width="3.5703125" style="21" customWidth="1"/>
    <col min="5123" max="5367" width="9.140625" style="21"/>
    <col min="5368" max="5368" width="8.7109375" style="21" customWidth="1"/>
    <col min="5369" max="5369" width="9.85546875" style="21" customWidth="1"/>
    <col min="5370" max="5370" width="14.42578125" style="21" customWidth="1"/>
    <col min="5371" max="5371" width="7.28515625" style="21" customWidth="1"/>
    <col min="5372" max="5372" width="5.5703125" style="21" customWidth="1"/>
    <col min="5373" max="5373" width="9" style="21" customWidth="1"/>
    <col min="5374" max="5375" width="9.85546875" style="21" customWidth="1"/>
    <col min="5376" max="5376" width="11.140625" style="21" customWidth="1"/>
    <col min="5377" max="5377" width="2.85546875" style="21" customWidth="1"/>
    <col min="5378" max="5378" width="3.5703125" style="21" customWidth="1"/>
    <col min="5379" max="5623" width="9.140625" style="21"/>
    <col min="5624" max="5624" width="8.7109375" style="21" customWidth="1"/>
    <col min="5625" max="5625" width="9.85546875" style="21" customWidth="1"/>
    <col min="5626" max="5626" width="14.42578125" style="21" customWidth="1"/>
    <col min="5627" max="5627" width="7.28515625" style="21" customWidth="1"/>
    <col min="5628" max="5628" width="5.5703125" style="21" customWidth="1"/>
    <col min="5629" max="5629" width="9" style="21" customWidth="1"/>
    <col min="5630" max="5631" width="9.85546875" style="21" customWidth="1"/>
    <col min="5632" max="5632" width="11.140625" style="21" customWidth="1"/>
    <col min="5633" max="5633" width="2.85546875" style="21" customWidth="1"/>
    <col min="5634" max="5634" width="3.5703125" style="21" customWidth="1"/>
    <col min="5635" max="5879" width="9.140625" style="21"/>
    <col min="5880" max="5880" width="8.7109375" style="21" customWidth="1"/>
    <col min="5881" max="5881" width="9.85546875" style="21" customWidth="1"/>
    <col min="5882" max="5882" width="14.42578125" style="21" customWidth="1"/>
    <col min="5883" max="5883" width="7.28515625" style="21" customWidth="1"/>
    <col min="5884" max="5884" width="5.5703125" style="21" customWidth="1"/>
    <col min="5885" max="5885" width="9" style="21" customWidth="1"/>
    <col min="5886" max="5887" width="9.85546875" style="21" customWidth="1"/>
    <col min="5888" max="5888" width="11.140625" style="21" customWidth="1"/>
    <col min="5889" max="5889" width="2.85546875" style="21" customWidth="1"/>
    <col min="5890" max="5890" width="3.5703125" style="21" customWidth="1"/>
    <col min="5891" max="6135" width="9.140625" style="21"/>
    <col min="6136" max="6136" width="8.7109375" style="21" customWidth="1"/>
    <col min="6137" max="6137" width="9.85546875" style="21" customWidth="1"/>
    <col min="6138" max="6138" width="14.42578125" style="21" customWidth="1"/>
    <col min="6139" max="6139" width="7.28515625" style="21" customWidth="1"/>
    <col min="6140" max="6140" width="5.5703125" style="21" customWidth="1"/>
    <col min="6141" max="6141" width="9" style="21" customWidth="1"/>
    <col min="6142" max="6143" width="9.85546875" style="21" customWidth="1"/>
    <col min="6144" max="6144" width="11.140625" style="21" customWidth="1"/>
    <col min="6145" max="6145" width="2.85546875" style="21" customWidth="1"/>
    <col min="6146" max="6146" width="3.5703125" style="21" customWidth="1"/>
    <col min="6147" max="6391" width="9.140625" style="21"/>
    <col min="6392" max="6392" width="8.7109375" style="21" customWidth="1"/>
    <col min="6393" max="6393" width="9.85546875" style="21" customWidth="1"/>
    <col min="6394" max="6394" width="14.42578125" style="21" customWidth="1"/>
    <col min="6395" max="6395" width="7.28515625" style="21" customWidth="1"/>
    <col min="6396" max="6396" width="5.5703125" style="21" customWidth="1"/>
    <col min="6397" max="6397" width="9" style="21" customWidth="1"/>
    <col min="6398" max="6399" width="9.85546875" style="21" customWidth="1"/>
    <col min="6400" max="6400" width="11.140625" style="21" customWidth="1"/>
    <col min="6401" max="6401" width="2.85546875" style="21" customWidth="1"/>
    <col min="6402" max="6402" width="3.5703125" style="21" customWidth="1"/>
    <col min="6403" max="6647" width="9.140625" style="21"/>
    <col min="6648" max="6648" width="8.7109375" style="21" customWidth="1"/>
    <col min="6649" max="6649" width="9.85546875" style="21" customWidth="1"/>
    <col min="6650" max="6650" width="14.42578125" style="21" customWidth="1"/>
    <col min="6651" max="6651" width="7.28515625" style="21" customWidth="1"/>
    <col min="6652" max="6652" width="5.5703125" style="21" customWidth="1"/>
    <col min="6653" max="6653" width="9" style="21" customWidth="1"/>
    <col min="6654" max="6655" width="9.85546875" style="21" customWidth="1"/>
    <col min="6656" max="6656" width="11.140625" style="21" customWidth="1"/>
    <col min="6657" max="6657" width="2.85546875" style="21" customWidth="1"/>
    <col min="6658" max="6658" width="3.5703125" style="21" customWidth="1"/>
    <col min="6659" max="6903" width="9.140625" style="21"/>
    <col min="6904" max="6904" width="8.7109375" style="21" customWidth="1"/>
    <col min="6905" max="6905" width="9.85546875" style="21" customWidth="1"/>
    <col min="6906" max="6906" width="14.42578125" style="21" customWidth="1"/>
    <col min="6907" max="6907" width="7.28515625" style="21" customWidth="1"/>
    <col min="6908" max="6908" width="5.5703125" style="21" customWidth="1"/>
    <col min="6909" max="6909" width="9" style="21" customWidth="1"/>
    <col min="6910" max="6911" width="9.85546875" style="21" customWidth="1"/>
    <col min="6912" max="6912" width="11.140625" style="21" customWidth="1"/>
    <col min="6913" max="6913" width="2.85546875" style="21" customWidth="1"/>
    <col min="6914" max="6914" width="3.5703125" style="21" customWidth="1"/>
    <col min="6915" max="7159" width="9.140625" style="21"/>
    <col min="7160" max="7160" width="8.7109375" style="21" customWidth="1"/>
    <col min="7161" max="7161" width="9.85546875" style="21" customWidth="1"/>
    <col min="7162" max="7162" width="14.42578125" style="21" customWidth="1"/>
    <col min="7163" max="7163" width="7.28515625" style="21" customWidth="1"/>
    <col min="7164" max="7164" width="5.5703125" style="21" customWidth="1"/>
    <col min="7165" max="7165" width="9" style="21" customWidth="1"/>
    <col min="7166" max="7167" width="9.85546875" style="21" customWidth="1"/>
    <col min="7168" max="7168" width="11.140625" style="21" customWidth="1"/>
    <col min="7169" max="7169" width="2.85546875" style="21" customWidth="1"/>
    <col min="7170" max="7170" width="3.5703125" style="21" customWidth="1"/>
    <col min="7171" max="7415" width="9.140625" style="21"/>
    <col min="7416" max="7416" width="8.7109375" style="21" customWidth="1"/>
    <col min="7417" max="7417" width="9.85546875" style="21" customWidth="1"/>
    <col min="7418" max="7418" width="14.42578125" style="21" customWidth="1"/>
    <col min="7419" max="7419" width="7.28515625" style="21" customWidth="1"/>
    <col min="7420" max="7420" width="5.5703125" style="21" customWidth="1"/>
    <col min="7421" max="7421" width="9" style="21" customWidth="1"/>
    <col min="7422" max="7423" width="9.85546875" style="21" customWidth="1"/>
    <col min="7424" max="7424" width="11.140625" style="21" customWidth="1"/>
    <col min="7425" max="7425" width="2.85546875" style="21" customWidth="1"/>
    <col min="7426" max="7426" width="3.5703125" style="21" customWidth="1"/>
    <col min="7427" max="7671" width="9.140625" style="21"/>
    <col min="7672" max="7672" width="8.7109375" style="21" customWidth="1"/>
    <col min="7673" max="7673" width="9.85546875" style="21" customWidth="1"/>
    <col min="7674" max="7674" width="14.42578125" style="21" customWidth="1"/>
    <col min="7675" max="7675" width="7.28515625" style="21" customWidth="1"/>
    <col min="7676" max="7676" width="5.5703125" style="21" customWidth="1"/>
    <col min="7677" max="7677" width="9" style="21" customWidth="1"/>
    <col min="7678" max="7679" width="9.85546875" style="21" customWidth="1"/>
    <col min="7680" max="7680" width="11.140625" style="21" customWidth="1"/>
    <col min="7681" max="7681" width="2.85546875" style="21" customWidth="1"/>
    <col min="7682" max="7682" width="3.5703125" style="21" customWidth="1"/>
    <col min="7683" max="7927" width="9.140625" style="21"/>
    <col min="7928" max="7928" width="8.7109375" style="21" customWidth="1"/>
    <col min="7929" max="7929" width="9.85546875" style="21" customWidth="1"/>
    <col min="7930" max="7930" width="14.42578125" style="21" customWidth="1"/>
    <col min="7931" max="7931" width="7.28515625" style="21" customWidth="1"/>
    <col min="7932" max="7932" width="5.5703125" style="21" customWidth="1"/>
    <col min="7933" max="7933" width="9" style="21" customWidth="1"/>
    <col min="7934" max="7935" width="9.85546875" style="21" customWidth="1"/>
    <col min="7936" max="7936" width="11.140625" style="21" customWidth="1"/>
    <col min="7937" max="7937" width="2.85546875" style="21" customWidth="1"/>
    <col min="7938" max="7938" width="3.5703125" style="21" customWidth="1"/>
    <col min="7939" max="8183" width="9.140625" style="21"/>
    <col min="8184" max="8184" width="8.7109375" style="21" customWidth="1"/>
    <col min="8185" max="8185" width="9.85546875" style="21" customWidth="1"/>
    <col min="8186" max="8186" width="14.42578125" style="21" customWidth="1"/>
    <col min="8187" max="8187" width="7.28515625" style="21" customWidth="1"/>
    <col min="8188" max="8188" width="5.5703125" style="21" customWidth="1"/>
    <col min="8189" max="8189" width="9" style="21" customWidth="1"/>
    <col min="8190" max="8191" width="9.85546875" style="21" customWidth="1"/>
    <col min="8192" max="8192" width="11.140625" style="21" customWidth="1"/>
    <col min="8193" max="8193" width="2.85546875" style="21" customWidth="1"/>
    <col min="8194" max="8194" width="3.5703125" style="21" customWidth="1"/>
    <col min="8195" max="8439" width="9.140625" style="21"/>
    <col min="8440" max="8440" width="8.7109375" style="21" customWidth="1"/>
    <col min="8441" max="8441" width="9.85546875" style="21" customWidth="1"/>
    <col min="8442" max="8442" width="14.42578125" style="21" customWidth="1"/>
    <col min="8443" max="8443" width="7.28515625" style="21" customWidth="1"/>
    <col min="8444" max="8444" width="5.5703125" style="21" customWidth="1"/>
    <col min="8445" max="8445" width="9" style="21" customWidth="1"/>
    <col min="8446" max="8447" width="9.85546875" style="21" customWidth="1"/>
    <col min="8448" max="8448" width="11.140625" style="21" customWidth="1"/>
    <col min="8449" max="8449" width="2.85546875" style="21" customWidth="1"/>
    <col min="8450" max="8450" width="3.5703125" style="21" customWidth="1"/>
    <col min="8451" max="8695" width="9.140625" style="21"/>
    <col min="8696" max="8696" width="8.7109375" style="21" customWidth="1"/>
    <col min="8697" max="8697" width="9.85546875" style="21" customWidth="1"/>
    <col min="8698" max="8698" width="14.42578125" style="21" customWidth="1"/>
    <col min="8699" max="8699" width="7.28515625" style="21" customWidth="1"/>
    <col min="8700" max="8700" width="5.5703125" style="21" customWidth="1"/>
    <col min="8701" max="8701" width="9" style="21" customWidth="1"/>
    <col min="8702" max="8703" width="9.85546875" style="21" customWidth="1"/>
    <col min="8704" max="8704" width="11.140625" style="21" customWidth="1"/>
    <col min="8705" max="8705" width="2.85546875" style="21" customWidth="1"/>
    <col min="8706" max="8706" width="3.5703125" style="21" customWidth="1"/>
    <col min="8707" max="8951" width="9.140625" style="21"/>
    <col min="8952" max="8952" width="8.7109375" style="21" customWidth="1"/>
    <col min="8953" max="8953" width="9.85546875" style="21" customWidth="1"/>
    <col min="8954" max="8954" width="14.42578125" style="21" customWidth="1"/>
    <col min="8955" max="8955" width="7.28515625" style="21" customWidth="1"/>
    <col min="8956" max="8956" width="5.5703125" style="21" customWidth="1"/>
    <col min="8957" max="8957" width="9" style="21" customWidth="1"/>
    <col min="8958" max="8959" width="9.85546875" style="21" customWidth="1"/>
    <col min="8960" max="8960" width="11.140625" style="21" customWidth="1"/>
    <col min="8961" max="8961" width="2.85546875" style="21" customWidth="1"/>
    <col min="8962" max="8962" width="3.5703125" style="21" customWidth="1"/>
    <col min="8963" max="9207" width="9.140625" style="21"/>
    <col min="9208" max="9208" width="8.7109375" style="21" customWidth="1"/>
    <col min="9209" max="9209" width="9.85546875" style="21" customWidth="1"/>
    <col min="9210" max="9210" width="14.42578125" style="21" customWidth="1"/>
    <col min="9211" max="9211" width="7.28515625" style="21" customWidth="1"/>
    <col min="9212" max="9212" width="5.5703125" style="21" customWidth="1"/>
    <col min="9213" max="9213" width="9" style="21" customWidth="1"/>
    <col min="9214" max="9215" width="9.85546875" style="21" customWidth="1"/>
    <col min="9216" max="9216" width="11.140625" style="21" customWidth="1"/>
    <col min="9217" max="9217" width="2.85546875" style="21" customWidth="1"/>
    <col min="9218" max="9218" width="3.5703125" style="21" customWidth="1"/>
    <col min="9219" max="9463" width="9.140625" style="21"/>
    <col min="9464" max="9464" width="8.7109375" style="21" customWidth="1"/>
    <col min="9465" max="9465" width="9.85546875" style="21" customWidth="1"/>
    <col min="9466" max="9466" width="14.42578125" style="21" customWidth="1"/>
    <col min="9467" max="9467" width="7.28515625" style="21" customWidth="1"/>
    <col min="9468" max="9468" width="5.5703125" style="21" customWidth="1"/>
    <col min="9469" max="9469" width="9" style="21" customWidth="1"/>
    <col min="9470" max="9471" width="9.85546875" style="21" customWidth="1"/>
    <col min="9472" max="9472" width="11.140625" style="21" customWidth="1"/>
    <col min="9473" max="9473" width="2.85546875" style="21" customWidth="1"/>
    <col min="9474" max="9474" width="3.5703125" style="21" customWidth="1"/>
    <col min="9475" max="9719" width="9.140625" style="21"/>
    <col min="9720" max="9720" width="8.7109375" style="21" customWidth="1"/>
    <col min="9721" max="9721" width="9.85546875" style="21" customWidth="1"/>
    <col min="9722" max="9722" width="14.42578125" style="21" customWidth="1"/>
    <col min="9723" max="9723" width="7.28515625" style="21" customWidth="1"/>
    <col min="9724" max="9724" width="5.5703125" style="21" customWidth="1"/>
    <col min="9725" max="9725" width="9" style="21" customWidth="1"/>
    <col min="9726" max="9727" width="9.85546875" style="21" customWidth="1"/>
    <col min="9728" max="9728" width="11.140625" style="21" customWidth="1"/>
    <col min="9729" max="9729" width="2.85546875" style="21" customWidth="1"/>
    <col min="9730" max="9730" width="3.5703125" style="21" customWidth="1"/>
    <col min="9731" max="9975" width="9.140625" style="21"/>
    <col min="9976" max="9976" width="8.7109375" style="21" customWidth="1"/>
    <col min="9977" max="9977" width="9.85546875" style="21" customWidth="1"/>
    <col min="9978" max="9978" width="14.42578125" style="21" customWidth="1"/>
    <col min="9979" max="9979" width="7.28515625" style="21" customWidth="1"/>
    <col min="9980" max="9980" width="5.5703125" style="21" customWidth="1"/>
    <col min="9981" max="9981" width="9" style="21" customWidth="1"/>
    <col min="9982" max="9983" width="9.85546875" style="21" customWidth="1"/>
    <col min="9984" max="9984" width="11.140625" style="21" customWidth="1"/>
    <col min="9985" max="9985" width="2.85546875" style="21" customWidth="1"/>
    <col min="9986" max="9986" width="3.5703125" style="21" customWidth="1"/>
    <col min="9987" max="10231" width="9.140625" style="21"/>
    <col min="10232" max="10232" width="8.7109375" style="21" customWidth="1"/>
    <col min="10233" max="10233" width="9.85546875" style="21" customWidth="1"/>
    <col min="10234" max="10234" width="14.42578125" style="21" customWidth="1"/>
    <col min="10235" max="10235" width="7.28515625" style="21" customWidth="1"/>
    <col min="10236" max="10236" width="5.5703125" style="21" customWidth="1"/>
    <col min="10237" max="10237" width="9" style="21" customWidth="1"/>
    <col min="10238" max="10239" width="9.85546875" style="21" customWidth="1"/>
    <col min="10240" max="10240" width="11.140625" style="21" customWidth="1"/>
    <col min="10241" max="10241" width="2.85546875" style="21" customWidth="1"/>
    <col min="10242" max="10242" width="3.5703125" style="21" customWidth="1"/>
    <col min="10243" max="10487" width="9.140625" style="21"/>
    <col min="10488" max="10488" width="8.7109375" style="21" customWidth="1"/>
    <col min="10489" max="10489" width="9.85546875" style="21" customWidth="1"/>
    <col min="10490" max="10490" width="14.42578125" style="21" customWidth="1"/>
    <col min="10491" max="10491" width="7.28515625" style="21" customWidth="1"/>
    <col min="10492" max="10492" width="5.5703125" style="21" customWidth="1"/>
    <col min="10493" max="10493" width="9" style="21" customWidth="1"/>
    <col min="10494" max="10495" width="9.85546875" style="21" customWidth="1"/>
    <col min="10496" max="10496" width="11.140625" style="21" customWidth="1"/>
    <col min="10497" max="10497" width="2.85546875" style="21" customWidth="1"/>
    <col min="10498" max="10498" width="3.5703125" style="21" customWidth="1"/>
    <col min="10499" max="10743" width="9.140625" style="21"/>
    <col min="10744" max="10744" width="8.7109375" style="21" customWidth="1"/>
    <col min="10745" max="10745" width="9.85546875" style="21" customWidth="1"/>
    <col min="10746" max="10746" width="14.42578125" style="21" customWidth="1"/>
    <col min="10747" max="10747" width="7.28515625" style="21" customWidth="1"/>
    <col min="10748" max="10748" width="5.5703125" style="21" customWidth="1"/>
    <col min="10749" max="10749" width="9" style="21" customWidth="1"/>
    <col min="10750" max="10751" width="9.85546875" style="21" customWidth="1"/>
    <col min="10752" max="10752" width="11.140625" style="21" customWidth="1"/>
    <col min="10753" max="10753" width="2.85546875" style="21" customWidth="1"/>
    <col min="10754" max="10754" width="3.5703125" style="21" customWidth="1"/>
    <col min="10755" max="10999" width="9.140625" style="21"/>
    <col min="11000" max="11000" width="8.7109375" style="21" customWidth="1"/>
    <col min="11001" max="11001" width="9.85546875" style="21" customWidth="1"/>
    <col min="11002" max="11002" width="14.42578125" style="21" customWidth="1"/>
    <col min="11003" max="11003" width="7.28515625" style="21" customWidth="1"/>
    <col min="11004" max="11004" width="5.5703125" style="21" customWidth="1"/>
    <col min="11005" max="11005" width="9" style="21" customWidth="1"/>
    <col min="11006" max="11007" width="9.85546875" style="21" customWidth="1"/>
    <col min="11008" max="11008" width="11.140625" style="21" customWidth="1"/>
    <col min="11009" max="11009" width="2.85546875" style="21" customWidth="1"/>
    <col min="11010" max="11010" width="3.5703125" style="21" customWidth="1"/>
    <col min="11011" max="11255" width="9.140625" style="21"/>
    <col min="11256" max="11256" width="8.7109375" style="21" customWidth="1"/>
    <col min="11257" max="11257" width="9.85546875" style="21" customWidth="1"/>
    <col min="11258" max="11258" width="14.42578125" style="21" customWidth="1"/>
    <col min="11259" max="11259" width="7.28515625" style="21" customWidth="1"/>
    <col min="11260" max="11260" width="5.5703125" style="21" customWidth="1"/>
    <col min="11261" max="11261" width="9" style="21" customWidth="1"/>
    <col min="11262" max="11263" width="9.85546875" style="21" customWidth="1"/>
    <col min="11264" max="11264" width="11.140625" style="21" customWidth="1"/>
    <col min="11265" max="11265" width="2.85546875" style="21" customWidth="1"/>
    <col min="11266" max="11266" width="3.5703125" style="21" customWidth="1"/>
    <col min="11267" max="11511" width="9.140625" style="21"/>
    <col min="11512" max="11512" width="8.7109375" style="21" customWidth="1"/>
    <col min="11513" max="11513" width="9.85546875" style="21" customWidth="1"/>
    <col min="11514" max="11514" width="14.42578125" style="21" customWidth="1"/>
    <col min="11515" max="11515" width="7.28515625" style="21" customWidth="1"/>
    <col min="11516" max="11516" width="5.5703125" style="21" customWidth="1"/>
    <col min="11517" max="11517" width="9" style="21" customWidth="1"/>
    <col min="11518" max="11519" width="9.85546875" style="21" customWidth="1"/>
    <col min="11520" max="11520" width="11.140625" style="21" customWidth="1"/>
    <col min="11521" max="11521" width="2.85546875" style="21" customWidth="1"/>
    <col min="11522" max="11522" width="3.5703125" style="21" customWidth="1"/>
    <col min="11523" max="11767" width="9.140625" style="21"/>
    <col min="11768" max="11768" width="8.7109375" style="21" customWidth="1"/>
    <col min="11769" max="11769" width="9.85546875" style="21" customWidth="1"/>
    <col min="11770" max="11770" width="14.42578125" style="21" customWidth="1"/>
    <col min="11771" max="11771" width="7.28515625" style="21" customWidth="1"/>
    <col min="11772" max="11772" width="5.5703125" style="21" customWidth="1"/>
    <col min="11773" max="11773" width="9" style="21" customWidth="1"/>
    <col min="11774" max="11775" width="9.85546875" style="21" customWidth="1"/>
    <col min="11776" max="11776" width="11.140625" style="21" customWidth="1"/>
    <col min="11777" max="11777" width="2.85546875" style="21" customWidth="1"/>
    <col min="11778" max="11778" width="3.5703125" style="21" customWidth="1"/>
    <col min="11779" max="12023" width="9.140625" style="21"/>
    <col min="12024" max="12024" width="8.7109375" style="21" customWidth="1"/>
    <col min="12025" max="12025" width="9.85546875" style="21" customWidth="1"/>
    <col min="12026" max="12026" width="14.42578125" style="21" customWidth="1"/>
    <col min="12027" max="12027" width="7.28515625" style="21" customWidth="1"/>
    <col min="12028" max="12028" width="5.5703125" style="21" customWidth="1"/>
    <col min="12029" max="12029" width="9" style="21" customWidth="1"/>
    <col min="12030" max="12031" width="9.85546875" style="21" customWidth="1"/>
    <col min="12032" max="12032" width="11.140625" style="21" customWidth="1"/>
    <col min="12033" max="12033" width="2.85546875" style="21" customWidth="1"/>
    <col min="12034" max="12034" width="3.5703125" style="21" customWidth="1"/>
    <col min="12035" max="12279" width="9.140625" style="21"/>
    <col min="12280" max="12280" width="8.7109375" style="21" customWidth="1"/>
    <col min="12281" max="12281" width="9.85546875" style="21" customWidth="1"/>
    <col min="12282" max="12282" width="14.42578125" style="21" customWidth="1"/>
    <col min="12283" max="12283" width="7.28515625" style="21" customWidth="1"/>
    <col min="12284" max="12284" width="5.5703125" style="21" customWidth="1"/>
    <col min="12285" max="12285" width="9" style="21" customWidth="1"/>
    <col min="12286" max="12287" width="9.85546875" style="21" customWidth="1"/>
    <col min="12288" max="12288" width="11.140625" style="21" customWidth="1"/>
    <col min="12289" max="12289" width="2.85546875" style="21" customWidth="1"/>
    <col min="12290" max="12290" width="3.5703125" style="21" customWidth="1"/>
    <col min="12291" max="12535" width="9.140625" style="21"/>
    <col min="12536" max="12536" width="8.7109375" style="21" customWidth="1"/>
    <col min="12537" max="12537" width="9.85546875" style="21" customWidth="1"/>
    <col min="12538" max="12538" width="14.42578125" style="21" customWidth="1"/>
    <col min="12539" max="12539" width="7.28515625" style="21" customWidth="1"/>
    <col min="12540" max="12540" width="5.5703125" style="21" customWidth="1"/>
    <col min="12541" max="12541" width="9" style="21" customWidth="1"/>
    <col min="12542" max="12543" width="9.85546875" style="21" customWidth="1"/>
    <col min="12544" max="12544" width="11.140625" style="21" customWidth="1"/>
    <col min="12545" max="12545" width="2.85546875" style="21" customWidth="1"/>
    <col min="12546" max="12546" width="3.5703125" style="21" customWidth="1"/>
    <col min="12547" max="12791" width="9.140625" style="21"/>
    <col min="12792" max="12792" width="8.7109375" style="21" customWidth="1"/>
    <col min="12793" max="12793" width="9.85546875" style="21" customWidth="1"/>
    <col min="12794" max="12794" width="14.42578125" style="21" customWidth="1"/>
    <col min="12795" max="12795" width="7.28515625" style="21" customWidth="1"/>
    <col min="12796" max="12796" width="5.5703125" style="21" customWidth="1"/>
    <col min="12797" max="12797" width="9" style="21" customWidth="1"/>
    <col min="12798" max="12799" width="9.85546875" style="21" customWidth="1"/>
    <col min="12800" max="12800" width="11.140625" style="21" customWidth="1"/>
    <col min="12801" max="12801" width="2.85546875" style="21" customWidth="1"/>
    <col min="12802" max="12802" width="3.5703125" style="21" customWidth="1"/>
    <col min="12803" max="13047" width="9.140625" style="21"/>
    <col min="13048" max="13048" width="8.7109375" style="21" customWidth="1"/>
    <col min="13049" max="13049" width="9.85546875" style="21" customWidth="1"/>
    <col min="13050" max="13050" width="14.42578125" style="21" customWidth="1"/>
    <col min="13051" max="13051" width="7.28515625" style="21" customWidth="1"/>
    <col min="13052" max="13052" width="5.5703125" style="21" customWidth="1"/>
    <col min="13053" max="13053" width="9" style="21" customWidth="1"/>
    <col min="13054" max="13055" width="9.85546875" style="21" customWidth="1"/>
    <col min="13056" max="13056" width="11.140625" style="21" customWidth="1"/>
    <col min="13057" max="13057" width="2.85546875" style="21" customWidth="1"/>
    <col min="13058" max="13058" width="3.5703125" style="21" customWidth="1"/>
    <col min="13059" max="13303" width="9.140625" style="21"/>
    <col min="13304" max="13304" width="8.7109375" style="21" customWidth="1"/>
    <col min="13305" max="13305" width="9.85546875" style="21" customWidth="1"/>
    <col min="13306" max="13306" width="14.42578125" style="21" customWidth="1"/>
    <col min="13307" max="13307" width="7.28515625" style="21" customWidth="1"/>
    <col min="13308" max="13308" width="5.5703125" style="21" customWidth="1"/>
    <col min="13309" max="13309" width="9" style="21" customWidth="1"/>
    <col min="13310" max="13311" width="9.85546875" style="21" customWidth="1"/>
    <col min="13312" max="13312" width="11.140625" style="21" customWidth="1"/>
    <col min="13313" max="13313" width="2.85546875" style="21" customWidth="1"/>
    <col min="13314" max="13314" width="3.5703125" style="21" customWidth="1"/>
    <col min="13315" max="13559" width="9.140625" style="21"/>
    <col min="13560" max="13560" width="8.7109375" style="21" customWidth="1"/>
    <col min="13561" max="13561" width="9.85546875" style="21" customWidth="1"/>
    <col min="13562" max="13562" width="14.42578125" style="21" customWidth="1"/>
    <col min="13563" max="13563" width="7.28515625" style="21" customWidth="1"/>
    <col min="13564" max="13564" width="5.5703125" style="21" customWidth="1"/>
    <col min="13565" max="13565" width="9" style="21" customWidth="1"/>
    <col min="13566" max="13567" width="9.85546875" style="21" customWidth="1"/>
    <col min="13568" max="13568" width="11.140625" style="21" customWidth="1"/>
    <col min="13569" max="13569" width="2.85546875" style="21" customWidth="1"/>
    <col min="13570" max="13570" width="3.5703125" style="21" customWidth="1"/>
    <col min="13571" max="13815" width="9.140625" style="21"/>
    <col min="13816" max="13816" width="8.7109375" style="21" customWidth="1"/>
    <col min="13817" max="13817" width="9.85546875" style="21" customWidth="1"/>
    <col min="13818" max="13818" width="14.42578125" style="21" customWidth="1"/>
    <col min="13819" max="13819" width="7.28515625" style="21" customWidth="1"/>
    <col min="13820" max="13820" width="5.5703125" style="21" customWidth="1"/>
    <col min="13821" max="13821" width="9" style="21" customWidth="1"/>
    <col min="13822" max="13823" width="9.85546875" style="21" customWidth="1"/>
    <col min="13824" max="13824" width="11.140625" style="21" customWidth="1"/>
    <col min="13825" max="13825" width="2.85546875" style="21" customWidth="1"/>
    <col min="13826" max="13826" width="3.5703125" style="21" customWidth="1"/>
    <col min="13827" max="14071" width="9.140625" style="21"/>
    <col min="14072" max="14072" width="8.7109375" style="21" customWidth="1"/>
    <col min="14073" max="14073" width="9.85546875" style="21" customWidth="1"/>
    <col min="14074" max="14074" width="14.42578125" style="21" customWidth="1"/>
    <col min="14075" max="14075" width="7.28515625" style="21" customWidth="1"/>
    <col min="14076" max="14076" width="5.5703125" style="21" customWidth="1"/>
    <col min="14077" max="14077" width="9" style="21" customWidth="1"/>
    <col min="14078" max="14079" width="9.85546875" style="21" customWidth="1"/>
    <col min="14080" max="14080" width="11.140625" style="21" customWidth="1"/>
    <col min="14081" max="14081" width="2.85546875" style="21" customWidth="1"/>
    <col min="14082" max="14082" width="3.5703125" style="21" customWidth="1"/>
    <col min="14083" max="14327" width="9.140625" style="21"/>
    <col min="14328" max="14328" width="8.7109375" style="21" customWidth="1"/>
    <col min="14329" max="14329" width="9.85546875" style="21" customWidth="1"/>
    <col min="14330" max="14330" width="14.42578125" style="21" customWidth="1"/>
    <col min="14331" max="14331" width="7.28515625" style="21" customWidth="1"/>
    <col min="14332" max="14332" width="5.5703125" style="21" customWidth="1"/>
    <col min="14333" max="14333" width="9" style="21" customWidth="1"/>
    <col min="14334" max="14335" width="9.85546875" style="21" customWidth="1"/>
    <col min="14336" max="14336" width="11.140625" style="21" customWidth="1"/>
    <col min="14337" max="14337" width="2.85546875" style="21" customWidth="1"/>
    <col min="14338" max="14338" width="3.5703125" style="21" customWidth="1"/>
    <col min="14339" max="14583" width="9.140625" style="21"/>
    <col min="14584" max="14584" width="8.7109375" style="21" customWidth="1"/>
    <col min="14585" max="14585" width="9.85546875" style="21" customWidth="1"/>
    <col min="14586" max="14586" width="14.42578125" style="21" customWidth="1"/>
    <col min="14587" max="14587" width="7.28515625" style="21" customWidth="1"/>
    <col min="14588" max="14588" width="5.5703125" style="21" customWidth="1"/>
    <col min="14589" max="14589" width="9" style="21" customWidth="1"/>
    <col min="14590" max="14591" width="9.85546875" style="21" customWidth="1"/>
    <col min="14592" max="14592" width="11.140625" style="21" customWidth="1"/>
    <col min="14593" max="14593" width="2.85546875" style="21" customWidth="1"/>
    <col min="14594" max="14594" width="3.5703125" style="21" customWidth="1"/>
    <col min="14595" max="14839" width="9.140625" style="21"/>
    <col min="14840" max="14840" width="8.7109375" style="21" customWidth="1"/>
    <col min="14841" max="14841" width="9.85546875" style="21" customWidth="1"/>
    <col min="14842" max="14842" width="14.42578125" style="21" customWidth="1"/>
    <col min="14843" max="14843" width="7.28515625" style="21" customWidth="1"/>
    <col min="14844" max="14844" width="5.5703125" style="21" customWidth="1"/>
    <col min="14845" max="14845" width="9" style="21" customWidth="1"/>
    <col min="14846" max="14847" width="9.85546875" style="21" customWidth="1"/>
    <col min="14848" max="14848" width="11.140625" style="21" customWidth="1"/>
    <col min="14849" max="14849" width="2.85546875" style="21" customWidth="1"/>
    <col min="14850" max="14850" width="3.5703125" style="21" customWidth="1"/>
    <col min="14851" max="15095" width="9.140625" style="21"/>
    <col min="15096" max="15096" width="8.7109375" style="21" customWidth="1"/>
    <col min="15097" max="15097" width="9.85546875" style="21" customWidth="1"/>
    <col min="15098" max="15098" width="14.42578125" style="21" customWidth="1"/>
    <col min="15099" max="15099" width="7.28515625" style="21" customWidth="1"/>
    <col min="15100" max="15100" width="5.5703125" style="21" customWidth="1"/>
    <col min="15101" max="15101" width="9" style="21" customWidth="1"/>
    <col min="15102" max="15103" width="9.85546875" style="21" customWidth="1"/>
    <col min="15104" max="15104" width="11.140625" style="21" customWidth="1"/>
    <col min="15105" max="15105" width="2.85546875" style="21" customWidth="1"/>
    <col min="15106" max="15106" width="3.5703125" style="21" customWidth="1"/>
    <col min="15107" max="15351" width="9.140625" style="21"/>
    <col min="15352" max="15352" width="8.7109375" style="21" customWidth="1"/>
    <col min="15353" max="15353" width="9.85546875" style="21" customWidth="1"/>
    <col min="15354" max="15354" width="14.42578125" style="21" customWidth="1"/>
    <col min="15355" max="15355" width="7.28515625" style="21" customWidth="1"/>
    <col min="15356" max="15356" width="5.5703125" style="21" customWidth="1"/>
    <col min="15357" max="15357" width="9" style="21" customWidth="1"/>
    <col min="15358" max="15359" width="9.85546875" style="21" customWidth="1"/>
    <col min="15360" max="15360" width="11.140625" style="21" customWidth="1"/>
    <col min="15361" max="15361" width="2.85546875" style="21" customWidth="1"/>
    <col min="15362" max="15362" width="3.5703125" style="21" customWidth="1"/>
    <col min="15363" max="15607" width="9.140625" style="21"/>
    <col min="15608" max="15608" width="8.7109375" style="21" customWidth="1"/>
    <col min="15609" max="15609" width="9.85546875" style="21" customWidth="1"/>
    <col min="15610" max="15610" width="14.42578125" style="21" customWidth="1"/>
    <col min="15611" max="15611" width="7.28515625" style="21" customWidth="1"/>
    <col min="15612" max="15612" width="5.5703125" style="21" customWidth="1"/>
    <col min="15613" max="15613" width="9" style="21" customWidth="1"/>
    <col min="15614" max="15615" width="9.85546875" style="21" customWidth="1"/>
    <col min="15616" max="15616" width="11.140625" style="21" customWidth="1"/>
    <col min="15617" max="15617" width="2.85546875" style="21" customWidth="1"/>
    <col min="15618" max="15618" width="3.5703125" style="21" customWidth="1"/>
    <col min="15619" max="15863" width="9.140625" style="21"/>
    <col min="15864" max="15864" width="8.7109375" style="21" customWidth="1"/>
    <col min="15865" max="15865" width="9.85546875" style="21" customWidth="1"/>
    <col min="15866" max="15866" width="14.42578125" style="21" customWidth="1"/>
    <col min="15867" max="15867" width="7.28515625" style="21" customWidth="1"/>
    <col min="15868" max="15868" width="5.5703125" style="21" customWidth="1"/>
    <col min="15869" max="15869" width="9" style="21" customWidth="1"/>
    <col min="15870" max="15871" width="9.85546875" style="21" customWidth="1"/>
    <col min="15872" max="15872" width="11.140625" style="21" customWidth="1"/>
    <col min="15873" max="15873" width="2.85546875" style="21" customWidth="1"/>
    <col min="15874" max="15874" width="3.5703125" style="21" customWidth="1"/>
    <col min="15875" max="16119" width="9.140625" style="21"/>
    <col min="16120" max="16120" width="8.7109375" style="21" customWidth="1"/>
    <col min="16121" max="16121" width="9.85546875" style="21" customWidth="1"/>
    <col min="16122" max="16122" width="14.42578125" style="21" customWidth="1"/>
    <col min="16123" max="16123" width="7.28515625" style="21" customWidth="1"/>
    <col min="16124" max="16124" width="5.5703125" style="21" customWidth="1"/>
    <col min="16125" max="16125" width="9" style="21" customWidth="1"/>
    <col min="16126" max="16127" width="9.85546875" style="21" customWidth="1"/>
    <col min="16128" max="16128" width="11.140625" style="21" customWidth="1"/>
    <col min="16129" max="16129" width="2.85546875" style="21" customWidth="1"/>
    <col min="16130" max="16130" width="3.5703125" style="21" customWidth="1"/>
    <col min="16131" max="16384" width="9.140625" style="21"/>
  </cols>
  <sheetData>
    <row r="1" spans="1:10" ht="46.5" customHeight="1" x14ac:dyDescent="0.25">
      <c r="A1" s="202" t="s">
        <v>259</v>
      </c>
      <c r="B1" s="202"/>
      <c r="C1" s="202"/>
      <c r="D1" s="202"/>
      <c r="E1" s="202"/>
      <c r="F1" s="202"/>
      <c r="G1" s="202"/>
      <c r="H1" s="202"/>
    </row>
    <row r="2" spans="1:10" ht="16.5" customHeight="1" x14ac:dyDescent="0.25">
      <c r="A2" s="183" t="s">
        <v>0</v>
      </c>
      <c r="B2" s="183"/>
      <c r="C2" s="183"/>
      <c r="D2" s="183"/>
      <c r="E2" s="183"/>
      <c r="F2" s="183"/>
      <c r="G2" s="183"/>
      <c r="H2" s="183"/>
    </row>
    <row r="3" spans="1:10" x14ac:dyDescent="0.25">
      <c r="A3" s="166" t="s">
        <v>1</v>
      </c>
      <c r="B3" s="166"/>
      <c r="C3" s="166"/>
      <c r="D3" s="166"/>
      <c r="E3" s="166" t="str">
        <f ca="1">TEXT(TODAY(),"DD/MM/YYYY")</f>
        <v>09/07/2025</v>
      </c>
      <c r="F3" s="166"/>
      <c r="G3" s="166"/>
      <c r="H3" s="166"/>
    </row>
    <row r="4" spans="1:10" ht="15" customHeight="1" x14ac:dyDescent="0.25">
      <c r="A4" s="166" t="s">
        <v>2</v>
      </c>
      <c r="B4" s="166"/>
      <c r="C4" s="166"/>
      <c r="D4" s="166"/>
      <c r="E4" s="166" t="s">
        <v>163</v>
      </c>
      <c r="F4" s="166"/>
      <c r="G4" s="166"/>
      <c r="H4" s="166"/>
    </row>
    <row r="5" spans="1:10" x14ac:dyDescent="0.25">
      <c r="A5" s="166" t="s">
        <v>3</v>
      </c>
      <c r="B5" s="166"/>
      <c r="C5" s="166"/>
      <c r="D5" s="166"/>
      <c r="E5" s="203">
        <v>45846</v>
      </c>
      <c r="F5" s="166"/>
      <c r="G5" s="166"/>
      <c r="H5" s="166"/>
    </row>
    <row r="6" spans="1:10" ht="16.5" customHeight="1" x14ac:dyDescent="0.25">
      <c r="A6" s="166" t="s">
        <v>4</v>
      </c>
      <c r="B6" s="166"/>
      <c r="C6" s="166"/>
      <c r="D6" s="166"/>
      <c r="E6" s="166" t="s">
        <v>165</v>
      </c>
      <c r="F6" s="166"/>
      <c r="G6" s="166"/>
      <c r="H6" s="166"/>
    </row>
    <row r="7" spans="1:10" ht="15" customHeight="1" x14ac:dyDescent="0.25">
      <c r="A7" s="166" t="s">
        <v>5</v>
      </c>
      <c r="B7" s="166"/>
      <c r="C7" s="166"/>
      <c r="D7" s="166"/>
      <c r="E7" s="166" t="str">
        <f>E6</f>
        <v>Jsb Homemakers Pvt Ltd</v>
      </c>
      <c r="F7" s="166"/>
      <c r="G7" s="166"/>
      <c r="H7" s="166"/>
    </row>
    <row r="8" spans="1:10" x14ac:dyDescent="0.25">
      <c r="A8" s="166" t="s">
        <v>6</v>
      </c>
      <c r="B8" s="166"/>
      <c r="C8" s="166"/>
      <c r="D8" s="166"/>
      <c r="E8" s="98" t="s">
        <v>244</v>
      </c>
      <c r="F8" s="98"/>
      <c r="G8" s="98"/>
      <c r="H8" s="98"/>
      <c r="I8" s="22" t="s">
        <v>260</v>
      </c>
      <c r="J8" s="22"/>
    </row>
    <row r="9" spans="1:10" x14ac:dyDescent="0.25">
      <c r="A9" s="166" t="s">
        <v>159</v>
      </c>
      <c r="B9" s="166"/>
      <c r="C9" s="166"/>
      <c r="D9" s="166"/>
      <c r="E9" s="166">
        <v>9867717257</v>
      </c>
      <c r="F9" s="166"/>
      <c r="G9" s="166"/>
      <c r="H9" s="166"/>
    </row>
    <row r="10" spans="1:10" x14ac:dyDescent="0.25">
      <c r="A10" s="166" t="s">
        <v>160</v>
      </c>
      <c r="B10" s="166"/>
      <c r="C10" s="166"/>
      <c r="D10" s="166"/>
      <c r="E10" s="166" t="s">
        <v>263</v>
      </c>
      <c r="F10" s="166"/>
      <c r="G10" s="166"/>
      <c r="H10" s="166"/>
    </row>
    <row r="11" spans="1:10" ht="48.75" customHeight="1" x14ac:dyDescent="0.25">
      <c r="A11" s="166" t="s">
        <v>7</v>
      </c>
      <c r="B11" s="166"/>
      <c r="C11" s="166"/>
      <c r="D11" s="166"/>
      <c r="E11" s="162" t="s">
        <v>240</v>
      </c>
      <c r="F11" s="166"/>
      <c r="G11" s="166"/>
      <c r="H11" s="166"/>
    </row>
    <row r="12" spans="1:10" x14ac:dyDescent="0.25">
      <c r="A12" s="149" t="s">
        <v>8</v>
      </c>
      <c r="B12" s="149"/>
      <c r="C12" s="149"/>
      <c r="D12" s="149"/>
      <c r="E12" s="162" t="s">
        <v>197</v>
      </c>
      <c r="F12" s="162"/>
      <c r="G12" s="162"/>
      <c r="H12" s="162"/>
    </row>
    <row r="13" spans="1:10" ht="33.75" customHeight="1" x14ac:dyDescent="0.25">
      <c r="A13" s="149" t="s">
        <v>9</v>
      </c>
      <c r="B13" s="149"/>
      <c r="C13" s="149"/>
      <c r="D13" s="149"/>
      <c r="E13" s="162" t="s">
        <v>241</v>
      </c>
      <c r="F13" s="166"/>
      <c r="G13" s="166"/>
      <c r="H13" s="166"/>
    </row>
    <row r="14" spans="1:10" ht="48.75" customHeight="1" x14ac:dyDescent="0.25">
      <c r="A14" s="115" t="s">
        <v>10</v>
      </c>
      <c r="B14" s="115"/>
      <c r="C14" s="115" t="str">
        <f>CONCATENATE((IF(OR(E8="",E8="NA"),"",E8)),", ",(IF(OR(A15="",A15="NA"),"",A15)),".",(IF(OR(C15="",C15="NA"),"",C15)),", near ",(IF(OR(C20="",C20="NA"),"",C20)),", ",(IF(OR(C17="",C17="NA"),"",C17)),", ",(IF(OR(C16="",C16="NA"),"",C16)),", ",(IF(OR(G17="",G17="NA"),"",G17)),", ",(IF(OR(C18="",C18="NA"),"",C18)),", ",(IF(OR(C19="",C19="NA"),"",C19)),", ",(IF(OR(G18="",G18="NA"),"",G18))," - ",(IF(OR(G19="",G19="NA"),"",G19)),".")</f>
        <v>Nakshatra Veda &amp; II, Survey No.73 Out of larger layout land bearing S.No.62, H.No.1, 2/Pt, 3, 4, 5, 7, S.No.63, H.No.2/1, 2/2, 3 &amp; Others, near Samaira Residency, Ambadi Road, Madhuvan city, Gokhiware, Vasai Road, Vasai, Palghar - 401208.</v>
      </c>
      <c r="D14" s="115"/>
      <c r="E14" s="115"/>
      <c r="F14" s="115"/>
      <c r="G14" s="115"/>
      <c r="H14" s="115"/>
    </row>
    <row r="15" spans="1:10" ht="33" customHeight="1" x14ac:dyDescent="0.25">
      <c r="A15" s="162" t="s">
        <v>169</v>
      </c>
      <c r="B15" s="162"/>
      <c r="C15" s="162" t="s">
        <v>200</v>
      </c>
      <c r="D15" s="162"/>
      <c r="E15" s="162"/>
      <c r="F15" s="162"/>
      <c r="G15" s="162"/>
      <c r="H15" s="162"/>
    </row>
    <row r="16" spans="1:10" ht="15.75" customHeight="1" x14ac:dyDescent="0.25">
      <c r="A16" s="162" t="s">
        <v>158</v>
      </c>
      <c r="B16" s="162"/>
      <c r="C16" s="162" t="s">
        <v>180</v>
      </c>
      <c r="D16" s="162"/>
      <c r="E16" s="162"/>
      <c r="F16" s="162"/>
      <c r="G16" s="162"/>
      <c r="H16" s="162"/>
    </row>
    <row r="17" spans="1:8" ht="15.75" customHeight="1" x14ac:dyDescent="0.25">
      <c r="A17" s="115" t="s">
        <v>11</v>
      </c>
      <c r="B17" s="115"/>
      <c r="C17" s="166" t="s">
        <v>201</v>
      </c>
      <c r="D17" s="166"/>
      <c r="E17" s="115" t="s">
        <v>73</v>
      </c>
      <c r="F17" s="115"/>
      <c r="G17" s="162" t="s">
        <v>166</v>
      </c>
      <c r="H17" s="162"/>
    </row>
    <row r="18" spans="1:8" x14ac:dyDescent="0.25">
      <c r="A18" s="149" t="s">
        <v>13</v>
      </c>
      <c r="B18" s="149"/>
      <c r="C18" s="162" t="s">
        <v>179</v>
      </c>
      <c r="D18" s="162"/>
      <c r="E18" s="115" t="s">
        <v>12</v>
      </c>
      <c r="F18" s="115"/>
      <c r="G18" s="204" t="s">
        <v>167</v>
      </c>
      <c r="H18" s="204"/>
    </row>
    <row r="19" spans="1:8" x14ac:dyDescent="0.25">
      <c r="A19" s="149" t="s">
        <v>74</v>
      </c>
      <c r="B19" s="149"/>
      <c r="C19" s="162" t="s">
        <v>168</v>
      </c>
      <c r="D19" s="162"/>
      <c r="E19" s="115" t="s">
        <v>14</v>
      </c>
      <c r="F19" s="115"/>
      <c r="G19" s="162">
        <v>401208</v>
      </c>
      <c r="H19" s="162"/>
    </row>
    <row r="20" spans="1:8" ht="32.25" customHeight="1" x14ac:dyDescent="0.25">
      <c r="A20" s="149" t="s">
        <v>119</v>
      </c>
      <c r="B20" s="149"/>
      <c r="C20" s="162" t="s">
        <v>176</v>
      </c>
      <c r="D20" s="162"/>
      <c r="E20" s="115" t="s">
        <v>15</v>
      </c>
      <c r="F20" s="115"/>
      <c r="G20" s="162" t="s">
        <v>178</v>
      </c>
      <c r="H20" s="162"/>
    </row>
    <row r="21" spans="1:8" ht="15" customHeight="1" x14ac:dyDescent="0.25">
      <c r="A21" s="115" t="s">
        <v>77</v>
      </c>
      <c r="B21" s="115"/>
      <c r="C21" s="115"/>
      <c r="D21" s="115"/>
      <c r="E21" s="166" t="s">
        <v>16</v>
      </c>
      <c r="F21" s="166"/>
      <c r="G21" s="166"/>
      <c r="H21" s="166"/>
    </row>
    <row r="22" spans="1:8" ht="18.75" customHeight="1" x14ac:dyDescent="0.25">
      <c r="A22" s="115"/>
      <c r="B22" s="115"/>
      <c r="C22" s="115"/>
      <c r="D22" s="115"/>
      <c r="E22" s="166"/>
      <c r="F22" s="166"/>
      <c r="G22" s="166"/>
      <c r="H22" s="166"/>
    </row>
    <row r="23" spans="1:8" ht="15" customHeight="1" x14ac:dyDescent="0.25">
      <c r="A23" s="115" t="s">
        <v>17</v>
      </c>
      <c r="B23" s="115"/>
      <c r="C23" s="115"/>
      <c r="D23" s="115"/>
      <c r="E23" s="162" t="s">
        <v>18</v>
      </c>
      <c r="F23" s="162"/>
      <c r="G23" s="162"/>
      <c r="H23" s="162"/>
    </row>
    <row r="24" spans="1:8" ht="15" customHeight="1" x14ac:dyDescent="0.25">
      <c r="A24" s="149" t="s">
        <v>19</v>
      </c>
      <c r="B24" s="149"/>
      <c r="C24" s="149"/>
      <c r="D24" s="149"/>
      <c r="E24" s="162" t="str">
        <f>IF(AND(G18="Mumbai"),"Upper Class","Middle Class")</f>
        <v>Middle Class</v>
      </c>
      <c r="F24" s="162"/>
      <c r="G24" s="162"/>
      <c r="H24" s="162"/>
    </row>
    <row r="25" spans="1:8" x14ac:dyDescent="0.25">
      <c r="A25" s="149" t="s">
        <v>20</v>
      </c>
      <c r="B25" s="149"/>
      <c r="C25" s="149"/>
      <c r="D25" s="149"/>
      <c r="E25" s="162" t="s">
        <v>21</v>
      </c>
      <c r="F25" s="162"/>
      <c r="G25" s="162"/>
      <c r="H25" s="162"/>
    </row>
    <row r="26" spans="1:8" ht="15.75" customHeight="1" x14ac:dyDescent="0.25">
      <c r="A26" s="149" t="s">
        <v>22</v>
      </c>
      <c r="B26" s="149"/>
      <c r="C26" s="149"/>
      <c r="D26" s="149"/>
      <c r="E26" s="162" t="str">
        <f>IF(AND(G18="Mumbai"),"Developed","Developing")</f>
        <v>Developing</v>
      </c>
      <c r="F26" s="162"/>
      <c r="G26" s="162"/>
      <c r="H26" s="162"/>
    </row>
    <row r="27" spans="1:8" x14ac:dyDescent="0.25">
      <c r="A27" s="149" t="s">
        <v>23</v>
      </c>
      <c r="B27" s="149"/>
      <c r="C27" s="149"/>
      <c r="D27" s="149"/>
      <c r="E27" s="162" t="s">
        <v>24</v>
      </c>
      <c r="F27" s="162"/>
      <c r="G27" s="162"/>
      <c r="H27" s="162"/>
    </row>
    <row r="28" spans="1:8" ht="15.75" customHeight="1" x14ac:dyDescent="0.25">
      <c r="A28" s="149" t="s">
        <v>82</v>
      </c>
      <c r="B28" s="149"/>
      <c r="C28" s="149"/>
      <c r="D28" s="149"/>
      <c r="E28" s="162" t="s">
        <v>83</v>
      </c>
      <c r="F28" s="162"/>
      <c r="G28" s="162"/>
      <c r="H28" s="162"/>
    </row>
    <row r="29" spans="1:8" ht="15" customHeight="1" x14ac:dyDescent="0.25">
      <c r="A29" s="149" t="s">
        <v>33</v>
      </c>
      <c r="B29" s="149"/>
      <c r="C29" s="149"/>
      <c r="D29" s="149"/>
      <c r="E29" s="162" t="str">
        <f>IF(AND(ISNUMBER(SEARCH("Flat",D76)),ISNUMBER(SEARCH("Shop",D76)),ISNUMBER(SEARCH("Office",D76))),"Residential + Commercial",IF(AND(ISNUMBER(SEARCH("Flat",D76)),ISNUMBER(SEARCH("Shop",D76))),"Residential + Commercial",IF(AND(ISNUMBER(SEARCH("Flat",D76)),ISNUMBER(SEARCH("Office",D76))),"Residential + Commercial",IF(AND(ISNUMBER(SEARCH("Shop",D76)),ISNUMBER(SEARCH("Office",D76))),"Commercial",IF(ISNUMBER(SEARCH("Shop",D76)),"Commercial",IF(ISNUMBER(SEARCH("Office",D76)),"Commercial",IF(ISNUMBER(SEARCH("Flat",D76)),"Residential")))))))</f>
        <v>Residential + Commercial</v>
      </c>
      <c r="F29" s="162"/>
      <c r="G29" s="162"/>
      <c r="H29" s="162"/>
    </row>
    <row r="30" spans="1:8" ht="15.75" customHeight="1" x14ac:dyDescent="0.25">
      <c r="A30" s="149" t="s">
        <v>94</v>
      </c>
      <c r="B30" s="149"/>
      <c r="C30" s="149"/>
      <c r="D30" s="149"/>
      <c r="E30" s="162" t="s">
        <v>34</v>
      </c>
      <c r="F30" s="162"/>
      <c r="G30" s="162"/>
      <c r="H30" s="162"/>
    </row>
    <row r="31" spans="1:8" s="22" customFormat="1" x14ac:dyDescent="0.25">
      <c r="A31" s="208" t="s">
        <v>95</v>
      </c>
      <c r="B31" s="208"/>
      <c r="C31" s="207" t="s">
        <v>29</v>
      </c>
      <c r="D31" s="207"/>
      <c r="E31" s="207"/>
      <c r="F31" s="207" t="s">
        <v>31</v>
      </c>
      <c r="G31" s="207"/>
      <c r="H31" s="207"/>
    </row>
    <row r="32" spans="1:8" s="22" customFormat="1" x14ac:dyDescent="0.25">
      <c r="A32" s="205" t="s">
        <v>25</v>
      </c>
      <c r="B32" s="205" t="s">
        <v>30</v>
      </c>
      <c r="C32" s="206" t="s">
        <v>30</v>
      </c>
      <c r="D32" s="206"/>
      <c r="E32" s="206"/>
      <c r="F32" s="206" t="s">
        <v>11</v>
      </c>
      <c r="G32" s="206"/>
      <c r="H32" s="206"/>
    </row>
    <row r="33" spans="1:9" x14ac:dyDescent="0.25">
      <c r="A33" s="205" t="s">
        <v>26</v>
      </c>
      <c r="B33" s="205" t="s">
        <v>30</v>
      </c>
      <c r="C33" s="206" t="s">
        <v>30</v>
      </c>
      <c r="D33" s="206"/>
      <c r="E33" s="206"/>
      <c r="F33" s="206" t="s">
        <v>177</v>
      </c>
      <c r="G33" s="206"/>
      <c r="H33" s="206"/>
    </row>
    <row r="34" spans="1:9" s="22" customFormat="1" x14ac:dyDescent="0.25">
      <c r="A34" s="205" t="s">
        <v>28</v>
      </c>
      <c r="B34" s="205" t="s">
        <v>30</v>
      </c>
      <c r="C34" s="206" t="s">
        <v>30</v>
      </c>
      <c r="D34" s="206"/>
      <c r="E34" s="206"/>
      <c r="F34" s="206" t="s">
        <v>176</v>
      </c>
      <c r="G34" s="206"/>
      <c r="H34" s="206"/>
    </row>
    <row r="35" spans="1:9" x14ac:dyDescent="0.25">
      <c r="A35" s="205" t="s">
        <v>27</v>
      </c>
      <c r="B35" s="205" t="s">
        <v>30</v>
      </c>
      <c r="C35" s="206" t="s">
        <v>30</v>
      </c>
      <c r="D35" s="206"/>
      <c r="E35" s="206"/>
      <c r="F35" s="206" t="s">
        <v>177</v>
      </c>
      <c r="G35" s="206"/>
      <c r="H35" s="206"/>
    </row>
    <row r="36" spans="1:9" x14ac:dyDescent="0.25">
      <c r="A36" s="149" t="s">
        <v>32</v>
      </c>
      <c r="B36" s="149"/>
      <c r="C36" s="149"/>
      <c r="D36" s="149"/>
      <c r="E36" s="149"/>
      <c r="F36" s="149"/>
      <c r="G36" s="149"/>
      <c r="H36" s="149"/>
    </row>
    <row r="37" spans="1:9" ht="15.75" customHeight="1" x14ac:dyDescent="0.25">
      <c r="A37" s="149" t="s">
        <v>253</v>
      </c>
      <c r="B37" s="149"/>
      <c r="C37" s="89" t="s">
        <v>254</v>
      </c>
      <c r="D37" s="90"/>
      <c r="E37" s="90"/>
      <c r="F37" s="90"/>
      <c r="G37" s="90"/>
      <c r="H37" s="91"/>
    </row>
    <row r="38" spans="1:9" x14ac:dyDescent="0.25">
      <c r="A38" s="149" t="s">
        <v>157</v>
      </c>
      <c r="B38" s="149"/>
      <c r="C38" s="209" t="s">
        <v>175</v>
      </c>
      <c r="D38" s="162"/>
      <c r="E38" s="162"/>
      <c r="F38" s="162"/>
      <c r="G38" s="162"/>
      <c r="H38" s="162"/>
    </row>
    <row r="39" spans="1:9" x14ac:dyDescent="0.25">
      <c r="A39" s="196" t="s">
        <v>35</v>
      </c>
      <c r="B39" s="196"/>
      <c r="C39" s="196"/>
      <c r="D39" s="196"/>
      <c r="E39" s="196"/>
      <c r="F39" s="196"/>
      <c r="G39" s="196"/>
      <c r="H39" s="196"/>
      <c r="I39" s="54"/>
    </row>
    <row r="40" spans="1:9" x14ac:dyDescent="0.25">
      <c r="A40" s="149" t="s">
        <v>36</v>
      </c>
      <c r="B40" s="149"/>
      <c r="C40" s="149"/>
      <c r="D40" s="149"/>
      <c r="E40" s="214">
        <v>280497.94</v>
      </c>
      <c r="F40" s="214"/>
      <c r="G40" s="214"/>
      <c r="H40" s="214"/>
    </row>
    <row r="41" spans="1:9" x14ac:dyDescent="0.25">
      <c r="A41" s="149" t="s">
        <v>37</v>
      </c>
      <c r="B41" s="149"/>
      <c r="C41" s="149"/>
      <c r="D41" s="149"/>
      <c r="E41" s="221">
        <v>1</v>
      </c>
      <c r="F41" s="221"/>
      <c r="G41" s="221"/>
      <c r="H41" s="221"/>
    </row>
    <row r="42" spans="1:9" x14ac:dyDescent="0.25">
      <c r="A42" s="149" t="s">
        <v>38</v>
      </c>
      <c r="B42" s="149"/>
      <c r="C42" s="149"/>
      <c r="D42" s="149"/>
      <c r="E42" s="221">
        <f>E44/E40-E41</f>
        <v>0.42867305906061182</v>
      </c>
      <c r="F42" s="221"/>
      <c r="G42" s="221"/>
      <c r="H42" s="221"/>
    </row>
    <row r="43" spans="1:9" x14ac:dyDescent="0.25">
      <c r="A43" s="149" t="s">
        <v>39</v>
      </c>
      <c r="B43" s="149"/>
      <c r="C43" s="149"/>
      <c r="D43" s="149"/>
      <c r="E43" s="221">
        <f>E41+E42</f>
        <v>1.4286730590606118</v>
      </c>
      <c r="F43" s="221"/>
      <c r="G43" s="221"/>
      <c r="H43" s="221"/>
    </row>
    <row r="44" spans="1:9" x14ac:dyDescent="0.25">
      <c r="A44" s="149" t="s">
        <v>93</v>
      </c>
      <c r="B44" s="149"/>
      <c r="C44" s="149"/>
      <c r="D44" s="149"/>
      <c r="E44" s="223">
        <v>400739.85</v>
      </c>
      <c r="F44" s="223"/>
      <c r="G44" s="223"/>
      <c r="H44" s="223"/>
    </row>
    <row r="45" spans="1:9" x14ac:dyDescent="0.25">
      <c r="A45" s="166" t="s">
        <v>40</v>
      </c>
      <c r="B45" s="166"/>
      <c r="C45" s="166"/>
      <c r="D45" s="166"/>
      <c r="E45" s="166" t="s">
        <v>235</v>
      </c>
      <c r="F45" s="166"/>
      <c r="G45" s="166"/>
      <c r="H45" s="166"/>
    </row>
    <row r="46" spans="1:9" x14ac:dyDescent="0.25">
      <c r="A46" s="196" t="s">
        <v>41</v>
      </c>
      <c r="B46" s="196"/>
      <c r="C46" s="196"/>
      <c r="D46" s="196"/>
      <c r="E46" s="196"/>
      <c r="F46" s="196"/>
      <c r="G46" s="196"/>
      <c r="H46" s="196"/>
    </row>
    <row r="47" spans="1:9" ht="33.75" customHeight="1" x14ac:dyDescent="0.25">
      <c r="A47" s="153" t="s">
        <v>148</v>
      </c>
      <c r="B47" s="154"/>
      <c r="C47" s="230" t="s">
        <v>170</v>
      </c>
      <c r="D47" s="231"/>
      <c r="E47" s="231"/>
      <c r="F47" s="231"/>
      <c r="G47" s="231"/>
      <c r="H47" s="232"/>
    </row>
    <row r="48" spans="1:9" ht="47.25" customHeight="1" x14ac:dyDescent="0.25">
      <c r="A48" s="150" t="s">
        <v>203</v>
      </c>
      <c r="B48" s="152"/>
      <c r="C48" s="153" t="s">
        <v>171</v>
      </c>
      <c r="D48" s="228"/>
      <c r="E48" s="154"/>
      <c r="F48" s="18" t="s">
        <v>42</v>
      </c>
      <c r="G48" s="156">
        <v>44771</v>
      </c>
      <c r="H48" s="157"/>
    </row>
    <row r="49" spans="1:10" x14ac:dyDescent="0.25">
      <c r="A49" s="218" t="s">
        <v>206</v>
      </c>
      <c r="B49" s="219"/>
      <c r="C49" s="219"/>
      <c r="D49" s="219"/>
      <c r="E49" s="219"/>
      <c r="F49" s="219"/>
      <c r="G49" s="219"/>
      <c r="H49" s="220"/>
    </row>
    <row r="50" spans="1:10" ht="32.25" customHeight="1" x14ac:dyDescent="0.25">
      <c r="A50" s="153" t="s">
        <v>210</v>
      </c>
      <c r="B50" s="154"/>
      <c r="C50" s="150" t="s">
        <v>215</v>
      </c>
      <c r="D50" s="151"/>
      <c r="E50" s="152"/>
      <c r="F50" s="18" t="s">
        <v>42</v>
      </c>
      <c r="G50" s="156">
        <v>44771</v>
      </c>
      <c r="H50" s="157"/>
    </row>
    <row r="51" spans="1:10" s="23" customFormat="1" ht="32.25" customHeight="1" x14ac:dyDescent="0.25">
      <c r="A51" s="158" t="s">
        <v>211</v>
      </c>
      <c r="B51" s="159"/>
      <c r="C51" s="150" t="s">
        <v>215</v>
      </c>
      <c r="D51" s="151"/>
      <c r="E51" s="152"/>
      <c r="F51" s="18" t="s">
        <v>42</v>
      </c>
      <c r="G51" s="156">
        <v>44771</v>
      </c>
      <c r="H51" s="157"/>
      <c r="J51" s="23" t="s">
        <v>172</v>
      </c>
    </row>
    <row r="52" spans="1:10" s="23" customFormat="1" x14ac:dyDescent="0.25">
      <c r="A52" s="160"/>
      <c r="B52" s="161"/>
      <c r="C52" s="150" t="s">
        <v>233</v>
      </c>
      <c r="D52" s="151"/>
      <c r="E52" s="151"/>
      <c r="F52" s="151"/>
      <c r="G52" s="151"/>
      <c r="H52" s="152"/>
    </row>
    <row r="53" spans="1:10" x14ac:dyDescent="0.25">
      <c r="A53" s="218" t="s">
        <v>207</v>
      </c>
      <c r="B53" s="219"/>
      <c r="C53" s="219"/>
      <c r="D53" s="219"/>
      <c r="E53" s="219"/>
      <c r="F53" s="219"/>
      <c r="G53" s="219"/>
      <c r="H53" s="220"/>
    </row>
    <row r="54" spans="1:10" ht="31.5" customHeight="1" x14ac:dyDescent="0.25">
      <c r="A54" s="153" t="s">
        <v>210</v>
      </c>
      <c r="B54" s="154"/>
      <c r="C54" s="150" t="s">
        <v>216</v>
      </c>
      <c r="D54" s="151"/>
      <c r="E54" s="152"/>
      <c r="F54" s="18" t="s">
        <v>42</v>
      </c>
      <c r="G54" s="156">
        <f>G48</f>
        <v>44771</v>
      </c>
      <c r="H54" s="157"/>
    </row>
    <row r="55" spans="1:10" s="23" customFormat="1" ht="33" customHeight="1" x14ac:dyDescent="0.25">
      <c r="A55" s="158" t="s">
        <v>211</v>
      </c>
      <c r="B55" s="159"/>
      <c r="C55" s="150" t="s">
        <v>216</v>
      </c>
      <c r="D55" s="151"/>
      <c r="E55" s="152"/>
      <c r="F55" s="18" t="s">
        <v>42</v>
      </c>
      <c r="G55" s="156">
        <v>44771</v>
      </c>
      <c r="H55" s="154"/>
      <c r="J55" s="23" t="s">
        <v>172</v>
      </c>
    </row>
    <row r="56" spans="1:10" s="23" customFormat="1" ht="18" customHeight="1" x14ac:dyDescent="0.25">
      <c r="A56" s="160"/>
      <c r="B56" s="161"/>
      <c r="C56" s="150" t="s">
        <v>234</v>
      </c>
      <c r="D56" s="151"/>
      <c r="E56" s="151"/>
      <c r="F56" s="151"/>
      <c r="G56" s="151"/>
      <c r="H56" s="152"/>
    </row>
    <row r="57" spans="1:10" x14ac:dyDescent="0.25">
      <c r="A57" s="218" t="s">
        <v>208</v>
      </c>
      <c r="B57" s="219"/>
      <c r="C57" s="219"/>
      <c r="D57" s="219"/>
      <c r="E57" s="219"/>
      <c r="F57" s="219"/>
      <c r="G57" s="219"/>
      <c r="H57" s="220"/>
    </row>
    <row r="58" spans="1:10" ht="33.75" customHeight="1" x14ac:dyDescent="0.25">
      <c r="A58" s="153" t="s">
        <v>210</v>
      </c>
      <c r="B58" s="154"/>
      <c r="C58" s="150" t="s">
        <v>217</v>
      </c>
      <c r="D58" s="151"/>
      <c r="E58" s="152"/>
      <c r="F58" s="18" t="s">
        <v>42</v>
      </c>
      <c r="G58" s="156">
        <v>44771</v>
      </c>
      <c r="H58" s="157"/>
    </row>
    <row r="59" spans="1:10" s="23" customFormat="1" ht="36.75" customHeight="1" x14ac:dyDescent="0.25">
      <c r="A59" s="158" t="s">
        <v>211</v>
      </c>
      <c r="B59" s="159"/>
      <c r="C59" s="150" t="s">
        <v>217</v>
      </c>
      <c r="D59" s="151"/>
      <c r="E59" s="152"/>
      <c r="F59" s="18" t="s">
        <v>42</v>
      </c>
      <c r="G59" s="156">
        <v>44771</v>
      </c>
      <c r="H59" s="154"/>
      <c r="J59" s="23" t="s">
        <v>172</v>
      </c>
    </row>
    <row r="60" spans="1:10" s="23" customFormat="1" ht="17.25" customHeight="1" x14ac:dyDescent="0.25">
      <c r="A60" s="160"/>
      <c r="B60" s="161"/>
      <c r="C60" s="150" t="s">
        <v>214</v>
      </c>
      <c r="D60" s="151"/>
      <c r="E60" s="151"/>
      <c r="F60" s="151"/>
      <c r="G60" s="151"/>
      <c r="H60" s="152"/>
    </row>
    <row r="61" spans="1:10" x14ac:dyDescent="0.25">
      <c r="A61" s="218" t="s">
        <v>204</v>
      </c>
      <c r="B61" s="219"/>
      <c r="C61" s="219"/>
      <c r="D61" s="219"/>
      <c r="E61" s="219"/>
      <c r="F61" s="219"/>
      <c r="G61" s="219"/>
      <c r="H61" s="220"/>
    </row>
    <row r="62" spans="1:10" ht="33.75" customHeight="1" x14ac:dyDescent="0.25">
      <c r="A62" s="153" t="s">
        <v>210</v>
      </c>
      <c r="B62" s="154"/>
      <c r="C62" s="150" t="s">
        <v>182</v>
      </c>
      <c r="D62" s="151"/>
      <c r="E62" s="152"/>
      <c r="F62" s="18" t="s">
        <v>42</v>
      </c>
      <c r="G62" s="156">
        <v>44771</v>
      </c>
      <c r="H62" s="157"/>
    </row>
    <row r="63" spans="1:10" s="23" customFormat="1" ht="36.75" customHeight="1" x14ac:dyDescent="0.25">
      <c r="A63" s="158" t="s">
        <v>211</v>
      </c>
      <c r="B63" s="159"/>
      <c r="C63" s="150" t="s">
        <v>182</v>
      </c>
      <c r="D63" s="151"/>
      <c r="E63" s="152"/>
      <c r="F63" s="18" t="s">
        <v>42</v>
      </c>
      <c r="G63" s="156">
        <v>44771</v>
      </c>
      <c r="H63" s="154"/>
      <c r="J63" s="23" t="s">
        <v>172</v>
      </c>
    </row>
    <row r="64" spans="1:10" s="23" customFormat="1" ht="18" customHeight="1" x14ac:dyDescent="0.25">
      <c r="A64" s="160"/>
      <c r="B64" s="161"/>
      <c r="C64" s="150" t="s">
        <v>174</v>
      </c>
      <c r="D64" s="151"/>
      <c r="E64" s="151"/>
      <c r="F64" s="151"/>
      <c r="G64" s="151"/>
      <c r="H64" s="152"/>
    </row>
    <row r="65" spans="1:10" x14ac:dyDescent="0.25">
      <c r="A65" s="218" t="s">
        <v>205</v>
      </c>
      <c r="B65" s="219"/>
      <c r="C65" s="219"/>
      <c r="D65" s="219"/>
      <c r="E65" s="219"/>
      <c r="F65" s="219"/>
      <c r="G65" s="219"/>
      <c r="H65" s="220"/>
    </row>
    <row r="66" spans="1:10" ht="33.75" customHeight="1" x14ac:dyDescent="0.25">
      <c r="A66" s="153" t="s">
        <v>210</v>
      </c>
      <c r="B66" s="154"/>
      <c r="C66" s="150" t="s">
        <v>181</v>
      </c>
      <c r="D66" s="151"/>
      <c r="E66" s="152"/>
      <c r="F66" s="18" t="s">
        <v>42</v>
      </c>
      <c r="G66" s="156">
        <v>44771</v>
      </c>
      <c r="H66" s="157"/>
    </row>
    <row r="67" spans="1:10" s="23" customFormat="1" ht="33" customHeight="1" x14ac:dyDescent="0.25">
      <c r="A67" s="158" t="s">
        <v>211</v>
      </c>
      <c r="B67" s="159"/>
      <c r="C67" s="150" t="s">
        <v>181</v>
      </c>
      <c r="D67" s="151"/>
      <c r="E67" s="152"/>
      <c r="F67" s="18" t="s">
        <v>42</v>
      </c>
      <c r="G67" s="156">
        <v>44771</v>
      </c>
      <c r="H67" s="154"/>
      <c r="J67" s="23" t="s">
        <v>172</v>
      </c>
    </row>
    <row r="68" spans="1:10" s="23" customFormat="1" ht="16.5" customHeight="1" x14ac:dyDescent="0.25">
      <c r="A68" s="160"/>
      <c r="B68" s="161"/>
      <c r="C68" s="150" t="s">
        <v>198</v>
      </c>
      <c r="D68" s="151"/>
      <c r="E68" s="151"/>
      <c r="F68" s="151"/>
      <c r="G68" s="151"/>
      <c r="H68" s="152"/>
    </row>
    <row r="69" spans="1:10" x14ac:dyDescent="0.25">
      <c r="A69" s="218" t="s">
        <v>209</v>
      </c>
      <c r="B69" s="219"/>
      <c r="C69" s="219"/>
      <c r="D69" s="219"/>
      <c r="E69" s="219"/>
      <c r="F69" s="219"/>
      <c r="G69" s="219"/>
      <c r="H69" s="220"/>
    </row>
    <row r="70" spans="1:10" ht="31.5" customHeight="1" x14ac:dyDescent="0.25">
      <c r="A70" s="153" t="s">
        <v>212</v>
      </c>
      <c r="B70" s="154"/>
      <c r="C70" s="150" t="s">
        <v>218</v>
      </c>
      <c r="D70" s="151"/>
      <c r="E70" s="152"/>
      <c r="F70" s="18" t="s">
        <v>42</v>
      </c>
      <c r="G70" s="156">
        <v>44771</v>
      </c>
      <c r="H70" s="157"/>
    </row>
    <row r="71" spans="1:10" s="23" customFormat="1" ht="36.75" customHeight="1" x14ac:dyDescent="0.25">
      <c r="A71" s="158" t="s">
        <v>211</v>
      </c>
      <c r="B71" s="159"/>
      <c r="C71" s="150" t="s">
        <v>218</v>
      </c>
      <c r="D71" s="151"/>
      <c r="E71" s="152"/>
      <c r="F71" s="18" t="s">
        <v>42</v>
      </c>
      <c r="G71" s="156">
        <v>44771</v>
      </c>
      <c r="H71" s="154"/>
      <c r="J71" s="23" t="s">
        <v>172</v>
      </c>
    </row>
    <row r="72" spans="1:10" s="23" customFormat="1" ht="17.25" customHeight="1" x14ac:dyDescent="0.25">
      <c r="A72" s="160"/>
      <c r="B72" s="161"/>
      <c r="C72" s="150" t="s">
        <v>213</v>
      </c>
      <c r="D72" s="151"/>
      <c r="E72" s="151"/>
      <c r="F72" s="151"/>
      <c r="G72" s="151"/>
      <c r="H72" s="152"/>
    </row>
    <row r="73" spans="1:10" x14ac:dyDescent="0.25">
      <c r="A73" s="215" t="s">
        <v>43</v>
      </c>
      <c r="B73" s="216"/>
      <c r="C73" s="215" t="s">
        <v>101</v>
      </c>
      <c r="D73" s="217"/>
      <c r="E73" s="216"/>
      <c r="F73" s="46" t="s">
        <v>42</v>
      </c>
      <c r="G73" s="167" t="s">
        <v>30</v>
      </c>
      <c r="H73" s="168"/>
    </row>
    <row r="74" spans="1:10" x14ac:dyDescent="0.25">
      <c r="A74" s="155" t="s">
        <v>45</v>
      </c>
      <c r="B74" s="155"/>
      <c r="C74" s="155"/>
      <c r="D74" s="155"/>
      <c r="E74" s="155"/>
      <c r="F74" s="155"/>
      <c r="G74" s="155"/>
      <c r="H74" s="155"/>
    </row>
    <row r="75" spans="1:10" x14ac:dyDescent="0.25">
      <c r="A75" s="115" t="s">
        <v>92</v>
      </c>
      <c r="B75" s="115"/>
      <c r="C75" s="115"/>
      <c r="D75" s="149">
        <f>10845.98+10039.47</f>
        <v>20885.449999999997</v>
      </c>
      <c r="E75" s="149"/>
      <c r="F75" s="149"/>
      <c r="G75" s="149"/>
      <c r="H75" s="149"/>
    </row>
    <row r="76" spans="1:10" x14ac:dyDescent="0.25">
      <c r="A76" s="162" t="s">
        <v>46</v>
      </c>
      <c r="B76" s="166"/>
      <c r="C76" s="166"/>
      <c r="D76" s="166" t="s">
        <v>232</v>
      </c>
      <c r="E76" s="166"/>
      <c r="F76" s="166"/>
      <c r="G76" s="166"/>
      <c r="H76" s="166"/>
      <c r="I76" s="24"/>
    </row>
    <row r="77" spans="1:10" ht="49.5" customHeight="1" x14ac:dyDescent="0.25">
      <c r="A77" s="119" t="s">
        <v>47</v>
      </c>
      <c r="B77" s="120"/>
      <c r="C77" s="121"/>
      <c r="D77" s="164" t="s">
        <v>236</v>
      </c>
      <c r="E77" s="210"/>
      <c r="F77" s="210"/>
      <c r="G77" s="210"/>
      <c r="H77" s="210"/>
    </row>
    <row r="78" spans="1:10" ht="15.75" customHeight="1" x14ac:dyDescent="0.25">
      <c r="A78" s="119" t="s">
        <v>90</v>
      </c>
      <c r="B78" s="120"/>
      <c r="C78" s="121"/>
      <c r="D78" s="211" t="s">
        <v>237</v>
      </c>
      <c r="E78" s="212"/>
      <c r="F78" s="212"/>
      <c r="G78" s="212"/>
      <c r="H78" s="213"/>
    </row>
    <row r="79" spans="1:10" ht="15.75" customHeight="1" x14ac:dyDescent="0.25">
      <c r="A79" s="122"/>
      <c r="B79" s="123"/>
      <c r="C79" s="124"/>
      <c r="D79" s="116" t="s">
        <v>238</v>
      </c>
      <c r="E79" s="117"/>
      <c r="F79" s="117"/>
      <c r="G79" s="117"/>
      <c r="H79" s="118"/>
    </row>
    <row r="80" spans="1:10" ht="15.75" customHeight="1" x14ac:dyDescent="0.25">
      <c r="A80" s="125"/>
      <c r="B80" s="126"/>
      <c r="C80" s="127"/>
      <c r="D80" s="116" t="s">
        <v>239</v>
      </c>
      <c r="E80" s="117"/>
      <c r="F80" s="117"/>
      <c r="G80" s="117"/>
      <c r="H80" s="118"/>
    </row>
    <row r="81" spans="1:14" ht="15.75" customHeight="1" x14ac:dyDescent="0.25">
      <c r="A81" s="149" t="s">
        <v>44</v>
      </c>
      <c r="B81" s="149"/>
      <c r="C81" s="149"/>
      <c r="D81" s="115" t="s">
        <v>173</v>
      </c>
      <c r="E81" s="115"/>
      <c r="F81" s="115"/>
      <c r="G81" s="115"/>
      <c r="H81" s="115"/>
      <c r="J81" s="25"/>
      <c r="K81" s="24"/>
      <c r="N81" s="24"/>
    </row>
    <row r="82" spans="1:14" ht="15.75" customHeight="1" x14ac:dyDescent="0.25">
      <c r="A82" s="149" t="s">
        <v>88</v>
      </c>
      <c r="B82" s="149"/>
      <c r="C82" s="149"/>
      <c r="D82" s="229" t="str">
        <f>(IF(G73="NA","60 Years After Completion",IF(G73&lt;&gt;"NA",""&amp;60-ROUNDDOWN((E3-G73)/360,0)&amp;" Years"," ")))</f>
        <v>60 Years After Completion</v>
      </c>
      <c r="E82" s="229"/>
      <c r="F82" s="229"/>
      <c r="G82" s="229"/>
      <c r="H82" s="229"/>
      <c r="N82" s="24"/>
    </row>
    <row r="83" spans="1:14" ht="15.75" customHeight="1" x14ac:dyDescent="0.25">
      <c r="A83" s="149" t="s">
        <v>89</v>
      </c>
      <c r="B83" s="149"/>
      <c r="C83" s="149"/>
      <c r="D83" s="115" t="s">
        <v>24</v>
      </c>
      <c r="E83" s="115"/>
      <c r="F83" s="115"/>
      <c r="G83" s="115"/>
      <c r="H83" s="115"/>
      <c r="J83" s="26"/>
      <c r="K83" s="26"/>
    </row>
    <row r="84" spans="1:14" ht="15.75" hidden="1" customHeight="1" x14ac:dyDescent="0.25">
      <c r="A84" s="149" t="s">
        <v>75</v>
      </c>
      <c r="B84" s="149"/>
      <c r="C84" s="149"/>
      <c r="D84" s="162" t="s">
        <v>162</v>
      </c>
      <c r="E84" s="115"/>
      <c r="F84" s="115"/>
      <c r="G84" s="115"/>
      <c r="H84" s="115"/>
    </row>
    <row r="85" spans="1:14" x14ac:dyDescent="0.25">
      <c r="A85" s="115" t="s">
        <v>145</v>
      </c>
      <c r="B85" s="115"/>
      <c r="C85" s="115"/>
      <c r="D85" s="115" t="s">
        <v>30</v>
      </c>
      <c r="E85" s="115"/>
      <c r="F85" s="115"/>
      <c r="G85" s="115"/>
      <c r="H85" s="115"/>
      <c r="I85" s="27"/>
      <c r="J85" s="27"/>
      <c r="K85" s="27"/>
      <c r="L85" s="27"/>
      <c r="M85" s="27"/>
      <c r="N85" s="27"/>
    </row>
    <row r="86" spans="1:14" ht="15.75" customHeight="1" x14ac:dyDescent="0.25">
      <c r="A86" s="165" t="s">
        <v>87</v>
      </c>
      <c r="B86" s="165"/>
      <c r="C86" s="165"/>
      <c r="D86" s="164" t="str">
        <f ca="1">(IF(G134&gt;95%,"Nothing",IF(G134&gt;0%,"Cement, Aggregate, Steel, etc",IF(G134=0%,"Work not yet Started"))))</f>
        <v>Cement, Aggregate, Steel, etc</v>
      </c>
      <c r="E86" s="164"/>
      <c r="F86" s="164"/>
      <c r="G86" s="164"/>
      <c r="H86" s="164"/>
      <c r="J86" s="26"/>
    </row>
    <row r="87" spans="1:14" ht="33.75" customHeight="1" thickBot="1" x14ac:dyDescent="0.3">
      <c r="A87" s="163" t="s">
        <v>114</v>
      </c>
      <c r="B87" s="163"/>
      <c r="C87" s="163"/>
      <c r="D87" s="164" t="str">
        <f ca="1">(IF(D86="Nothing","Yes",IF(D86="Cement, Aggregate, Steel, etc","Under Construction",IF(D86="Work not yet Started","Work not yet Started"))))</f>
        <v>Under Construction</v>
      </c>
      <c r="E87" s="164"/>
      <c r="F87" s="164" t="str">
        <f ca="1">(IF(D86="Nothing","Yes",IF(D86="Cement, Aggregate, Steel, etc","Under Construction",IF(D86="Work not yet Started","Work not yet Started"))))</f>
        <v>Under Construction</v>
      </c>
      <c r="G87" s="164"/>
      <c r="H87" s="164"/>
    </row>
    <row r="88" spans="1:14" ht="15.75" customHeight="1" x14ac:dyDescent="0.25">
      <c r="A88" s="92" t="s">
        <v>137</v>
      </c>
      <c r="B88" s="93"/>
      <c r="C88" s="94" t="s">
        <v>256</v>
      </c>
      <c r="D88" s="95"/>
      <c r="E88" s="95"/>
      <c r="F88" s="95"/>
      <c r="G88" s="95"/>
      <c r="H88" s="96"/>
      <c r="I88" s="49" t="str">
        <f ca="1">IF(D101=100%,"All work Completed. Possession granted to the Building.",IF(D100=100%,"All work Completed, Waiting for OC",I89&amp;""&amp;I90&amp;""&amp;J89&amp;""&amp;J88&amp;" "&amp;J90))</f>
        <v>Excavation, Plinth Completed, RCC upto 14 Slab, Brickwork upto 10 Floor Completed</v>
      </c>
      <c r="J88" s="50" t="str">
        <f ca="1">(IF(C94=(D89+F89+H89),"",IF(C94&gt;0,", RCC upto "&amp;C94&amp;" Slab","")))&amp;(IF(C95=H89,"",IF(C95&gt;0,", Brickwork upto "&amp;C95&amp;" Floor","")))&amp;(IF(C96=H89,"",IF(C96&gt;0,", Internal Plaster upto "&amp;C96&amp;" Floor","")))&amp;(IF(C97=H89,"",IF(C97&gt;0,", External Plaster upto "&amp;C97&amp;" Floor","")))&amp;(IF(C98=H89,"",IF(C98&gt;0,", Flooring upto "&amp;C98&amp;" Floor","")))&amp;(IF(C99=H89,"",IF(C99&gt;0,", Painting upto "&amp;C99&amp;" Floor","")))&amp;(IF(C100=H89,"",IF(C100&gt;0,", Finishing upto "&amp;C100&amp;" Floor","")))&amp;(IF(C101=H89,"",IF(C101&gt;0,", Possession upto "&amp;C101&amp;" Floor","")))</f>
        <v>, RCC upto 14 Slab, Brickwork upto 10 Floor</v>
      </c>
    </row>
    <row r="89" spans="1:14" x14ac:dyDescent="0.25">
      <c r="A89" s="16" t="s">
        <v>139</v>
      </c>
      <c r="B89" s="73">
        <v>0</v>
      </c>
      <c r="C89" s="73" t="s">
        <v>72</v>
      </c>
      <c r="D89" s="73">
        <v>1</v>
      </c>
      <c r="E89" s="73" t="s">
        <v>71</v>
      </c>
      <c r="F89" s="73">
        <v>0</v>
      </c>
      <c r="G89" s="74" t="s">
        <v>81</v>
      </c>
      <c r="H89" s="17">
        <f ca="1">--TRIM(RIGHT(SUBSTITUTE(LEFT(C88,_xlfn.AGGREGATE(16,6,FIND({0,1,2,3,4,5,6,7,8,9},C88,ROW(INDIRECT("1:"&amp;LEN(C88)))),1))," ",REPT(" ",LEN(C88))),LEN(C88)))</f>
        <v>23</v>
      </c>
      <c r="I89" s="51" t="str">
        <f ca="1">IF(D92=100%,"Excavation","")&amp;IF(D93=100%,", Plinth","")&amp;IF(D94=100%,", RCC Slab","")&amp;IF(D95=100%,", Brickwork","")&amp;IF(D96=100%,", Internal Plaster","")&amp;IF(D97=100%,", External Plaster","")&amp;IF(D98=100%,", Flooring","")&amp;IF(D99=100%,", Painting","")&amp;IF(D100=100%,", Building common Amenities","")</f>
        <v>Excavation, Plinth</v>
      </c>
      <c r="J89" s="52" t="str">
        <f ca="1">(IF(C92=0,"Work not yet Started.",IF(D92=25%,"Piling work in process",IF(D92=50%,"Excavation work in process",IF(D92=100%,"","0")))))&amp;(IF(C93=0%,"",IF(C93=J94,", Footing work is process",IF(C93=J95,", Footing work Completed",IF(C93=J96,", 1st Basement Completed",IF(C93=J97,", 1st &amp; 2nd Basement Completed",IF(C93=J98,", 1st to 3rd Basement Completed",IF(C93=J99,", 1st to 4th Basement Completed",IF(C93=J100,", Plinth work is process",IF(C93=J101,"","0"))))))))))</f>
        <v/>
      </c>
    </row>
    <row r="90" spans="1:14" x14ac:dyDescent="0.25">
      <c r="A90" s="97" t="s">
        <v>91</v>
      </c>
      <c r="B90" s="98"/>
      <c r="C90" s="99" t="str">
        <f ca="1">(IF($G$73="NA",I88,"All work Completed. OC Received."))</f>
        <v>Excavation, Plinth Completed, RCC upto 14 Slab, Brickwork upto 10 Floor Completed</v>
      </c>
      <c r="D90" s="99"/>
      <c r="E90" s="99"/>
      <c r="F90" s="99"/>
      <c r="G90" s="99"/>
      <c r="H90" s="100"/>
      <c r="I90" s="51" t="str">
        <f ca="1">IF(I89&lt;&gt;""," Completed","")</f>
        <v xml:space="preserve"> Completed</v>
      </c>
      <c r="J90" s="52" t="str">
        <f ca="1">IF(J88&lt;&gt;"","Completed","")</f>
        <v>Completed</v>
      </c>
    </row>
    <row r="91" spans="1:14" ht="15.75" customHeight="1" x14ac:dyDescent="0.25">
      <c r="A91" s="101" t="s">
        <v>48</v>
      </c>
      <c r="B91" s="102"/>
      <c r="C91" s="71" t="s">
        <v>136</v>
      </c>
      <c r="D91" s="71" t="s">
        <v>84</v>
      </c>
      <c r="E91" s="102" t="s">
        <v>86</v>
      </c>
      <c r="F91" s="102"/>
      <c r="G91" s="102" t="s">
        <v>85</v>
      </c>
      <c r="H91" s="103"/>
      <c r="I91" s="14" t="s">
        <v>138</v>
      </c>
      <c r="J91" s="28">
        <f ca="1">H89*25%</f>
        <v>5.75</v>
      </c>
    </row>
    <row r="92" spans="1:14" x14ac:dyDescent="0.25">
      <c r="A92" s="101" t="s">
        <v>125</v>
      </c>
      <c r="B92" s="102"/>
      <c r="C92" s="71">
        <f ca="1">J93</f>
        <v>23</v>
      </c>
      <c r="D92" s="19">
        <f ca="1">((100/H89)*C92)/100</f>
        <v>1</v>
      </c>
      <c r="E92" s="104">
        <f ca="1">(((C93/H89*10)+(40/(D89+F89+H89)*C94)+(7.5/(H89)*C95)+(7.5/(H89)*C96)+(10/H89*C97)+(10/H89*C98)+(5/H89*C99)+(5/H89*C100)+(5/H89*C101))/100)</f>
        <v>0.36594202898550726</v>
      </c>
      <c r="F92" s="105"/>
      <c r="G92" s="104">
        <f ca="1">((((C92/H89)*20)+((C93/H89)*25)+(30/(H89+F89+D89)*C94)+(5/H89*C95)+(5/H89*C96)+(5/H89*C97)+(5/H89*C98)+(0/H89*C99)+(0/H89*C100)+(5/H89*C101))/100)</f>
        <v>0.64673913043478271</v>
      </c>
      <c r="H92" s="110"/>
      <c r="I92" s="14" t="s">
        <v>96</v>
      </c>
      <c r="J92" s="29">
        <f ca="1">H89*50%</f>
        <v>11.5</v>
      </c>
    </row>
    <row r="93" spans="1:14" x14ac:dyDescent="0.25">
      <c r="A93" s="101" t="s">
        <v>49</v>
      </c>
      <c r="B93" s="102"/>
      <c r="C93" s="56">
        <f ca="1">J101</f>
        <v>23</v>
      </c>
      <c r="D93" s="19">
        <f ca="1">((100/H89)*C93)/100</f>
        <v>1</v>
      </c>
      <c r="E93" s="106"/>
      <c r="F93" s="107"/>
      <c r="G93" s="106"/>
      <c r="H93" s="111"/>
      <c r="I93" s="14" t="s">
        <v>97</v>
      </c>
      <c r="J93" s="29">
        <f ca="1">H89</f>
        <v>23</v>
      </c>
    </row>
    <row r="94" spans="1:14" ht="15.75" customHeight="1" x14ac:dyDescent="0.25">
      <c r="A94" s="101" t="s">
        <v>126</v>
      </c>
      <c r="B94" s="102"/>
      <c r="C94" s="71">
        <v>14</v>
      </c>
      <c r="D94" s="19">
        <f ca="1">((100/(D89+F89+H89))*C94)/100</f>
        <v>0.58333333333333337</v>
      </c>
      <c r="E94" s="106"/>
      <c r="F94" s="107"/>
      <c r="G94" s="106"/>
      <c r="H94" s="111"/>
      <c r="I94" s="14" t="s">
        <v>98</v>
      </c>
      <c r="J94" s="30">
        <f ca="1">(IF(B89&gt;1,(H89/(B89+2)),H89/4))</f>
        <v>5.75</v>
      </c>
    </row>
    <row r="95" spans="1:14" ht="15.75" customHeight="1" x14ac:dyDescent="0.25">
      <c r="A95" s="101" t="s">
        <v>133</v>
      </c>
      <c r="B95" s="102" t="s">
        <v>127</v>
      </c>
      <c r="C95" s="71">
        <v>10</v>
      </c>
      <c r="D95" s="19">
        <f ca="1">((100/H89)*C95)/100</f>
        <v>0.43478260869565216</v>
      </c>
      <c r="E95" s="106"/>
      <c r="F95" s="107"/>
      <c r="G95" s="106"/>
      <c r="H95" s="111"/>
      <c r="I95" s="14" t="s">
        <v>99</v>
      </c>
      <c r="J95" s="30">
        <f ca="1">(IF(B89&gt;1,(H89/(B89+2)+J94),H89/4+J94))</f>
        <v>11.5</v>
      </c>
    </row>
    <row r="96" spans="1:14" ht="15.75" customHeight="1" x14ac:dyDescent="0.25">
      <c r="A96" s="101" t="s">
        <v>134</v>
      </c>
      <c r="B96" s="102" t="s">
        <v>127</v>
      </c>
      <c r="C96" s="71">
        <v>0</v>
      </c>
      <c r="D96" s="19">
        <f ca="1">((100/H89)*C96)/100</f>
        <v>0</v>
      </c>
      <c r="E96" s="106"/>
      <c r="F96" s="107"/>
      <c r="G96" s="106"/>
      <c r="H96" s="111"/>
      <c r="I96" s="14" t="s">
        <v>143</v>
      </c>
      <c r="J96" s="30">
        <f>(IF(B89&gt;1,(H89/(B89+2)+J95),0))</f>
        <v>0</v>
      </c>
    </row>
    <row r="97" spans="1:10" ht="15" customHeight="1" x14ac:dyDescent="0.25">
      <c r="A97" s="101" t="s">
        <v>132</v>
      </c>
      <c r="B97" s="102" t="s">
        <v>129</v>
      </c>
      <c r="C97" s="71">
        <v>0</v>
      </c>
      <c r="D97" s="19">
        <f ca="1">((100/(H89))*C97)/100</f>
        <v>0</v>
      </c>
      <c r="E97" s="106"/>
      <c r="F97" s="107"/>
      <c r="G97" s="106"/>
      <c r="H97" s="111"/>
      <c r="I97" s="14" t="s">
        <v>140</v>
      </c>
      <c r="J97" s="30">
        <f>(IF(B89&gt;2,(H89/(B89+2)+J96),0))</f>
        <v>0</v>
      </c>
    </row>
    <row r="98" spans="1:10" ht="15.75" customHeight="1" x14ac:dyDescent="0.25">
      <c r="A98" s="101" t="s">
        <v>128</v>
      </c>
      <c r="B98" s="102" t="s">
        <v>128</v>
      </c>
      <c r="C98" s="71">
        <v>0</v>
      </c>
      <c r="D98" s="19">
        <f ca="1">((100/H89)*C98)/100</f>
        <v>0</v>
      </c>
      <c r="E98" s="106"/>
      <c r="F98" s="107"/>
      <c r="G98" s="106"/>
      <c r="H98" s="111"/>
      <c r="I98" s="14" t="s">
        <v>141</v>
      </c>
      <c r="J98" s="31">
        <f>(IF(B89&gt;3,(H89/(B89+2)+J97),0))</f>
        <v>0</v>
      </c>
    </row>
    <row r="99" spans="1:10" ht="15.75" customHeight="1" x14ac:dyDescent="0.25">
      <c r="A99" s="101" t="s">
        <v>135</v>
      </c>
      <c r="B99" s="102"/>
      <c r="C99" s="71">
        <v>0</v>
      </c>
      <c r="D99" s="19">
        <f ca="1">((100/H89)*C99)/100</f>
        <v>0</v>
      </c>
      <c r="E99" s="106"/>
      <c r="F99" s="107"/>
      <c r="G99" s="106"/>
      <c r="H99" s="111"/>
      <c r="I99" s="14" t="s">
        <v>142</v>
      </c>
      <c r="J99" s="30">
        <f>(IF(B89&gt;4,(H89/(B89+2)+J98),0))</f>
        <v>0</v>
      </c>
    </row>
    <row r="100" spans="1:10" ht="15.75" customHeight="1" x14ac:dyDescent="0.25">
      <c r="A100" s="101" t="s">
        <v>130</v>
      </c>
      <c r="B100" s="102" t="s">
        <v>130</v>
      </c>
      <c r="C100" s="71">
        <v>0</v>
      </c>
      <c r="D100" s="19">
        <f ca="1">((100/(H89))*C100)/100</f>
        <v>0</v>
      </c>
      <c r="E100" s="106"/>
      <c r="F100" s="107"/>
      <c r="G100" s="106"/>
      <c r="H100" s="111"/>
      <c r="I100" s="14" t="s">
        <v>144</v>
      </c>
      <c r="J100" s="30">
        <f ca="1">(IF(B89=1,(H89/(B89+3)+J95),IF(B89=0,(H89/4+J95),IF(B89&gt;1,0))))</f>
        <v>17.25</v>
      </c>
    </row>
    <row r="101" spans="1:10" ht="16.5" thickBot="1" x14ac:dyDescent="0.3">
      <c r="A101" s="113" t="s">
        <v>131</v>
      </c>
      <c r="B101" s="114"/>
      <c r="C101" s="72">
        <v>0</v>
      </c>
      <c r="D101" s="20">
        <f ca="1">((100/(H89))*C101)/100</f>
        <v>0</v>
      </c>
      <c r="E101" s="108"/>
      <c r="F101" s="109"/>
      <c r="G101" s="108"/>
      <c r="H101" s="112"/>
      <c r="I101" s="15" t="s">
        <v>100</v>
      </c>
      <c r="J101" s="32">
        <f ca="1">(IF(B89&gt;1.5,(H89/(B89+2)+J95+MAX(0,J96-J95)+MAX(0,J97-J96)+MAX(0,J98-J97)+MAX(0,J99-J98)+MAX(0,J100-J99)),IF(B89=1,(H89/(B89+3)+J100),IF(B89=0,H89/4+J100))))</f>
        <v>23</v>
      </c>
    </row>
    <row r="102" spans="1:10" ht="15.75" customHeight="1" x14ac:dyDescent="0.25">
      <c r="A102" s="92" t="s">
        <v>137</v>
      </c>
      <c r="B102" s="93"/>
      <c r="C102" s="94" t="s">
        <v>245</v>
      </c>
      <c r="D102" s="95"/>
      <c r="E102" s="95"/>
      <c r="F102" s="95"/>
      <c r="G102" s="95"/>
      <c r="H102" s="96"/>
      <c r="I102" s="49" t="str">
        <f ca="1">IF(D115=100%,"All work Completed. Possession granted to the Building.",IF(D114=100%,"All work Completed, Waiting for OC",I103&amp;""&amp;I104&amp;""&amp;J103&amp;""&amp;J102&amp;" "&amp;J104))</f>
        <v>Excavation, Plinth, RCC Slab Completed, Brickwork upto 24 Floor, Internal Plaster upto 20 Floor, External Plaster upto 6 Floor Completed</v>
      </c>
      <c r="J102" s="50" t="str">
        <f ca="1">(IF(C108=(D103+F103+H103),"",IF(C108&gt;0,", RCC upto "&amp;C108&amp;" Slab","")))&amp;(IF(C109=H103,"",IF(C109&gt;0,", Brickwork upto "&amp;C109&amp;" Floor","")))&amp;(IF(C110=H103,"",IF(C110&gt;0,", Internal Plaster upto "&amp;C110&amp;" Floor","")))&amp;(IF(C111=H103,"",IF(C111&gt;0,", External Plaster upto "&amp;C111&amp;" Floor","")))&amp;(IF(C112=H103,"",IF(C112&gt;0,", Flooring upto "&amp;C112&amp;" Floor","")))&amp;(IF(C113=H103,"",IF(C113&gt;0,", Painting upto "&amp;C113&amp;" Floor","")))&amp;(IF(C114=H103,"",IF(C114&gt;0,", Finishing upto "&amp;C114&amp;" Floor","")))&amp;(IF(C115=H103,"",IF(C115&gt;0,", Possession upto "&amp;C115&amp;" Floor","")))</f>
        <v>, Brickwork upto 24 Floor, Internal Plaster upto 20 Floor, External Plaster upto 6 Floor</v>
      </c>
    </row>
    <row r="103" spans="1:10" x14ac:dyDescent="0.25">
      <c r="A103" s="16" t="s">
        <v>139</v>
      </c>
      <c r="B103" s="66">
        <v>0</v>
      </c>
      <c r="C103" s="66" t="s">
        <v>72</v>
      </c>
      <c r="D103" s="66">
        <v>1</v>
      </c>
      <c r="E103" s="66" t="s">
        <v>71</v>
      </c>
      <c r="F103" s="66">
        <v>0</v>
      </c>
      <c r="G103" s="67" t="s">
        <v>81</v>
      </c>
      <c r="H103" s="17">
        <f ca="1">--TRIM(RIGHT(SUBSTITUTE(LEFT(C102,_xlfn.AGGREGATE(16,6,FIND({0,1,2,3,4,5,6,7,8,9},C102,ROW(INDIRECT("1:"&amp;LEN(C102)))),1))," ",REPT(" ",LEN(C102))),LEN(C102)))</f>
        <v>23</v>
      </c>
      <c r="I103" s="51" t="str">
        <f ca="1">IF(D106=100%,"Excavation","")&amp;IF(D107=100%,", Plinth","")&amp;IF(D108=100%,", RCC Slab","")&amp;IF(D109=100%,", Brickwork","")&amp;IF(D110=100%,", Internal Plaster","")&amp;IF(D111=100%,", External Plaster","")&amp;IF(D112=100%,", Flooring","")&amp;IF(D113=100%,", Painting","")&amp;IF(D114=100%,", Building common Amenities","")</f>
        <v>Excavation, Plinth, RCC Slab</v>
      </c>
      <c r="J103" s="52" t="str">
        <f ca="1">(IF(C106=0,"Work not yet Started.",IF(D106=25%,"Piling work in process",IF(D106=50%,"Excavation work in process",IF(D106=100%,"","0")))))&amp;(IF(C107=0%,"",IF(C107=J108,", Footing work is process",IF(C107=J109,", Footing work Completed",IF(C107=J110,", 1st Basement Completed",IF(C107=J111,", 1st &amp; 2nd Basement Completed",IF(C107=J112,", 1st to 3rd Basement Completed",IF(C107=J113,", 1st to 4th Basement Completed",IF(C107=J114,", Plinth work is process",IF(C107=J115,"","0"))))))))))</f>
        <v/>
      </c>
    </row>
    <row r="104" spans="1:10" ht="32.25" customHeight="1" x14ac:dyDescent="0.25">
      <c r="A104" s="97" t="s">
        <v>91</v>
      </c>
      <c r="B104" s="98"/>
      <c r="C104" s="99" t="str">
        <f ca="1">(IF($G$73="NA",I102,"All work Completed. OC Received."))</f>
        <v>Excavation, Plinth, RCC Slab Completed, Brickwork upto 24 Floor, Internal Plaster upto 20 Floor, External Plaster upto 6 Floor Completed</v>
      </c>
      <c r="D104" s="99"/>
      <c r="E104" s="99"/>
      <c r="F104" s="99"/>
      <c r="G104" s="99"/>
      <c r="H104" s="100"/>
      <c r="I104" s="51" t="str">
        <f ca="1">IF(I103&lt;&gt;""," Completed","")</f>
        <v xml:space="preserve"> Completed</v>
      </c>
      <c r="J104" s="52" t="str">
        <f ca="1">IF(J102&lt;&gt;"","Completed","")</f>
        <v>Completed</v>
      </c>
    </row>
    <row r="105" spans="1:10" ht="15.75" customHeight="1" x14ac:dyDescent="0.25">
      <c r="A105" s="101" t="s">
        <v>48</v>
      </c>
      <c r="B105" s="102"/>
      <c r="C105" s="63" t="s">
        <v>136</v>
      </c>
      <c r="D105" s="63" t="s">
        <v>84</v>
      </c>
      <c r="E105" s="102" t="s">
        <v>86</v>
      </c>
      <c r="F105" s="102"/>
      <c r="G105" s="102" t="s">
        <v>85</v>
      </c>
      <c r="H105" s="103"/>
      <c r="I105" s="14" t="s">
        <v>138</v>
      </c>
      <c r="J105" s="28">
        <f ca="1">H103*25%</f>
        <v>5.75</v>
      </c>
    </row>
    <row r="106" spans="1:10" x14ac:dyDescent="0.25">
      <c r="A106" s="101" t="s">
        <v>125</v>
      </c>
      <c r="B106" s="102"/>
      <c r="C106" s="63">
        <f ca="1">J107</f>
        <v>23</v>
      </c>
      <c r="D106" s="19">
        <f ca="1">((100/H103)*C106)/100</f>
        <v>1</v>
      </c>
      <c r="E106" s="104">
        <f ca="1">(((C107/H103*10)+(40/(D103+F103+H103)*C108)+(7.5/(H103)*C109)+(7.5/(H103)*C110)+(10/H103*C111)+(10/H103*C112)+(5/H103*C113)+(5/H103*C114)+(5/H103*C115))/100)</f>
        <v>0.66956521739130437</v>
      </c>
      <c r="F106" s="105"/>
      <c r="G106" s="104">
        <f ca="1">((((C106/H103)*20)+((C107/H103)*25)+(30/(H103+F103+D103)*C108)+(5/H103*C109)+(5/H103*C110)+(5/H103*C111)+(5/H103*C112)+(0/H103*C113)+(0/H103*C114)+(5/H103*C115))/100)</f>
        <v>0.85869565217391297</v>
      </c>
      <c r="H106" s="110"/>
      <c r="I106" s="14" t="s">
        <v>96</v>
      </c>
      <c r="J106" s="29">
        <f ca="1">H103*50%</f>
        <v>11.5</v>
      </c>
    </row>
    <row r="107" spans="1:10" x14ac:dyDescent="0.25">
      <c r="A107" s="101" t="s">
        <v>49</v>
      </c>
      <c r="B107" s="102"/>
      <c r="C107" s="56">
        <f ca="1">J115</f>
        <v>23</v>
      </c>
      <c r="D107" s="19">
        <f ca="1">((100/H103)*C107)/100</f>
        <v>1</v>
      </c>
      <c r="E107" s="106"/>
      <c r="F107" s="107"/>
      <c r="G107" s="106"/>
      <c r="H107" s="111"/>
      <c r="I107" s="14" t="s">
        <v>97</v>
      </c>
      <c r="J107" s="29">
        <f ca="1">H103</f>
        <v>23</v>
      </c>
    </row>
    <row r="108" spans="1:10" ht="15.75" customHeight="1" x14ac:dyDescent="0.25">
      <c r="A108" s="101" t="s">
        <v>126</v>
      </c>
      <c r="B108" s="102"/>
      <c r="C108" s="63">
        <v>24</v>
      </c>
      <c r="D108" s="19">
        <f ca="1">((100/(D103+F103+H103))*C108)/100</f>
        <v>1</v>
      </c>
      <c r="E108" s="106"/>
      <c r="F108" s="107"/>
      <c r="G108" s="106"/>
      <c r="H108" s="111"/>
      <c r="I108" s="14" t="s">
        <v>98</v>
      </c>
      <c r="J108" s="30">
        <f ca="1">(IF(B103&gt;1,(H103/(B103+2)),H103/4))</f>
        <v>5.75</v>
      </c>
    </row>
    <row r="109" spans="1:10" ht="15.75" customHeight="1" x14ac:dyDescent="0.25">
      <c r="A109" s="101" t="s">
        <v>133</v>
      </c>
      <c r="B109" s="102" t="s">
        <v>127</v>
      </c>
      <c r="C109" s="63">
        <v>24</v>
      </c>
      <c r="D109" s="19">
        <f ca="1">((100/H103)*C109)/100</f>
        <v>1.0434782608695652</v>
      </c>
      <c r="E109" s="106"/>
      <c r="F109" s="107"/>
      <c r="G109" s="106"/>
      <c r="H109" s="111"/>
      <c r="I109" s="14" t="s">
        <v>99</v>
      </c>
      <c r="J109" s="30">
        <f ca="1">(IF(B103&gt;1,(H103/(B103+2)+J108),H103/4+J108))</f>
        <v>11.5</v>
      </c>
    </row>
    <row r="110" spans="1:10" ht="15.75" customHeight="1" x14ac:dyDescent="0.25">
      <c r="A110" s="101" t="s">
        <v>134</v>
      </c>
      <c r="B110" s="102" t="s">
        <v>127</v>
      </c>
      <c r="C110" s="63">
        <v>20</v>
      </c>
      <c r="D110" s="19">
        <f ca="1">((100/H103)*C110)/100</f>
        <v>0.86956521739130432</v>
      </c>
      <c r="E110" s="106"/>
      <c r="F110" s="107"/>
      <c r="G110" s="106"/>
      <c r="H110" s="111"/>
      <c r="I110" s="14" t="s">
        <v>143</v>
      </c>
      <c r="J110" s="30">
        <f>(IF(B103&gt;1,(H103/(B103+2)+J109),0))</f>
        <v>0</v>
      </c>
    </row>
    <row r="111" spans="1:10" ht="15" customHeight="1" x14ac:dyDescent="0.25">
      <c r="A111" s="101" t="s">
        <v>132</v>
      </c>
      <c r="B111" s="102" t="s">
        <v>129</v>
      </c>
      <c r="C111" s="63">
        <v>6</v>
      </c>
      <c r="D111" s="19">
        <f ca="1">((100/(H103))*C111)/100</f>
        <v>0.2608695652173913</v>
      </c>
      <c r="E111" s="106"/>
      <c r="F111" s="107"/>
      <c r="G111" s="106"/>
      <c r="H111" s="111"/>
      <c r="I111" s="14" t="s">
        <v>140</v>
      </c>
      <c r="J111" s="30">
        <f>(IF(B103&gt;2,(H103/(B103+2)+J110),0))</f>
        <v>0</v>
      </c>
    </row>
    <row r="112" spans="1:10" ht="15.75" customHeight="1" x14ac:dyDescent="0.25">
      <c r="A112" s="101" t="s">
        <v>128</v>
      </c>
      <c r="B112" s="102" t="s">
        <v>128</v>
      </c>
      <c r="C112" s="63">
        <v>0</v>
      </c>
      <c r="D112" s="19">
        <f ca="1">((100/H103)*C112)/100</f>
        <v>0</v>
      </c>
      <c r="E112" s="106"/>
      <c r="F112" s="107"/>
      <c r="G112" s="106"/>
      <c r="H112" s="111"/>
      <c r="I112" s="14" t="s">
        <v>141</v>
      </c>
      <c r="J112" s="31">
        <f>(IF(B103&gt;3,(H103/(B103+2)+J111),0))</f>
        <v>0</v>
      </c>
    </row>
    <row r="113" spans="1:10" ht="15.75" customHeight="1" x14ac:dyDescent="0.25">
      <c r="A113" s="101" t="s">
        <v>135</v>
      </c>
      <c r="B113" s="102"/>
      <c r="C113" s="63">
        <v>0</v>
      </c>
      <c r="D113" s="19">
        <f ca="1">((100/H103)*C113)/100</f>
        <v>0</v>
      </c>
      <c r="E113" s="106"/>
      <c r="F113" s="107"/>
      <c r="G113" s="106"/>
      <c r="H113" s="111"/>
      <c r="I113" s="14" t="s">
        <v>142</v>
      </c>
      <c r="J113" s="30">
        <f>(IF(B103&gt;4,(H103/(B103+2)+J112),0))</f>
        <v>0</v>
      </c>
    </row>
    <row r="114" spans="1:10" ht="15.75" customHeight="1" x14ac:dyDescent="0.25">
      <c r="A114" s="101" t="s">
        <v>130</v>
      </c>
      <c r="B114" s="102" t="s">
        <v>130</v>
      </c>
      <c r="C114" s="63">
        <v>0</v>
      </c>
      <c r="D114" s="19">
        <f ca="1">((100/(H103))*C114)/100</f>
        <v>0</v>
      </c>
      <c r="E114" s="106"/>
      <c r="F114" s="107"/>
      <c r="G114" s="106"/>
      <c r="H114" s="111"/>
      <c r="I114" s="14" t="s">
        <v>144</v>
      </c>
      <c r="J114" s="30">
        <f ca="1">(IF(B103=1,(H103/(B103+3)+J109),IF(B103=0,(H103/4+J109),IF(B103&gt;1,0))))</f>
        <v>17.25</v>
      </c>
    </row>
    <row r="115" spans="1:10" ht="16.5" thickBot="1" x14ac:dyDescent="0.3">
      <c r="A115" s="113" t="s">
        <v>131</v>
      </c>
      <c r="B115" s="114"/>
      <c r="C115" s="65">
        <v>0</v>
      </c>
      <c r="D115" s="20">
        <f ca="1">((100/(H103))*C115)/100</f>
        <v>0</v>
      </c>
      <c r="E115" s="108"/>
      <c r="F115" s="109"/>
      <c r="G115" s="108"/>
      <c r="H115" s="112"/>
      <c r="I115" s="15" t="s">
        <v>100</v>
      </c>
      <c r="J115" s="32">
        <f ca="1">(IF(B103&gt;1.5,(H103/(B103+2)+J109+MAX(0,J110-J109)+MAX(0,J111-J110)+MAX(0,J112-J111)+MAX(0,J113-J112)+MAX(0,J114-J113)),IF(B103=1,(H103/(B103+3)+J114),IF(B103=0,H103/4+J114))))</f>
        <v>23</v>
      </c>
    </row>
    <row r="116" spans="1:10" ht="15.75" customHeight="1" x14ac:dyDescent="0.25">
      <c r="A116" s="92" t="s">
        <v>137</v>
      </c>
      <c r="B116" s="93"/>
      <c r="C116" s="94" t="s">
        <v>246</v>
      </c>
      <c r="D116" s="95"/>
      <c r="E116" s="95"/>
      <c r="F116" s="95"/>
      <c r="G116" s="95"/>
      <c r="H116" s="96"/>
      <c r="I116" s="49" t="str">
        <f ca="1">IF(D129=100%,"All work Completed. Possession granted to the Building.",IF(D128=100%,"All work Completed, Waiting for OC",I117&amp;""&amp;I118&amp;""&amp;J117&amp;""&amp;J116&amp;" "&amp;J118))</f>
        <v>Excavation, Plinth, RCC Slab, Brickwork, Internal Plaster Completed, External Plaster upto 20 Floor, Flooring upto 10 Floor, Painting upto 9 Floor Completed</v>
      </c>
      <c r="J116" s="50" t="str">
        <f ca="1">(IF(C122=(D117+F117+H117),"",IF(C122&gt;0,", RCC upto "&amp;C122&amp;" Slab","")))&amp;(IF(C123=H117,"",IF(C123&gt;0,", Brickwork upto "&amp;C123&amp;" Floor","")))&amp;(IF(C124=H117,"",IF(C124&gt;0,", Internal Plaster upto "&amp;C124&amp;" Floor","")))&amp;(IF(C125=H117,"",IF(C125&gt;0,", External Plaster upto "&amp;C125&amp;" Floor","")))&amp;(IF(C126=H117,"",IF(C126&gt;0,", Flooring upto "&amp;C126&amp;" Floor","")))&amp;(IF(C127=H117,"",IF(C127&gt;0,", Painting upto "&amp;C127&amp;" Floor","")))&amp;(IF(C128=H117,"",IF(C128&gt;0,", Finishing upto "&amp;C128&amp;" Floor","")))&amp;(IF(C129=H117,"",IF(C129&gt;0,", Possession upto "&amp;C129&amp;" Floor","")))</f>
        <v>, External Plaster upto 20 Floor, Flooring upto 10 Floor, Painting upto 9 Floor</v>
      </c>
    </row>
    <row r="117" spans="1:10" x14ac:dyDescent="0.25">
      <c r="A117" s="16" t="s">
        <v>139</v>
      </c>
      <c r="B117" s="76">
        <v>0</v>
      </c>
      <c r="C117" s="76" t="s">
        <v>72</v>
      </c>
      <c r="D117" s="76">
        <v>1</v>
      </c>
      <c r="E117" s="76" t="s">
        <v>71</v>
      </c>
      <c r="F117" s="76">
        <v>0</v>
      </c>
      <c r="G117" s="77" t="s">
        <v>81</v>
      </c>
      <c r="H117" s="17">
        <f ca="1">--TRIM(RIGHT(SUBSTITUTE(LEFT(C116,_xlfn.AGGREGATE(16,6,FIND({0,1,2,3,4,5,6,7,8,9},C116,ROW(INDIRECT("1:"&amp;LEN(C116)))),1))," ",REPT(" ",LEN(C116))),LEN(C116)))</f>
        <v>23</v>
      </c>
      <c r="I117" s="51" t="str">
        <f ca="1">IF(D120=100%,"Excavation","")&amp;IF(D121=100%,", Plinth","")&amp;IF(D122=100%,", RCC Slab","")&amp;IF(D123=100%,", Brickwork","")&amp;IF(D124=100%,", Internal Plaster","")&amp;IF(D125=100%,", External Plaster","")&amp;IF(D126=100%,", Flooring","")&amp;IF(D127=100%,", Painting","")&amp;IF(D128=100%,", Building common Amenities","")</f>
        <v>Excavation, Plinth, RCC Slab, Brickwork, Internal Plaster</v>
      </c>
      <c r="J117" s="52" t="str">
        <f ca="1">(IF(C120=0,"Work not yet Started.",IF(D120=25%,"Piling work in process",IF(D120=50%,"Excavation work in process",IF(D120=100%,"","0")))))&amp;(IF(C121=0%,"",IF(C121=J122,", Footing work is process",IF(C121=J123,", Footing work Completed",IF(C121=J124,", 1st Basement Completed",IF(C121=J125,", 1st &amp; 2nd Basement Completed",IF(C121=J126,", 1st to 3rd Basement Completed",IF(C121=J127,", 1st to 4th Basement Completed",IF(C121=J128,", Plinth work is process",IF(C121=J129,"","0"))))))))))</f>
        <v/>
      </c>
    </row>
    <row r="118" spans="1:10" ht="31.5" customHeight="1" x14ac:dyDescent="0.25">
      <c r="A118" s="97" t="s">
        <v>91</v>
      </c>
      <c r="B118" s="98"/>
      <c r="C118" s="99" t="str">
        <f ca="1">(IF($G$73="NA",I116,"All work Completed. OC Received."))</f>
        <v>Excavation, Plinth, RCC Slab, Brickwork, Internal Plaster Completed, External Plaster upto 20 Floor, Flooring upto 10 Floor, Painting upto 9 Floor Completed</v>
      </c>
      <c r="D118" s="99"/>
      <c r="E118" s="99"/>
      <c r="F118" s="99"/>
      <c r="G118" s="99"/>
      <c r="H118" s="100"/>
      <c r="I118" s="51" t="str">
        <f ca="1">IF(I117&lt;&gt;""," Completed","")</f>
        <v xml:space="preserve"> Completed</v>
      </c>
      <c r="J118" s="52" t="str">
        <f ca="1">IF(J116&lt;&gt;"","Completed","")</f>
        <v>Completed</v>
      </c>
    </row>
    <row r="119" spans="1:10" ht="15.75" customHeight="1" x14ac:dyDescent="0.25">
      <c r="A119" s="101" t="s">
        <v>48</v>
      </c>
      <c r="B119" s="102"/>
      <c r="C119" s="75" t="s">
        <v>136</v>
      </c>
      <c r="D119" s="75" t="s">
        <v>84</v>
      </c>
      <c r="E119" s="102" t="s">
        <v>86</v>
      </c>
      <c r="F119" s="102"/>
      <c r="G119" s="102" t="s">
        <v>85</v>
      </c>
      <c r="H119" s="103"/>
      <c r="I119" s="14" t="s">
        <v>138</v>
      </c>
      <c r="J119" s="28">
        <f ca="1">H117*25%</f>
        <v>5.75</v>
      </c>
    </row>
    <row r="120" spans="1:10" x14ac:dyDescent="0.25">
      <c r="A120" s="101" t="s">
        <v>125</v>
      </c>
      <c r="B120" s="102"/>
      <c r="C120" s="75">
        <f ca="1">J121</f>
        <v>23</v>
      </c>
      <c r="D120" s="19">
        <f ca="1">((100/H117)*C120)/100</f>
        <v>1</v>
      </c>
      <c r="E120" s="104">
        <f ca="1">(((C121/H117*10)+(40/(D117+F117+H117)*C122)+(7.5/(H117)*C123)+(7.5/(H117)*C124)+(10/H117*C125)+(10/H117*C126)+(5/H117*C127)+(5/H117*C128)+(5/H117*C129))/100)</f>
        <v>0.8</v>
      </c>
      <c r="F120" s="105"/>
      <c r="G120" s="104">
        <f ca="1">((((C120/H117)*20)+((C121/H117)*25)+(30/(H117+F117+D117)*C122)+(5/H117*C123)+(5/H117*C124)+(5/H117*C125)+(5/H117*C126)+(0/H117*C127)+(0/H117*C128)+(5/H117*C129))/100)</f>
        <v>0.91521739130434776</v>
      </c>
      <c r="H120" s="110"/>
      <c r="I120" s="14" t="s">
        <v>96</v>
      </c>
      <c r="J120" s="29">
        <f ca="1">H117*50%</f>
        <v>11.5</v>
      </c>
    </row>
    <row r="121" spans="1:10" x14ac:dyDescent="0.25">
      <c r="A121" s="101" t="s">
        <v>49</v>
      </c>
      <c r="B121" s="102"/>
      <c r="C121" s="56">
        <f ca="1">J129</f>
        <v>23</v>
      </c>
      <c r="D121" s="19">
        <f ca="1">((100/H117)*C121)/100</f>
        <v>1</v>
      </c>
      <c r="E121" s="106"/>
      <c r="F121" s="107"/>
      <c r="G121" s="106"/>
      <c r="H121" s="111"/>
      <c r="I121" s="14" t="s">
        <v>97</v>
      </c>
      <c r="J121" s="29">
        <f ca="1">H117</f>
        <v>23</v>
      </c>
    </row>
    <row r="122" spans="1:10" ht="15.75" customHeight="1" x14ac:dyDescent="0.25">
      <c r="A122" s="101" t="s">
        <v>126</v>
      </c>
      <c r="B122" s="102"/>
      <c r="C122" s="75">
        <v>24</v>
      </c>
      <c r="D122" s="19">
        <f ca="1">((100/(D117+F117+H117))*C122)/100</f>
        <v>1</v>
      </c>
      <c r="E122" s="106"/>
      <c r="F122" s="107"/>
      <c r="G122" s="106"/>
      <c r="H122" s="111"/>
      <c r="I122" s="14" t="s">
        <v>98</v>
      </c>
      <c r="J122" s="30">
        <f ca="1">(IF(B117&gt;1,(H117/(B117+2)),H117/4))</f>
        <v>5.75</v>
      </c>
    </row>
    <row r="123" spans="1:10" ht="15.75" customHeight="1" x14ac:dyDescent="0.25">
      <c r="A123" s="101" t="s">
        <v>133</v>
      </c>
      <c r="B123" s="102" t="s">
        <v>127</v>
      </c>
      <c r="C123" s="75">
        <v>23</v>
      </c>
      <c r="D123" s="19">
        <f ca="1">((100/H117)*C123)/100</f>
        <v>1</v>
      </c>
      <c r="E123" s="106"/>
      <c r="F123" s="107"/>
      <c r="G123" s="106"/>
      <c r="H123" s="111"/>
      <c r="I123" s="14" t="s">
        <v>99</v>
      </c>
      <c r="J123" s="30">
        <f ca="1">(IF(B117&gt;1,(H117/(B117+2)+J122),H117/4+J122))</f>
        <v>11.5</v>
      </c>
    </row>
    <row r="124" spans="1:10" ht="15.75" customHeight="1" x14ac:dyDescent="0.25">
      <c r="A124" s="101" t="s">
        <v>134</v>
      </c>
      <c r="B124" s="102" t="s">
        <v>127</v>
      </c>
      <c r="C124" s="75">
        <v>23</v>
      </c>
      <c r="D124" s="19">
        <f ca="1">((100/H117)*C124)/100</f>
        <v>1</v>
      </c>
      <c r="E124" s="106"/>
      <c r="F124" s="107"/>
      <c r="G124" s="106"/>
      <c r="H124" s="111"/>
      <c r="I124" s="14" t="s">
        <v>143</v>
      </c>
      <c r="J124" s="30">
        <f>(IF(B117&gt;1,(H117/(B117+2)+J123),0))</f>
        <v>0</v>
      </c>
    </row>
    <row r="125" spans="1:10" ht="15" customHeight="1" x14ac:dyDescent="0.25">
      <c r="A125" s="101" t="s">
        <v>132</v>
      </c>
      <c r="B125" s="102" t="s">
        <v>129</v>
      </c>
      <c r="C125" s="75">
        <v>20</v>
      </c>
      <c r="D125" s="19">
        <f ca="1">((100/(H117))*C125)/100</f>
        <v>0.86956521739130432</v>
      </c>
      <c r="E125" s="106"/>
      <c r="F125" s="107"/>
      <c r="G125" s="106"/>
      <c r="H125" s="111"/>
      <c r="I125" s="14" t="s">
        <v>140</v>
      </c>
      <c r="J125" s="30">
        <f>(IF(B117&gt;2,(H117/(B117+2)+J124),0))</f>
        <v>0</v>
      </c>
    </row>
    <row r="126" spans="1:10" ht="15.75" customHeight="1" x14ac:dyDescent="0.25">
      <c r="A126" s="101" t="s">
        <v>128</v>
      </c>
      <c r="B126" s="102" t="s">
        <v>128</v>
      </c>
      <c r="C126" s="75">
        <v>10</v>
      </c>
      <c r="D126" s="19">
        <f ca="1">((100/H117)*C126)/100</f>
        <v>0.43478260869565216</v>
      </c>
      <c r="E126" s="106"/>
      <c r="F126" s="107"/>
      <c r="G126" s="106"/>
      <c r="H126" s="111"/>
      <c r="I126" s="14" t="s">
        <v>141</v>
      </c>
      <c r="J126" s="31">
        <f>(IF(B117&gt;3,(H117/(B117+2)+J125),0))</f>
        <v>0</v>
      </c>
    </row>
    <row r="127" spans="1:10" ht="15.75" customHeight="1" x14ac:dyDescent="0.25">
      <c r="A127" s="101" t="s">
        <v>135</v>
      </c>
      <c r="B127" s="102"/>
      <c r="C127" s="75">
        <v>9</v>
      </c>
      <c r="D127" s="19">
        <f ca="1">((100/H117)*C127)/100</f>
        <v>0.39130434782608697</v>
      </c>
      <c r="E127" s="106"/>
      <c r="F127" s="107"/>
      <c r="G127" s="106"/>
      <c r="H127" s="111"/>
      <c r="I127" s="14" t="s">
        <v>142</v>
      </c>
      <c r="J127" s="30">
        <f>(IF(B117&gt;4,(H117/(B117+2)+J126),0))</f>
        <v>0</v>
      </c>
    </row>
    <row r="128" spans="1:10" ht="15.75" customHeight="1" x14ac:dyDescent="0.25">
      <c r="A128" s="101" t="s">
        <v>130</v>
      </c>
      <c r="B128" s="102" t="s">
        <v>130</v>
      </c>
      <c r="C128" s="75">
        <v>0</v>
      </c>
      <c r="D128" s="19">
        <f ca="1">((100/(H117))*C128)/100</f>
        <v>0</v>
      </c>
      <c r="E128" s="106"/>
      <c r="F128" s="107"/>
      <c r="G128" s="106"/>
      <c r="H128" s="111"/>
      <c r="I128" s="14" t="s">
        <v>144</v>
      </c>
      <c r="J128" s="30">
        <f ca="1">(IF(B117=1,(H117/(B117+3)+J123),IF(B117=0,(H117/4+J123),IF(B117&gt;1,0))))</f>
        <v>17.25</v>
      </c>
    </row>
    <row r="129" spans="1:10" ht="16.5" thickBot="1" x14ac:dyDescent="0.3">
      <c r="A129" s="113" t="s">
        <v>131</v>
      </c>
      <c r="B129" s="114"/>
      <c r="C129" s="78">
        <v>0</v>
      </c>
      <c r="D129" s="20">
        <f ca="1">((100/(H117))*C129)/100</f>
        <v>0</v>
      </c>
      <c r="E129" s="108"/>
      <c r="F129" s="109"/>
      <c r="G129" s="108"/>
      <c r="H129" s="112"/>
      <c r="I129" s="15" t="s">
        <v>100</v>
      </c>
      <c r="J129" s="32">
        <f ca="1">(IF(B117&gt;1.5,(H117/(B117+2)+J123+MAX(0,J124-J123)+MAX(0,J125-J124)+MAX(0,J126-J125)+MAX(0,J127-J126)+MAX(0,J128-J127)),IF(B117=1,(H117/(B117+3)+J128),IF(B117=0,H117/4+J128))))</f>
        <v>23</v>
      </c>
    </row>
    <row r="130" spans="1:10" ht="15.75" customHeight="1" x14ac:dyDescent="0.25">
      <c r="A130" s="92" t="s">
        <v>137</v>
      </c>
      <c r="B130" s="93"/>
      <c r="C130" s="94" t="str">
        <f>D78</f>
        <v>H Wing = Nakshatra Veda = G + 1st to 23rd Floor</v>
      </c>
      <c r="D130" s="95"/>
      <c r="E130" s="95"/>
      <c r="F130" s="95"/>
      <c r="G130" s="95"/>
      <c r="H130" s="96"/>
      <c r="I130" s="49" t="str">
        <f ca="1">IF(D143=100%,"All work Completed. Possession granted to the Building.",IF(D142=100%,"All work Completed, Waiting for OC",I131&amp;""&amp;I132&amp;""&amp;J131&amp;""&amp;J130&amp;" "&amp;J132))</f>
        <v>Excavation, Plinth, RCC Slab, Brickwork, Internal Plaster, External Plaster Completed, Flooring upto 13 Floor, Painting upto 10 Floor Completed</v>
      </c>
      <c r="J130" s="50" t="str">
        <f ca="1">(IF(C136=(D131+F131+H131),"",IF(C136&gt;0,", RCC upto "&amp;C136&amp;" Slab","")))&amp;(IF(C137=H131,"",IF(C137&gt;0,", Brickwork upto "&amp;C137&amp;" Floor","")))&amp;(IF(C138=H131,"",IF(C138&gt;0,", Internal Plaster upto "&amp;C138&amp;" Floor","")))&amp;(IF(C139=H131,"",IF(C139&gt;0,", External Plaster upto "&amp;C139&amp;" Floor","")))&amp;(IF(C140=H131,"",IF(C140&gt;0,", Flooring upto "&amp;C140&amp;" Floor","")))&amp;(IF(C141=H131,"",IF(C141&gt;0,", Painting upto "&amp;C141&amp;" Floor","")))&amp;(IF(C142=H131,"",IF(C142&gt;0,", Finishing upto "&amp;C142&amp;" Floor","")))&amp;(IF(C143=H131,"",IF(C143&gt;0,", Possession upto "&amp;C143&amp;" Floor","")))</f>
        <v>, Flooring upto 13 Floor, Painting upto 10 Floor</v>
      </c>
    </row>
    <row r="131" spans="1:10" x14ac:dyDescent="0.25">
      <c r="A131" s="16" t="s">
        <v>139</v>
      </c>
      <c r="B131" s="53">
        <v>0</v>
      </c>
      <c r="C131" s="53" t="s">
        <v>72</v>
      </c>
      <c r="D131" s="53">
        <v>1</v>
      </c>
      <c r="E131" s="53" t="s">
        <v>71</v>
      </c>
      <c r="F131" s="53">
        <v>0</v>
      </c>
      <c r="G131" s="48" t="s">
        <v>81</v>
      </c>
      <c r="H131" s="17">
        <f ca="1">--TRIM(RIGHT(SUBSTITUTE(LEFT(C130,_xlfn.AGGREGATE(16,6,FIND({0,1,2,3,4,5,6,7,8,9},C130,ROW(INDIRECT("1:"&amp;LEN(C130)))),1))," ",REPT(" ",LEN(C130))),LEN(C130)))</f>
        <v>23</v>
      </c>
      <c r="I131" s="51" t="str">
        <f ca="1">IF(D134=100%,"Excavation","")&amp;IF(D135=100%,", Plinth","")&amp;IF(D136=100%,", RCC Slab","")&amp;IF(D137=100%,", Brickwork","")&amp;IF(D138=100%,", Internal Plaster","")&amp;IF(D139=100%,", External Plaster","")&amp;IF(D140=100%,", Flooring","")&amp;IF(D141=100%,", Painting","")&amp;IF(D142=100%,", Building common Amenities","")</f>
        <v>Excavation, Plinth, RCC Slab, Brickwork, Internal Plaster, External Plaster</v>
      </c>
      <c r="J131" s="52" t="str">
        <f ca="1">(IF(C134=0,"Work not yet Started.",IF(D134=25%,"Piling work in process",IF(D134=50%,"Excavation work in process",IF(D134=100%,"","0")))))&amp;(IF(C135=0%,"",IF(C135=J136,", Footing work is process",IF(C135=J137,", Footing work Completed",IF(C135=J138,", 1st Basement Completed",IF(C135=J139,", 1st &amp; 2nd Basement Completed",IF(C135=J140,", 1st to 3rd Basement Completed",IF(C135=J141,", 1st to 4th Basement Completed",IF(C135=J142,", Plinth work is process",IF(C135=J143,"","0"))))))))))</f>
        <v/>
      </c>
    </row>
    <row r="132" spans="1:10" ht="34.5" customHeight="1" x14ac:dyDescent="0.25">
      <c r="A132" s="97" t="s">
        <v>91</v>
      </c>
      <c r="B132" s="98"/>
      <c r="C132" s="99" t="str">
        <f ca="1">I130</f>
        <v>Excavation, Plinth, RCC Slab, Brickwork, Internal Plaster, External Plaster Completed, Flooring upto 13 Floor, Painting upto 10 Floor Completed</v>
      </c>
      <c r="D132" s="99"/>
      <c r="E132" s="99"/>
      <c r="F132" s="99"/>
      <c r="G132" s="99"/>
      <c r="H132" s="100"/>
      <c r="I132" s="51" t="str">
        <f ca="1">IF(I131&lt;&gt;""," Completed","")</f>
        <v xml:space="preserve"> Completed</v>
      </c>
      <c r="J132" s="52" t="str">
        <f ca="1">IF(J130&lt;&gt;"","Completed","")</f>
        <v>Completed</v>
      </c>
    </row>
    <row r="133" spans="1:10" ht="15.75" customHeight="1" x14ac:dyDescent="0.25">
      <c r="A133" s="101" t="s">
        <v>48</v>
      </c>
      <c r="B133" s="102"/>
      <c r="C133" s="44" t="s">
        <v>136</v>
      </c>
      <c r="D133" s="44" t="s">
        <v>84</v>
      </c>
      <c r="E133" s="102" t="s">
        <v>86</v>
      </c>
      <c r="F133" s="102"/>
      <c r="G133" s="102" t="s">
        <v>85</v>
      </c>
      <c r="H133" s="103"/>
      <c r="I133" s="14" t="s">
        <v>138</v>
      </c>
      <c r="J133" s="28">
        <f ca="1">H131*25%</f>
        <v>5.75</v>
      </c>
    </row>
    <row r="134" spans="1:10" x14ac:dyDescent="0.25">
      <c r="A134" s="101" t="s">
        <v>125</v>
      </c>
      <c r="B134" s="102"/>
      <c r="C134" s="44">
        <f ca="1">J135</f>
        <v>23</v>
      </c>
      <c r="D134" s="19">
        <f ca="1">((100/H131)*C134)/100</f>
        <v>1</v>
      </c>
      <c r="E134" s="104">
        <f ca="1">(((C135/H131*10)+(40/(D131+F131+H131)*C136)+(7.5/(H131)*C137)+(7.5/(H131)*C138)+(10/H131*C139)+(10/H131*C140)+(5/H131*C141)+(5/H131*C142)+(5/H131*C143))/100)</f>
        <v>0.82826086956521749</v>
      </c>
      <c r="F134" s="105"/>
      <c r="G134" s="104">
        <f ca="1">((((C134/H131)*20)+((C135/H131)*25)+(30/(H131+F131+D131)*C136)+(5/H131*C137)+(5/H131*C138)+(5/H131*C139)+(5/H131*C140)+(0/H131*C141)+(0/H131*C142)+(5/H131*C143))/100)</f>
        <v>0.92826086956521736</v>
      </c>
      <c r="H134" s="110"/>
      <c r="I134" s="14" t="s">
        <v>96</v>
      </c>
      <c r="J134" s="29">
        <f ca="1">H131*50%</f>
        <v>11.5</v>
      </c>
    </row>
    <row r="135" spans="1:10" x14ac:dyDescent="0.25">
      <c r="A135" s="101" t="s">
        <v>49</v>
      </c>
      <c r="B135" s="102"/>
      <c r="C135" s="56">
        <f ca="1">J143</f>
        <v>23</v>
      </c>
      <c r="D135" s="19">
        <f ca="1">((100/H131)*C135)/100</f>
        <v>1</v>
      </c>
      <c r="E135" s="106"/>
      <c r="F135" s="107"/>
      <c r="G135" s="106"/>
      <c r="H135" s="111"/>
      <c r="I135" s="14" t="s">
        <v>97</v>
      </c>
      <c r="J135" s="29">
        <f ca="1">H131</f>
        <v>23</v>
      </c>
    </row>
    <row r="136" spans="1:10" ht="15.75" customHeight="1" x14ac:dyDescent="0.25">
      <c r="A136" s="101" t="s">
        <v>126</v>
      </c>
      <c r="B136" s="102"/>
      <c r="C136" s="44">
        <v>24</v>
      </c>
      <c r="D136" s="19">
        <f ca="1">((100/(D131+F131+H131))*C136)/100</f>
        <v>1</v>
      </c>
      <c r="E136" s="106"/>
      <c r="F136" s="107"/>
      <c r="G136" s="106"/>
      <c r="H136" s="111"/>
      <c r="I136" s="14" t="s">
        <v>98</v>
      </c>
      <c r="J136" s="30">
        <f ca="1">(IF(B131&gt;1,(H131/(B131+2)),H131/4))</f>
        <v>5.75</v>
      </c>
    </row>
    <row r="137" spans="1:10" ht="15.75" customHeight="1" x14ac:dyDescent="0.25">
      <c r="A137" s="101" t="s">
        <v>133</v>
      </c>
      <c r="B137" s="102" t="s">
        <v>127</v>
      </c>
      <c r="C137" s="44">
        <v>23</v>
      </c>
      <c r="D137" s="19">
        <f ca="1">((100/H131)*C137)/100</f>
        <v>1</v>
      </c>
      <c r="E137" s="106"/>
      <c r="F137" s="107"/>
      <c r="G137" s="106"/>
      <c r="H137" s="111"/>
      <c r="I137" s="14" t="s">
        <v>99</v>
      </c>
      <c r="J137" s="30">
        <f ca="1">(IF(B131&gt;1,(H131/(B131+2)+J136),H131/4+J136))</f>
        <v>11.5</v>
      </c>
    </row>
    <row r="138" spans="1:10" ht="15.75" customHeight="1" x14ac:dyDescent="0.25">
      <c r="A138" s="101" t="s">
        <v>134</v>
      </c>
      <c r="B138" s="102" t="s">
        <v>127</v>
      </c>
      <c r="C138" s="44">
        <v>23</v>
      </c>
      <c r="D138" s="19">
        <f ca="1">((100/H131)*C138)/100</f>
        <v>1</v>
      </c>
      <c r="E138" s="106"/>
      <c r="F138" s="107"/>
      <c r="G138" s="106"/>
      <c r="H138" s="111"/>
      <c r="I138" s="14" t="s">
        <v>143</v>
      </c>
      <c r="J138" s="30">
        <f>(IF(B131&gt;1,(H131/(B131+2)+J137),0))</f>
        <v>0</v>
      </c>
    </row>
    <row r="139" spans="1:10" ht="15" customHeight="1" x14ac:dyDescent="0.25">
      <c r="A139" s="101" t="s">
        <v>132</v>
      </c>
      <c r="B139" s="102" t="s">
        <v>129</v>
      </c>
      <c r="C139" s="44">
        <v>23</v>
      </c>
      <c r="D139" s="19">
        <f ca="1">((100/(H131))*C139)/100</f>
        <v>1</v>
      </c>
      <c r="E139" s="106"/>
      <c r="F139" s="107"/>
      <c r="G139" s="106"/>
      <c r="H139" s="111"/>
      <c r="I139" s="14" t="s">
        <v>140</v>
      </c>
      <c r="J139" s="30">
        <f>(IF(B131&gt;2,(H131/(B131+2)+J138),0))</f>
        <v>0</v>
      </c>
    </row>
    <row r="140" spans="1:10" ht="15.75" customHeight="1" x14ac:dyDescent="0.25">
      <c r="A140" s="101" t="s">
        <v>128</v>
      </c>
      <c r="B140" s="102" t="s">
        <v>128</v>
      </c>
      <c r="C140" s="44">
        <v>13</v>
      </c>
      <c r="D140" s="19">
        <f ca="1">((100/H131)*C140)/100</f>
        <v>0.56521739130434778</v>
      </c>
      <c r="E140" s="106"/>
      <c r="F140" s="107"/>
      <c r="G140" s="106"/>
      <c r="H140" s="111"/>
      <c r="I140" s="14" t="s">
        <v>141</v>
      </c>
      <c r="J140" s="31">
        <f>(IF(B131&gt;3,(H131/(B131+2)+J139),0))</f>
        <v>0</v>
      </c>
    </row>
    <row r="141" spans="1:10" ht="15.75" customHeight="1" x14ac:dyDescent="0.25">
      <c r="A141" s="101" t="s">
        <v>135</v>
      </c>
      <c r="B141" s="102"/>
      <c r="C141" s="44">
        <v>10</v>
      </c>
      <c r="D141" s="19">
        <f ca="1">((100/H131)*C141)/100</f>
        <v>0.43478260869565216</v>
      </c>
      <c r="E141" s="106"/>
      <c r="F141" s="107"/>
      <c r="G141" s="106"/>
      <c r="H141" s="111"/>
      <c r="I141" s="14" t="s">
        <v>142</v>
      </c>
      <c r="J141" s="30">
        <f>(IF(B131&gt;4,(H131/(B131+2)+J140),0))</f>
        <v>0</v>
      </c>
    </row>
    <row r="142" spans="1:10" ht="15.75" customHeight="1" x14ac:dyDescent="0.25">
      <c r="A142" s="101" t="s">
        <v>130</v>
      </c>
      <c r="B142" s="102" t="s">
        <v>130</v>
      </c>
      <c r="C142" s="44">
        <v>0</v>
      </c>
      <c r="D142" s="19">
        <f ca="1">((100/(H131))*C142)/100</f>
        <v>0</v>
      </c>
      <c r="E142" s="106"/>
      <c r="F142" s="107"/>
      <c r="G142" s="106"/>
      <c r="H142" s="111"/>
      <c r="I142" s="14" t="s">
        <v>144</v>
      </c>
      <c r="J142" s="30">
        <f ca="1">(IF(B131=1,(H131/(B131+3)+J137),IF(B131=0,(H131/4+J137),IF(B131&gt;1,0))))</f>
        <v>17.25</v>
      </c>
    </row>
    <row r="143" spans="1:10" ht="16.5" thickBot="1" x14ac:dyDescent="0.3">
      <c r="A143" s="113" t="s">
        <v>131</v>
      </c>
      <c r="B143" s="114"/>
      <c r="C143" s="45">
        <v>0</v>
      </c>
      <c r="D143" s="20">
        <f ca="1">((100/(H131))*C143)/100</f>
        <v>0</v>
      </c>
      <c r="E143" s="108"/>
      <c r="F143" s="109"/>
      <c r="G143" s="108"/>
      <c r="H143" s="112"/>
      <c r="I143" s="15" t="s">
        <v>100</v>
      </c>
      <c r="J143" s="32">
        <f ca="1">(IF(B131&gt;1.5,(H131/(B131+2)+J137+MAX(0,J138-J137)+MAX(0,J139-J138)+MAX(0,J140-J139)+MAX(0,J141-J140)+MAX(0,J142-J141)),IF(B131=1,(H131/(B131+3)+J142),IF(B131=0,H131/4+J142))))</f>
        <v>23</v>
      </c>
    </row>
    <row r="144" spans="1:10" ht="15.75" customHeight="1" x14ac:dyDescent="0.25">
      <c r="A144" s="92" t="s">
        <v>137</v>
      </c>
      <c r="B144" s="93"/>
      <c r="C144" s="94" t="str">
        <f>D79</f>
        <v>I Wing = Nakshatra Veda = G + 1st to 23rd Floor</v>
      </c>
      <c r="D144" s="95"/>
      <c r="E144" s="95"/>
      <c r="F144" s="95"/>
      <c r="G144" s="95"/>
      <c r="H144" s="96"/>
      <c r="I144" s="49" t="str">
        <f ca="1">IF(D157=100%,"All work Completed. Possession granted to the Building.",IF(D156=100%,"All work Completed, Waiting for OC",I145&amp;""&amp;I146&amp;""&amp;J145&amp;""&amp;J144&amp;" "&amp;J146))</f>
        <v>Excavation, Plinth, RCC Slab, Brickwork, Internal Plaster Completed, External Plaster upto 22 Floor, Flooring upto 13 Floor, Painting upto 8 Floor Completed</v>
      </c>
      <c r="J144" s="50" t="str">
        <f ca="1">(IF(C150=(D145+F145+H145),"",IF(C150&gt;0,", RCC upto "&amp;C150&amp;" Slab","")))&amp;(IF(C151=H145,"",IF(C151&gt;0,", Brickwork upto "&amp;C151&amp;" Floor","")))&amp;(IF(C152=H145,"",IF(C152&gt;0,", Internal Plaster upto "&amp;C152&amp;" Floor","")))&amp;(IF(C153=H145,"",IF(C153&gt;0,", External Plaster upto "&amp;C153&amp;" Floor","")))&amp;(IF(C154=H145,"",IF(C154&gt;0,", Flooring upto "&amp;C154&amp;" Floor","")))&amp;(IF(C155=H145,"",IF(C155&gt;0,", Painting upto "&amp;C155&amp;" Floor","")))&amp;(IF(C156=H145,"",IF(C156&gt;0,", Finishing upto "&amp;C156&amp;" Floor","")))&amp;(IF(C157=H145,"",IF(C157&gt;0,", Possession upto "&amp;C157&amp;" Floor","")))</f>
        <v>, External Plaster upto 22 Floor, Flooring upto 13 Floor, Painting upto 8 Floor</v>
      </c>
    </row>
    <row r="145" spans="1:10" x14ac:dyDescent="0.25">
      <c r="A145" s="16" t="s">
        <v>139</v>
      </c>
      <c r="B145" s="53">
        <v>0</v>
      </c>
      <c r="C145" s="53" t="s">
        <v>72</v>
      </c>
      <c r="D145" s="53">
        <v>1</v>
      </c>
      <c r="E145" s="53" t="s">
        <v>71</v>
      </c>
      <c r="F145" s="53">
        <v>0</v>
      </c>
      <c r="G145" s="48" t="s">
        <v>81</v>
      </c>
      <c r="H145" s="17">
        <f ca="1">--TRIM(RIGHT(SUBSTITUTE(LEFT(C144,_xlfn.AGGREGATE(16,6,FIND({0,1,2,3,4,5,6,7,8,9},C144,ROW(INDIRECT("1:"&amp;LEN(C144)))),1))," ",REPT(" ",LEN(C144))),LEN(C144)))</f>
        <v>23</v>
      </c>
      <c r="I145" s="51" t="str">
        <f ca="1">IF(D148=100%,"Excavation","")&amp;IF(D149=100%,", Plinth","")&amp;IF(D150=100%,", RCC Slab","")&amp;IF(D151=100%,", Brickwork","")&amp;IF(D152=100%,", Internal Plaster","")&amp;IF(D153=100%,", External Plaster","")&amp;IF(D154=100%,", Flooring","")&amp;IF(D155=100%,", Painting","")&amp;IF(D156=100%,", Building common Amenities","")</f>
        <v>Excavation, Plinth, RCC Slab, Brickwork, Internal Plaster</v>
      </c>
      <c r="J145" s="52" t="str">
        <f ca="1">(IF(C148=0,"Work not yet Started.",IF(D148=25%,"Piling work in process",IF(D148=50%,"Excavation work in process",IF(D148=100%,"","0")))))&amp;(IF(C149=0%,"",IF(C149=J150,", Footing work is process",IF(C149=J151,", Footing work Completed",IF(C149=J152,", 1st Basement Completed",IF(C149=J153,", 1st &amp; 2nd Basement Completed",IF(C149=J154,", 1st to 3rd Basement Completed",IF(C149=J155,", 1st to 4th Basement Completed",IF(C149=J156,", Plinth work is process",IF(C149=J157,"","0"))))))))))</f>
        <v/>
      </c>
    </row>
    <row r="146" spans="1:10" ht="31.5" customHeight="1" x14ac:dyDescent="0.25">
      <c r="A146" s="97" t="s">
        <v>91</v>
      </c>
      <c r="B146" s="98"/>
      <c r="C146" s="99" t="str">
        <f ca="1">(IF($G$73="NA",I144,"All work Completed. OC Received."))</f>
        <v>Excavation, Plinth, RCC Slab, Brickwork, Internal Plaster Completed, External Plaster upto 22 Floor, Flooring upto 13 Floor, Painting upto 8 Floor Completed</v>
      </c>
      <c r="D146" s="99"/>
      <c r="E146" s="99"/>
      <c r="F146" s="99"/>
      <c r="G146" s="99"/>
      <c r="H146" s="100"/>
      <c r="I146" s="51" t="str">
        <f ca="1">IF(I145&lt;&gt;""," Completed","")</f>
        <v xml:space="preserve"> Completed</v>
      </c>
      <c r="J146" s="52" t="str">
        <f ca="1">IF(J144&lt;&gt;"","Completed","")</f>
        <v>Completed</v>
      </c>
    </row>
    <row r="147" spans="1:10" ht="15.75" customHeight="1" x14ac:dyDescent="0.25">
      <c r="A147" s="101" t="s">
        <v>48</v>
      </c>
      <c r="B147" s="102"/>
      <c r="C147" s="44" t="s">
        <v>136</v>
      </c>
      <c r="D147" s="44" t="s">
        <v>84</v>
      </c>
      <c r="E147" s="102" t="s">
        <v>86</v>
      </c>
      <c r="F147" s="102"/>
      <c r="G147" s="102" t="s">
        <v>85</v>
      </c>
      <c r="H147" s="103"/>
      <c r="I147" s="14" t="s">
        <v>138</v>
      </c>
      <c r="J147" s="28">
        <f ca="1">H145*25%</f>
        <v>5.75</v>
      </c>
    </row>
    <row r="148" spans="1:10" x14ac:dyDescent="0.25">
      <c r="A148" s="101" t="s">
        <v>125</v>
      </c>
      <c r="B148" s="102"/>
      <c r="C148" s="44">
        <f ca="1">J149</f>
        <v>23</v>
      </c>
      <c r="D148" s="19">
        <f ca="1">((100/H145)*C148)/100</f>
        <v>1</v>
      </c>
      <c r="E148" s="104">
        <f ca="1">(((C149/H145*10)+(40/(D145+F145+H145)*C150)+(7.5/(H145)*C151)+(7.5/(H145)*C152)+(10/H145*C153)+(10/H145*C154)+(5/H145*C155)+(5/H145*C156)+(5/H145*C157))/100)</f>
        <v>0.81956521739130439</v>
      </c>
      <c r="F148" s="105"/>
      <c r="G148" s="104">
        <f ca="1">((((C148/H145)*20)+((C149/H145)*25)+(30/(H145+F145+D145)*C150)+(5/H145*C151)+(5/H145*C152)+(5/H145*C153)+(5/H145*C154)+(0/H145*C155)+(0/H145*C156)+(5/H145*C157))/100)</f>
        <v>0.92608695652173911</v>
      </c>
      <c r="H148" s="110"/>
      <c r="I148" s="14" t="s">
        <v>96</v>
      </c>
      <c r="J148" s="29">
        <f ca="1">H145*50%</f>
        <v>11.5</v>
      </c>
    </row>
    <row r="149" spans="1:10" x14ac:dyDescent="0.25">
      <c r="A149" s="101" t="s">
        <v>49</v>
      </c>
      <c r="B149" s="102"/>
      <c r="C149" s="56">
        <f ca="1">J157</f>
        <v>23</v>
      </c>
      <c r="D149" s="19">
        <f ca="1">((100/H145)*C149)/100</f>
        <v>1</v>
      </c>
      <c r="E149" s="106"/>
      <c r="F149" s="107"/>
      <c r="G149" s="106"/>
      <c r="H149" s="111"/>
      <c r="I149" s="14" t="s">
        <v>97</v>
      </c>
      <c r="J149" s="29">
        <f ca="1">H145</f>
        <v>23</v>
      </c>
    </row>
    <row r="150" spans="1:10" ht="15.75" customHeight="1" x14ac:dyDescent="0.25">
      <c r="A150" s="101" t="s">
        <v>126</v>
      </c>
      <c r="B150" s="102"/>
      <c r="C150" s="44">
        <v>24</v>
      </c>
      <c r="D150" s="19">
        <f ca="1">((100/(D145+F145+H145))*C150)/100</f>
        <v>1</v>
      </c>
      <c r="E150" s="106"/>
      <c r="F150" s="107"/>
      <c r="G150" s="106"/>
      <c r="H150" s="111"/>
      <c r="I150" s="14" t="s">
        <v>98</v>
      </c>
      <c r="J150" s="30">
        <f ca="1">(IF(B145&gt;1,(H145/(B145+2)),H145/4))</f>
        <v>5.75</v>
      </c>
    </row>
    <row r="151" spans="1:10" ht="15.75" customHeight="1" x14ac:dyDescent="0.25">
      <c r="A151" s="101" t="s">
        <v>133</v>
      </c>
      <c r="B151" s="102" t="s">
        <v>127</v>
      </c>
      <c r="C151" s="44">
        <v>23</v>
      </c>
      <c r="D151" s="19">
        <f ca="1">((100/H145)*C151)/100</f>
        <v>1</v>
      </c>
      <c r="E151" s="106"/>
      <c r="F151" s="107"/>
      <c r="G151" s="106"/>
      <c r="H151" s="111"/>
      <c r="I151" s="14" t="s">
        <v>99</v>
      </c>
      <c r="J151" s="30">
        <f ca="1">(IF(B145&gt;1,(H145/(B145+2)+J150),H145/4+J150))</f>
        <v>11.5</v>
      </c>
    </row>
    <row r="152" spans="1:10" ht="15.75" customHeight="1" x14ac:dyDescent="0.25">
      <c r="A152" s="101" t="s">
        <v>134</v>
      </c>
      <c r="B152" s="102" t="s">
        <v>127</v>
      </c>
      <c r="C152" s="44">
        <v>23</v>
      </c>
      <c r="D152" s="19">
        <f ca="1">((100/H145)*C152)/100</f>
        <v>1</v>
      </c>
      <c r="E152" s="106"/>
      <c r="F152" s="107"/>
      <c r="G152" s="106"/>
      <c r="H152" s="111"/>
      <c r="I152" s="14" t="s">
        <v>143</v>
      </c>
      <c r="J152" s="30">
        <f>(IF(B145&gt;1,(H145/(B145+2)+J151),0))</f>
        <v>0</v>
      </c>
    </row>
    <row r="153" spans="1:10" ht="15" customHeight="1" x14ac:dyDescent="0.25">
      <c r="A153" s="101" t="s">
        <v>132</v>
      </c>
      <c r="B153" s="102" t="s">
        <v>129</v>
      </c>
      <c r="C153" s="44">
        <v>22</v>
      </c>
      <c r="D153" s="19">
        <f ca="1">((100/(H145))*C153)/100</f>
        <v>0.9565217391304347</v>
      </c>
      <c r="E153" s="106"/>
      <c r="F153" s="107"/>
      <c r="G153" s="106"/>
      <c r="H153" s="111"/>
      <c r="I153" s="14" t="s">
        <v>140</v>
      </c>
      <c r="J153" s="30">
        <f>(IF(B145&gt;2,(H145/(B145+2)+J152),0))</f>
        <v>0</v>
      </c>
    </row>
    <row r="154" spans="1:10" ht="15.75" customHeight="1" x14ac:dyDescent="0.25">
      <c r="A154" s="101" t="s">
        <v>128</v>
      </c>
      <c r="B154" s="102" t="s">
        <v>128</v>
      </c>
      <c r="C154" s="44">
        <v>13</v>
      </c>
      <c r="D154" s="19">
        <f ca="1">((100/H145)*C154)/100</f>
        <v>0.56521739130434778</v>
      </c>
      <c r="E154" s="106"/>
      <c r="F154" s="107"/>
      <c r="G154" s="106"/>
      <c r="H154" s="111"/>
      <c r="I154" s="14" t="s">
        <v>141</v>
      </c>
      <c r="J154" s="31">
        <f>(IF(B145&gt;3,(H145/(B145+2)+J153),0))</f>
        <v>0</v>
      </c>
    </row>
    <row r="155" spans="1:10" ht="15.75" customHeight="1" x14ac:dyDescent="0.25">
      <c r="A155" s="101" t="s">
        <v>135</v>
      </c>
      <c r="B155" s="102"/>
      <c r="C155" s="44">
        <v>8</v>
      </c>
      <c r="D155" s="19">
        <f ca="1">((100/H145)*C155)/100</f>
        <v>0.34782608695652173</v>
      </c>
      <c r="E155" s="106"/>
      <c r="F155" s="107"/>
      <c r="G155" s="106"/>
      <c r="H155" s="111"/>
      <c r="I155" s="14" t="s">
        <v>142</v>
      </c>
      <c r="J155" s="30">
        <f>(IF(B145&gt;4,(H145/(B145+2)+J154),0))</f>
        <v>0</v>
      </c>
    </row>
    <row r="156" spans="1:10" ht="15.75" customHeight="1" x14ac:dyDescent="0.25">
      <c r="A156" s="101" t="s">
        <v>130</v>
      </c>
      <c r="B156" s="102" t="s">
        <v>130</v>
      </c>
      <c r="C156" s="44">
        <v>0</v>
      </c>
      <c r="D156" s="19">
        <f ca="1">((100/(H145))*C156)/100</f>
        <v>0</v>
      </c>
      <c r="E156" s="106"/>
      <c r="F156" s="107"/>
      <c r="G156" s="106"/>
      <c r="H156" s="111"/>
      <c r="I156" s="14" t="s">
        <v>144</v>
      </c>
      <c r="J156" s="30">
        <f ca="1">(IF(B145=1,(H145/(B145+3)+J151),IF(B145=0,(H145/4+J151),IF(B145&gt;1,0))))</f>
        <v>17.25</v>
      </c>
    </row>
    <row r="157" spans="1:10" ht="16.5" thickBot="1" x14ac:dyDescent="0.3">
      <c r="A157" s="113" t="s">
        <v>131</v>
      </c>
      <c r="B157" s="114"/>
      <c r="C157" s="45">
        <v>0</v>
      </c>
      <c r="D157" s="20">
        <f ca="1">((100/(H145))*C157)/100</f>
        <v>0</v>
      </c>
      <c r="E157" s="108"/>
      <c r="F157" s="109"/>
      <c r="G157" s="108"/>
      <c r="H157" s="112"/>
      <c r="I157" s="15" t="s">
        <v>100</v>
      </c>
      <c r="J157" s="32">
        <f ca="1">(IF(B145&gt;1.5,(H145/(B145+2)+J151+MAX(0,J152-J151)+MAX(0,J153-J152)+MAX(0,J154-J153)+MAX(0,J155-J154)+MAX(0,J156-J155)),IF(B145=1,(H145/(B145+3)+J156),IF(B145=0,H145/4+J156))))</f>
        <v>23</v>
      </c>
    </row>
    <row r="158" spans="1:10" ht="15.75" customHeight="1" x14ac:dyDescent="0.25">
      <c r="A158" s="92" t="s">
        <v>137</v>
      </c>
      <c r="B158" s="93"/>
      <c r="C158" s="94" t="s">
        <v>257</v>
      </c>
      <c r="D158" s="95"/>
      <c r="E158" s="95"/>
      <c r="F158" s="95"/>
      <c r="G158" s="95"/>
      <c r="H158" s="96"/>
      <c r="I158" s="49" t="str">
        <f ca="1">IF(D171=100%,"All work Completed. Possession granted to the Building.",IF(D170=100%,"All work Completed, Waiting for OC",I159&amp;""&amp;I160&amp;""&amp;J159&amp;""&amp;J158&amp;" "&amp;J160))</f>
        <v xml:space="preserve">Excavation work in process </v>
      </c>
      <c r="J158" s="50" t="str">
        <f ca="1">(IF(C164=(D159+F159+H159),"",IF(C164&gt;0,", RCC upto "&amp;C164&amp;" Slab","")))&amp;(IF(C165=H159,"",IF(C165&gt;0,", Brickwork upto "&amp;C165&amp;" Floor","")))&amp;(IF(C166=H159,"",IF(C166&gt;0,", Internal Plaster upto "&amp;C166&amp;" Floor","")))&amp;(IF(C167=H159,"",IF(C167&gt;0,", External Plaster upto "&amp;C167&amp;" Floor","")))&amp;(IF(C168=H159,"",IF(C168&gt;0,", Flooring upto "&amp;C168&amp;" Floor","")))&amp;(IF(C169=H159,"",IF(C169&gt;0,", Painting upto "&amp;C169&amp;" Floor","")))&amp;(IF(C170=H159,"",IF(C170&gt;0,", Finishing upto "&amp;C170&amp;" Floor","")))&amp;(IF(C171=H159,"",IF(C171&gt;0,", Possession upto "&amp;C171&amp;" Floor","")))</f>
        <v/>
      </c>
    </row>
    <row r="159" spans="1:10" x14ac:dyDescent="0.25">
      <c r="A159" s="16" t="s">
        <v>139</v>
      </c>
      <c r="B159" s="86">
        <v>0</v>
      </c>
      <c r="C159" s="86" t="s">
        <v>72</v>
      </c>
      <c r="D159" s="86">
        <v>1</v>
      </c>
      <c r="E159" s="86" t="s">
        <v>71</v>
      </c>
      <c r="F159" s="86">
        <v>0</v>
      </c>
      <c r="G159" s="77" t="s">
        <v>81</v>
      </c>
      <c r="H159" s="17">
        <f ca="1">--TRIM(RIGHT(SUBSTITUTE(LEFT(C158,_xlfn.AGGREGATE(16,6,FIND({0,1,2,3,4,5,6,7,8,9},C158,ROW(INDIRECT("1:"&amp;LEN(C158)))),1))," ",REPT(" ",LEN(C158))),LEN(C158)))</f>
        <v>23</v>
      </c>
      <c r="I159" s="51" t="str">
        <f ca="1">IF(D162=100%,"Excavation","")&amp;IF(D163=100%,", Plinth","")&amp;IF(D164=100%,", RCC Slab","")&amp;IF(D165=100%,", Brickwork","")&amp;IF(D166=100%,", Internal Plaster","")&amp;IF(D167=100%,", External Plaster","")&amp;IF(D168=100%,", Flooring","")&amp;IF(D169=100%,", Painting","")&amp;IF(D170=100%,", Building common Amenities","")</f>
        <v/>
      </c>
      <c r="J159" s="52" t="str">
        <f ca="1">(IF(C162=0,"Work not yet Started.",IF(D162=25%,"Piling work in process",IF(D162=50%,"Excavation work in process",IF(D162=100%,"","0")))))&amp;(IF(C163=0%,"",IF(C163=J164,", Footing work is process",IF(C163=J165,", Footing work Completed",IF(C163=J166,", 1st Basement Completed",IF(C163=J167,", 1st &amp; 2nd Basement Completed",IF(C163=J168,", 1st to 3rd Basement Completed",IF(C163=J169,", 1st to 4th Basement Completed",IF(C163=J170,", Plinth work is process",IF(C163=J171,"","0"))))))))))</f>
        <v>Excavation work in process</v>
      </c>
    </row>
    <row r="160" spans="1:10" x14ac:dyDescent="0.25">
      <c r="A160" s="97" t="s">
        <v>91</v>
      </c>
      <c r="B160" s="98"/>
      <c r="C160" s="99" t="str">
        <f ca="1">(IF($G$73="NA",I158,"All work Completed. OC Received."))</f>
        <v xml:space="preserve">Excavation work in process </v>
      </c>
      <c r="D160" s="99"/>
      <c r="E160" s="99"/>
      <c r="F160" s="99"/>
      <c r="G160" s="99"/>
      <c r="H160" s="100"/>
      <c r="I160" s="51" t="str">
        <f ca="1">IF(I159&lt;&gt;""," Completed","")</f>
        <v/>
      </c>
      <c r="J160" s="52" t="str">
        <f ca="1">IF(J158&lt;&gt;"","Completed","")</f>
        <v/>
      </c>
    </row>
    <row r="161" spans="1:13" ht="15.75" customHeight="1" x14ac:dyDescent="0.25">
      <c r="A161" s="101" t="s">
        <v>48</v>
      </c>
      <c r="B161" s="102"/>
      <c r="C161" s="84" t="s">
        <v>136</v>
      </c>
      <c r="D161" s="84" t="s">
        <v>84</v>
      </c>
      <c r="E161" s="102" t="s">
        <v>86</v>
      </c>
      <c r="F161" s="102"/>
      <c r="G161" s="102" t="s">
        <v>85</v>
      </c>
      <c r="H161" s="103"/>
      <c r="I161" s="14" t="s">
        <v>138</v>
      </c>
      <c r="J161" s="28">
        <f ca="1">H159*25%</f>
        <v>5.75</v>
      </c>
      <c r="K161" s="87" t="s">
        <v>258</v>
      </c>
      <c r="L161" s="87"/>
    </row>
    <row r="162" spans="1:13" x14ac:dyDescent="0.25">
      <c r="A162" s="101" t="s">
        <v>125</v>
      </c>
      <c r="B162" s="102"/>
      <c r="C162" s="84">
        <f ca="1">J162</f>
        <v>11.5</v>
      </c>
      <c r="D162" s="19">
        <f ca="1">((100/H159)*C162)/100</f>
        <v>0.5</v>
      </c>
      <c r="E162" s="104">
        <f ca="1">(((C163/H159*10)+(40/(D159+F159+H159)*C164)+(7.5/(H159)*C165)+(7.5/(H159)*C166)+(10/H159*C167)+(10/H159*C168)+(5/H159*C169)+(5/H159*C170)+(5/H159*C171))/100)</f>
        <v>0</v>
      </c>
      <c r="F162" s="105"/>
      <c r="G162" s="104">
        <f ca="1">((((C162/H159)*20)+((C163/H159)*25)+(30/(H159+F159+D159)*C164)+(5/H159*C165)+(5/H159*C166)+(5/H159*C167)+(5/H159*C168)+(0/H159*C169)+(0/H159*C170)+(5/H159*C171))/100)</f>
        <v>0.1</v>
      </c>
      <c r="H162" s="110"/>
      <c r="I162" s="14" t="s">
        <v>96</v>
      </c>
      <c r="J162" s="29">
        <f ca="1">H159*50%</f>
        <v>11.5</v>
      </c>
      <c r="K162" s="88">
        <v>45484</v>
      </c>
    </row>
    <row r="163" spans="1:13" x14ac:dyDescent="0.25">
      <c r="A163" s="101" t="s">
        <v>49</v>
      </c>
      <c r="B163" s="102"/>
      <c r="C163" s="56">
        <v>0</v>
      </c>
      <c r="D163" s="19">
        <f ca="1">((100/H159)*C163)/100</f>
        <v>0</v>
      </c>
      <c r="E163" s="106"/>
      <c r="F163" s="107"/>
      <c r="G163" s="106"/>
      <c r="H163" s="111"/>
      <c r="I163" s="14" t="s">
        <v>97</v>
      </c>
      <c r="J163" s="29">
        <f ca="1">H159</f>
        <v>23</v>
      </c>
    </row>
    <row r="164" spans="1:13" ht="15.75" customHeight="1" x14ac:dyDescent="0.25">
      <c r="A164" s="101" t="s">
        <v>126</v>
      </c>
      <c r="B164" s="102"/>
      <c r="C164" s="84">
        <v>0</v>
      </c>
      <c r="D164" s="19">
        <f ca="1">((100/(D159+F159+H159))*C164)/100</f>
        <v>0</v>
      </c>
      <c r="E164" s="106"/>
      <c r="F164" s="107"/>
      <c r="G164" s="106"/>
      <c r="H164" s="111"/>
      <c r="I164" s="14" t="s">
        <v>98</v>
      </c>
      <c r="J164" s="30">
        <f ca="1">(IF(B159&gt;1,(H159/(B159+2)),H159/4))</f>
        <v>5.75</v>
      </c>
    </row>
    <row r="165" spans="1:13" ht="15.75" customHeight="1" x14ac:dyDescent="0.25">
      <c r="A165" s="101" t="s">
        <v>133</v>
      </c>
      <c r="B165" s="102" t="s">
        <v>127</v>
      </c>
      <c r="C165" s="84">
        <v>0</v>
      </c>
      <c r="D165" s="19">
        <f ca="1">((100/H159)*C165)/100</f>
        <v>0</v>
      </c>
      <c r="E165" s="106"/>
      <c r="F165" s="107"/>
      <c r="G165" s="106"/>
      <c r="H165" s="111"/>
      <c r="I165" s="14" t="s">
        <v>99</v>
      </c>
      <c r="J165" s="30">
        <f ca="1">(IF(B159&gt;1,(H159/(B159+2)+J164),H159/4+J164))</f>
        <v>11.5</v>
      </c>
    </row>
    <row r="166" spans="1:13" ht="15.75" customHeight="1" x14ac:dyDescent="0.25">
      <c r="A166" s="101" t="s">
        <v>134</v>
      </c>
      <c r="B166" s="102" t="s">
        <v>127</v>
      </c>
      <c r="C166" s="84">
        <v>0</v>
      </c>
      <c r="D166" s="19">
        <f ca="1">((100/H159)*C166)/100</f>
        <v>0</v>
      </c>
      <c r="E166" s="106"/>
      <c r="F166" s="107"/>
      <c r="G166" s="106"/>
      <c r="H166" s="111"/>
      <c r="I166" s="14" t="s">
        <v>143</v>
      </c>
      <c r="J166" s="30">
        <f>(IF(B159&gt;1,(H159/(B159+2)+J165),0))</f>
        <v>0</v>
      </c>
    </row>
    <row r="167" spans="1:13" ht="15" customHeight="1" x14ac:dyDescent="0.25">
      <c r="A167" s="101" t="s">
        <v>132</v>
      </c>
      <c r="B167" s="102" t="s">
        <v>129</v>
      </c>
      <c r="C167" s="84">
        <v>0</v>
      </c>
      <c r="D167" s="19">
        <f ca="1">((100/(H159))*C167)/100</f>
        <v>0</v>
      </c>
      <c r="E167" s="106"/>
      <c r="F167" s="107"/>
      <c r="G167" s="106"/>
      <c r="H167" s="111"/>
      <c r="I167" s="14" t="s">
        <v>140</v>
      </c>
      <c r="J167" s="30">
        <f>(IF(B159&gt;2,(H159/(B159+2)+J166),0))</f>
        <v>0</v>
      </c>
    </row>
    <row r="168" spans="1:13" ht="15.75" customHeight="1" x14ac:dyDescent="0.25">
      <c r="A168" s="101" t="s">
        <v>128</v>
      </c>
      <c r="B168" s="102" t="s">
        <v>128</v>
      </c>
      <c r="C168" s="84">
        <v>0</v>
      </c>
      <c r="D168" s="19">
        <f ca="1">((100/H159)*C168)/100</f>
        <v>0</v>
      </c>
      <c r="E168" s="106"/>
      <c r="F168" s="107"/>
      <c r="G168" s="106"/>
      <c r="H168" s="111"/>
      <c r="I168" s="14" t="s">
        <v>141</v>
      </c>
      <c r="J168" s="31">
        <f>(IF(B159&gt;3,(H159/(B159+2)+J167),0))</f>
        <v>0</v>
      </c>
    </row>
    <row r="169" spans="1:13" ht="15.75" customHeight="1" x14ac:dyDescent="0.25">
      <c r="A169" s="101" t="s">
        <v>135</v>
      </c>
      <c r="B169" s="102"/>
      <c r="C169" s="84">
        <v>0</v>
      </c>
      <c r="D169" s="19">
        <f ca="1">((100/H159)*C169)/100</f>
        <v>0</v>
      </c>
      <c r="E169" s="106"/>
      <c r="F169" s="107"/>
      <c r="G169" s="106"/>
      <c r="H169" s="111"/>
      <c r="I169" s="14" t="s">
        <v>142</v>
      </c>
      <c r="J169" s="30">
        <f>(IF(B159&gt;4,(H159/(B159+2)+J168),0))</f>
        <v>0</v>
      </c>
    </row>
    <row r="170" spans="1:13" ht="15.75" customHeight="1" x14ac:dyDescent="0.25">
      <c r="A170" s="101" t="s">
        <v>130</v>
      </c>
      <c r="B170" s="102" t="s">
        <v>130</v>
      </c>
      <c r="C170" s="84">
        <v>0</v>
      </c>
      <c r="D170" s="19">
        <f ca="1">((100/(H159))*C170)/100</f>
        <v>0</v>
      </c>
      <c r="E170" s="106"/>
      <c r="F170" s="107"/>
      <c r="G170" s="106"/>
      <c r="H170" s="111"/>
      <c r="I170" s="14" t="s">
        <v>144</v>
      </c>
      <c r="J170" s="30">
        <f ca="1">(IF(B159=1,(H159/(B159+3)+J165),IF(B159=0,(H159/4+J165),IF(B159&gt;1,0))))</f>
        <v>17.25</v>
      </c>
    </row>
    <row r="171" spans="1:13" ht="16.5" thickBot="1" x14ac:dyDescent="0.3">
      <c r="A171" s="113" t="s">
        <v>131</v>
      </c>
      <c r="B171" s="114"/>
      <c r="C171" s="85">
        <v>0</v>
      </c>
      <c r="D171" s="20">
        <f ca="1">((100/(H159))*C171)/100</f>
        <v>0</v>
      </c>
      <c r="E171" s="108"/>
      <c r="F171" s="109"/>
      <c r="G171" s="108"/>
      <c r="H171" s="112"/>
      <c r="I171" s="15" t="s">
        <v>100</v>
      </c>
      <c r="J171" s="32">
        <f ca="1">(IF(B159&gt;1.5,(H159/(B159+2)+J165+MAX(0,J166-J165)+MAX(0,J167-J166)+MAX(0,J168-J167)+MAX(0,J169-J168)+MAX(0,J170-J169)),IF(B159=1,(H159/(B159+3)+J170),IF(B159=0,H159/4+J170))))</f>
        <v>23</v>
      </c>
    </row>
    <row r="172" spans="1:13" x14ac:dyDescent="0.25">
      <c r="A172" s="222" t="s">
        <v>153</v>
      </c>
      <c r="B172" s="222"/>
      <c r="C172" s="222"/>
      <c r="D172" s="222"/>
      <c r="E172" s="222"/>
      <c r="F172" s="224" t="s">
        <v>156</v>
      </c>
      <c r="G172" s="224"/>
      <c r="H172" s="224"/>
    </row>
    <row r="173" spans="1:13" x14ac:dyDescent="0.25">
      <c r="A173" s="149" t="s">
        <v>155</v>
      </c>
      <c r="B173" s="149"/>
      <c r="C173" s="149"/>
      <c r="D173" s="149"/>
      <c r="E173" s="149"/>
      <c r="F173" s="175">
        <v>6500</v>
      </c>
      <c r="G173" s="175"/>
      <c r="H173" s="175"/>
      <c r="I173" s="80" t="s">
        <v>247</v>
      </c>
      <c r="J173" s="80" t="s">
        <v>248</v>
      </c>
      <c r="K173" s="81">
        <v>45275</v>
      </c>
      <c r="L173" s="80" t="s">
        <v>249</v>
      </c>
      <c r="M173" s="80" t="s">
        <v>250</v>
      </c>
    </row>
    <row r="174" spans="1:13" x14ac:dyDescent="0.25">
      <c r="A174" s="149" t="s">
        <v>154</v>
      </c>
      <c r="B174" s="149"/>
      <c r="C174" s="149"/>
      <c r="D174" s="149"/>
      <c r="E174" s="149"/>
      <c r="F174" s="175">
        <v>11000</v>
      </c>
      <c r="G174" s="175"/>
      <c r="H174" s="175"/>
      <c r="I174" s="82" t="s">
        <v>251</v>
      </c>
      <c r="J174" s="82" t="s">
        <v>248</v>
      </c>
      <c r="K174" s="83">
        <v>45351</v>
      </c>
      <c r="L174" s="82" t="s">
        <v>252</v>
      </c>
      <c r="M174" s="82" t="s">
        <v>250</v>
      </c>
    </row>
    <row r="175" spans="1:13" s="33" customFormat="1" x14ac:dyDescent="0.25">
      <c r="A175" s="149" t="s">
        <v>199</v>
      </c>
      <c r="B175" s="149"/>
      <c r="C175" s="149"/>
      <c r="D175" s="149"/>
      <c r="E175" s="149"/>
      <c r="F175" s="175">
        <v>250000</v>
      </c>
      <c r="G175" s="175"/>
      <c r="H175" s="175"/>
    </row>
    <row r="176" spans="1:13" x14ac:dyDescent="0.25">
      <c r="A176" s="149" t="s">
        <v>50</v>
      </c>
      <c r="B176" s="149"/>
      <c r="C176" s="149"/>
      <c r="D176" s="149"/>
      <c r="E176" s="149"/>
      <c r="F176" s="175">
        <v>250000</v>
      </c>
      <c r="G176" s="175"/>
      <c r="H176" s="175"/>
    </row>
    <row r="177" spans="1:11" s="34" customFormat="1" x14ac:dyDescent="0.25">
      <c r="A177" s="196" t="s">
        <v>51</v>
      </c>
      <c r="B177" s="196"/>
      <c r="C177" s="196"/>
      <c r="D177" s="196"/>
      <c r="E177" s="196"/>
      <c r="F177" s="175">
        <f>F173*0.8</f>
        <v>5200</v>
      </c>
      <c r="G177" s="175"/>
      <c r="H177" s="175"/>
    </row>
    <row r="178" spans="1:11" s="35" customFormat="1" ht="15.75" customHeight="1" x14ac:dyDescent="0.25">
      <c r="A178" s="195" t="s">
        <v>76</v>
      </c>
      <c r="B178" s="195"/>
      <c r="C178" s="195"/>
      <c r="D178" s="195"/>
      <c r="E178" s="195"/>
      <c r="F178" s="195"/>
      <c r="G178" s="195"/>
      <c r="H178" s="195"/>
    </row>
    <row r="179" spans="1:11" s="35" customFormat="1" ht="15.75" customHeight="1" x14ac:dyDescent="0.25">
      <c r="A179" s="184" t="s">
        <v>52</v>
      </c>
      <c r="B179" s="184"/>
      <c r="C179" s="178" t="s">
        <v>79</v>
      </c>
      <c r="D179" s="178"/>
      <c r="E179" s="188" t="s">
        <v>53</v>
      </c>
      <c r="F179" s="188"/>
      <c r="G179" s="184" t="s">
        <v>54</v>
      </c>
      <c r="H179" s="184"/>
    </row>
    <row r="180" spans="1:11" s="35" customFormat="1" x14ac:dyDescent="0.25">
      <c r="A180" s="197" t="s">
        <v>164</v>
      </c>
      <c r="B180" s="68" t="s">
        <v>183</v>
      </c>
      <c r="C180" s="185">
        <f>COUNT(D202:D216)</f>
        <v>15</v>
      </c>
      <c r="D180" s="186"/>
      <c r="E180" s="176">
        <f>SUM(D202:D216)</f>
        <v>4015.8331199999993</v>
      </c>
      <c r="F180" s="177"/>
      <c r="G180" s="176">
        <f>SUM(F202:F216)</f>
        <v>6224.5413360000002</v>
      </c>
      <c r="H180" s="177"/>
    </row>
    <row r="181" spans="1:11" s="35" customFormat="1" x14ac:dyDescent="0.25">
      <c r="A181" s="198"/>
      <c r="B181" s="68" t="s">
        <v>193</v>
      </c>
      <c r="C181" s="185">
        <f>COUNT(D219:D230)</f>
        <v>12</v>
      </c>
      <c r="D181" s="186"/>
      <c r="E181" s="179">
        <f>SUM(D219:D230)</f>
        <v>1876.1113800000001</v>
      </c>
      <c r="F181" s="180"/>
      <c r="G181" s="179">
        <f>SUM(F219:F230)</f>
        <v>2907.9726389999996</v>
      </c>
      <c r="H181" s="180"/>
    </row>
    <row r="182" spans="1:11" s="35" customFormat="1" ht="15.75" customHeight="1" x14ac:dyDescent="0.25">
      <c r="A182" s="197" t="s">
        <v>202</v>
      </c>
      <c r="B182" s="68" t="s">
        <v>224</v>
      </c>
      <c r="C182" s="185">
        <f>COUNT(D235:D240)</f>
        <v>6</v>
      </c>
      <c r="D182" s="186"/>
      <c r="E182" s="176">
        <f>SUM(D235:D240)</f>
        <v>865.53323999999986</v>
      </c>
      <c r="F182" s="177"/>
      <c r="G182" s="176">
        <f>SUM(F235:F240)</f>
        <v>1341.5765220000001</v>
      </c>
      <c r="H182" s="177"/>
    </row>
    <row r="183" spans="1:11" s="35" customFormat="1" x14ac:dyDescent="0.25">
      <c r="A183" s="233"/>
      <c r="B183" s="68" t="s">
        <v>227</v>
      </c>
      <c r="C183" s="185">
        <f>COUNT(D243:D254)</f>
        <v>12</v>
      </c>
      <c r="D183" s="186"/>
      <c r="E183" s="179">
        <f>SUM(D243:D254)</f>
        <v>1957.64868</v>
      </c>
      <c r="F183" s="180"/>
      <c r="G183" s="179">
        <f>SUM(F243:F254)</f>
        <v>3034.3554539999996</v>
      </c>
      <c r="H183" s="180"/>
    </row>
    <row r="184" spans="1:11" s="35" customFormat="1" x14ac:dyDescent="0.25">
      <c r="A184" s="195" t="s">
        <v>147</v>
      </c>
      <c r="B184" s="195"/>
      <c r="C184" s="187">
        <f>SUM(C180:C183)</f>
        <v>45</v>
      </c>
      <c r="D184" s="178"/>
      <c r="E184" s="187">
        <f t="shared" ref="E184" si="0">SUM(E180:E183)</f>
        <v>8715.1264199999987</v>
      </c>
      <c r="F184" s="178"/>
      <c r="G184" s="187">
        <f t="shared" ref="G184" si="1">SUM(G180:G183)</f>
        <v>13508.445950999998</v>
      </c>
      <c r="H184" s="178"/>
    </row>
    <row r="185" spans="1:11" s="35" customFormat="1" x14ac:dyDescent="0.25">
      <c r="A185" s="195" t="s">
        <v>70</v>
      </c>
      <c r="B185" s="195"/>
      <c r="C185" s="195"/>
      <c r="D185" s="195"/>
      <c r="E185" s="195"/>
      <c r="F185" s="195"/>
      <c r="G185" s="195"/>
      <c r="H185" s="195"/>
      <c r="J185" s="79"/>
      <c r="K185" s="79"/>
    </row>
    <row r="186" spans="1:11" s="35" customFormat="1" ht="15.75" customHeight="1" x14ac:dyDescent="0.25">
      <c r="A186" s="184" t="s">
        <v>52</v>
      </c>
      <c r="B186" s="184"/>
      <c r="C186" s="178" t="s">
        <v>79</v>
      </c>
      <c r="D186" s="178"/>
      <c r="E186" s="188" t="s">
        <v>53</v>
      </c>
      <c r="F186" s="188"/>
      <c r="G186" s="184" t="s">
        <v>54</v>
      </c>
      <c r="H186" s="184"/>
    </row>
    <row r="187" spans="1:11" s="35" customFormat="1" x14ac:dyDescent="0.25">
      <c r="A187" s="197" t="s">
        <v>164</v>
      </c>
      <c r="B187" s="64" t="s">
        <v>183</v>
      </c>
      <c r="C187" s="185">
        <f>COUNT(D264:D267)+COUNT(D269:D275)*19+COUNT(D277:D279,D281:D283)*3</f>
        <v>155</v>
      </c>
      <c r="D187" s="185"/>
      <c r="E187" s="176">
        <f>SUM(D264:D267)+SUM(D269:D275)*19+SUM(D277:D279,D281:D283)*3</f>
        <v>89557.394939999984</v>
      </c>
      <c r="F187" s="176"/>
      <c r="G187" s="176">
        <f>SUM(F264:F267)+SUM(F269:F275)*19+SUM(F277:F279,F281:F283)*3</f>
        <v>135300.37189499999</v>
      </c>
      <c r="H187" s="176"/>
    </row>
    <row r="188" spans="1:11" s="35" customFormat="1" x14ac:dyDescent="0.25">
      <c r="A188" s="198"/>
      <c r="B188" s="64" t="s">
        <v>193</v>
      </c>
      <c r="C188" s="185">
        <f>COUNT(D290:D292)+COUNT(D294:D300)*19+COUNT(D302:D308)*3</f>
        <v>157</v>
      </c>
      <c r="D188" s="185"/>
      <c r="E188" s="176">
        <f>SUM(D290:D292)+SUM(D294:D300)*19+SUM(D302:D308)*3</f>
        <v>82552.695029999973</v>
      </c>
      <c r="F188" s="176"/>
      <c r="G188" s="176">
        <f>SUM(F290:F292)+SUM(F294:F300)*19+SUM(F302:F308)*3</f>
        <v>124107.07666499999</v>
      </c>
      <c r="H188" s="176"/>
    </row>
    <row r="189" spans="1:11" s="35" customFormat="1" ht="15.75" customHeight="1" x14ac:dyDescent="0.25">
      <c r="A189" s="197" t="s">
        <v>202</v>
      </c>
      <c r="B189" s="64" t="s">
        <v>220</v>
      </c>
      <c r="C189" s="181">
        <f>COUNT(D315:D318)+COUNT(D320:D325)*19+COUNT(D327,D329:D332)*3</f>
        <v>133</v>
      </c>
      <c r="D189" s="182"/>
      <c r="E189" s="179">
        <f>SUM(D315:D318)+SUM(D320:D325)*19+SUM(D327,D329:D332)*3</f>
        <v>67368.566070000001</v>
      </c>
      <c r="F189" s="180"/>
      <c r="G189" s="179">
        <f>SUM(F315:F318)+SUM(F320:F325)*19+SUM(F327,F329:F332)*3</f>
        <v>101052.849105</v>
      </c>
      <c r="H189" s="180"/>
    </row>
    <row r="190" spans="1:11" s="35" customFormat="1" x14ac:dyDescent="0.25">
      <c r="A190" s="233"/>
      <c r="B190" s="64" t="s">
        <v>222</v>
      </c>
      <c r="C190" s="181">
        <f>COUNT(D339:D341)+COUNT(D343:D349)*19+COUNT(D351:D357)*3</f>
        <v>157</v>
      </c>
      <c r="D190" s="182"/>
      <c r="E190" s="179">
        <f>SUM(D339:D341)+SUM(D343:D349)*19+SUM(D351:D357)*3</f>
        <v>82237.121459999995</v>
      </c>
      <c r="F190" s="180"/>
      <c r="G190" s="179">
        <f>SUM(F339:F341)+SUM(F343:F349)*19+SUM(F351:F357)*3</f>
        <v>123542.74705500001</v>
      </c>
      <c r="H190" s="180"/>
    </row>
    <row r="191" spans="1:11" s="35" customFormat="1" x14ac:dyDescent="0.25">
      <c r="A191" s="233"/>
      <c r="B191" s="64" t="s">
        <v>224</v>
      </c>
      <c r="C191" s="181">
        <f>COUNT(D360,D363)+COUNT(D365:D368)*19+COUNT(D370:D373)*3</f>
        <v>90</v>
      </c>
      <c r="D191" s="182"/>
      <c r="E191" s="179">
        <f>SUM(D360,D363)+SUM(D365:D368)*19+SUM(D370:D373)*3</f>
        <v>40031.908019999988</v>
      </c>
      <c r="F191" s="180"/>
      <c r="G191" s="179">
        <f>SUM(F360,F363)+SUM(F365:F368)*19+SUM(F370:F373)*3</f>
        <v>60198.719489999989</v>
      </c>
      <c r="H191" s="180"/>
    </row>
    <row r="192" spans="1:11" s="35" customFormat="1" x14ac:dyDescent="0.25">
      <c r="A192" s="198"/>
      <c r="B192" s="64" t="s">
        <v>227</v>
      </c>
      <c r="C192" s="181">
        <f>COUNT(D379:D381)+COUNT(D383:D389)*19+COUNT(D391:D397)*3</f>
        <v>157</v>
      </c>
      <c r="D192" s="182"/>
      <c r="E192" s="179">
        <f>SUM(D379:D381)+SUM(D383:D389)*19+SUM(D391:D397)*3</f>
        <v>82196.75645999999</v>
      </c>
      <c r="F192" s="180"/>
      <c r="G192" s="179">
        <f>SUM(F379:F381)+SUM(F383:F389)*19+SUM(F391:F397)*3</f>
        <v>123564.14499</v>
      </c>
      <c r="H192" s="180"/>
    </row>
    <row r="193" spans="1:14" s="35" customFormat="1" x14ac:dyDescent="0.25">
      <c r="A193" s="195" t="s">
        <v>147</v>
      </c>
      <c r="B193" s="195"/>
      <c r="C193" s="187">
        <f>SUM(C187:C192)</f>
        <v>849</v>
      </c>
      <c r="D193" s="178"/>
      <c r="E193" s="187">
        <f t="shared" ref="E193" si="2">SUM(E187:E192)</f>
        <v>443944.44197999995</v>
      </c>
      <c r="F193" s="178"/>
      <c r="G193" s="187">
        <f t="shared" ref="G193" si="3">SUM(G187:G192)</f>
        <v>667765.90919999988</v>
      </c>
      <c r="H193" s="178"/>
    </row>
    <row r="194" spans="1:14" s="34" customFormat="1" x14ac:dyDescent="0.25">
      <c r="A194" s="183" t="s">
        <v>55</v>
      </c>
      <c r="B194" s="183"/>
      <c r="C194" s="183"/>
      <c r="D194" s="183"/>
      <c r="E194" s="183"/>
      <c r="F194" s="183"/>
      <c r="G194" s="183"/>
      <c r="H194" s="183"/>
    </row>
    <row r="195" spans="1:14" x14ac:dyDescent="0.25">
      <c r="A195" s="183" t="s">
        <v>56</v>
      </c>
      <c r="B195" s="183"/>
      <c r="C195" s="183"/>
      <c r="D195" s="183"/>
      <c r="E195" s="183"/>
      <c r="F195" s="183"/>
      <c r="G195" s="183"/>
      <c r="H195" s="183"/>
    </row>
    <row r="196" spans="1:14" ht="47.25" customHeight="1" x14ac:dyDescent="0.25">
      <c r="A196" s="169" t="s">
        <v>116</v>
      </c>
      <c r="B196" s="169" t="s">
        <v>115</v>
      </c>
      <c r="C196" s="169" t="s">
        <v>57</v>
      </c>
      <c r="D196" s="169" t="s">
        <v>58</v>
      </c>
      <c r="E196" s="171" t="s">
        <v>152</v>
      </c>
      <c r="F196" s="43" t="s">
        <v>146</v>
      </c>
      <c r="G196" s="146" t="s">
        <v>60</v>
      </c>
      <c r="H196" s="173"/>
    </row>
    <row r="197" spans="1:14" s="37" customFormat="1" x14ac:dyDescent="0.25">
      <c r="A197" s="170"/>
      <c r="B197" s="170"/>
      <c r="C197" s="170"/>
      <c r="D197" s="170"/>
      <c r="E197" s="172"/>
      <c r="F197" s="13">
        <v>0.55000000000000004</v>
      </c>
      <c r="G197" s="147"/>
      <c r="H197" s="174"/>
    </row>
    <row r="198" spans="1:14" s="57" customFormat="1" ht="15.75" customHeight="1" x14ac:dyDescent="0.25">
      <c r="A198" s="225" t="s">
        <v>164</v>
      </c>
      <c r="B198" s="226"/>
      <c r="C198" s="226"/>
      <c r="D198" s="226"/>
      <c r="E198" s="226"/>
      <c r="F198" s="226"/>
      <c r="G198" s="226"/>
      <c r="H198" s="227"/>
      <c r="J198" s="36"/>
    </row>
    <row r="199" spans="1:14" s="60" customFormat="1" x14ac:dyDescent="0.25">
      <c r="A199" s="139" t="s">
        <v>219</v>
      </c>
      <c r="B199" s="140"/>
      <c r="C199" s="140"/>
      <c r="D199" s="140"/>
      <c r="E199" s="140"/>
      <c r="F199" s="140"/>
      <c r="G199" s="140"/>
      <c r="H199" s="141"/>
      <c r="J199" s="36"/>
    </row>
    <row r="200" spans="1:14" s="37" customFormat="1" x14ac:dyDescent="0.25">
      <c r="A200" s="139" t="s">
        <v>183</v>
      </c>
      <c r="B200" s="140"/>
      <c r="C200" s="140"/>
      <c r="D200" s="140"/>
      <c r="E200" s="140"/>
      <c r="F200" s="140"/>
      <c r="G200" s="140"/>
      <c r="H200" s="141"/>
      <c r="J200" s="36"/>
    </row>
    <row r="201" spans="1:14" s="37" customFormat="1" x14ac:dyDescent="0.25">
      <c r="A201" s="139" t="s">
        <v>230</v>
      </c>
      <c r="B201" s="140"/>
      <c r="C201" s="140"/>
      <c r="D201" s="140"/>
      <c r="E201" s="140"/>
      <c r="F201" s="140"/>
      <c r="G201" s="140"/>
      <c r="H201" s="141"/>
      <c r="J201" s="36"/>
    </row>
    <row r="202" spans="1:14" s="37" customFormat="1" ht="15.75" customHeight="1" x14ac:dyDescent="0.25">
      <c r="A202" s="131">
        <v>1</v>
      </c>
      <c r="B202" s="132"/>
      <c r="C202" s="42" t="s">
        <v>185</v>
      </c>
      <c r="D202" s="42">
        <f>(2.75*5.15+1.3*1.2)*10.764</f>
        <v>169.23699000000002</v>
      </c>
      <c r="E202" s="42">
        <v>0</v>
      </c>
      <c r="F202" s="42">
        <f>(D202+E202)*(($F$197)+1)</f>
        <v>262.31733450000002</v>
      </c>
      <c r="G202" s="133" t="str">
        <f>A201</f>
        <v>Ground Floor For Commercial, Meter Room, Entrance Lobby &amp; Parking</v>
      </c>
      <c r="H202" s="134"/>
      <c r="I202" s="55"/>
      <c r="L202" s="144"/>
      <c r="M202" s="144"/>
      <c r="N202" s="36"/>
    </row>
    <row r="203" spans="1:14" s="37" customFormat="1" ht="15.75" customHeight="1" x14ac:dyDescent="0.25">
      <c r="A203" s="131">
        <f t="shared" ref="A203:A216" si="4">A202+1</f>
        <v>2</v>
      </c>
      <c r="B203" s="132"/>
      <c r="C203" s="42" t="s">
        <v>185</v>
      </c>
      <c r="D203" s="42">
        <f>(2.75*3.8+1.3*1.2)*10.764</f>
        <v>129.27563999999998</v>
      </c>
      <c r="E203" s="42">
        <v>0</v>
      </c>
      <c r="F203" s="42">
        <f t="shared" ref="F203:F216" si="5">(D203+E203)*(($F$197)+1)</f>
        <v>200.37724199999997</v>
      </c>
      <c r="G203" s="135"/>
      <c r="H203" s="136"/>
      <c r="I203" s="36"/>
      <c r="J203" s="42">
        <f>(2.75*5.15+1.3*1.2)*10.764</f>
        <v>169.23699000000002</v>
      </c>
      <c r="K203" s="37">
        <f>2500000/F202</f>
        <v>9530.4414584923288</v>
      </c>
      <c r="L203" s="144"/>
      <c r="M203" s="144"/>
      <c r="N203" s="36"/>
    </row>
    <row r="204" spans="1:14" s="37" customFormat="1" ht="15.75" customHeight="1" x14ac:dyDescent="0.25">
      <c r="A204" s="131">
        <f t="shared" si="4"/>
        <v>3</v>
      </c>
      <c r="B204" s="132"/>
      <c r="C204" s="42" t="s">
        <v>185</v>
      </c>
      <c r="D204" s="42">
        <f>(5.45*4.55+1.2*1.2)*10.764</f>
        <v>282.42045000000002</v>
      </c>
      <c r="E204" s="42">
        <v>0</v>
      </c>
      <c r="F204" s="42">
        <f t="shared" si="5"/>
        <v>437.75169750000003</v>
      </c>
      <c r="G204" s="135"/>
      <c r="H204" s="136"/>
      <c r="I204" s="36"/>
      <c r="K204" s="37">
        <f>2500000/F203</f>
        <v>12476.466763625784</v>
      </c>
      <c r="L204" s="144"/>
      <c r="M204" s="144"/>
      <c r="N204" s="36"/>
    </row>
    <row r="205" spans="1:14" s="37" customFormat="1" ht="15.75" customHeight="1" x14ac:dyDescent="0.25">
      <c r="A205" s="131">
        <f t="shared" si="4"/>
        <v>4</v>
      </c>
      <c r="B205" s="132"/>
      <c r="C205" s="42" t="s">
        <v>185</v>
      </c>
      <c r="D205" s="42">
        <f>(3.05*4.55+1.2*1.55)*10.764</f>
        <v>169.39844999999997</v>
      </c>
      <c r="E205" s="42">
        <v>0</v>
      </c>
      <c r="F205" s="42">
        <f t="shared" si="5"/>
        <v>262.56759749999998</v>
      </c>
      <c r="G205" s="135"/>
      <c r="H205" s="136"/>
      <c r="I205" s="36"/>
      <c r="L205" s="144"/>
      <c r="M205" s="144"/>
      <c r="N205" s="36"/>
    </row>
    <row r="206" spans="1:14" s="37" customFormat="1" ht="15.75" customHeight="1" x14ac:dyDescent="0.25">
      <c r="A206" s="131">
        <f t="shared" si="4"/>
        <v>5</v>
      </c>
      <c r="B206" s="132"/>
      <c r="C206" s="42" t="s">
        <v>185</v>
      </c>
      <c r="D206" s="42">
        <f>(2.4*3.65+0.95*1.4)*10.764</f>
        <v>108.60875999999999</v>
      </c>
      <c r="E206" s="42">
        <v>0</v>
      </c>
      <c r="F206" s="42">
        <f t="shared" si="5"/>
        <v>168.34357799999998</v>
      </c>
      <c r="G206" s="135"/>
      <c r="H206" s="136"/>
      <c r="I206" s="36"/>
      <c r="L206" s="144"/>
      <c r="M206" s="144"/>
      <c r="N206" s="36"/>
    </row>
    <row r="207" spans="1:14" s="37" customFormat="1" ht="15.75" customHeight="1" x14ac:dyDescent="0.25">
      <c r="A207" s="131">
        <f t="shared" si="4"/>
        <v>6</v>
      </c>
      <c r="B207" s="132"/>
      <c r="C207" s="42" t="s">
        <v>185</v>
      </c>
      <c r="D207" s="42">
        <f>(2.75*3.65+1.8*1.55+0.95*1.4)*10.764</f>
        <v>152.39133000000001</v>
      </c>
      <c r="E207" s="42">
        <v>0</v>
      </c>
      <c r="F207" s="42">
        <f t="shared" si="5"/>
        <v>236.20656150000002</v>
      </c>
      <c r="G207" s="135"/>
      <c r="H207" s="136"/>
      <c r="I207" s="36"/>
      <c r="L207" s="144"/>
      <c r="M207" s="144"/>
      <c r="N207" s="36"/>
    </row>
    <row r="208" spans="1:14" s="37" customFormat="1" ht="15.75" customHeight="1" x14ac:dyDescent="0.25">
      <c r="A208" s="131">
        <f t="shared" si="4"/>
        <v>7</v>
      </c>
      <c r="B208" s="132"/>
      <c r="C208" s="42" t="s">
        <v>185</v>
      </c>
      <c r="D208" s="42">
        <f>(2.75*3.65+1.8*1.55+0.95*1.4)*10.764</f>
        <v>152.39133000000001</v>
      </c>
      <c r="E208" s="42">
        <v>0</v>
      </c>
      <c r="F208" s="42">
        <f t="shared" si="5"/>
        <v>236.20656150000002</v>
      </c>
      <c r="G208" s="135"/>
      <c r="H208" s="136"/>
      <c r="I208" s="36"/>
      <c r="L208" s="144"/>
      <c r="M208" s="144"/>
      <c r="N208" s="36"/>
    </row>
    <row r="209" spans="1:14" s="37" customFormat="1" ht="15.75" customHeight="1" x14ac:dyDescent="0.25">
      <c r="A209" s="131">
        <f t="shared" si="4"/>
        <v>8</v>
      </c>
      <c r="B209" s="132"/>
      <c r="C209" s="42" t="s">
        <v>185</v>
      </c>
      <c r="D209" s="42">
        <f>(2.4*3.65+0.95*1.4)*10.764</f>
        <v>108.60875999999999</v>
      </c>
      <c r="E209" s="42">
        <v>0</v>
      </c>
      <c r="F209" s="42">
        <f t="shared" si="5"/>
        <v>168.34357799999998</v>
      </c>
      <c r="G209" s="135"/>
      <c r="H209" s="136"/>
      <c r="I209" s="36"/>
      <c r="L209" s="144"/>
      <c r="M209" s="144"/>
      <c r="N209" s="36"/>
    </row>
    <row r="210" spans="1:14" s="37" customFormat="1" ht="15.75" customHeight="1" x14ac:dyDescent="0.25">
      <c r="A210" s="131">
        <f t="shared" si="4"/>
        <v>9</v>
      </c>
      <c r="B210" s="132"/>
      <c r="C210" s="42" t="s">
        <v>185</v>
      </c>
      <c r="D210" s="42">
        <f>(2.75*4.55+1.2*1.4)*10.764</f>
        <v>152.76806999999997</v>
      </c>
      <c r="E210" s="42">
        <v>0</v>
      </c>
      <c r="F210" s="42">
        <f t="shared" si="5"/>
        <v>236.79050849999996</v>
      </c>
      <c r="G210" s="135"/>
      <c r="H210" s="136"/>
      <c r="I210" s="36"/>
      <c r="L210" s="144"/>
      <c r="M210" s="144"/>
      <c r="N210" s="36"/>
    </row>
    <row r="211" spans="1:14" s="37" customFormat="1" ht="15.75" customHeight="1" x14ac:dyDescent="0.25">
      <c r="A211" s="131">
        <f t="shared" si="4"/>
        <v>10</v>
      </c>
      <c r="B211" s="132"/>
      <c r="C211" s="42" t="s">
        <v>185</v>
      </c>
      <c r="D211" s="42">
        <f>(10.8*8.85)*10.764</f>
        <v>1028.82312</v>
      </c>
      <c r="E211" s="42">
        <v>0</v>
      </c>
      <c r="F211" s="42">
        <f t="shared" si="5"/>
        <v>1594.6758360000001</v>
      </c>
      <c r="G211" s="135"/>
      <c r="H211" s="136"/>
      <c r="I211" s="36"/>
      <c r="L211" s="144"/>
      <c r="M211" s="144"/>
      <c r="N211" s="36"/>
    </row>
    <row r="212" spans="1:14" s="37" customFormat="1" ht="15.75" customHeight="1" x14ac:dyDescent="0.25">
      <c r="A212" s="131">
        <f t="shared" si="4"/>
        <v>11</v>
      </c>
      <c r="B212" s="132"/>
      <c r="C212" s="42" t="s">
        <v>185</v>
      </c>
      <c r="D212" s="42">
        <f>(8.2*3.7+3.4*2.1+3.7*0.5*2+1*2.1)*10.764</f>
        <v>465.86591999999996</v>
      </c>
      <c r="E212" s="42">
        <v>0</v>
      </c>
      <c r="F212" s="42">
        <f t="shared" si="5"/>
        <v>722.09217599999999</v>
      </c>
      <c r="G212" s="135"/>
      <c r="H212" s="136"/>
      <c r="I212" s="36"/>
      <c r="L212" s="144"/>
      <c r="M212" s="144"/>
      <c r="N212" s="36"/>
    </row>
    <row r="213" spans="1:14" s="37" customFormat="1" ht="15.75" customHeight="1" x14ac:dyDescent="0.25">
      <c r="A213" s="131">
        <f t="shared" si="4"/>
        <v>12</v>
      </c>
      <c r="B213" s="132"/>
      <c r="C213" s="42" t="s">
        <v>185</v>
      </c>
      <c r="D213" s="42">
        <f>(11.4*2.75+1.2*1.3)*10.764</f>
        <v>354.24324000000001</v>
      </c>
      <c r="E213" s="42">
        <v>0</v>
      </c>
      <c r="F213" s="42">
        <f t="shared" si="5"/>
        <v>549.07702200000006</v>
      </c>
      <c r="G213" s="135"/>
      <c r="H213" s="136"/>
      <c r="I213" s="36"/>
      <c r="L213" s="144"/>
      <c r="M213" s="144"/>
      <c r="N213" s="36"/>
    </row>
    <row r="214" spans="1:14" s="37" customFormat="1" ht="15.75" customHeight="1" x14ac:dyDescent="0.25">
      <c r="A214" s="131">
        <f t="shared" si="4"/>
        <v>13</v>
      </c>
      <c r="B214" s="132"/>
      <c r="C214" s="42" t="s">
        <v>185</v>
      </c>
      <c r="D214" s="42">
        <f>(9.2*2.75+1.2*1.3)*10.764</f>
        <v>289.12103999999994</v>
      </c>
      <c r="E214" s="42">
        <v>0</v>
      </c>
      <c r="F214" s="42">
        <f t="shared" si="5"/>
        <v>448.13761199999993</v>
      </c>
      <c r="G214" s="135"/>
      <c r="H214" s="136"/>
      <c r="I214" s="36"/>
      <c r="L214" s="144"/>
      <c r="M214" s="144"/>
      <c r="N214" s="36"/>
    </row>
    <row r="215" spans="1:14" s="37" customFormat="1" ht="15.75" customHeight="1" x14ac:dyDescent="0.25">
      <c r="A215" s="131">
        <f t="shared" si="4"/>
        <v>14</v>
      </c>
      <c r="B215" s="132"/>
      <c r="C215" s="42" t="s">
        <v>185</v>
      </c>
      <c r="D215" s="42">
        <f>(7.55*2.9+1*1.2)*10.764</f>
        <v>248.59457999999998</v>
      </c>
      <c r="E215" s="42">
        <v>0</v>
      </c>
      <c r="F215" s="42">
        <f t="shared" si="5"/>
        <v>385.32159899999999</v>
      </c>
      <c r="G215" s="135"/>
      <c r="H215" s="136"/>
      <c r="I215" s="36"/>
      <c r="L215" s="144"/>
      <c r="M215" s="144"/>
      <c r="N215" s="36"/>
    </row>
    <row r="216" spans="1:14" s="37" customFormat="1" ht="15.75" customHeight="1" x14ac:dyDescent="0.25">
      <c r="A216" s="131">
        <f t="shared" si="4"/>
        <v>15</v>
      </c>
      <c r="B216" s="132"/>
      <c r="C216" s="42" t="s">
        <v>185</v>
      </c>
      <c r="D216" s="42">
        <f>(4.8*3.7+1*1.2)*10.764</f>
        <v>204.08544000000001</v>
      </c>
      <c r="E216" s="42">
        <v>0</v>
      </c>
      <c r="F216" s="42">
        <f t="shared" si="5"/>
        <v>316.33243200000004</v>
      </c>
      <c r="G216" s="137"/>
      <c r="H216" s="138"/>
      <c r="I216" s="36"/>
      <c r="L216" s="144"/>
      <c r="M216" s="144"/>
      <c r="N216" s="36"/>
    </row>
    <row r="217" spans="1:14" s="37" customFormat="1" x14ac:dyDescent="0.25">
      <c r="A217" s="139" t="s">
        <v>193</v>
      </c>
      <c r="B217" s="140"/>
      <c r="C217" s="140"/>
      <c r="D217" s="140"/>
      <c r="E217" s="140"/>
      <c r="F217" s="140"/>
      <c r="G217" s="140"/>
      <c r="H217" s="141"/>
      <c r="J217" s="36"/>
    </row>
    <row r="218" spans="1:14" s="37" customFormat="1" x14ac:dyDescent="0.25">
      <c r="A218" s="139" t="s">
        <v>231</v>
      </c>
      <c r="B218" s="140"/>
      <c r="C218" s="140"/>
      <c r="D218" s="140"/>
      <c r="E218" s="140"/>
      <c r="F218" s="140"/>
      <c r="G218" s="140"/>
      <c r="H218" s="141"/>
      <c r="J218" s="36"/>
    </row>
    <row r="219" spans="1:14" s="37" customFormat="1" ht="15.75" customHeight="1" x14ac:dyDescent="0.25">
      <c r="A219" s="131">
        <v>1</v>
      </c>
      <c r="B219" s="132"/>
      <c r="C219" s="42" t="s">
        <v>185</v>
      </c>
      <c r="D219" s="42">
        <f>(2.9*3.65+1.95*1.2)*10.764</f>
        <v>139.12469999999999</v>
      </c>
      <c r="E219" s="42">
        <v>0</v>
      </c>
      <c r="F219" s="42">
        <f>(D219+E219)*(($F$197)+1)</f>
        <v>215.64328499999999</v>
      </c>
      <c r="G219" s="133" t="str">
        <f>A218</f>
        <v>Ground Floor For Commercial, Society Office, Meter Room, Entrance Lobby &amp; Parking</v>
      </c>
      <c r="H219" s="134"/>
      <c r="I219" s="36"/>
      <c r="L219" s="144"/>
      <c r="M219" s="144"/>
      <c r="N219" s="36"/>
    </row>
    <row r="220" spans="1:14" s="37" customFormat="1" ht="15.75" customHeight="1" x14ac:dyDescent="0.25">
      <c r="A220" s="131">
        <f t="shared" ref="A220:A230" si="6">A219+1</f>
        <v>2</v>
      </c>
      <c r="B220" s="132"/>
      <c r="C220" s="42" t="s">
        <v>185</v>
      </c>
      <c r="D220" s="42">
        <f>(2.4*3.65+2*1.2)*10.764</f>
        <v>120.12624</v>
      </c>
      <c r="E220" s="42">
        <v>0</v>
      </c>
      <c r="F220" s="42">
        <f t="shared" ref="F220:F230" si="7">(D220+E220)*(($F$197)+1)</f>
        <v>186.195672</v>
      </c>
      <c r="G220" s="135"/>
      <c r="H220" s="136"/>
      <c r="I220" s="36"/>
      <c r="L220" s="144"/>
      <c r="M220" s="144"/>
      <c r="N220" s="36"/>
    </row>
    <row r="221" spans="1:14" s="37" customFormat="1" ht="15.75" customHeight="1" x14ac:dyDescent="0.25">
      <c r="A221" s="131">
        <f t="shared" si="6"/>
        <v>3</v>
      </c>
      <c r="B221" s="132"/>
      <c r="C221" s="42" t="s">
        <v>185</v>
      </c>
      <c r="D221" s="42">
        <f>(2.9*5.75+1.2*1.95)*10.764</f>
        <v>204.67746</v>
      </c>
      <c r="E221" s="42">
        <v>0</v>
      </c>
      <c r="F221" s="42">
        <f t="shared" si="7"/>
        <v>317.25006300000001</v>
      </c>
      <c r="G221" s="135"/>
      <c r="H221" s="136"/>
      <c r="I221" s="36"/>
      <c r="L221" s="144"/>
      <c r="M221" s="144"/>
      <c r="N221" s="36"/>
    </row>
    <row r="222" spans="1:14" s="37" customFormat="1" ht="15.75" customHeight="1" x14ac:dyDescent="0.25">
      <c r="A222" s="131">
        <f t="shared" si="6"/>
        <v>4</v>
      </c>
      <c r="B222" s="132"/>
      <c r="C222" s="42" t="s">
        <v>185</v>
      </c>
      <c r="D222" s="42">
        <f>(2.9*4.55+1.25*2.05)*10.764</f>
        <v>169.61372999999998</v>
      </c>
      <c r="E222" s="42">
        <v>0</v>
      </c>
      <c r="F222" s="42">
        <f t="shared" si="7"/>
        <v>262.90128149999998</v>
      </c>
      <c r="G222" s="135"/>
      <c r="H222" s="136"/>
      <c r="I222" s="36"/>
      <c r="L222" s="144"/>
      <c r="M222" s="144"/>
      <c r="N222" s="36"/>
    </row>
    <row r="223" spans="1:14" s="37" customFormat="1" ht="15.75" customHeight="1" x14ac:dyDescent="0.25">
      <c r="A223" s="131">
        <f t="shared" si="6"/>
        <v>5</v>
      </c>
      <c r="B223" s="132"/>
      <c r="C223" s="42" t="s">
        <v>185</v>
      </c>
      <c r="D223" s="42">
        <f>(2.75*3.8+1.2*1.85)*10.764</f>
        <v>136.37987999999999</v>
      </c>
      <c r="E223" s="42">
        <v>0</v>
      </c>
      <c r="F223" s="42">
        <f t="shared" si="7"/>
        <v>211.388814</v>
      </c>
      <c r="G223" s="135"/>
      <c r="H223" s="136"/>
      <c r="I223" s="36"/>
      <c r="L223" s="144"/>
      <c r="M223" s="144"/>
      <c r="N223" s="36"/>
    </row>
    <row r="224" spans="1:14" s="37" customFormat="1" ht="15.75" customHeight="1" x14ac:dyDescent="0.25">
      <c r="A224" s="131">
        <f t="shared" si="6"/>
        <v>6</v>
      </c>
      <c r="B224" s="132"/>
      <c r="C224" s="42" t="s">
        <v>185</v>
      </c>
      <c r="D224" s="42">
        <f>(2.75*3.8+1.2*1.3)*10.764</f>
        <v>129.27563999999998</v>
      </c>
      <c r="E224" s="42">
        <v>0</v>
      </c>
      <c r="F224" s="42">
        <f t="shared" si="7"/>
        <v>200.37724199999997</v>
      </c>
      <c r="G224" s="135"/>
      <c r="H224" s="136"/>
      <c r="I224" s="36"/>
      <c r="L224" s="144"/>
      <c r="M224" s="144"/>
      <c r="N224" s="36"/>
    </row>
    <row r="225" spans="1:14" s="37" customFormat="1" ht="15.75" customHeight="1" x14ac:dyDescent="0.25">
      <c r="A225" s="131">
        <f t="shared" si="6"/>
        <v>7</v>
      </c>
      <c r="B225" s="132"/>
      <c r="C225" s="42" t="s">
        <v>185</v>
      </c>
      <c r="D225" s="42">
        <f>(2.4*3.8+1.2*1.3)*10.764</f>
        <v>114.95951999999998</v>
      </c>
      <c r="E225" s="42">
        <v>0</v>
      </c>
      <c r="F225" s="42">
        <f t="shared" si="7"/>
        <v>178.18725599999999</v>
      </c>
      <c r="G225" s="135"/>
      <c r="H225" s="136"/>
      <c r="I225" s="36"/>
      <c r="L225" s="144"/>
      <c r="M225" s="144"/>
      <c r="N225" s="36"/>
    </row>
    <row r="226" spans="1:14" s="37" customFormat="1" ht="15.75" customHeight="1" x14ac:dyDescent="0.25">
      <c r="A226" s="131">
        <f t="shared" si="6"/>
        <v>8</v>
      </c>
      <c r="B226" s="132"/>
      <c r="C226" s="42" t="s">
        <v>185</v>
      </c>
      <c r="D226" s="42">
        <f>(2.75*6.75+1.2*2.8+1.2*1.85)*10.764</f>
        <v>259.86986999999999</v>
      </c>
      <c r="E226" s="42">
        <v>0</v>
      </c>
      <c r="F226" s="42">
        <f t="shared" si="7"/>
        <v>402.79829849999999</v>
      </c>
      <c r="G226" s="135"/>
      <c r="H226" s="136"/>
      <c r="I226" s="36"/>
      <c r="L226" s="144"/>
      <c r="M226" s="144"/>
      <c r="N226" s="36"/>
    </row>
    <row r="227" spans="1:14" s="37" customFormat="1" ht="15.75" customHeight="1" x14ac:dyDescent="0.25">
      <c r="A227" s="131">
        <f t="shared" si="6"/>
        <v>9</v>
      </c>
      <c r="B227" s="132"/>
      <c r="C227" s="42" t="s">
        <v>185</v>
      </c>
      <c r="D227" s="42">
        <f>(2.9*5.75)*10.764</f>
        <v>179.4897</v>
      </c>
      <c r="E227" s="42">
        <v>0</v>
      </c>
      <c r="F227" s="42">
        <f t="shared" si="7"/>
        <v>278.20903500000003</v>
      </c>
      <c r="G227" s="135"/>
      <c r="H227" s="136"/>
      <c r="I227" s="36"/>
      <c r="L227" s="144"/>
      <c r="M227" s="144"/>
      <c r="N227" s="36"/>
    </row>
    <row r="228" spans="1:14" s="37" customFormat="1" ht="15.75" customHeight="1" x14ac:dyDescent="0.25">
      <c r="A228" s="131">
        <f t="shared" si="6"/>
        <v>10</v>
      </c>
      <c r="B228" s="132"/>
      <c r="C228" s="42" t="s">
        <v>185</v>
      </c>
      <c r="D228" s="42">
        <f>(2.9*5.75+1.2*0.9)*10.764</f>
        <v>191.11482000000001</v>
      </c>
      <c r="E228" s="42">
        <v>0</v>
      </c>
      <c r="F228" s="42">
        <f t="shared" si="7"/>
        <v>296.22797100000003</v>
      </c>
      <c r="G228" s="135"/>
      <c r="H228" s="136"/>
      <c r="I228" s="36"/>
      <c r="L228" s="144"/>
      <c r="M228" s="144"/>
      <c r="N228" s="36"/>
    </row>
    <row r="229" spans="1:14" s="37" customFormat="1" ht="15.75" customHeight="1" x14ac:dyDescent="0.25">
      <c r="A229" s="131">
        <f t="shared" si="6"/>
        <v>11</v>
      </c>
      <c r="B229" s="132"/>
      <c r="C229" s="42" t="s">
        <v>185</v>
      </c>
      <c r="D229" s="42">
        <f>(2.4*3.65+1.2*0.9)*10.764</f>
        <v>105.91775999999999</v>
      </c>
      <c r="E229" s="42">
        <v>0</v>
      </c>
      <c r="F229" s="42">
        <f t="shared" si="7"/>
        <v>164.17252799999997</v>
      </c>
      <c r="G229" s="135"/>
      <c r="H229" s="136"/>
      <c r="I229" s="36"/>
      <c r="L229" s="144"/>
      <c r="M229" s="144"/>
      <c r="N229" s="36"/>
    </row>
    <row r="230" spans="1:14" s="37" customFormat="1" ht="15.75" customHeight="1" x14ac:dyDescent="0.25">
      <c r="A230" s="131">
        <f t="shared" si="6"/>
        <v>12</v>
      </c>
      <c r="B230" s="132"/>
      <c r="C230" s="42" t="s">
        <v>185</v>
      </c>
      <c r="D230" s="42">
        <f>(2.9*3.65+1.2*0.9)*10.764</f>
        <v>125.56205999999999</v>
      </c>
      <c r="E230" s="42">
        <v>0</v>
      </c>
      <c r="F230" s="42">
        <f t="shared" si="7"/>
        <v>194.62119299999998</v>
      </c>
      <c r="G230" s="135"/>
      <c r="H230" s="136"/>
      <c r="I230" s="36"/>
      <c r="L230" s="144"/>
      <c r="M230" s="144"/>
      <c r="N230" s="36"/>
    </row>
    <row r="231" spans="1:14" s="60" customFormat="1" ht="15.75" customHeight="1" x14ac:dyDescent="0.25">
      <c r="A231" s="199" t="s">
        <v>202</v>
      </c>
      <c r="B231" s="200"/>
      <c r="C231" s="200"/>
      <c r="D231" s="200"/>
      <c r="E231" s="200"/>
      <c r="F231" s="200"/>
      <c r="G231" s="200"/>
      <c r="H231" s="201"/>
      <c r="J231" s="36"/>
    </row>
    <row r="232" spans="1:14" s="57" customFormat="1" x14ac:dyDescent="0.25">
      <c r="A232" s="139" t="s">
        <v>219</v>
      </c>
      <c r="B232" s="140"/>
      <c r="C232" s="140"/>
      <c r="D232" s="140"/>
      <c r="E232" s="140"/>
      <c r="F232" s="140"/>
      <c r="G232" s="140"/>
      <c r="H232" s="141"/>
      <c r="J232" s="36"/>
    </row>
    <row r="233" spans="1:14" s="60" customFormat="1" x14ac:dyDescent="0.25">
      <c r="A233" s="139" t="s">
        <v>224</v>
      </c>
      <c r="B233" s="140"/>
      <c r="C233" s="140"/>
      <c r="D233" s="140"/>
      <c r="E233" s="140"/>
      <c r="F233" s="140"/>
      <c r="G233" s="140"/>
      <c r="H233" s="141"/>
      <c r="J233" s="36"/>
    </row>
    <row r="234" spans="1:14" s="60" customFormat="1" x14ac:dyDescent="0.25">
      <c r="A234" s="139" t="s">
        <v>225</v>
      </c>
      <c r="B234" s="140"/>
      <c r="C234" s="140"/>
      <c r="D234" s="140"/>
      <c r="E234" s="140"/>
      <c r="F234" s="140"/>
      <c r="G234" s="140"/>
      <c r="H234" s="141"/>
      <c r="J234" s="36"/>
    </row>
    <row r="235" spans="1:14" s="60" customFormat="1" ht="15.75" customHeight="1" x14ac:dyDescent="0.25">
      <c r="A235" s="131">
        <v>1</v>
      </c>
      <c r="B235" s="132"/>
      <c r="C235" s="59" t="s">
        <v>185</v>
      </c>
      <c r="D235" s="69">
        <f>(13)*(10.764)</f>
        <v>139.93199999999999</v>
      </c>
      <c r="E235" s="59">
        <v>0</v>
      </c>
      <c r="F235" s="59">
        <f>(D235+E235)*(($F$197)+1)</f>
        <v>216.8946</v>
      </c>
      <c r="G235" s="133" t="str">
        <f>A234</f>
        <v>Ground Floor For Commercial, Entrance Lobby, Meter Room &amp; Parking</v>
      </c>
      <c r="H235" s="134"/>
      <c r="I235" s="36">
        <f>2.9*3.4+2*1.2</f>
        <v>12.26</v>
      </c>
      <c r="L235" s="144"/>
      <c r="M235" s="144"/>
      <c r="N235" s="36"/>
    </row>
    <row r="236" spans="1:14" s="60" customFormat="1" ht="15.75" customHeight="1" x14ac:dyDescent="0.25">
      <c r="A236" s="131">
        <f>A235+1</f>
        <v>2</v>
      </c>
      <c r="B236" s="132"/>
      <c r="C236" s="59" t="s">
        <v>185</v>
      </c>
      <c r="D236" s="69">
        <f>(11.02)*(10.764)</f>
        <v>118.61927999999999</v>
      </c>
      <c r="E236" s="59">
        <v>0</v>
      </c>
      <c r="F236" s="62">
        <f t="shared" ref="F236:F240" si="8">(D236+E236)*(($F$197)+1)</f>
        <v>183.85988399999999</v>
      </c>
      <c r="G236" s="135"/>
      <c r="H236" s="136"/>
      <c r="I236" s="36">
        <f>2.4*3.4+1.95*1.2</f>
        <v>10.5</v>
      </c>
      <c r="J236" s="61"/>
      <c r="K236" s="69">
        <f>10.764</f>
        <v>10.763999999999999</v>
      </c>
      <c r="L236" s="144"/>
      <c r="M236" s="144"/>
      <c r="N236" s="36"/>
    </row>
    <row r="237" spans="1:14" s="60" customFormat="1" ht="15.75" customHeight="1" x14ac:dyDescent="0.25">
      <c r="A237" s="131">
        <f>A236+1</f>
        <v>3</v>
      </c>
      <c r="B237" s="132"/>
      <c r="C237" s="59" t="s">
        <v>185</v>
      </c>
      <c r="D237" s="69">
        <f>(16.86)*(10.764)</f>
        <v>181.48103999999998</v>
      </c>
      <c r="E237" s="59">
        <v>0</v>
      </c>
      <c r="F237" s="62">
        <f t="shared" si="8"/>
        <v>281.29561199999995</v>
      </c>
      <c r="G237" s="135"/>
      <c r="H237" s="136"/>
      <c r="I237" s="36">
        <f>3.2*4.35+1.2*1.95</f>
        <v>16.259999999999998</v>
      </c>
      <c r="L237" s="144"/>
      <c r="M237" s="144"/>
      <c r="N237" s="36"/>
    </row>
    <row r="238" spans="1:14" s="60" customFormat="1" ht="15.75" customHeight="1" x14ac:dyDescent="0.25">
      <c r="A238" s="131">
        <f>A237+1</f>
        <v>4</v>
      </c>
      <c r="B238" s="132"/>
      <c r="C238" s="59" t="s">
        <v>185</v>
      </c>
      <c r="D238" s="69">
        <f>(15.51)*(10.764)</f>
        <v>166.94963999999999</v>
      </c>
      <c r="E238" s="59">
        <v>0</v>
      </c>
      <c r="F238" s="62">
        <f t="shared" si="8"/>
        <v>258.77194199999997</v>
      </c>
      <c r="G238" s="135"/>
      <c r="H238" s="136"/>
      <c r="I238" s="36">
        <f>2.9*4.35+1.2*1.95</f>
        <v>14.954999999999998</v>
      </c>
      <c r="L238" s="144"/>
      <c r="M238" s="144"/>
      <c r="N238" s="36"/>
    </row>
    <row r="239" spans="1:14" s="60" customFormat="1" ht="15.75" customHeight="1" x14ac:dyDescent="0.25">
      <c r="A239" s="131">
        <f>A238+1</f>
        <v>5</v>
      </c>
      <c r="B239" s="132"/>
      <c r="C239" s="59" t="s">
        <v>185</v>
      </c>
      <c r="D239" s="69">
        <f>(11.02)*(10.764)</f>
        <v>118.61927999999999</v>
      </c>
      <c r="E239" s="59">
        <v>0</v>
      </c>
      <c r="F239" s="62">
        <f t="shared" si="8"/>
        <v>183.85988399999999</v>
      </c>
      <c r="G239" s="135"/>
      <c r="H239" s="136"/>
      <c r="I239" s="36"/>
      <c r="L239" s="144"/>
      <c r="M239" s="144"/>
      <c r="N239" s="36"/>
    </row>
    <row r="240" spans="1:14" s="60" customFormat="1" ht="15.75" customHeight="1" x14ac:dyDescent="0.25">
      <c r="A240" s="131">
        <f>A239+1</f>
        <v>6</v>
      </c>
      <c r="B240" s="132"/>
      <c r="C240" s="59" t="s">
        <v>185</v>
      </c>
      <c r="D240" s="69">
        <f>(13)*(10.764)</f>
        <v>139.93199999999999</v>
      </c>
      <c r="E240" s="59">
        <v>0</v>
      </c>
      <c r="F240" s="62">
        <f t="shared" si="8"/>
        <v>216.8946</v>
      </c>
      <c r="G240" s="135"/>
      <c r="H240" s="136"/>
      <c r="I240" s="36"/>
      <c r="L240" s="144"/>
      <c r="M240" s="144"/>
      <c r="N240" s="36"/>
    </row>
    <row r="241" spans="1:14" s="60" customFormat="1" x14ac:dyDescent="0.25">
      <c r="A241" s="139" t="s">
        <v>227</v>
      </c>
      <c r="B241" s="140"/>
      <c r="C241" s="140"/>
      <c r="D241" s="140"/>
      <c r="E241" s="140"/>
      <c r="F241" s="140"/>
      <c r="G241" s="140"/>
      <c r="H241" s="141"/>
      <c r="J241" s="36"/>
    </row>
    <row r="242" spans="1:14" s="60" customFormat="1" x14ac:dyDescent="0.25">
      <c r="A242" s="139" t="s">
        <v>228</v>
      </c>
      <c r="B242" s="140"/>
      <c r="C242" s="140"/>
      <c r="D242" s="140"/>
      <c r="E242" s="140"/>
      <c r="F242" s="140"/>
      <c r="G242" s="140"/>
      <c r="H242" s="141"/>
      <c r="J242" s="36"/>
    </row>
    <row r="243" spans="1:14" s="60" customFormat="1" ht="15.75" customHeight="1" x14ac:dyDescent="0.25">
      <c r="A243" s="131">
        <v>1</v>
      </c>
      <c r="B243" s="132"/>
      <c r="C243" s="59" t="s">
        <v>185</v>
      </c>
      <c r="D243" s="69">
        <f>(13.65)*(10.764)</f>
        <v>146.92859999999999</v>
      </c>
      <c r="E243" s="59">
        <v>0</v>
      </c>
      <c r="F243" s="59">
        <f>(D243+E243)*(($F$197)+1)</f>
        <v>227.73933</v>
      </c>
      <c r="G243" s="133" t="str">
        <f>A242</f>
        <v>Ground Floor For Commercial, Society Office, Entrance Lobby, Meter Room &amp; Parking</v>
      </c>
      <c r="H243" s="134"/>
      <c r="I243" s="36">
        <f>2.9*3.65+1.95*1.2</f>
        <v>12.924999999999999</v>
      </c>
      <c r="L243" s="144"/>
      <c r="M243" s="144"/>
      <c r="N243" s="36"/>
    </row>
    <row r="244" spans="1:14" s="60" customFormat="1" ht="15.75" customHeight="1" x14ac:dyDescent="0.25">
      <c r="A244" s="131">
        <f t="shared" ref="A244:A254" si="9">A243+1</f>
        <v>2</v>
      </c>
      <c r="B244" s="132"/>
      <c r="C244" s="59" t="s">
        <v>185</v>
      </c>
      <c r="D244" s="69">
        <f>(11.68)*(10.764)</f>
        <v>125.72351999999999</v>
      </c>
      <c r="E244" s="59">
        <v>0</v>
      </c>
      <c r="F244" s="62">
        <f t="shared" ref="F244:F254" si="10">(D244+E244)*(($F$197)+1)</f>
        <v>194.87145599999999</v>
      </c>
      <c r="G244" s="135"/>
      <c r="H244" s="136"/>
      <c r="I244" s="36"/>
      <c r="J244" s="61"/>
      <c r="L244" s="144"/>
      <c r="M244" s="144"/>
      <c r="N244" s="36"/>
    </row>
    <row r="245" spans="1:14" s="60" customFormat="1" ht="15.75" customHeight="1" x14ac:dyDescent="0.25">
      <c r="A245" s="131">
        <f t="shared" si="9"/>
        <v>3</v>
      </c>
      <c r="B245" s="132"/>
      <c r="C245" s="59" t="s">
        <v>185</v>
      </c>
      <c r="D245" s="69">
        <f>(19.74)*(10.764)</f>
        <v>212.48135999999997</v>
      </c>
      <c r="E245" s="59">
        <v>0</v>
      </c>
      <c r="F245" s="62">
        <f t="shared" si="10"/>
        <v>329.34610799999996</v>
      </c>
      <c r="G245" s="135"/>
      <c r="H245" s="136"/>
      <c r="I245" s="36"/>
      <c r="L245" s="144"/>
      <c r="M245" s="144"/>
      <c r="N245" s="36"/>
    </row>
    <row r="246" spans="1:14" s="60" customFormat="1" ht="15.75" customHeight="1" x14ac:dyDescent="0.25">
      <c r="A246" s="131">
        <f t="shared" si="9"/>
        <v>4</v>
      </c>
      <c r="B246" s="132"/>
      <c r="C246" s="59" t="s">
        <v>185</v>
      </c>
      <c r="D246" s="69">
        <f>(16.38)*(10.764)</f>
        <v>176.31431999999998</v>
      </c>
      <c r="E246" s="59">
        <v>0</v>
      </c>
      <c r="F246" s="62">
        <f t="shared" si="10"/>
        <v>273.28719599999999</v>
      </c>
      <c r="G246" s="135"/>
      <c r="H246" s="136"/>
      <c r="I246" s="36"/>
      <c r="L246" s="144"/>
      <c r="M246" s="144"/>
      <c r="N246" s="36"/>
    </row>
    <row r="247" spans="1:14" s="60" customFormat="1" ht="15.75" customHeight="1" x14ac:dyDescent="0.25">
      <c r="A247" s="131">
        <f t="shared" si="9"/>
        <v>5</v>
      </c>
      <c r="B247" s="132"/>
      <c r="C247" s="59" t="s">
        <v>185</v>
      </c>
      <c r="D247" s="69">
        <f>(13.2)*(10.764)</f>
        <v>142.08479999999997</v>
      </c>
      <c r="E247" s="59">
        <v>0</v>
      </c>
      <c r="F247" s="62">
        <f t="shared" si="10"/>
        <v>220.23143999999996</v>
      </c>
      <c r="G247" s="135"/>
      <c r="H247" s="136"/>
      <c r="I247" s="36"/>
      <c r="L247" s="144"/>
      <c r="M247" s="144"/>
      <c r="N247" s="36"/>
    </row>
    <row r="248" spans="1:14" s="60" customFormat="1" ht="15.75" customHeight="1" x14ac:dyDescent="0.25">
      <c r="A248" s="131">
        <f t="shared" si="9"/>
        <v>6</v>
      </c>
      <c r="B248" s="132"/>
      <c r="C248" s="59" t="s">
        <v>185</v>
      </c>
      <c r="D248" s="69">
        <f>(9.12)*(10.764)</f>
        <v>98.16767999999999</v>
      </c>
      <c r="E248" s="59">
        <v>0</v>
      </c>
      <c r="F248" s="62">
        <f t="shared" si="10"/>
        <v>152.15990399999998</v>
      </c>
      <c r="G248" s="135"/>
      <c r="H248" s="136"/>
      <c r="I248" s="36"/>
      <c r="L248" s="144"/>
      <c r="M248" s="144"/>
      <c r="N248" s="36"/>
    </row>
    <row r="249" spans="1:14" s="60" customFormat="1" ht="15.75" customHeight="1" x14ac:dyDescent="0.25">
      <c r="A249" s="131">
        <f t="shared" si="9"/>
        <v>7</v>
      </c>
      <c r="B249" s="132"/>
      <c r="C249" s="59" t="s">
        <v>185</v>
      </c>
      <c r="D249" s="69">
        <f>(11)*(10.764)</f>
        <v>118.404</v>
      </c>
      <c r="E249" s="59">
        <v>0</v>
      </c>
      <c r="F249" s="62">
        <f t="shared" si="10"/>
        <v>183.52619999999999</v>
      </c>
      <c r="G249" s="135"/>
      <c r="H249" s="136"/>
      <c r="I249" s="36"/>
      <c r="L249" s="144"/>
      <c r="M249" s="144"/>
      <c r="N249" s="36"/>
    </row>
    <row r="250" spans="1:14" s="60" customFormat="1" ht="15.75" customHeight="1" x14ac:dyDescent="0.25">
      <c r="A250" s="131">
        <f t="shared" si="9"/>
        <v>8</v>
      </c>
      <c r="B250" s="132"/>
      <c r="C250" s="59" t="s">
        <v>185</v>
      </c>
      <c r="D250" s="69">
        <f>(24.77)*(10.764)</f>
        <v>266.62428</v>
      </c>
      <c r="E250" s="59">
        <v>0</v>
      </c>
      <c r="F250" s="62">
        <f t="shared" si="10"/>
        <v>413.26763399999999</v>
      </c>
      <c r="G250" s="135"/>
      <c r="H250" s="136"/>
      <c r="I250" s="36">
        <f>2.75*6.75+1.2*2.8+1.2*1.85</f>
        <v>24.142499999999998</v>
      </c>
      <c r="J250" s="61"/>
      <c r="L250" s="144"/>
      <c r="M250" s="144"/>
      <c r="N250" s="36"/>
    </row>
    <row r="251" spans="1:14" s="60" customFormat="1" ht="15.75" customHeight="1" x14ac:dyDescent="0.25">
      <c r="A251" s="131">
        <f t="shared" si="9"/>
        <v>9</v>
      </c>
      <c r="B251" s="132"/>
      <c r="C251" s="59" t="s">
        <v>185</v>
      </c>
      <c r="D251" s="69">
        <f>(17.11)*(10.764)</f>
        <v>184.17203999999998</v>
      </c>
      <c r="E251" s="59">
        <v>0</v>
      </c>
      <c r="F251" s="62">
        <f t="shared" si="10"/>
        <v>285.46666199999999</v>
      </c>
      <c r="G251" s="135"/>
      <c r="H251" s="136"/>
      <c r="I251" s="36">
        <f>2.9*5.75</f>
        <v>16.675000000000001</v>
      </c>
      <c r="L251" s="144"/>
      <c r="M251" s="144"/>
      <c r="N251" s="36"/>
    </row>
    <row r="252" spans="1:14" s="60" customFormat="1" ht="15.75" customHeight="1" x14ac:dyDescent="0.25">
      <c r="A252" s="131">
        <f t="shared" si="9"/>
        <v>10</v>
      </c>
      <c r="B252" s="132"/>
      <c r="C252" s="59" t="s">
        <v>185</v>
      </c>
      <c r="D252" s="69">
        <f>(18.33)*(10.764)</f>
        <v>197.30411999999998</v>
      </c>
      <c r="E252" s="59">
        <v>0</v>
      </c>
      <c r="F252" s="62">
        <f t="shared" si="10"/>
        <v>305.82138599999996</v>
      </c>
      <c r="G252" s="135"/>
      <c r="H252" s="136"/>
      <c r="I252" s="36"/>
      <c r="L252" s="144"/>
      <c r="M252" s="144"/>
      <c r="N252" s="36"/>
    </row>
    <row r="253" spans="1:14" s="60" customFormat="1" ht="15.75" customHeight="1" x14ac:dyDescent="0.25">
      <c r="A253" s="131">
        <f t="shared" si="9"/>
        <v>11</v>
      </c>
      <c r="B253" s="132"/>
      <c r="C253" s="59" t="s">
        <v>185</v>
      </c>
      <c r="D253" s="69">
        <f>(11.96)*(10.764)</f>
        <v>128.73743999999999</v>
      </c>
      <c r="E253" s="59">
        <v>0</v>
      </c>
      <c r="F253" s="62">
        <f t="shared" si="10"/>
        <v>199.54303199999998</v>
      </c>
      <c r="G253" s="135"/>
      <c r="H253" s="136"/>
      <c r="I253" s="36"/>
      <c r="L253" s="144"/>
      <c r="M253" s="144"/>
      <c r="N253" s="36"/>
    </row>
    <row r="254" spans="1:14" s="60" customFormat="1" ht="15.75" customHeight="1" x14ac:dyDescent="0.25">
      <c r="A254" s="131">
        <f t="shared" si="9"/>
        <v>12</v>
      </c>
      <c r="B254" s="132"/>
      <c r="C254" s="59" t="s">
        <v>185</v>
      </c>
      <c r="D254" s="69">
        <f>(14.93)*(10.764)</f>
        <v>160.70651999999998</v>
      </c>
      <c r="E254" s="59">
        <v>0</v>
      </c>
      <c r="F254" s="62">
        <f t="shared" si="10"/>
        <v>249.09510599999999</v>
      </c>
      <c r="G254" s="137"/>
      <c r="H254" s="138"/>
      <c r="I254" s="36"/>
      <c r="L254" s="144"/>
      <c r="M254" s="144"/>
      <c r="N254" s="36"/>
    </row>
    <row r="255" spans="1:14" s="37" customFormat="1" x14ac:dyDescent="0.25">
      <c r="A255" s="131"/>
      <c r="B255" s="143"/>
      <c r="C255" s="143"/>
      <c r="D255" s="143"/>
      <c r="E255" s="143"/>
      <c r="F255" s="143"/>
      <c r="G255" s="143"/>
      <c r="H255" s="132"/>
      <c r="I255" s="36"/>
      <c r="N255" s="36"/>
    </row>
    <row r="256" spans="1:14" ht="47.25" customHeight="1" x14ac:dyDescent="0.25">
      <c r="A256" s="146" t="s">
        <v>117</v>
      </c>
      <c r="B256" s="146" t="s">
        <v>118</v>
      </c>
      <c r="C256" s="169" t="s">
        <v>57</v>
      </c>
      <c r="D256" s="169" t="s">
        <v>58</v>
      </c>
      <c r="E256" s="171" t="s">
        <v>59</v>
      </c>
      <c r="F256" s="43" t="s">
        <v>146</v>
      </c>
      <c r="G256" s="146" t="s">
        <v>60</v>
      </c>
      <c r="H256" s="173"/>
      <c r="I256" s="36"/>
    </row>
    <row r="257" spans="1:14" s="37" customFormat="1" x14ac:dyDescent="0.25">
      <c r="A257" s="147"/>
      <c r="B257" s="147"/>
      <c r="C257" s="170"/>
      <c r="D257" s="170"/>
      <c r="E257" s="172"/>
      <c r="F257" s="13">
        <v>0.5</v>
      </c>
      <c r="G257" s="147"/>
      <c r="H257" s="174"/>
      <c r="I257" s="36"/>
    </row>
    <row r="258" spans="1:14" s="57" customFormat="1" x14ac:dyDescent="0.25">
      <c r="A258" s="225" t="s">
        <v>164</v>
      </c>
      <c r="B258" s="226"/>
      <c r="C258" s="226"/>
      <c r="D258" s="226"/>
      <c r="E258" s="226"/>
      <c r="F258" s="226"/>
      <c r="G258" s="226"/>
      <c r="H258" s="227"/>
      <c r="J258" s="36"/>
    </row>
    <row r="259" spans="1:14" s="60" customFormat="1" x14ac:dyDescent="0.25">
      <c r="A259" s="139" t="s">
        <v>219</v>
      </c>
      <c r="B259" s="140"/>
      <c r="C259" s="140"/>
      <c r="D259" s="140"/>
      <c r="E259" s="140"/>
      <c r="F259" s="140"/>
      <c r="G259" s="140"/>
      <c r="H259" s="141"/>
      <c r="J259" s="36"/>
    </row>
    <row r="260" spans="1:14" s="37" customFormat="1" x14ac:dyDescent="0.25">
      <c r="A260" s="139" t="s">
        <v>183</v>
      </c>
      <c r="B260" s="140"/>
      <c r="C260" s="140"/>
      <c r="D260" s="140"/>
      <c r="E260" s="140"/>
      <c r="F260" s="140"/>
      <c r="G260" s="140"/>
      <c r="H260" s="141"/>
      <c r="J260" s="36"/>
    </row>
    <row r="261" spans="1:14" s="37" customFormat="1" x14ac:dyDescent="0.25">
      <c r="A261" s="139" t="s">
        <v>184</v>
      </c>
      <c r="B261" s="140"/>
      <c r="C261" s="140"/>
      <c r="D261" s="140"/>
      <c r="E261" s="140"/>
      <c r="F261" s="140"/>
      <c r="G261" s="140"/>
      <c r="H261" s="141"/>
      <c r="J261" s="36"/>
    </row>
    <row r="262" spans="1:14" s="37" customFormat="1" x14ac:dyDescent="0.25">
      <c r="A262" s="145" t="s">
        <v>186</v>
      </c>
      <c r="B262" s="145"/>
      <c r="C262" s="145"/>
      <c r="D262" s="145"/>
      <c r="E262" s="145"/>
      <c r="F262" s="145"/>
      <c r="G262" s="145"/>
      <c r="H262" s="145"/>
      <c r="I262" s="36"/>
      <c r="L262" s="144"/>
      <c r="M262" s="144"/>
    </row>
    <row r="263" spans="1:14" s="37" customFormat="1" ht="15.75" customHeight="1" x14ac:dyDescent="0.25">
      <c r="A263" s="148">
        <v>1</v>
      </c>
      <c r="B263" s="148"/>
      <c r="C263" s="62" t="s">
        <v>221</v>
      </c>
      <c r="D263" s="131" t="s">
        <v>187</v>
      </c>
      <c r="E263" s="143"/>
      <c r="F263" s="132"/>
      <c r="G263" s="133" t="str">
        <f>A262</f>
        <v>1st Floor For Residential &amp; Parking</v>
      </c>
      <c r="H263" s="134"/>
      <c r="I263" s="36"/>
      <c r="N263" s="36"/>
    </row>
    <row r="264" spans="1:14" s="37" customFormat="1" ht="15.75" customHeight="1" x14ac:dyDescent="0.25">
      <c r="A264" s="148">
        <f>A263+1</f>
        <v>2</v>
      </c>
      <c r="B264" s="148"/>
      <c r="C264" s="42" t="s">
        <v>189</v>
      </c>
      <c r="D264" s="70">
        <f>(37.98+1.55*2.9+1.25*2.7+1.25*2.9+1.25*2.9)*10.764</f>
        <v>571.56839999999988</v>
      </c>
      <c r="E264" s="42">
        <f>(11.4*1.2)*10.764</f>
        <v>147.25152</v>
      </c>
      <c r="F264" s="42">
        <f>D264*(($F$257)+1)+(IF(E264&lt;101,E264,IF(E264&lt;201,E264/2,IF(E264&lt;=301,E264/3,E264/4))))</f>
        <v>930.97835999999984</v>
      </c>
      <c r="G264" s="135"/>
      <c r="H264" s="136"/>
      <c r="I264" s="36"/>
      <c r="N264" s="36"/>
    </row>
    <row r="265" spans="1:14" s="37" customFormat="1" ht="15.75" customHeight="1" x14ac:dyDescent="0.25">
      <c r="A265" s="148">
        <f>A264+1</f>
        <v>3</v>
      </c>
      <c r="B265" s="148"/>
      <c r="C265" s="42" t="s">
        <v>188</v>
      </c>
      <c r="D265" s="42">
        <f>(3.05*3.05+1.5*3.05+2.4*2.05+2.75*2.05+1*2.75+2*1.2+1.2*2+2.5*1+1.8*0.45)*10.764</f>
        <v>379.91537999999991</v>
      </c>
      <c r="E265" s="42">
        <f>(8.65*1.2)*10.764</f>
        <v>111.73032000000001</v>
      </c>
      <c r="F265" s="42">
        <f>D265*(($F$257)+1)+(IF(E265&lt;101,E265,IF(E265&lt;201,E265/2,IF(E265&lt;=301,E265/3,E265/4))))</f>
        <v>625.73822999999993</v>
      </c>
      <c r="G265" s="135"/>
      <c r="H265" s="136"/>
      <c r="I265" s="36"/>
      <c r="N265" s="36"/>
    </row>
    <row r="266" spans="1:14" s="37" customFormat="1" ht="15.75" customHeight="1" x14ac:dyDescent="0.25">
      <c r="A266" s="148">
        <f>A265+1</f>
        <v>4</v>
      </c>
      <c r="B266" s="148"/>
      <c r="C266" s="42" t="s">
        <v>188</v>
      </c>
      <c r="D266" s="42">
        <f>(2.75*3.05+1.5*2.75+2.4*2.05+2.75*2.05+1.8*0.45+1*2.75+2*1.2+1.2*2+2.5*1)*10.764</f>
        <v>365.22251999999992</v>
      </c>
      <c r="E266" s="42">
        <f>(8.5*1.2+12.15*4.3+5.5*5.6+4.5*3.5+(0.5*1.8*3.5)+(0.5*4.5*2.5))*10.764</f>
        <v>1267.6762799999999</v>
      </c>
      <c r="F266" s="42">
        <f>D266*(($F$257)+1)+(IF(E266&lt;101,E266,IF(E266&lt;201,E266/2,IF(E266&lt;=301,E266/3,E266/4))))</f>
        <v>864.75284999999985</v>
      </c>
      <c r="G266" s="135"/>
      <c r="H266" s="136"/>
      <c r="I266" s="36"/>
      <c r="N266" s="36"/>
    </row>
    <row r="267" spans="1:14" s="37" customFormat="1" ht="15.75" customHeight="1" x14ac:dyDescent="0.25">
      <c r="A267" s="148">
        <f>A266+1</f>
        <v>5</v>
      </c>
      <c r="B267" s="148"/>
      <c r="C267" s="42" t="s">
        <v>189</v>
      </c>
      <c r="D267" s="42">
        <f>(1.1*2.25+2.15*2.1+2.75*2.9+1.5*2.9+1.2*1.9+2*2.75+1*2.75+0.9*1.7+2.05*2.9+1*2.9+2.05*1.2+1.2*0.9)*10.764</f>
        <v>471.03263999999996</v>
      </c>
      <c r="E267" s="42">
        <f>((0.5*19.5*17.3)+1.1*6.7+1*2.1+1.1*7.5+1*3.3+(0.5*1.5*2.2)+2.2*0.5)*10.764</f>
        <v>2071.4779800000001</v>
      </c>
      <c r="F267" s="42">
        <f>D267*(($F$257)+1)+(IF(E267&lt;101,E267,IF(E267&lt;201,E267/2,IF(E267&lt;=301,E267/3,E267/4))))</f>
        <v>1224.418455</v>
      </c>
      <c r="G267" s="137"/>
      <c r="H267" s="138"/>
      <c r="I267" s="36"/>
      <c r="N267" s="36"/>
    </row>
    <row r="268" spans="1:14" s="37" customFormat="1" ht="15.75" customHeight="1" x14ac:dyDescent="0.25">
      <c r="A268" s="139" t="s">
        <v>191</v>
      </c>
      <c r="B268" s="140"/>
      <c r="C268" s="140"/>
      <c r="D268" s="140"/>
      <c r="E268" s="140"/>
      <c r="F268" s="140"/>
      <c r="G268" s="140"/>
      <c r="H268" s="141"/>
      <c r="I268" s="36"/>
    </row>
    <row r="269" spans="1:14" s="37" customFormat="1" ht="15.75" customHeight="1" x14ac:dyDescent="0.25">
      <c r="A269" s="131">
        <v>1</v>
      </c>
      <c r="B269" s="132"/>
      <c r="C269" s="42" t="s">
        <v>189</v>
      </c>
      <c r="D269" s="42">
        <f>(38.86+1.5*3.05+1.25*2.55+1.25*2.9+1.25*2.75+0.6*(2.7+2.9+2.9+3.05))*10.764</f>
        <v>652.45985999999994</v>
      </c>
      <c r="E269" s="42">
        <v>0</v>
      </c>
      <c r="F269" s="42">
        <f>D269*(($F$257)+1)+(IF(E269&lt;101,E269,IF(E269&lt;201,E269/2,IF(E269&lt;=301,E269/3,E269/4))))</f>
        <v>978.6897899999999</v>
      </c>
      <c r="G269" s="133" t="str">
        <f>A268</f>
        <v>2nd to 7th, 9th to 12th, 14th to 18th, 20th to 23rd Floor</v>
      </c>
      <c r="H269" s="134"/>
      <c r="I269" s="55"/>
      <c r="J269" s="37">
        <f>(3.05*3.05+1.2*1.3+2.55*2.4+1.2*1.95+1.4*2.9+2.75*2.55+1.45*1+1.4*1+1.95*1.2+0.6*3.05)</f>
        <v>37.414999999999992</v>
      </c>
    </row>
    <row r="270" spans="1:14" s="37" customFormat="1" ht="15.75" customHeight="1" x14ac:dyDescent="0.25">
      <c r="A270" s="131">
        <f t="shared" ref="A270:A275" si="11">A269+1</f>
        <v>2</v>
      </c>
      <c r="B270" s="132"/>
      <c r="C270" s="42" t="s">
        <v>189</v>
      </c>
      <c r="D270" s="42">
        <f>(37.98+1.55*2.9+1.25*2.7+1.25*2.9+1.25*2.9+(0.6*(2.9+2.7+2.9+2.9)))*10.764</f>
        <v>645.1941599999999</v>
      </c>
      <c r="E270" s="42">
        <v>0</v>
      </c>
      <c r="F270" s="42">
        <f t="shared" ref="F270:F275" si="12">D270*(($F$257)+1)+(IF(E270&lt;101,E270,IF(E270&lt;201,E270/2,IF(E270&lt;=301,E270/3,E270/4))))</f>
        <v>967.79123999999979</v>
      </c>
      <c r="G270" s="135"/>
      <c r="H270" s="136"/>
      <c r="I270" s="55"/>
    </row>
    <row r="271" spans="1:14" s="37" customFormat="1" ht="15.75" customHeight="1" x14ac:dyDescent="0.25">
      <c r="A271" s="131">
        <f t="shared" si="11"/>
        <v>3</v>
      </c>
      <c r="B271" s="132"/>
      <c r="C271" s="42" t="s">
        <v>188</v>
      </c>
      <c r="D271" s="42">
        <f>(27.94+1.5*3.2+1*2.7+1*2.75+0.6*(2.75+2.7+3.2))*10.764</f>
        <v>466.94232</v>
      </c>
      <c r="E271" s="42">
        <v>0</v>
      </c>
      <c r="F271" s="42">
        <f t="shared" si="12"/>
        <v>700.41347999999994</v>
      </c>
      <c r="G271" s="135"/>
      <c r="H271" s="136"/>
      <c r="I271" s="55"/>
    </row>
    <row r="272" spans="1:14" s="37" customFormat="1" ht="15.75" customHeight="1" x14ac:dyDescent="0.25">
      <c r="A272" s="131">
        <f t="shared" si="11"/>
        <v>4</v>
      </c>
      <c r="B272" s="132"/>
      <c r="C272" s="42" t="s">
        <v>188</v>
      </c>
      <c r="D272" s="70">
        <f>(26.98+1.5*2.9+1*2.7+1*2.75+0.6*(2.75+2.7+2.9))*10.764</f>
        <v>449.82755999999995</v>
      </c>
      <c r="E272" s="42">
        <v>0</v>
      </c>
      <c r="F272" s="42">
        <f t="shared" si="12"/>
        <v>674.74133999999992</v>
      </c>
      <c r="G272" s="135"/>
      <c r="H272" s="136"/>
      <c r="I272" s="55"/>
    </row>
    <row r="273" spans="1:14" s="37" customFormat="1" ht="15.75" customHeight="1" x14ac:dyDescent="0.25">
      <c r="A273" s="131">
        <f t="shared" si="11"/>
        <v>5</v>
      </c>
      <c r="B273" s="132"/>
      <c r="C273" s="42" t="s">
        <v>190</v>
      </c>
      <c r="D273" s="42">
        <f>(49.85+1*2.9+1.85*2.9+1*2.9+1*2.4+2.9*1.05+(0.6*(3.35+3.2+2.4+3.2+2.9)))*10.764</f>
        <v>812.57435999999984</v>
      </c>
      <c r="E273" s="42">
        <v>0</v>
      </c>
      <c r="F273" s="42">
        <f t="shared" si="12"/>
        <v>1218.8615399999999</v>
      </c>
      <c r="G273" s="135"/>
      <c r="H273" s="136"/>
      <c r="I273" s="55"/>
    </row>
    <row r="274" spans="1:14" s="37" customFormat="1" ht="15.75" customHeight="1" x14ac:dyDescent="0.25">
      <c r="A274" s="131">
        <f t="shared" si="11"/>
        <v>6</v>
      </c>
      <c r="B274" s="132"/>
      <c r="C274" s="42" t="s">
        <v>189</v>
      </c>
      <c r="D274" s="70">
        <f>(38.29+1.5*2.9+1*2.7+1*3.05+(0.6*(2.5+2.7+2.9+2.9)))*10.764</f>
        <v>591.91236000000004</v>
      </c>
      <c r="E274" s="42">
        <v>0</v>
      </c>
      <c r="F274" s="42">
        <f t="shared" si="12"/>
        <v>887.86854000000005</v>
      </c>
      <c r="G274" s="135"/>
      <c r="H274" s="136"/>
      <c r="I274" s="55"/>
    </row>
    <row r="275" spans="1:14" s="37" customFormat="1" ht="15.75" customHeight="1" x14ac:dyDescent="0.25">
      <c r="A275" s="131">
        <f t="shared" si="11"/>
        <v>7</v>
      </c>
      <c r="B275" s="132"/>
      <c r="C275" s="42" t="s">
        <v>188</v>
      </c>
      <c r="D275" s="70">
        <f>(28.22+1.5*2.9+1*2.7+(0.6*(2.5+2.7+2.9)))*10.764</f>
        <v>431.95931999999999</v>
      </c>
      <c r="E275" s="42">
        <v>0</v>
      </c>
      <c r="F275" s="42">
        <f t="shared" si="12"/>
        <v>647.93898000000002</v>
      </c>
      <c r="G275" s="137"/>
      <c r="H275" s="138"/>
      <c r="I275" s="55"/>
      <c r="J275" s="37">
        <f>3680000/F275</f>
        <v>5679.5471697041594</v>
      </c>
      <c r="K275" s="37">
        <f>3600000/F275</f>
        <v>5556.0787529714598</v>
      </c>
    </row>
    <row r="276" spans="1:14" s="37" customFormat="1" ht="15.75" customHeight="1" x14ac:dyDescent="0.25">
      <c r="A276" s="139" t="s">
        <v>196</v>
      </c>
      <c r="B276" s="140"/>
      <c r="C276" s="140"/>
      <c r="D276" s="140"/>
      <c r="E276" s="140"/>
      <c r="F276" s="140"/>
      <c r="G276" s="140"/>
      <c r="H276" s="141"/>
      <c r="I276" s="36"/>
    </row>
    <row r="277" spans="1:14" s="37" customFormat="1" ht="15.75" customHeight="1" x14ac:dyDescent="0.25">
      <c r="A277" s="131">
        <v>1</v>
      </c>
      <c r="B277" s="132"/>
      <c r="C277" s="42" t="s">
        <v>189</v>
      </c>
      <c r="D277" s="70">
        <f>(38.86+1.5*3.05+1.25*2.55+1.25*2.9+1.25*2.75+0.6*(2.7+2.9+2.9+3.05))*10.764</f>
        <v>652.45985999999994</v>
      </c>
      <c r="E277" s="42">
        <v>0</v>
      </c>
      <c r="F277" s="42">
        <f>D277*(($F$257)+1)+(IF(E277&lt;101,E277,IF(E277&lt;201,E277/2,IF(E277&lt;=301,E277/3,E277/4))))</f>
        <v>978.6897899999999</v>
      </c>
      <c r="G277" s="133" t="str">
        <f>A276</f>
        <v>8th, 13th &amp; 19th Floor ( Part Refuge Area)</v>
      </c>
      <c r="H277" s="134"/>
      <c r="I277" s="55"/>
      <c r="J277" s="37">
        <f>4650000/F277</f>
        <v>4751.2501382077362</v>
      </c>
    </row>
    <row r="278" spans="1:14" s="37" customFormat="1" ht="15.75" customHeight="1" x14ac:dyDescent="0.25">
      <c r="A278" s="131">
        <f t="shared" ref="A278:A283" si="13">A277+1</f>
        <v>2</v>
      </c>
      <c r="B278" s="132"/>
      <c r="C278" s="42" t="s">
        <v>189</v>
      </c>
      <c r="D278" s="70">
        <f>(37.98+1.55*2.9+1.25*2.7+1.25*2.9+1.25*2.9+(0.6*(2.9+2.7+2.9+2.9)))*10.764</f>
        <v>645.1941599999999</v>
      </c>
      <c r="E278" s="42">
        <v>0</v>
      </c>
      <c r="F278" s="42">
        <f>D278*(($F$257)+1)+(IF(E278&lt;101,E278,IF(E278&lt;201,E278/2,IF(E278&lt;=301,E278/3,E278/4))))</f>
        <v>967.79123999999979</v>
      </c>
      <c r="G278" s="135"/>
      <c r="H278" s="136"/>
      <c r="I278" s="55"/>
    </row>
    <row r="279" spans="1:14" s="37" customFormat="1" ht="15.75" customHeight="1" x14ac:dyDescent="0.25">
      <c r="A279" s="131">
        <f t="shared" si="13"/>
        <v>3</v>
      </c>
      <c r="B279" s="132"/>
      <c r="C279" s="42" t="s">
        <v>188</v>
      </c>
      <c r="D279" s="70">
        <f>(27.94+1.5*3.2+1*2.7+1*2.75+0.6*(2.75+2.7+3.2))*10.764</f>
        <v>466.94232</v>
      </c>
      <c r="E279" s="42">
        <v>0</v>
      </c>
      <c r="F279" s="42">
        <f>D279*(($F$257)+1)+(IF(E279&lt;101,E279,IF(E279&lt;201,E279/2,IF(E279&lt;=301,E279/3,E279/4))))</f>
        <v>700.41347999999994</v>
      </c>
      <c r="G279" s="135"/>
      <c r="H279" s="136"/>
      <c r="I279" s="55"/>
    </row>
    <row r="280" spans="1:14" s="37" customFormat="1" ht="15.75" customHeight="1" x14ac:dyDescent="0.25">
      <c r="A280" s="131">
        <f t="shared" si="13"/>
        <v>4</v>
      </c>
      <c r="B280" s="132"/>
      <c r="C280" s="131" t="s">
        <v>192</v>
      </c>
      <c r="D280" s="143"/>
      <c r="E280" s="143"/>
      <c r="F280" s="132"/>
      <c r="G280" s="135"/>
      <c r="H280" s="136"/>
      <c r="I280" s="55"/>
    </row>
    <row r="281" spans="1:14" s="37" customFormat="1" ht="15.75" customHeight="1" x14ac:dyDescent="0.25">
      <c r="A281" s="131">
        <f t="shared" si="13"/>
        <v>5</v>
      </c>
      <c r="B281" s="132"/>
      <c r="C281" s="42" t="s">
        <v>190</v>
      </c>
      <c r="D281" s="70">
        <f>(49.85+1*2.9+1.85*2.9+1*2.9+1*2.4+2.9*1.05+(0.6*(3.35+3.2+2.4+3.2+2.9)))*10.764</f>
        <v>812.57435999999984</v>
      </c>
      <c r="E281" s="42">
        <v>0</v>
      </c>
      <c r="F281" s="42">
        <f>D281*(($F$257)+1)+(IF(E281&lt;101,E281,IF(E281&lt;201,E281/2,IF(E281&lt;=301,E281/3,E281/4))))</f>
        <v>1218.8615399999999</v>
      </c>
      <c r="G281" s="135"/>
      <c r="H281" s="136"/>
      <c r="I281" s="55"/>
      <c r="J281" s="37">
        <f>7500000/F281</f>
        <v>6153.2830053855014</v>
      </c>
    </row>
    <row r="282" spans="1:14" s="37" customFormat="1" ht="15.75" customHeight="1" x14ac:dyDescent="0.25">
      <c r="A282" s="131">
        <f t="shared" si="13"/>
        <v>6</v>
      </c>
      <c r="B282" s="132"/>
      <c r="C282" s="42" t="s">
        <v>189</v>
      </c>
      <c r="D282" s="70">
        <f>(38.29+1.5*2.9+1*2.7+1*3.05+(0.6*(2.5+2.7+2.9+2.9)))*10.764</f>
        <v>591.91236000000004</v>
      </c>
      <c r="E282" s="42">
        <v>0</v>
      </c>
      <c r="F282" s="42">
        <f>D282*(($F$257)+1)+(IF(E282&lt;101,E282,IF(E282&lt;201,E282/2,IF(E282&lt;=301,E282/3,E282/4))))</f>
        <v>887.86854000000005</v>
      </c>
      <c r="G282" s="135"/>
      <c r="H282" s="136"/>
      <c r="I282" s="55"/>
    </row>
    <row r="283" spans="1:14" s="37" customFormat="1" ht="15.75" customHeight="1" x14ac:dyDescent="0.25">
      <c r="A283" s="131">
        <f t="shared" si="13"/>
        <v>7</v>
      </c>
      <c r="B283" s="132"/>
      <c r="C283" s="42" t="s">
        <v>188</v>
      </c>
      <c r="D283" s="70">
        <f>(28.22+1.5*2.9+1*2.7+(0.6*(2.5+2.7+2.9)))*10.764</f>
        <v>431.95931999999999</v>
      </c>
      <c r="E283" s="42">
        <v>0</v>
      </c>
      <c r="F283" s="42">
        <f>D283*(($F$257)+1)+(IF(E283&lt;101,E283,IF(E283&lt;201,E283/2,IF(E283&lt;=301,E283/3,E283/4))))</f>
        <v>647.93898000000002</v>
      </c>
      <c r="G283" s="137"/>
      <c r="H283" s="138"/>
      <c r="I283" s="55"/>
    </row>
    <row r="284" spans="1:14" s="37" customFormat="1" x14ac:dyDescent="0.25">
      <c r="A284" s="139" t="s">
        <v>193</v>
      </c>
      <c r="B284" s="140"/>
      <c r="C284" s="140"/>
      <c r="D284" s="140"/>
      <c r="E284" s="140"/>
      <c r="F284" s="140"/>
      <c r="G284" s="140"/>
      <c r="H284" s="141"/>
      <c r="J284" s="36"/>
    </row>
    <row r="285" spans="1:14" s="37" customFormat="1" x14ac:dyDescent="0.25">
      <c r="A285" s="139" t="s">
        <v>194</v>
      </c>
      <c r="B285" s="140"/>
      <c r="C285" s="140"/>
      <c r="D285" s="140"/>
      <c r="E285" s="140"/>
      <c r="F285" s="140"/>
      <c r="G285" s="140"/>
      <c r="H285" s="141"/>
      <c r="J285" s="36"/>
    </row>
    <row r="286" spans="1:14" s="37" customFormat="1" x14ac:dyDescent="0.25">
      <c r="A286" s="145" t="s">
        <v>186</v>
      </c>
      <c r="B286" s="145"/>
      <c r="C286" s="145"/>
      <c r="D286" s="145"/>
      <c r="E286" s="145"/>
      <c r="F286" s="145"/>
      <c r="G286" s="145"/>
      <c r="H286" s="145"/>
      <c r="I286" s="36"/>
      <c r="L286" s="144"/>
      <c r="M286" s="144"/>
    </row>
    <row r="287" spans="1:14" s="37" customFormat="1" ht="15.75" customHeight="1" x14ac:dyDescent="0.25">
      <c r="A287" s="131">
        <v>1</v>
      </c>
      <c r="B287" s="132"/>
      <c r="C287" s="62" t="s">
        <v>221</v>
      </c>
      <c r="D287" s="131" t="s">
        <v>187</v>
      </c>
      <c r="E287" s="143"/>
      <c r="F287" s="132"/>
      <c r="G287" s="133" t="str">
        <f>A286</f>
        <v>1st Floor For Residential &amp; Parking</v>
      </c>
      <c r="H287" s="134"/>
      <c r="I287" s="36"/>
      <c r="N287" s="36"/>
    </row>
    <row r="288" spans="1:14" s="37" customFormat="1" ht="15.75" customHeight="1" x14ac:dyDescent="0.25">
      <c r="A288" s="148">
        <f>A287+1</f>
        <v>2</v>
      </c>
      <c r="B288" s="148"/>
      <c r="C288" s="62" t="s">
        <v>221</v>
      </c>
      <c r="D288" s="131" t="s">
        <v>187</v>
      </c>
      <c r="E288" s="143"/>
      <c r="F288" s="132"/>
      <c r="G288" s="135"/>
      <c r="H288" s="136"/>
      <c r="I288" s="36"/>
      <c r="N288" s="36"/>
    </row>
    <row r="289" spans="1:14" s="37" customFormat="1" ht="15.75" customHeight="1" x14ac:dyDescent="0.25">
      <c r="A289" s="148">
        <f>A288+1</f>
        <v>3</v>
      </c>
      <c r="B289" s="148"/>
      <c r="C289" s="62" t="s">
        <v>221</v>
      </c>
      <c r="D289" s="131" t="s">
        <v>187</v>
      </c>
      <c r="E289" s="143"/>
      <c r="F289" s="132"/>
      <c r="G289" s="135"/>
      <c r="H289" s="136"/>
      <c r="I289" s="36"/>
      <c r="N289" s="36"/>
    </row>
    <row r="290" spans="1:14" s="37" customFormat="1" ht="15.75" customHeight="1" x14ac:dyDescent="0.25">
      <c r="A290" s="148">
        <f>A289+1</f>
        <v>4</v>
      </c>
      <c r="B290" s="148"/>
      <c r="C290" s="42" t="s">
        <v>189</v>
      </c>
      <c r="D290" s="42">
        <f>(47.52+1.4*2.9)*10.764</f>
        <v>555.20712000000003</v>
      </c>
      <c r="E290" s="42">
        <f>(6*2.7+5.8*1.8)*10.764</f>
        <v>286.75295999999997</v>
      </c>
      <c r="F290" s="42">
        <f>D290*(($F$257)+1)+(IF(E290&lt;101,E290,IF(E290&lt;201,E290/2,IF(E290&lt;=301,E290/3,E290/4))))</f>
        <v>928.39499999999998</v>
      </c>
      <c r="G290" s="135"/>
      <c r="H290" s="136"/>
      <c r="I290" s="36"/>
      <c r="J290" s="36"/>
      <c r="K290" s="36"/>
      <c r="N290" s="36"/>
    </row>
    <row r="291" spans="1:14" s="37" customFormat="1" ht="15.75" customHeight="1" x14ac:dyDescent="0.25">
      <c r="A291" s="148">
        <f>A290+1</f>
        <v>5</v>
      </c>
      <c r="B291" s="148"/>
      <c r="C291" s="42" t="s">
        <v>189</v>
      </c>
      <c r="D291" s="42">
        <f>(46.31+1.5*2.75+1.2*2.75)*10.764</f>
        <v>578.40353999999991</v>
      </c>
      <c r="E291" s="42">
        <f>(5.8*1.8+2.6*2.3+2.8*3.3)*10.764</f>
        <v>276.20423999999997</v>
      </c>
      <c r="F291" s="42">
        <f>D291*(($F$257)+1)+(IF(E291&lt;101,E291,IF(E291&lt;201,E291/2,IF(E291&lt;=301,E291/3,E291/4))))</f>
        <v>959.67338999999993</v>
      </c>
      <c r="G291" s="135"/>
      <c r="H291" s="136"/>
      <c r="I291" s="36"/>
      <c r="N291" s="36"/>
    </row>
    <row r="292" spans="1:14" s="37" customFormat="1" ht="15.75" customHeight="1" x14ac:dyDescent="0.25">
      <c r="A292" s="148">
        <f>A291+1</f>
        <v>6</v>
      </c>
      <c r="B292" s="148"/>
      <c r="C292" s="42" t="s">
        <v>189</v>
      </c>
      <c r="D292" s="42">
        <f>(46.11+1.2*2.9+1.95*0.45)*10.764</f>
        <v>543.23216999999988</v>
      </c>
      <c r="E292" s="42">
        <f>(6*2.7+5.8*1.55)*10.764</f>
        <v>271.14516000000003</v>
      </c>
      <c r="F292" s="42">
        <f>D292*(($F$257)+1)+(IF(E292&lt;101,E292,IF(E292&lt;201,E292/2,IF(E292&lt;=301,E292/3,E292/4))))</f>
        <v>905.22997499999985</v>
      </c>
      <c r="G292" s="137"/>
      <c r="H292" s="138"/>
      <c r="I292" s="36"/>
      <c r="N292" s="36"/>
    </row>
    <row r="293" spans="1:14" s="37" customFormat="1" ht="15.75" customHeight="1" x14ac:dyDescent="0.25">
      <c r="A293" s="139" t="s">
        <v>191</v>
      </c>
      <c r="B293" s="140"/>
      <c r="C293" s="140"/>
      <c r="D293" s="140"/>
      <c r="E293" s="140"/>
      <c r="F293" s="140"/>
      <c r="G293" s="140"/>
      <c r="H293" s="141"/>
      <c r="I293" s="36"/>
    </row>
    <row r="294" spans="1:14" s="37" customFormat="1" ht="15.75" customHeight="1" x14ac:dyDescent="0.25">
      <c r="A294" s="131">
        <v>1</v>
      </c>
      <c r="B294" s="132"/>
      <c r="C294" s="42" t="s">
        <v>188</v>
      </c>
      <c r="D294" s="42">
        <f>(29.93+1.4*2.9+1*3.05+0.6*(2.9+2.75+3.05))*10.764</f>
        <v>454.88663999999994</v>
      </c>
      <c r="E294" s="42">
        <v>0</v>
      </c>
      <c r="F294" s="42">
        <f t="shared" ref="F294:F300" si="14">D294*(($F$257)+1)+(IF(E294&lt;101,E294,IF(E294&lt;201,E294/2,IF(E294&lt;=301,E294/3,E294/4))))</f>
        <v>682.32995999999991</v>
      </c>
      <c r="G294" s="133" t="str">
        <f>A293</f>
        <v>2nd to 7th, 9th to 12th, 14th to 18th, 20th to 23rd Floor</v>
      </c>
      <c r="H294" s="134"/>
      <c r="I294" s="36"/>
    </row>
    <row r="295" spans="1:14" s="37" customFormat="1" ht="15.75" customHeight="1" x14ac:dyDescent="0.25">
      <c r="A295" s="131">
        <f t="shared" ref="A295:A300" si="15">A294+1</f>
        <v>2</v>
      </c>
      <c r="B295" s="132"/>
      <c r="C295" s="42" t="s">
        <v>188</v>
      </c>
      <c r="D295" s="70">
        <f>(29.93+1.4*2.9+1*3.05+0.6*(2.9+2.75+3.05))*10.764</f>
        <v>454.88663999999994</v>
      </c>
      <c r="E295" s="42">
        <v>0</v>
      </c>
      <c r="F295" s="42">
        <f t="shared" si="14"/>
        <v>682.32995999999991</v>
      </c>
      <c r="G295" s="135"/>
      <c r="H295" s="136"/>
      <c r="I295" s="36"/>
    </row>
    <row r="296" spans="1:14" s="37" customFormat="1" ht="15.75" customHeight="1" x14ac:dyDescent="0.25">
      <c r="A296" s="131">
        <f t="shared" si="15"/>
        <v>3</v>
      </c>
      <c r="B296" s="132"/>
      <c r="C296" s="42" t="s">
        <v>188</v>
      </c>
      <c r="D296" s="70">
        <f>(29.93+1.4*2.9+1*3.05+0.6*(2.9+2.75+3.05))*10.764</f>
        <v>454.88663999999994</v>
      </c>
      <c r="E296" s="42">
        <v>0</v>
      </c>
      <c r="F296" s="42">
        <f t="shared" si="14"/>
        <v>682.32995999999991</v>
      </c>
      <c r="G296" s="135"/>
      <c r="H296" s="136"/>
      <c r="I296" s="36"/>
    </row>
    <row r="297" spans="1:14" s="37" customFormat="1" ht="15.75" customHeight="1" x14ac:dyDescent="0.25">
      <c r="A297" s="131">
        <f t="shared" si="15"/>
        <v>4</v>
      </c>
      <c r="B297" s="132"/>
      <c r="C297" s="42" t="s">
        <v>189</v>
      </c>
      <c r="D297" s="42">
        <f>(47.52+1.4*2.9+0.6*(3.05+2.9+2.7+3.05))*10.764</f>
        <v>630.77040000000011</v>
      </c>
      <c r="E297" s="42">
        <v>0</v>
      </c>
      <c r="F297" s="42">
        <f t="shared" si="14"/>
        <v>946.15560000000016</v>
      </c>
      <c r="G297" s="135"/>
      <c r="H297" s="136"/>
      <c r="I297" s="36"/>
    </row>
    <row r="298" spans="1:14" s="37" customFormat="1" ht="15.75" customHeight="1" x14ac:dyDescent="0.25">
      <c r="A298" s="131">
        <f t="shared" si="15"/>
        <v>5</v>
      </c>
      <c r="B298" s="132"/>
      <c r="C298" s="42" t="s">
        <v>189</v>
      </c>
      <c r="D298" s="70">
        <f>(46.31+1.5*2.75+0.6*(2.75+2.55+5.95))*10.764</f>
        <v>615.53934000000004</v>
      </c>
      <c r="E298" s="42">
        <v>0</v>
      </c>
      <c r="F298" s="42">
        <f t="shared" si="14"/>
        <v>923.30901000000006</v>
      </c>
      <c r="G298" s="135"/>
      <c r="H298" s="136"/>
      <c r="I298" s="36"/>
    </row>
    <row r="299" spans="1:14" s="37" customFormat="1" ht="15.75" customHeight="1" x14ac:dyDescent="0.25">
      <c r="A299" s="131">
        <f t="shared" si="15"/>
        <v>6</v>
      </c>
      <c r="B299" s="132"/>
      <c r="C299" s="42" t="s">
        <v>189</v>
      </c>
      <c r="D299" s="70">
        <f>(46.11+1.2*2.9+0.6*(6.1+2.7+3.05))*10.764</f>
        <v>610.3187999999999</v>
      </c>
      <c r="E299" s="42">
        <v>0</v>
      </c>
      <c r="F299" s="42">
        <f t="shared" si="14"/>
        <v>915.47819999999979</v>
      </c>
      <c r="G299" s="135"/>
      <c r="H299" s="136"/>
      <c r="I299" s="36"/>
    </row>
    <row r="300" spans="1:14" s="37" customFormat="1" ht="15.75" customHeight="1" x14ac:dyDescent="0.25">
      <c r="A300" s="131">
        <f t="shared" si="15"/>
        <v>7</v>
      </c>
      <c r="B300" s="132"/>
      <c r="C300" s="42" t="s">
        <v>188</v>
      </c>
      <c r="D300" s="70">
        <f>(29.93+1.4*2.9+1*3.05+0.6*(2.9+2.75+3.05))*10.764</f>
        <v>454.88663999999994</v>
      </c>
      <c r="E300" s="42">
        <v>0</v>
      </c>
      <c r="F300" s="42">
        <f t="shared" si="14"/>
        <v>682.32995999999991</v>
      </c>
      <c r="G300" s="137"/>
      <c r="H300" s="138"/>
      <c r="I300" s="36"/>
    </row>
    <row r="301" spans="1:14" s="37" customFormat="1" ht="15.75" customHeight="1" x14ac:dyDescent="0.25">
      <c r="A301" s="139" t="s">
        <v>195</v>
      </c>
      <c r="B301" s="140"/>
      <c r="C301" s="140"/>
      <c r="D301" s="140"/>
      <c r="E301" s="140"/>
      <c r="F301" s="140"/>
      <c r="G301" s="140"/>
      <c r="H301" s="141"/>
      <c r="I301" s="36"/>
    </row>
    <row r="302" spans="1:14" s="37" customFormat="1" ht="15.75" customHeight="1" x14ac:dyDescent="0.25">
      <c r="A302" s="131">
        <v>1</v>
      </c>
      <c r="B302" s="132"/>
      <c r="C302" s="42" t="s">
        <v>188</v>
      </c>
      <c r="D302" s="70">
        <f>(29.93+1.4*2.9+1*3.05+0.6*(2.9+2.75+3.05))*10.764</f>
        <v>454.88663999999994</v>
      </c>
      <c r="E302" s="42">
        <v>0</v>
      </c>
      <c r="F302" s="42">
        <f t="shared" ref="F302:F308" si="16">D302*(($F$257)+1)+(IF(E302&lt;101,E302,IF(E302&lt;201,E302/2,IF(E302&lt;=301,E302/3,E302/4))))</f>
        <v>682.32995999999991</v>
      </c>
      <c r="G302" s="133" t="str">
        <f>A301</f>
        <v>8th, 13th &amp; 19th Floor (Part Refuge Area)</v>
      </c>
      <c r="H302" s="134"/>
      <c r="I302" s="36">
        <f>607*1.5</f>
        <v>910.5</v>
      </c>
    </row>
    <row r="303" spans="1:14" s="37" customFormat="1" ht="15.75" customHeight="1" x14ac:dyDescent="0.25">
      <c r="A303" s="131">
        <v>2</v>
      </c>
      <c r="B303" s="132"/>
      <c r="C303" s="42" t="s">
        <v>188</v>
      </c>
      <c r="D303" s="70">
        <f>(29.93+1.4*2.9+1*3.05+0.6*(2.9+2.75+3.05))*10.764</f>
        <v>454.88663999999994</v>
      </c>
      <c r="E303" s="42">
        <v>0</v>
      </c>
      <c r="F303" s="42">
        <f t="shared" si="16"/>
        <v>682.32995999999991</v>
      </c>
      <c r="G303" s="135"/>
      <c r="H303" s="136"/>
      <c r="I303" s="36"/>
    </row>
    <row r="304" spans="1:14" s="37" customFormat="1" ht="15.75" customHeight="1" x14ac:dyDescent="0.25">
      <c r="A304" s="131">
        <v>3</v>
      </c>
      <c r="B304" s="132"/>
      <c r="C304" s="42" t="s">
        <v>188</v>
      </c>
      <c r="D304" s="70">
        <f>(29.93+1.4*2.9+1*3.05+0.6*(2.9+2.75+3.05))*10.764</f>
        <v>454.88663999999994</v>
      </c>
      <c r="E304" s="42">
        <v>0</v>
      </c>
      <c r="F304" s="42">
        <f t="shared" si="16"/>
        <v>682.32995999999991</v>
      </c>
      <c r="G304" s="135"/>
      <c r="H304" s="136"/>
      <c r="I304" s="36"/>
    </row>
    <row r="305" spans="1:14" s="37" customFormat="1" ht="15.75" customHeight="1" x14ac:dyDescent="0.25">
      <c r="A305" s="131">
        <v>4</v>
      </c>
      <c r="B305" s="132"/>
      <c r="C305" s="42" t="s">
        <v>189</v>
      </c>
      <c r="D305" s="70">
        <f>(47.52+1.4*2.9+0.6*(3.05+2.9+2.7+3.05))*10.764</f>
        <v>630.77040000000011</v>
      </c>
      <c r="E305" s="42">
        <v>0</v>
      </c>
      <c r="F305" s="42">
        <f t="shared" si="16"/>
        <v>946.15560000000016</v>
      </c>
      <c r="G305" s="135"/>
      <c r="H305" s="136"/>
      <c r="I305" s="36"/>
    </row>
    <row r="306" spans="1:14" s="37" customFormat="1" ht="15.75" customHeight="1" x14ac:dyDescent="0.25">
      <c r="A306" s="131">
        <v>5</v>
      </c>
      <c r="B306" s="132"/>
      <c r="C306" s="42" t="s">
        <v>189</v>
      </c>
      <c r="D306" s="70">
        <f>(46.31+1.5*2.75+0.6*(2.75+2.55+5.95))*10.764</f>
        <v>615.53934000000004</v>
      </c>
      <c r="E306" s="42">
        <v>0</v>
      </c>
      <c r="F306" s="42">
        <f t="shared" si="16"/>
        <v>923.30901000000006</v>
      </c>
      <c r="G306" s="135"/>
      <c r="H306" s="136"/>
      <c r="I306" s="36"/>
    </row>
    <row r="307" spans="1:14" s="37" customFormat="1" ht="15.75" customHeight="1" x14ac:dyDescent="0.25">
      <c r="A307" s="131">
        <v>6</v>
      </c>
      <c r="B307" s="132"/>
      <c r="C307" s="42" t="s">
        <v>188</v>
      </c>
      <c r="D307" s="70">
        <f>(46.11+1.2*2.9+0.6*(6.1+2.7+3.05))*10.764</f>
        <v>610.3187999999999</v>
      </c>
      <c r="E307" s="42">
        <v>0</v>
      </c>
      <c r="F307" s="42">
        <f t="shared" si="16"/>
        <v>915.47819999999979</v>
      </c>
      <c r="G307" s="135"/>
      <c r="H307" s="136"/>
      <c r="I307" s="36"/>
    </row>
    <row r="308" spans="1:14" s="37" customFormat="1" ht="15.75" customHeight="1" x14ac:dyDescent="0.25">
      <c r="A308" s="131">
        <v>7</v>
      </c>
      <c r="B308" s="132"/>
      <c r="C308" s="42" t="s">
        <v>188</v>
      </c>
      <c r="D308" s="70">
        <f>(29.93+1.4*2.9+1*3.05+0.6*(2.9+2.75+3.05))*10.764</f>
        <v>454.88663999999994</v>
      </c>
      <c r="E308" s="42">
        <v>0</v>
      </c>
      <c r="F308" s="42">
        <f t="shared" si="16"/>
        <v>682.32995999999991</v>
      </c>
      <c r="G308" s="137"/>
      <c r="H308" s="138"/>
      <c r="I308" s="36"/>
    </row>
    <row r="309" spans="1:14" s="57" customFormat="1" x14ac:dyDescent="0.25">
      <c r="A309" s="199" t="s">
        <v>202</v>
      </c>
      <c r="B309" s="200"/>
      <c r="C309" s="200"/>
      <c r="D309" s="200"/>
      <c r="E309" s="200"/>
      <c r="F309" s="200"/>
      <c r="G309" s="200"/>
      <c r="H309" s="201"/>
      <c r="J309" s="36"/>
    </row>
    <row r="310" spans="1:14" s="57" customFormat="1" x14ac:dyDescent="0.25">
      <c r="A310" s="139" t="s">
        <v>219</v>
      </c>
      <c r="B310" s="140"/>
      <c r="C310" s="140"/>
      <c r="D310" s="140"/>
      <c r="E310" s="140"/>
      <c r="F310" s="140"/>
      <c r="G310" s="140"/>
      <c r="H310" s="141"/>
      <c r="J310" s="36"/>
    </row>
    <row r="311" spans="1:14" s="57" customFormat="1" x14ac:dyDescent="0.25">
      <c r="A311" s="139" t="s">
        <v>220</v>
      </c>
      <c r="B311" s="140"/>
      <c r="C311" s="140"/>
      <c r="D311" s="140"/>
      <c r="E311" s="140"/>
      <c r="F311" s="140"/>
      <c r="G311" s="140"/>
      <c r="H311" s="141"/>
      <c r="J311" s="36"/>
    </row>
    <row r="312" spans="1:14" s="57" customFormat="1" x14ac:dyDescent="0.25">
      <c r="A312" s="139" t="s">
        <v>223</v>
      </c>
      <c r="B312" s="140"/>
      <c r="C312" s="140"/>
      <c r="D312" s="140"/>
      <c r="E312" s="140"/>
      <c r="F312" s="140"/>
      <c r="G312" s="140"/>
      <c r="H312" s="141"/>
      <c r="J312" s="36"/>
    </row>
    <row r="313" spans="1:14" s="57" customFormat="1" x14ac:dyDescent="0.25">
      <c r="A313" s="145" t="s">
        <v>186</v>
      </c>
      <c r="B313" s="145"/>
      <c r="C313" s="145"/>
      <c r="D313" s="145"/>
      <c r="E313" s="145"/>
      <c r="F313" s="145"/>
      <c r="G313" s="145"/>
      <c r="H313" s="145"/>
      <c r="I313" s="36"/>
      <c r="L313" s="144"/>
      <c r="M313" s="144"/>
    </row>
    <row r="314" spans="1:14" s="57" customFormat="1" ht="15.75" customHeight="1" x14ac:dyDescent="0.25">
      <c r="A314" s="148">
        <v>1</v>
      </c>
      <c r="B314" s="148"/>
      <c r="C314" s="59" t="s">
        <v>221</v>
      </c>
      <c r="D314" s="131" t="s">
        <v>187</v>
      </c>
      <c r="E314" s="143"/>
      <c r="F314" s="132"/>
      <c r="G314" s="133" t="str">
        <f>A313</f>
        <v>1st Floor For Residential &amp; Parking</v>
      </c>
      <c r="H314" s="134"/>
      <c r="I314" s="36"/>
      <c r="N314" s="36"/>
    </row>
    <row r="315" spans="1:14" s="57" customFormat="1" ht="15.75" customHeight="1" x14ac:dyDescent="0.25">
      <c r="A315" s="148">
        <f>A314+1</f>
        <v>2</v>
      </c>
      <c r="B315" s="148"/>
      <c r="C315" s="58" t="s">
        <v>188</v>
      </c>
      <c r="D315" s="69">
        <f>(27.1+1.5*2.75+1.1*(2.4+2.75)+0.6*(2.75+2.4+2.75))*(10.764)</f>
        <v>448.10532000000001</v>
      </c>
      <c r="E315" s="58">
        <v>0</v>
      </c>
      <c r="F315" s="58">
        <f>D315*(($F$257)+1)+(IF(E315&lt;101,E315,IF(E315&lt;201,E315/2,IF(E315&lt;=301,E315/3,E315/4))))</f>
        <v>672.15797999999995</v>
      </c>
      <c r="G315" s="135"/>
      <c r="H315" s="136"/>
      <c r="I315" s="36">
        <f>2.75*3.25+2.4*2.4+2.75*2.4+1.25*0.9+1.2*1.5</f>
        <v>24.2225</v>
      </c>
      <c r="J315" s="36">
        <f>2.75*3.25+2.4*2.4+2.75*2.4+1.2*1.5+1.25*0.9+1.5*2.75+1.1*(2.4+2.75)+0.6*(2.75+2.4+2.75)</f>
        <v>38.752500000000005</v>
      </c>
      <c r="N315" s="36"/>
    </row>
    <row r="316" spans="1:14" s="57" customFormat="1" ht="15.75" customHeight="1" x14ac:dyDescent="0.25">
      <c r="A316" s="148">
        <f>A315+1</f>
        <v>3</v>
      </c>
      <c r="B316" s="148"/>
      <c r="C316" s="58" t="s">
        <v>188</v>
      </c>
      <c r="D316" s="69">
        <f>(33.9+1.6*2.75+1.15*2.4+0.6*(2.75+2.4+3.45))*(10.764)</f>
        <v>497.51207999999997</v>
      </c>
      <c r="E316" s="58">
        <v>0</v>
      </c>
      <c r="F316" s="58">
        <f>D316*(($F$257)+1)+(IF(E316&lt;101,E316,IF(E316&lt;201,E316/2,IF(E316&lt;=301,E316/3,E316/4))))</f>
        <v>746.26811999999995</v>
      </c>
      <c r="G316" s="135"/>
      <c r="H316" s="136"/>
      <c r="I316" s="36">
        <f>2.75*3.5+2.4*2.3+1.05*1.95+2.9*3.45+1.6*1.2+1.09*0.9+1.3*1.2</f>
        <v>31.6585</v>
      </c>
      <c r="N316" s="36"/>
    </row>
    <row r="317" spans="1:14" s="57" customFormat="1" ht="15.75" customHeight="1" x14ac:dyDescent="0.25">
      <c r="A317" s="148">
        <f>A316+1</f>
        <v>4</v>
      </c>
      <c r="B317" s="148"/>
      <c r="C317" s="58" t="s">
        <v>189</v>
      </c>
      <c r="D317" s="69">
        <f>(39.49+1.6*2.9+1.15*(2.45+2.9+2.75)+0.6*(2.9+2.45+2.9+2.75))*(10.764)</f>
        <v>646.32438000000002</v>
      </c>
      <c r="E317" s="58">
        <v>0</v>
      </c>
      <c r="F317" s="58">
        <f>D317*(($F$257)+1)+(IF(E317&lt;101,E317,IF(E317&lt;201,E317/2,IF(E317&lt;=301,E317/3,E317/4))))</f>
        <v>969.48657000000003</v>
      </c>
      <c r="G317" s="135"/>
      <c r="H317" s="136"/>
      <c r="I317" s="36"/>
      <c r="N317" s="36"/>
    </row>
    <row r="318" spans="1:14" s="57" customFormat="1" ht="15.75" customHeight="1" x14ac:dyDescent="0.25">
      <c r="A318" s="148">
        <f>A317+1</f>
        <v>5</v>
      </c>
      <c r="B318" s="148"/>
      <c r="C318" s="58" t="s">
        <v>188</v>
      </c>
      <c r="D318" s="69">
        <f>(29.87+1.6*2.9+1.15*2.4+1.3*2.9+0.6*(2.9+2.4+2.9))*(10.764)</f>
        <v>494.71343999999999</v>
      </c>
      <c r="E318" s="58">
        <v>0</v>
      </c>
      <c r="F318" s="58">
        <f>D318*(($F$257)+1)+(IF(E318&lt;101,E318,IF(E318&lt;201,E318/2,IF(E318&lt;=301,E318/3,E318/4))))</f>
        <v>742.07015999999999</v>
      </c>
      <c r="G318" s="137"/>
      <c r="H318" s="138"/>
      <c r="I318" s="36"/>
      <c r="N318" s="36"/>
    </row>
    <row r="319" spans="1:14" s="57" customFormat="1" ht="15.75" customHeight="1" x14ac:dyDescent="0.25">
      <c r="A319" s="139" t="s">
        <v>191</v>
      </c>
      <c r="B319" s="140"/>
      <c r="C319" s="140"/>
      <c r="D319" s="140"/>
      <c r="E319" s="140"/>
      <c r="F319" s="140"/>
      <c r="G319" s="140"/>
      <c r="H319" s="141"/>
      <c r="I319" s="36"/>
    </row>
    <row r="320" spans="1:14" s="57" customFormat="1" ht="15.75" customHeight="1" x14ac:dyDescent="0.25">
      <c r="A320" s="131">
        <v>1</v>
      </c>
      <c r="B320" s="132"/>
      <c r="C320" s="58" t="s">
        <v>188</v>
      </c>
      <c r="D320" s="69">
        <f>(27.1+1.5*2.75+1.1*(2.4+2.75)+0.6*(2.75+2.4+2.75))*(10.764)</f>
        <v>448.10532000000001</v>
      </c>
      <c r="E320" s="58">
        <v>0</v>
      </c>
      <c r="F320" s="58">
        <f t="shared" ref="F320:F325" si="17">D320*(($F$257)+1)+(IF(E320&lt;101,E320,IF(E320&lt;201,E320/2,IF(E320&lt;=301,E320/3,E320/4))))</f>
        <v>672.15797999999995</v>
      </c>
      <c r="G320" s="133" t="str">
        <f>A319</f>
        <v>2nd to 7th, 9th to 12th, 14th to 18th, 20th to 23rd Floor</v>
      </c>
      <c r="H320" s="134"/>
      <c r="I320" s="55">
        <f>3.3*2.9+2.4*2.45+1.35*1.35+2.4*2.9+1.2*2+1.2*2+2.35*2.75</f>
        <v>35.494999999999997</v>
      </c>
    </row>
    <row r="321" spans="1:14" s="57" customFormat="1" ht="15.75" customHeight="1" x14ac:dyDescent="0.25">
      <c r="A321" s="131">
        <f>A320+1</f>
        <v>2</v>
      </c>
      <c r="B321" s="132"/>
      <c r="C321" s="58" t="s">
        <v>188</v>
      </c>
      <c r="D321" s="69">
        <f>(27.1+1.5*2.75+1.1*(2.4+2.75)+0.6*(2.75+2.4+2.75))*(10.764)</f>
        <v>448.10532000000001</v>
      </c>
      <c r="E321" s="58">
        <v>0</v>
      </c>
      <c r="F321" s="58">
        <f t="shared" si="17"/>
        <v>672.15797999999995</v>
      </c>
      <c r="G321" s="135"/>
      <c r="H321" s="136"/>
      <c r="I321" s="55"/>
    </row>
    <row r="322" spans="1:14" s="57" customFormat="1" ht="15.75" customHeight="1" x14ac:dyDescent="0.25">
      <c r="A322" s="131">
        <f>A321+1</f>
        <v>3</v>
      </c>
      <c r="B322" s="132"/>
      <c r="C322" s="58" t="s">
        <v>188</v>
      </c>
      <c r="D322" s="69">
        <f>(33.9+1.6*2.75+1.15*2.4+0.6*(2.75+2.4+3.45))*(10.764)</f>
        <v>497.51207999999997</v>
      </c>
      <c r="E322" s="58">
        <v>0</v>
      </c>
      <c r="F322" s="58">
        <f t="shared" si="17"/>
        <v>746.26811999999995</v>
      </c>
      <c r="G322" s="135"/>
      <c r="H322" s="136"/>
      <c r="I322" s="55"/>
    </row>
    <row r="323" spans="1:14" s="57" customFormat="1" ht="15.75" customHeight="1" x14ac:dyDescent="0.25">
      <c r="A323" s="131">
        <f>A322+1</f>
        <v>4</v>
      </c>
      <c r="B323" s="132"/>
      <c r="C323" s="58" t="s">
        <v>189</v>
      </c>
      <c r="D323" s="69">
        <f>(39.49+1.6*2.9+1.15*(2.45+2.9+2.75)+0.6*(2.9+2.45+2.9+2.75))*(10.764)</f>
        <v>646.32438000000002</v>
      </c>
      <c r="E323" s="58">
        <v>0</v>
      </c>
      <c r="F323" s="58">
        <f t="shared" si="17"/>
        <v>969.48657000000003</v>
      </c>
      <c r="G323" s="135"/>
      <c r="H323" s="136"/>
      <c r="I323" s="55"/>
    </row>
    <row r="324" spans="1:14" s="57" customFormat="1" ht="15.75" customHeight="1" x14ac:dyDescent="0.25">
      <c r="A324" s="131">
        <f>A323+1</f>
        <v>5</v>
      </c>
      <c r="B324" s="132"/>
      <c r="C324" s="58" t="s">
        <v>188</v>
      </c>
      <c r="D324" s="69">
        <f>(29.87+1.6*2.9+1.15*2.4+1.3*2.9+0.6*(2.9+2.4+2.9))*(10.764)</f>
        <v>494.71343999999999</v>
      </c>
      <c r="E324" s="58">
        <v>0</v>
      </c>
      <c r="F324" s="58">
        <f t="shared" si="17"/>
        <v>742.07015999999999</v>
      </c>
      <c r="G324" s="135"/>
      <c r="H324" s="136"/>
      <c r="I324" s="55"/>
    </row>
    <row r="325" spans="1:14" s="57" customFormat="1" ht="15.75" customHeight="1" x14ac:dyDescent="0.25">
      <c r="A325" s="131">
        <f>A324+1</f>
        <v>6</v>
      </c>
      <c r="B325" s="132"/>
      <c r="C325" s="58" t="s">
        <v>188</v>
      </c>
      <c r="D325" s="69">
        <f>(29.87+1.6*2.9+1.15*2.4+1.3*2.9+0.6*(2.9+2.4+2.9))*(10.764)</f>
        <v>494.71343999999999</v>
      </c>
      <c r="E325" s="58">
        <v>0</v>
      </c>
      <c r="F325" s="58">
        <f t="shared" si="17"/>
        <v>742.07015999999999</v>
      </c>
      <c r="G325" s="135"/>
      <c r="H325" s="136"/>
      <c r="I325" s="55"/>
    </row>
    <row r="326" spans="1:14" s="57" customFormat="1" ht="15.75" customHeight="1" x14ac:dyDescent="0.25">
      <c r="A326" s="139" t="s">
        <v>196</v>
      </c>
      <c r="B326" s="140"/>
      <c r="C326" s="140"/>
      <c r="D326" s="140"/>
      <c r="E326" s="140"/>
      <c r="F326" s="140"/>
      <c r="G326" s="140"/>
      <c r="H326" s="141"/>
      <c r="I326" s="36"/>
    </row>
    <row r="327" spans="1:14" s="57" customFormat="1" ht="15.75" customHeight="1" x14ac:dyDescent="0.25">
      <c r="A327" s="131">
        <v>1</v>
      </c>
      <c r="B327" s="132"/>
      <c r="C327" s="58" t="s">
        <v>188</v>
      </c>
      <c r="D327" s="69">
        <f>(27.1+1.25*2.75+1.1*(2.4+2.75)+0.6*(2.75+2.4+2.75))*(10.764)</f>
        <v>440.70506999999998</v>
      </c>
      <c r="E327" s="58">
        <v>0</v>
      </c>
      <c r="F327" s="58">
        <f>D327*(($F$257)+1)+(IF(E327&lt;101,E327,IF(E327&lt;201,E327/2,IF(E327&lt;=301,E327/3,E327/4))))</f>
        <v>661.05760499999997</v>
      </c>
      <c r="G327" s="133" t="str">
        <f>A326</f>
        <v>8th, 13th &amp; 19th Floor ( Part Refuge Area)</v>
      </c>
      <c r="H327" s="134"/>
      <c r="I327" s="55"/>
    </row>
    <row r="328" spans="1:14" s="57" customFormat="1" ht="15.75" customHeight="1" x14ac:dyDescent="0.25">
      <c r="A328" s="131">
        <f>A327+1</f>
        <v>2</v>
      </c>
      <c r="B328" s="132"/>
      <c r="C328" s="58" t="s">
        <v>221</v>
      </c>
      <c r="D328" s="131" t="s">
        <v>192</v>
      </c>
      <c r="E328" s="143"/>
      <c r="F328" s="132"/>
      <c r="G328" s="135"/>
      <c r="H328" s="136"/>
      <c r="I328" s="55"/>
    </row>
    <row r="329" spans="1:14" s="57" customFormat="1" ht="15.75" customHeight="1" x14ac:dyDescent="0.25">
      <c r="A329" s="131">
        <f>A328+1</f>
        <v>3</v>
      </c>
      <c r="B329" s="132"/>
      <c r="C329" s="58" t="s">
        <v>188</v>
      </c>
      <c r="D329" s="69">
        <f>(33.9+1.6*2.75+1.15*2.4+0.6*(2.75+2.4+3.45))*(10.764)</f>
        <v>497.51207999999997</v>
      </c>
      <c r="E329" s="58">
        <v>0</v>
      </c>
      <c r="F329" s="58">
        <f>D329*(($F$257)+1)+(IF(E329&lt;101,E329,IF(E329&lt;201,E329/2,IF(E329&lt;=301,E329/3,E329/4))))</f>
        <v>746.26811999999995</v>
      </c>
      <c r="G329" s="135"/>
      <c r="H329" s="136"/>
      <c r="I329" s="55"/>
    </row>
    <row r="330" spans="1:14" s="57" customFormat="1" ht="15.75" customHeight="1" x14ac:dyDescent="0.25">
      <c r="A330" s="131">
        <f>A329+1</f>
        <v>4</v>
      </c>
      <c r="B330" s="132"/>
      <c r="C330" s="58" t="s">
        <v>189</v>
      </c>
      <c r="D330" s="69">
        <f>(39.49+1.6*2.9+1.15*(2.45+2.9+2.75)+0.6*(2.9+2.45+2.9+2.75))*(10.764)</f>
        <v>646.32438000000002</v>
      </c>
      <c r="E330" s="58">
        <v>0</v>
      </c>
      <c r="F330" s="58">
        <f>D330*(($F$257)+1)+(IF(E330&lt;101,E330,IF(E330&lt;201,E330/2,IF(E330&lt;=301,E330/3,E330/4))))</f>
        <v>969.48657000000003</v>
      </c>
      <c r="G330" s="135"/>
      <c r="H330" s="136"/>
      <c r="I330" s="55"/>
    </row>
    <row r="331" spans="1:14" s="57" customFormat="1" ht="15.75" customHeight="1" x14ac:dyDescent="0.25">
      <c r="A331" s="131">
        <f>A330+1</f>
        <v>5</v>
      </c>
      <c r="B331" s="132"/>
      <c r="C331" s="58" t="s">
        <v>188</v>
      </c>
      <c r="D331" s="69">
        <f>(29.87+1.6*2.9+1.15*2.4+1.3*2.9+0.6*(2.9+2.4+2.9))*(10.764)</f>
        <v>494.71343999999999</v>
      </c>
      <c r="E331" s="58">
        <v>0</v>
      </c>
      <c r="F331" s="58">
        <f>D331*(($F$257)+1)+(IF(E331&lt;101,E331,IF(E331&lt;201,E331/2,IF(E331&lt;=301,E331/3,E331/4))))</f>
        <v>742.07015999999999</v>
      </c>
      <c r="G331" s="135"/>
      <c r="H331" s="136"/>
      <c r="I331" s="55"/>
    </row>
    <row r="332" spans="1:14" s="57" customFormat="1" ht="15.75" customHeight="1" x14ac:dyDescent="0.25">
      <c r="A332" s="131">
        <f>A331+1</f>
        <v>6</v>
      </c>
      <c r="B332" s="132"/>
      <c r="C332" s="58" t="s">
        <v>188</v>
      </c>
      <c r="D332" s="69">
        <f>(29.87+1.6*2.9+1.15*2.4+1.3*2.9+0.6*(2.9+2.4+2.9))*(10.764)</f>
        <v>494.71343999999999</v>
      </c>
      <c r="E332" s="58">
        <v>0</v>
      </c>
      <c r="F332" s="58">
        <f>D332*(($F$257)+1)+(IF(E332&lt;101,E332,IF(E332&lt;201,E332/2,IF(E332&lt;=301,E332/3,E332/4))))</f>
        <v>742.07015999999999</v>
      </c>
      <c r="G332" s="137"/>
      <c r="H332" s="138"/>
      <c r="I332" s="55"/>
    </row>
    <row r="333" spans="1:14" s="60" customFormat="1" x14ac:dyDescent="0.25">
      <c r="A333" s="139" t="s">
        <v>222</v>
      </c>
      <c r="B333" s="140"/>
      <c r="C333" s="140"/>
      <c r="D333" s="140"/>
      <c r="E333" s="140"/>
      <c r="F333" s="140"/>
      <c r="G333" s="140"/>
      <c r="H333" s="141"/>
      <c r="J333" s="36"/>
    </row>
    <row r="334" spans="1:14" s="60" customFormat="1" x14ac:dyDescent="0.25">
      <c r="A334" s="139" t="s">
        <v>226</v>
      </c>
      <c r="B334" s="140"/>
      <c r="C334" s="140"/>
      <c r="D334" s="140"/>
      <c r="E334" s="140"/>
      <c r="F334" s="140"/>
      <c r="G334" s="140"/>
      <c r="H334" s="141"/>
      <c r="J334" s="36"/>
    </row>
    <row r="335" spans="1:14" s="60" customFormat="1" x14ac:dyDescent="0.25">
      <c r="A335" s="145" t="s">
        <v>186</v>
      </c>
      <c r="B335" s="145"/>
      <c r="C335" s="145"/>
      <c r="D335" s="145"/>
      <c r="E335" s="145"/>
      <c r="F335" s="145"/>
      <c r="G335" s="145"/>
      <c r="H335" s="145"/>
      <c r="I335" s="36"/>
      <c r="L335" s="144"/>
      <c r="M335" s="144"/>
    </row>
    <row r="336" spans="1:14" s="60" customFormat="1" ht="15.75" customHeight="1" x14ac:dyDescent="0.25">
      <c r="A336" s="148">
        <v>1</v>
      </c>
      <c r="B336" s="148"/>
      <c r="C336" s="59" t="s">
        <v>221</v>
      </c>
      <c r="D336" s="131" t="s">
        <v>187</v>
      </c>
      <c r="E336" s="143"/>
      <c r="F336" s="132"/>
      <c r="G336" s="133" t="str">
        <f>A335</f>
        <v>1st Floor For Residential &amp; Parking</v>
      </c>
      <c r="H336" s="134"/>
      <c r="I336" s="36"/>
      <c r="N336" s="36"/>
    </row>
    <row r="337" spans="1:14" s="60" customFormat="1" ht="15.75" customHeight="1" x14ac:dyDescent="0.25">
      <c r="A337" s="148">
        <f>A336+1</f>
        <v>2</v>
      </c>
      <c r="B337" s="148"/>
      <c r="C337" s="59" t="s">
        <v>221</v>
      </c>
      <c r="D337" s="131" t="s">
        <v>187</v>
      </c>
      <c r="E337" s="143"/>
      <c r="F337" s="132"/>
      <c r="G337" s="135"/>
      <c r="H337" s="136"/>
      <c r="I337" s="36"/>
      <c r="J337" s="36"/>
      <c r="N337" s="36"/>
    </row>
    <row r="338" spans="1:14" s="60" customFormat="1" ht="15.75" customHeight="1" x14ac:dyDescent="0.25">
      <c r="A338" s="148">
        <f>A337+1</f>
        <v>3</v>
      </c>
      <c r="B338" s="148"/>
      <c r="C338" s="59" t="s">
        <v>221</v>
      </c>
      <c r="D338" s="131" t="s">
        <v>187</v>
      </c>
      <c r="E338" s="143">
        <v>0</v>
      </c>
      <c r="F338" s="132" t="e">
        <f>D338*(($F$257)+1)+(IF(E338&lt;101,E338,IF(E338&lt;201,E338/2,IF(E338&lt;=301,E338/3,E338/4))))</f>
        <v>#VALUE!</v>
      </c>
      <c r="G338" s="135"/>
      <c r="H338" s="136"/>
      <c r="I338" s="36"/>
      <c r="N338" s="36"/>
    </row>
    <row r="339" spans="1:14" s="60" customFormat="1" ht="15.75" customHeight="1" x14ac:dyDescent="0.25">
      <c r="A339" s="148">
        <f>A338+1</f>
        <v>4</v>
      </c>
      <c r="B339" s="148"/>
      <c r="C339" s="59" t="s">
        <v>189</v>
      </c>
      <c r="D339" s="69">
        <f>(47.52+1.4*2.9)*(10.764)</f>
        <v>555.20712000000003</v>
      </c>
      <c r="E339" s="69">
        <f>(5.95*1.7+5.75*0.85)*(10.764)</f>
        <v>161.48690999999999</v>
      </c>
      <c r="F339" s="59">
        <f>D339*(($F$257)+1)+(IF(E339&lt;101,E339,IF(E339&lt;201,E339/2,IF(E339&lt;=301,E339/3,E339/4))))</f>
        <v>913.55413500000009</v>
      </c>
      <c r="G339" s="135"/>
      <c r="H339" s="136"/>
      <c r="I339" s="36">
        <f>2.9*2.85+2.9*3.05+1.25*2.05+2.4*3.05+2.9*3.05+1.95*0.45+2*1.2+1.35*2.1+1.7*1</f>
        <v>43.65</v>
      </c>
      <c r="N339" s="36"/>
    </row>
    <row r="340" spans="1:14" s="60" customFormat="1" ht="15.75" customHeight="1" x14ac:dyDescent="0.25">
      <c r="A340" s="148">
        <f>A339+1</f>
        <v>5</v>
      </c>
      <c r="B340" s="148"/>
      <c r="C340" s="59" t="s">
        <v>189</v>
      </c>
      <c r="D340" s="69">
        <f>(46.31+1.5*2.75+1.2*2.75+0.6*(2.75+2.75))*(10.764)</f>
        <v>613.92473999999993</v>
      </c>
      <c r="E340" s="69">
        <f>(2.75*2.3+2.55*1.2)*(10.764)</f>
        <v>101.02013999999997</v>
      </c>
      <c r="F340" s="59">
        <f>D340*(($F$257)+1)+(IF(E340&lt;101,E340,IF(E340&lt;201,E340/2,IF(E340&lt;=301,E340/3,E340/4))))</f>
        <v>971.39717999999993</v>
      </c>
      <c r="G340" s="135"/>
      <c r="H340" s="136"/>
      <c r="I340" s="36"/>
      <c r="N340" s="36"/>
    </row>
    <row r="341" spans="1:14" s="60" customFormat="1" ht="15.75" customHeight="1" x14ac:dyDescent="0.25">
      <c r="A341" s="148">
        <f>A340+1</f>
        <v>6</v>
      </c>
      <c r="B341" s="148"/>
      <c r="C341" s="59" t="s">
        <v>189</v>
      </c>
      <c r="D341" s="69">
        <f>(46.11+1.2*2.9+0.6*(2.4+2.9))*(10.764)</f>
        <v>568.01627999999994</v>
      </c>
      <c r="E341" s="69">
        <f>(6.1*1.7)*(10.764)</f>
        <v>111.62267999999999</v>
      </c>
      <c r="F341" s="59">
        <f>D341*(($F$257)+1)+(IF(E341&lt;101,E341,IF(E341&lt;201,E341/2,IF(E341&lt;=301,E341/3,E341/4))))</f>
        <v>907.83575999999994</v>
      </c>
      <c r="G341" s="137"/>
      <c r="H341" s="138"/>
      <c r="I341" s="36"/>
      <c r="N341" s="36"/>
    </row>
    <row r="342" spans="1:14" s="60" customFormat="1" ht="15.75" customHeight="1" x14ac:dyDescent="0.25">
      <c r="A342" s="139" t="s">
        <v>191</v>
      </c>
      <c r="B342" s="140"/>
      <c r="C342" s="140"/>
      <c r="D342" s="140"/>
      <c r="E342" s="140"/>
      <c r="F342" s="140"/>
      <c r="G342" s="140"/>
      <c r="H342" s="141"/>
      <c r="I342" s="36"/>
    </row>
    <row r="343" spans="1:14" s="60" customFormat="1" ht="15.75" customHeight="1" x14ac:dyDescent="0.25">
      <c r="A343" s="131">
        <v>1</v>
      </c>
      <c r="B343" s="132"/>
      <c r="C343" s="59" t="s">
        <v>188</v>
      </c>
      <c r="D343" s="69">
        <f>(29.93+1.4*2.9+1*2.9+0.6*(2.9+2.4+2.9))*(10.764)</f>
        <v>450.04284000000001</v>
      </c>
      <c r="E343" s="59">
        <v>0</v>
      </c>
      <c r="F343" s="59">
        <f t="shared" ref="F343:F349" si="18">D343*(($F$257)+1)+(IF(E343&lt;101,E343,IF(E343&lt;201,E343/2,IF(E343&lt;=301,E343/3,E343/4))))</f>
        <v>675.06425999999999</v>
      </c>
      <c r="G343" s="133" t="str">
        <f>A342</f>
        <v>2nd to 7th, 9th to 12th, 14th to 18th, 20th to 23rd Floor</v>
      </c>
      <c r="H343" s="134"/>
      <c r="I343" s="55"/>
    </row>
    <row r="344" spans="1:14" s="60" customFormat="1" ht="15.75" customHeight="1" x14ac:dyDescent="0.25">
      <c r="A344" s="131">
        <f t="shared" ref="A344:A349" si="19">A343+1</f>
        <v>2</v>
      </c>
      <c r="B344" s="132"/>
      <c r="C344" s="59" t="s">
        <v>188</v>
      </c>
      <c r="D344" s="69">
        <f>(29.93+1.4*2.9+1*2.9+0.6*(2.9+2.4+2.9))*(10.764)</f>
        <v>450.04284000000001</v>
      </c>
      <c r="E344" s="59">
        <v>0</v>
      </c>
      <c r="F344" s="59">
        <f t="shared" si="18"/>
        <v>675.06425999999999</v>
      </c>
      <c r="G344" s="135"/>
      <c r="H344" s="136"/>
      <c r="I344" s="55"/>
    </row>
    <row r="345" spans="1:14" s="60" customFormat="1" ht="15.75" customHeight="1" x14ac:dyDescent="0.25">
      <c r="A345" s="131">
        <f t="shared" si="19"/>
        <v>3</v>
      </c>
      <c r="B345" s="132"/>
      <c r="C345" s="59" t="s">
        <v>188</v>
      </c>
      <c r="D345" s="69">
        <f>(29.93+1.4*2.9+1*2.9+0.6*(2.9+2.4+2.9))*(10.764)</f>
        <v>450.04284000000001</v>
      </c>
      <c r="E345" s="59">
        <v>0</v>
      </c>
      <c r="F345" s="59">
        <f t="shared" si="18"/>
        <v>675.06425999999999</v>
      </c>
      <c r="G345" s="135"/>
      <c r="H345" s="136"/>
      <c r="I345" s="55"/>
    </row>
    <row r="346" spans="1:14" s="60" customFormat="1" ht="15.75" customHeight="1" x14ac:dyDescent="0.25">
      <c r="A346" s="131">
        <f t="shared" si="19"/>
        <v>4</v>
      </c>
      <c r="B346" s="132"/>
      <c r="C346" s="59" t="s">
        <v>189</v>
      </c>
      <c r="D346" s="69">
        <f>(47.52+1.4*2.9+0.6*(2.9+2.9+2.4+2.9))*(10.764)</f>
        <v>626.89535999999998</v>
      </c>
      <c r="E346" s="59">
        <v>0</v>
      </c>
      <c r="F346" s="59">
        <f t="shared" si="18"/>
        <v>940.34303999999997</v>
      </c>
      <c r="G346" s="135"/>
      <c r="H346" s="136"/>
      <c r="I346" s="55"/>
    </row>
    <row r="347" spans="1:14" s="60" customFormat="1" ht="15.75" customHeight="1" x14ac:dyDescent="0.25">
      <c r="A347" s="131">
        <f t="shared" si="19"/>
        <v>5</v>
      </c>
      <c r="B347" s="132"/>
      <c r="C347" s="59" t="s">
        <v>189</v>
      </c>
      <c r="D347" s="69">
        <f>(46.31+1.5*2.75+1.2*2.75+0.6*(2.75+2.4+2.75+2.75))*(10.764)</f>
        <v>647.18549999999993</v>
      </c>
      <c r="E347" s="59">
        <v>0</v>
      </c>
      <c r="F347" s="59">
        <f t="shared" si="18"/>
        <v>970.77824999999984</v>
      </c>
      <c r="G347" s="135"/>
      <c r="H347" s="136"/>
      <c r="I347" s="55"/>
    </row>
    <row r="348" spans="1:14" s="60" customFormat="1" ht="15.75" customHeight="1" x14ac:dyDescent="0.25">
      <c r="A348" s="131">
        <f t="shared" si="19"/>
        <v>6</v>
      </c>
      <c r="B348" s="132"/>
      <c r="C348" s="59" t="s">
        <v>189</v>
      </c>
      <c r="D348" s="69">
        <f>(46.11+1.2*2.9+0.6*(2.9+2.9+2.4+2.9))*(10.764)</f>
        <v>605.47499999999991</v>
      </c>
      <c r="E348" s="59">
        <v>0</v>
      </c>
      <c r="F348" s="59">
        <f t="shared" si="18"/>
        <v>908.21249999999986</v>
      </c>
      <c r="G348" s="135"/>
      <c r="H348" s="136"/>
      <c r="I348" s="55"/>
    </row>
    <row r="349" spans="1:14" s="60" customFormat="1" ht="15.75" customHeight="1" x14ac:dyDescent="0.25">
      <c r="A349" s="131">
        <f t="shared" si="19"/>
        <v>7</v>
      </c>
      <c r="B349" s="132"/>
      <c r="C349" s="59" t="s">
        <v>188</v>
      </c>
      <c r="D349" s="69">
        <f>(29.93+1.4*2.9+1*2.9+0.6*(2.9+2.4+2.9))*(10.764)</f>
        <v>450.04284000000001</v>
      </c>
      <c r="E349" s="59">
        <v>0</v>
      </c>
      <c r="F349" s="59">
        <f t="shared" si="18"/>
        <v>675.06425999999999</v>
      </c>
      <c r="G349" s="137"/>
      <c r="H349" s="138"/>
      <c r="I349" s="55"/>
    </row>
    <row r="350" spans="1:14" s="60" customFormat="1" ht="15.75" customHeight="1" x14ac:dyDescent="0.25">
      <c r="A350" s="139" t="s">
        <v>196</v>
      </c>
      <c r="B350" s="140"/>
      <c r="C350" s="140"/>
      <c r="D350" s="140"/>
      <c r="E350" s="140"/>
      <c r="F350" s="140"/>
      <c r="G350" s="140"/>
      <c r="H350" s="141"/>
      <c r="I350" s="36"/>
    </row>
    <row r="351" spans="1:14" s="60" customFormat="1" ht="15.75" customHeight="1" x14ac:dyDescent="0.25">
      <c r="A351" s="131">
        <v>1</v>
      </c>
      <c r="B351" s="132"/>
      <c r="C351" s="59" t="s">
        <v>188</v>
      </c>
      <c r="D351" s="69">
        <f>(29.93+1.4*2.9+1*2.9+0.6*(2.9+2.4+2.9))*(10.764)</f>
        <v>450.04284000000001</v>
      </c>
      <c r="E351" s="59">
        <v>0</v>
      </c>
      <c r="F351" s="59">
        <f t="shared" ref="F351:F357" si="20">D351*(($F$257)+1)+(IF(E351&lt;101,E351,IF(E351&lt;201,E351/2,IF(E351&lt;=301,E351/3,E351/4))))</f>
        <v>675.06425999999999</v>
      </c>
      <c r="G351" s="133" t="str">
        <f>A350</f>
        <v>8th, 13th &amp; 19th Floor ( Part Refuge Area)</v>
      </c>
      <c r="H351" s="134"/>
      <c r="I351" s="55"/>
    </row>
    <row r="352" spans="1:14" s="60" customFormat="1" ht="15.75" customHeight="1" x14ac:dyDescent="0.25">
      <c r="A352" s="131">
        <f t="shared" ref="A352:A357" si="21">A351+1</f>
        <v>2</v>
      </c>
      <c r="B352" s="132"/>
      <c r="C352" s="59" t="s">
        <v>188</v>
      </c>
      <c r="D352" s="69">
        <f>(29.93+1.4*2.9+1*2.9+0.6*(2.9+2.4+2.9))*(10.764)</f>
        <v>450.04284000000001</v>
      </c>
      <c r="E352" s="59">
        <v>0</v>
      </c>
      <c r="F352" s="59">
        <f t="shared" si="20"/>
        <v>675.06425999999999</v>
      </c>
      <c r="G352" s="135"/>
      <c r="H352" s="136"/>
      <c r="I352" s="55"/>
    </row>
    <row r="353" spans="1:14" s="60" customFormat="1" ht="15.75" customHeight="1" x14ac:dyDescent="0.25">
      <c r="A353" s="131">
        <f t="shared" si="21"/>
        <v>3</v>
      </c>
      <c r="B353" s="132"/>
      <c r="C353" s="59" t="s">
        <v>188</v>
      </c>
      <c r="D353" s="69">
        <f>(29.93+1.4*2.9+1*2.9+0.6*(2.9+2.4+2.9))*(10.764)</f>
        <v>450.04284000000001</v>
      </c>
      <c r="E353" s="59">
        <v>0</v>
      </c>
      <c r="F353" s="59">
        <f t="shared" si="20"/>
        <v>675.06425999999999</v>
      </c>
      <c r="G353" s="135"/>
      <c r="H353" s="136"/>
      <c r="I353" s="55"/>
    </row>
    <row r="354" spans="1:14" s="60" customFormat="1" ht="15.75" customHeight="1" x14ac:dyDescent="0.25">
      <c r="A354" s="131">
        <f t="shared" si="21"/>
        <v>4</v>
      </c>
      <c r="B354" s="132"/>
      <c r="C354" s="59" t="s">
        <v>189</v>
      </c>
      <c r="D354" s="69">
        <f>(47.52+1.4*2.9+0.6*(2.9+2.9+2.4+2.9))*(10.764)</f>
        <v>626.89535999999998</v>
      </c>
      <c r="E354" s="59">
        <v>0</v>
      </c>
      <c r="F354" s="59">
        <f t="shared" si="20"/>
        <v>940.34303999999997</v>
      </c>
      <c r="G354" s="135"/>
      <c r="H354" s="136"/>
      <c r="I354" s="55"/>
    </row>
    <row r="355" spans="1:14" s="60" customFormat="1" ht="15.75" customHeight="1" x14ac:dyDescent="0.25">
      <c r="A355" s="131">
        <f t="shared" si="21"/>
        <v>5</v>
      </c>
      <c r="B355" s="132"/>
      <c r="C355" s="59" t="s">
        <v>189</v>
      </c>
      <c r="D355" s="69">
        <f>(44.68+1.5*2.75+1.2*2.75+0.6*(2.75+2.4+2.75+1.2))*(10.764)</f>
        <v>619.62965999999994</v>
      </c>
      <c r="E355" s="59">
        <v>0</v>
      </c>
      <c r="F355" s="59">
        <f t="shared" si="20"/>
        <v>929.44448999999986</v>
      </c>
      <c r="G355" s="135"/>
      <c r="H355" s="136"/>
      <c r="I355" s="55"/>
    </row>
    <row r="356" spans="1:14" s="60" customFormat="1" ht="15.75" customHeight="1" x14ac:dyDescent="0.25">
      <c r="A356" s="131">
        <f t="shared" si="21"/>
        <v>6</v>
      </c>
      <c r="B356" s="132"/>
      <c r="C356" s="59" t="s">
        <v>188</v>
      </c>
      <c r="D356" s="69">
        <f>(36.35+1.2*2.9+0.6*(2.9+2.4+2.9))*(10.764)</f>
        <v>481.68899999999996</v>
      </c>
      <c r="E356" s="59">
        <v>0</v>
      </c>
      <c r="F356" s="59">
        <f t="shared" si="20"/>
        <v>722.5335</v>
      </c>
      <c r="G356" s="135"/>
      <c r="H356" s="136"/>
      <c r="I356" s="55"/>
    </row>
    <row r="357" spans="1:14" s="60" customFormat="1" ht="15.75" customHeight="1" x14ac:dyDescent="0.25">
      <c r="A357" s="131">
        <f t="shared" si="21"/>
        <v>7</v>
      </c>
      <c r="B357" s="132"/>
      <c r="C357" s="59" t="s">
        <v>188</v>
      </c>
      <c r="D357" s="69">
        <f>(29.93+1.4*2.9+1*2.9+0.6*(2.9+2.4+2.9))*(10.764)</f>
        <v>450.04284000000001</v>
      </c>
      <c r="E357" s="59">
        <v>0</v>
      </c>
      <c r="F357" s="59">
        <f t="shared" si="20"/>
        <v>675.06425999999999</v>
      </c>
      <c r="G357" s="137"/>
      <c r="H357" s="138"/>
      <c r="I357" s="55"/>
    </row>
    <row r="358" spans="1:14" s="60" customFormat="1" x14ac:dyDescent="0.25">
      <c r="A358" s="139" t="s">
        <v>224</v>
      </c>
      <c r="B358" s="140"/>
      <c r="C358" s="140"/>
      <c r="D358" s="140"/>
      <c r="E358" s="140"/>
      <c r="F358" s="140"/>
      <c r="G358" s="140"/>
      <c r="H358" s="141"/>
      <c r="J358" s="36"/>
    </row>
    <row r="359" spans="1:14" s="60" customFormat="1" x14ac:dyDescent="0.25">
      <c r="A359" s="145" t="s">
        <v>186</v>
      </c>
      <c r="B359" s="145"/>
      <c r="C359" s="145"/>
      <c r="D359" s="145"/>
      <c r="E359" s="145"/>
      <c r="F359" s="145"/>
      <c r="G359" s="145"/>
      <c r="H359" s="145"/>
      <c r="I359" s="36"/>
      <c r="L359" s="144"/>
      <c r="M359" s="144"/>
    </row>
    <row r="360" spans="1:14" s="60" customFormat="1" ht="15.75" customHeight="1" x14ac:dyDescent="0.25">
      <c r="A360" s="131">
        <v>1</v>
      </c>
      <c r="B360" s="132"/>
      <c r="C360" s="59" t="s">
        <v>188</v>
      </c>
      <c r="D360" s="69">
        <f>(26.37+1.45*2.9+1*(2.4+2.9))*(10.764)</f>
        <v>386.1585</v>
      </c>
      <c r="E360" s="69">
        <f>(3.4*1.2+5.5*1.55)*(10.764)</f>
        <v>135.68021999999999</v>
      </c>
      <c r="F360" s="59">
        <f>D360*(($F$257)+1)+(IF(E360&lt;101,E360,IF(E360&lt;201,E360/2,IF(E360&lt;=301,E360/3,E360/4))))</f>
        <v>647.07785999999999</v>
      </c>
      <c r="G360" s="135" t="str">
        <f>A359</f>
        <v>1st Floor For Residential &amp; Parking</v>
      </c>
      <c r="H360" s="136"/>
      <c r="I360" s="36">
        <f>2.75*3.25+2.4*2.4+2.75*2.4+1.25*0.9+1.2*1.5</f>
        <v>24.2225</v>
      </c>
      <c r="J360" s="36">
        <f>2.75*3.25+2.4*2.4+2.75*2.4+1.2*1.5+1.25*0.9+1.5*2.75+1.1*(2.4+2.75)+0.6*(2.75+2.4+2.75)</f>
        <v>38.752500000000005</v>
      </c>
      <c r="N360" s="36"/>
    </row>
    <row r="361" spans="1:14" s="60" customFormat="1" ht="15.75" customHeight="1" x14ac:dyDescent="0.25">
      <c r="A361" s="131">
        <f>A360+1</f>
        <v>2</v>
      </c>
      <c r="B361" s="132"/>
      <c r="C361" s="59" t="s">
        <v>221</v>
      </c>
      <c r="D361" s="131" t="s">
        <v>187</v>
      </c>
      <c r="E361" s="143"/>
      <c r="F361" s="132"/>
      <c r="G361" s="135"/>
      <c r="H361" s="136"/>
      <c r="I361" s="36">
        <f>2.75*3.5+2.4*2.3+1.05*1.95+2.9*3.45+1.6*1.2+1.09*0.9+1.3*1.2</f>
        <v>31.6585</v>
      </c>
      <c r="N361" s="36"/>
    </row>
    <row r="362" spans="1:14" s="60" customFormat="1" ht="15.75" customHeight="1" x14ac:dyDescent="0.25">
      <c r="A362" s="131">
        <f>A361+1</f>
        <v>3</v>
      </c>
      <c r="B362" s="132"/>
      <c r="C362" s="59" t="s">
        <v>221</v>
      </c>
      <c r="D362" s="131" t="s">
        <v>187</v>
      </c>
      <c r="E362" s="143"/>
      <c r="F362" s="132"/>
      <c r="G362" s="135"/>
      <c r="H362" s="136"/>
      <c r="I362" s="36"/>
      <c r="N362" s="36"/>
    </row>
    <row r="363" spans="1:14" s="60" customFormat="1" ht="15.75" customHeight="1" x14ac:dyDescent="0.25">
      <c r="A363" s="131">
        <f>A362+1</f>
        <v>4</v>
      </c>
      <c r="B363" s="132"/>
      <c r="C363" s="59" t="s">
        <v>188</v>
      </c>
      <c r="D363" s="69">
        <f>(28.06+1.45*3.2+1*(2.4+2.9))*(10.764)</f>
        <v>409.03199999999993</v>
      </c>
      <c r="E363" s="69">
        <f>(3*2.3+5.5*1.55)*(10.764)</f>
        <v>166.03469999999999</v>
      </c>
      <c r="F363" s="59">
        <f>D363*(($F$257)+1)+(IF(E363&lt;101,E363,IF(E363&lt;201,E363/2,IF(E363&lt;=301,E363/3,E363/4))))</f>
        <v>696.56534999999985</v>
      </c>
      <c r="G363" s="137"/>
      <c r="H363" s="138"/>
      <c r="I363" s="36"/>
      <c r="N363" s="36"/>
    </row>
    <row r="364" spans="1:14" s="60" customFormat="1" ht="15.75" customHeight="1" x14ac:dyDescent="0.25">
      <c r="A364" s="139" t="s">
        <v>191</v>
      </c>
      <c r="B364" s="140"/>
      <c r="C364" s="140"/>
      <c r="D364" s="140"/>
      <c r="E364" s="140"/>
      <c r="F364" s="140"/>
      <c r="G364" s="140"/>
      <c r="H364" s="141"/>
      <c r="I364" s="36"/>
    </row>
    <row r="365" spans="1:14" s="60" customFormat="1" ht="15.75" customHeight="1" x14ac:dyDescent="0.25">
      <c r="A365" s="131">
        <v>1</v>
      </c>
      <c r="B365" s="132"/>
      <c r="C365" s="59" t="s">
        <v>188</v>
      </c>
      <c r="D365" s="69">
        <f>(26.37+1.45*2.9+1*(2.4+2.9)+0.6*(2.9+2.4+2.9))*(10.764)</f>
        <v>439.11737999999997</v>
      </c>
      <c r="E365" s="59">
        <v>0</v>
      </c>
      <c r="F365" s="59">
        <f>D365*(($F$257)+1)+(IF(E365&lt;101,E365,IF(E365&lt;201,E365/2,IF(E365&lt;=301,E365/3,E365/4))))</f>
        <v>658.67606999999998</v>
      </c>
      <c r="G365" s="133" t="str">
        <f>A364</f>
        <v>2nd to 7th, 9th to 12th, 14th to 18th, 20th to 23rd Floor</v>
      </c>
      <c r="H365" s="134"/>
      <c r="I365" s="55">
        <f>3.3*2.9+2.4*2.45+1.35*1.35+2.4*2.9+1.2*2+1.2*2+2.35*2.75</f>
        <v>35.494999999999997</v>
      </c>
    </row>
    <row r="366" spans="1:14" s="60" customFormat="1" ht="15.75" customHeight="1" x14ac:dyDescent="0.25">
      <c r="A366" s="131">
        <f>A365+1</f>
        <v>2</v>
      </c>
      <c r="B366" s="132"/>
      <c r="C366" s="59" t="s">
        <v>188</v>
      </c>
      <c r="D366" s="69">
        <f>(26.37+1.45*2.9+1*(2.4+2.9)+0.6*(2.9+2.4+2.9))*(10.764)</f>
        <v>439.11737999999997</v>
      </c>
      <c r="E366" s="59">
        <v>0</v>
      </c>
      <c r="F366" s="59">
        <f>D366*(($F$257)+1)+(IF(E366&lt;101,E366,IF(E366&lt;201,E366/2,IF(E366&lt;=301,E366/3,E366/4))))</f>
        <v>658.67606999999998</v>
      </c>
      <c r="G366" s="135"/>
      <c r="H366" s="136"/>
      <c r="I366" s="55"/>
    </row>
    <row r="367" spans="1:14" s="60" customFormat="1" ht="15.75" customHeight="1" x14ac:dyDescent="0.25">
      <c r="A367" s="131">
        <f>A366+1</f>
        <v>3</v>
      </c>
      <c r="B367" s="132"/>
      <c r="C367" s="59" t="s">
        <v>188</v>
      </c>
      <c r="D367" s="69">
        <f>(28.06+1.45*3.2+1*(2.4+2.9)+0.6*(1.45+2.4+2.9))*(10.764)</f>
        <v>452.62619999999987</v>
      </c>
      <c r="E367" s="59">
        <v>0</v>
      </c>
      <c r="F367" s="59">
        <f>D367*(($F$257)+1)+(IF(E367&lt;101,E367,IF(E367&lt;201,E367/2,IF(E367&lt;=301,E367/3,E367/4))))</f>
        <v>678.93929999999978</v>
      </c>
      <c r="G367" s="135"/>
      <c r="H367" s="136"/>
      <c r="I367" s="55"/>
    </row>
    <row r="368" spans="1:14" s="60" customFormat="1" ht="15.75" customHeight="1" x14ac:dyDescent="0.25">
      <c r="A368" s="131">
        <f>A367+1</f>
        <v>4</v>
      </c>
      <c r="B368" s="132"/>
      <c r="C368" s="59" t="s">
        <v>188</v>
      </c>
      <c r="D368" s="69">
        <f>(28.06+1.45*3.2+1*(2.4+2.9)+0.6*(1.45+2.4+2.9))*(10.764)</f>
        <v>452.62619999999987</v>
      </c>
      <c r="E368" s="59">
        <v>0</v>
      </c>
      <c r="F368" s="59">
        <f>D368*(($F$257)+1)+(IF(E368&lt;101,E368,IF(E368&lt;201,E368/2,IF(E368&lt;=301,E368/3,E368/4))))</f>
        <v>678.93929999999978</v>
      </c>
      <c r="G368" s="135"/>
      <c r="H368" s="136"/>
      <c r="I368" s="55"/>
    </row>
    <row r="369" spans="1:14" s="60" customFormat="1" ht="15.75" customHeight="1" x14ac:dyDescent="0.25">
      <c r="A369" s="139" t="s">
        <v>242</v>
      </c>
      <c r="B369" s="140"/>
      <c r="C369" s="140"/>
      <c r="D369" s="140"/>
      <c r="E369" s="140"/>
      <c r="F369" s="140"/>
      <c r="G369" s="140"/>
      <c r="H369" s="141"/>
      <c r="I369" s="36"/>
    </row>
    <row r="370" spans="1:14" s="60" customFormat="1" ht="15.75" customHeight="1" x14ac:dyDescent="0.25">
      <c r="A370" s="131">
        <v>1</v>
      </c>
      <c r="B370" s="132"/>
      <c r="C370" s="59" t="s">
        <v>188</v>
      </c>
      <c r="D370" s="69">
        <f>(26.37+1.45*2.9+1*(2.4+2.9)+0.6*(2.9+2.4+2.9))*(10.764)</f>
        <v>439.11737999999997</v>
      </c>
      <c r="E370" s="59">
        <v>0</v>
      </c>
      <c r="F370" s="59">
        <f>D370*(($F$257)+1)+(IF(E370&lt;101,E370,IF(E370&lt;201,E370/2,IF(E370&lt;=301,E370/3,E370/4))))</f>
        <v>658.67606999999998</v>
      </c>
      <c r="G370" s="133" t="str">
        <f>A369</f>
        <v>8th, 13th &amp; 19th Floor ( Part Refuge Area at midlanding)</v>
      </c>
      <c r="H370" s="134"/>
      <c r="I370" s="55"/>
    </row>
    <row r="371" spans="1:14" s="60" customFormat="1" ht="15.75" customHeight="1" x14ac:dyDescent="0.25">
      <c r="A371" s="131">
        <f>A370+1</f>
        <v>2</v>
      </c>
      <c r="B371" s="132"/>
      <c r="C371" s="59" t="s">
        <v>188</v>
      </c>
      <c r="D371" s="69">
        <f>(26.37+1.45*2.9+1*(2.4+2.9)+0.6*(2.9+2.4+2.9))*(10.764)</f>
        <v>439.11737999999997</v>
      </c>
      <c r="E371" s="59">
        <v>0</v>
      </c>
      <c r="F371" s="59">
        <f>D371*(($F$257)+1)+(IF(E371&lt;101,E371,IF(E371&lt;201,E371/2,IF(E371&lt;=301,E371/3,E371/4))))</f>
        <v>658.67606999999998</v>
      </c>
      <c r="G371" s="135"/>
      <c r="H371" s="136"/>
      <c r="I371" s="55"/>
    </row>
    <row r="372" spans="1:14" s="60" customFormat="1" ht="15.75" customHeight="1" x14ac:dyDescent="0.25">
      <c r="A372" s="131">
        <f>A371+1</f>
        <v>3</v>
      </c>
      <c r="B372" s="132"/>
      <c r="C372" s="59" t="s">
        <v>188</v>
      </c>
      <c r="D372" s="69">
        <f>(28.06+1.45*3.2+1*(2.4+2.9)+0.6*(1.45+2.4+2.9))*(10.764)</f>
        <v>452.62619999999987</v>
      </c>
      <c r="E372" s="59">
        <v>0</v>
      </c>
      <c r="F372" s="59">
        <f>D372*(($F$257)+1)+(IF(E372&lt;101,E372,IF(E372&lt;201,E372/2,IF(E372&lt;=301,E372/3,E372/4))))</f>
        <v>678.93929999999978</v>
      </c>
      <c r="G372" s="135"/>
      <c r="H372" s="136"/>
      <c r="I372" s="55"/>
    </row>
    <row r="373" spans="1:14" s="60" customFormat="1" ht="15.75" customHeight="1" x14ac:dyDescent="0.25">
      <c r="A373" s="131">
        <f>A372+1</f>
        <v>4</v>
      </c>
      <c r="B373" s="132"/>
      <c r="C373" s="59" t="s">
        <v>188</v>
      </c>
      <c r="D373" s="69">
        <f>(28.06+1.45*3.2+1*(2.4+2.9)+0.6*(1.45+2.4+2.9))*(10.764)</f>
        <v>452.62619999999987</v>
      </c>
      <c r="E373" s="59">
        <v>0</v>
      </c>
      <c r="F373" s="59">
        <f>D373*(($F$257)+1)+(IF(E373&lt;101,E373,IF(E373&lt;201,E373/2,IF(E373&lt;=301,E373/3,E373/4))))</f>
        <v>678.93929999999978</v>
      </c>
      <c r="G373" s="135"/>
      <c r="H373" s="136"/>
      <c r="I373" s="55"/>
    </row>
    <row r="374" spans="1:14" s="60" customFormat="1" x14ac:dyDescent="0.25">
      <c r="A374" s="139" t="s">
        <v>227</v>
      </c>
      <c r="B374" s="140"/>
      <c r="C374" s="140"/>
      <c r="D374" s="140"/>
      <c r="E374" s="140"/>
      <c r="F374" s="140"/>
      <c r="G374" s="140"/>
      <c r="H374" s="141"/>
      <c r="J374" s="36"/>
    </row>
    <row r="375" spans="1:14" s="60" customFormat="1" x14ac:dyDescent="0.25">
      <c r="A375" s="145" t="s">
        <v>186</v>
      </c>
      <c r="B375" s="145"/>
      <c r="C375" s="145"/>
      <c r="D375" s="145"/>
      <c r="E375" s="145"/>
      <c r="F375" s="145"/>
      <c r="G375" s="145"/>
      <c r="H375" s="145"/>
      <c r="I375" s="36"/>
      <c r="L375" s="144"/>
      <c r="M375" s="144"/>
    </row>
    <row r="376" spans="1:14" s="60" customFormat="1" ht="15.75" customHeight="1" x14ac:dyDescent="0.25">
      <c r="A376" s="131">
        <v>1</v>
      </c>
      <c r="B376" s="132"/>
      <c r="C376" s="131" t="s">
        <v>187</v>
      </c>
      <c r="D376" s="143"/>
      <c r="E376" s="143"/>
      <c r="F376" s="132"/>
      <c r="G376" s="133" t="str">
        <f>A375</f>
        <v>1st Floor For Residential &amp; Parking</v>
      </c>
      <c r="H376" s="134"/>
      <c r="I376" s="36"/>
      <c r="J376" s="36"/>
      <c r="N376" s="36"/>
    </row>
    <row r="377" spans="1:14" s="60" customFormat="1" ht="15.75" customHeight="1" x14ac:dyDescent="0.25">
      <c r="A377" s="131">
        <f>A376+1</f>
        <v>2</v>
      </c>
      <c r="B377" s="132"/>
      <c r="C377" s="131"/>
      <c r="D377" s="143"/>
      <c r="E377" s="143"/>
      <c r="F377" s="132"/>
      <c r="G377" s="135"/>
      <c r="H377" s="136"/>
      <c r="I377" s="36"/>
      <c r="N377" s="36"/>
    </row>
    <row r="378" spans="1:14" s="60" customFormat="1" ht="15.75" customHeight="1" x14ac:dyDescent="0.25">
      <c r="A378" s="131">
        <f>A377+1</f>
        <v>3</v>
      </c>
      <c r="B378" s="132"/>
      <c r="C378" s="131"/>
      <c r="D378" s="143"/>
      <c r="E378" s="143"/>
      <c r="F378" s="132"/>
      <c r="G378" s="135"/>
      <c r="H378" s="136"/>
      <c r="I378" s="36"/>
      <c r="N378" s="36"/>
    </row>
    <row r="379" spans="1:14" s="60" customFormat="1" ht="15.75" customHeight="1" x14ac:dyDescent="0.25">
      <c r="A379" s="131">
        <f>A378+1</f>
        <v>4</v>
      </c>
      <c r="B379" s="132"/>
      <c r="C379" s="59" t="s">
        <v>189</v>
      </c>
      <c r="D379" s="69">
        <f>(47.52+1.4*2.9)*(10.764)</f>
        <v>555.20712000000003</v>
      </c>
      <c r="E379" s="69">
        <f>(6*2.7+5.7*1.8)*(10.764)</f>
        <v>284.81543999999997</v>
      </c>
      <c r="F379" s="59">
        <f>D379*(($F$257)+1)+(IF(E379&lt;101,E379,IF(E379&lt;201,E379/2,IF(E379&lt;=301,E379/3,E379/4))))</f>
        <v>927.74916000000007</v>
      </c>
      <c r="G379" s="135"/>
      <c r="H379" s="136"/>
      <c r="I379" s="36"/>
      <c r="N379" s="36"/>
    </row>
    <row r="380" spans="1:14" s="60" customFormat="1" ht="15.75" customHeight="1" x14ac:dyDescent="0.25">
      <c r="A380" s="131">
        <f>A379+1</f>
        <v>5</v>
      </c>
      <c r="B380" s="132"/>
      <c r="C380" s="59" t="s">
        <v>189</v>
      </c>
      <c r="D380" s="69">
        <f>(46.31+1.5*2.75+1.2*2.75)*(10.764)</f>
        <v>578.40353999999991</v>
      </c>
      <c r="E380" s="69">
        <f>(5.7*1.2+2.6*2.2+2.8*3.9)*(10.764)</f>
        <v>252.73872</v>
      </c>
      <c r="F380" s="59">
        <f>D380*(($F$257)+1)+(IF(E380&lt;101,E380,IF(E380&lt;201,E380/2,IF(E380&lt;=301,E380/3,E380/4))))</f>
        <v>951.85154999999986</v>
      </c>
      <c r="G380" s="135"/>
      <c r="H380" s="136"/>
      <c r="I380" s="36"/>
      <c r="N380" s="36"/>
    </row>
    <row r="381" spans="1:14" s="60" customFormat="1" ht="15.75" customHeight="1" x14ac:dyDescent="0.25">
      <c r="A381" s="131">
        <f>A380+1</f>
        <v>6</v>
      </c>
      <c r="B381" s="132"/>
      <c r="C381" s="59" t="s">
        <v>189</v>
      </c>
      <c r="D381" s="69">
        <f>(46.11+1.2*2.9)*(10.764)</f>
        <v>533.78675999999996</v>
      </c>
      <c r="E381" s="69">
        <f>(6*2.7+5.7*1.55)*(10.764)</f>
        <v>269.47674000000001</v>
      </c>
      <c r="F381" s="59">
        <f>D381*(($F$257)+1)+(IF(E381&lt;101,E381,IF(E381&lt;201,E381/2,IF(E381&lt;=301,E381/3,E381/4))))</f>
        <v>890.50571999999988</v>
      </c>
      <c r="G381" s="137"/>
      <c r="H381" s="138"/>
      <c r="I381" s="36"/>
      <c r="N381" s="36"/>
    </row>
    <row r="382" spans="1:14" s="60" customFormat="1" ht="15.75" customHeight="1" x14ac:dyDescent="0.25">
      <c r="A382" s="139" t="s">
        <v>191</v>
      </c>
      <c r="B382" s="140"/>
      <c r="C382" s="140"/>
      <c r="D382" s="140"/>
      <c r="E382" s="140"/>
      <c r="F382" s="140"/>
      <c r="G382" s="140"/>
      <c r="H382" s="141"/>
      <c r="I382" s="36"/>
    </row>
    <row r="383" spans="1:14" s="60" customFormat="1" ht="15.75" customHeight="1" x14ac:dyDescent="0.25">
      <c r="A383" s="131">
        <v>1</v>
      </c>
      <c r="B383" s="132"/>
      <c r="C383" s="59" t="s">
        <v>188</v>
      </c>
      <c r="D383" s="69">
        <f>(29.93+1.4*2.9+1*2.9+0.6*(2.9+2.4+2.9))*(10.764)</f>
        <v>450.04284000000001</v>
      </c>
      <c r="E383" s="59">
        <v>0</v>
      </c>
      <c r="F383" s="59">
        <f t="shared" ref="F383:F389" si="22">D383*(($F$257)+1)+(IF(E383&lt;101,E383,IF(E383&lt;201,E383/2,IF(E383&lt;=301,E383/3,E383/4))))</f>
        <v>675.06425999999999</v>
      </c>
      <c r="G383" s="133" t="str">
        <f>A382</f>
        <v>2nd to 7th, 9th to 12th, 14th to 18th, 20th to 23rd Floor</v>
      </c>
      <c r="H383" s="134"/>
      <c r="I383" s="55"/>
    </row>
    <row r="384" spans="1:14" s="60" customFormat="1" ht="15.75" customHeight="1" x14ac:dyDescent="0.25">
      <c r="A384" s="131">
        <f t="shared" ref="A384:A389" si="23">A383+1</f>
        <v>2</v>
      </c>
      <c r="B384" s="132"/>
      <c r="C384" s="59" t="s">
        <v>188</v>
      </c>
      <c r="D384" s="69">
        <f>(29.93+1.4*2.9+1*2.9+0.6*(2.9+2.4+2.9))*(10.764)</f>
        <v>450.04284000000001</v>
      </c>
      <c r="E384" s="59">
        <v>0</v>
      </c>
      <c r="F384" s="59">
        <f t="shared" si="22"/>
        <v>675.06425999999999</v>
      </c>
      <c r="G384" s="135"/>
      <c r="H384" s="136"/>
      <c r="I384" s="55"/>
    </row>
    <row r="385" spans="1:9" s="60" customFormat="1" ht="15.75" customHeight="1" x14ac:dyDescent="0.25">
      <c r="A385" s="131">
        <f t="shared" si="23"/>
        <v>3</v>
      </c>
      <c r="B385" s="132"/>
      <c r="C385" s="59" t="s">
        <v>188</v>
      </c>
      <c r="D385" s="69">
        <f>(29.93+1.4*2.9+1*2.9+0.6*(2.9+2.4+2.9))*(10.764)</f>
        <v>450.04284000000001</v>
      </c>
      <c r="E385" s="59">
        <v>0</v>
      </c>
      <c r="F385" s="59">
        <f t="shared" si="22"/>
        <v>675.06425999999999</v>
      </c>
      <c r="G385" s="135"/>
      <c r="H385" s="136"/>
      <c r="I385" s="55"/>
    </row>
    <row r="386" spans="1:9" s="60" customFormat="1" ht="15.75" customHeight="1" x14ac:dyDescent="0.25">
      <c r="A386" s="131">
        <f t="shared" si="23"/>
        <v>4</v>
      </c>
      <c r="B386" s="132"/>
      <c r="C386" s="59" t="s">
        <v>189</v>
      </c>
      <c r="D386" s="69">
        <f>(47.52+1.4*2.9+0.6*(2.9+2.9+2.4+2.9))*(10.764)</f>
        <v>626.89535999999998</v>
      </c>
      <c r="E386" s="59">
        <v>0</v>
      </c>
      <c r="F386" s="59">
        <f t="shared" si="22"/>
        <v>940.34303999999997</v>
      </c>
      <c r="G386" s="135"/>
      <c r="H386" s="136"/>
      <c r="I386" s="55"/>
    </row>
    <row r="387" spans="1:9" s="60" customFormat="1" ht="15.75" customHeight="1" x14ac:dyDescent="0.25">
      <c r="A387" s="131">
        <f t="shared" si="23"/>
        <v>5</v>
      </c>
      <c r="B387" s="132"/>
      <c r="C387" s="59" t="s">
        <v>189</v>
      </c>
      <c r="D387" s="69">
        <f>(46.31+1.5*2.75+1.2*2.75+0.6*(2.75+2.4+2.75+2.75))*(10.764)</f>
        <v>647.18549999999993</v>
      </c>
      <c r="E387" s="59">
        <v>0</v>
      </c>
      <c r="F387" s="59">
        <f t="shared" si="22"/>
        <v>970.77824999999984</v>
      </c>
      <c r="G387" s="135"/>
      <c r="H387" s="136"/>
      <c r="I387" s="55"/>
    </row>
    <row r="388" spans="1:9" s="60" customFormat="1" ht="15.75" customHeight="1" x14ac:dyDescent="0.25">
      <c r="A388" s="131">
        <f t="shared" si="23"/>
        <v>6</v>
      </c>
      <c r="B388" s="132"/>
      <c r="C388" s="59" t="s">
        <v>189</v>
      </c>
      <c r="D388" s="69">
        <f>(46.11+1.2*2.9+0.6*(2.9+2.9+2.4+2.9))*(10.764)</f>
        <v>605.47499999999991</v>
      </c>
      <c r="E388" s="59">
        <v>0</v>
      </c>
      <c r="F388" s="59">
        <f t="shared" si="22"/>
        <v>908.21249999999986</v>
      </c>
      <c r="G388" s="135"/>
      <c r="H388" s="136"/>
      <c r="I388" s="55"/>
    </row>
    <row r="389" spans="1:9" s="60" customFormat="1" ht="15.75" customHeight="1" x14ac:dyDescent="0.25">
      <c r="A389" s="131">
        <f t="shared" si="23"/>
        <v>7</v>
      </c>
      <c r="B389" s="132"/>
      <c r="C389" s="59" t="s">
        <v>188</v>
      </c>
      <c r="D389" s="69">
        <f>(29.93+1.4*2.9+1*2.9+0.6*(2.9+2.4+2.9))*(10.764)</f>
        <v>450.04284000000001</v>
      </c>
      <c r="E389" s="59">
        <v>0</v>
      </c>
      <c r="F389" s="59">
        <f t="shared" si="22"/>
        <v>675.06425999999999</v>
      </c>
      <c r="G389" s="137"/>
      <c r="H389" s="138"/>
      <c r="I389" s="55"/>
    </row>
    <row r="390" spans="1:9" s="60" customFormat="1" ht="15.75" customHeight="1" x14ac:dyDescent="0.25">
      <c r="A390" s="139" t="s">
        <v>196</v>
      </c>
      <c r="B390" s="140"/>
      <c r="C390" s="140"/>
      <c r="D390" s="140"/>
      <c r="E390" s="140"/>
      <c r="F390" s="140"/>
      <c r="G390" s="140"/>
      <c r="H390" s="141"/>
      <c r="I390" s="36"/>
    </row>
    <row r="391" spans="1:9" s="60" customFormat="1" ht="15.75" customHeight="1" x14ac:dyDescent="0.25">
      <c r="A391" s="131">
        <v>1</v>
      </c>
      <c r="B391" s="132"/>
      <c r="C391" s="59" t="s">
        <v>188</v>
      </c>
      <c r="D391" s="69">
        <f>(29.93+1.4*2.9+1*2.9+0.6*(2.9+2.4+2.9))*(10.764)</f>
        <v>450.04284000000001</v>
      </c>
      <c r="E391" s="59">
        <v>0</v>
      </c>
      <c r="F391" s="59">
        <f t="shared" ref="F391:F397" si="24">D391*(($F$257)+1)+(IF(E391&lt;101,E391,IF(E391&lt;201,E391/2,IF(E391&lt;=301,E391/3,E391/4))))</f>
        <v>675.06425999999999</v>
      </c>
      <c r="G391" s="133" t="str">
        <f>A390</f>
        <v>8th, 13th &amp; 19th Floor ( Part Refuge Area)</v>
      </c>
      <c r="H391" s="134"/>
      <c r="I391" s="55"/>
    </row>
    <row r="392" spans="1:9" s="60" customFormat="1" ht="15.75" customHeight="1" x14ac:dyDescent="0.25">
      <c r="A392" s="131">
        <f t="shared" ref="A392:A397" si="25">A391+1</f>
        <v>2</v>
      </c>
      <c r="B392" s="132"/>
      <c r="C392" s="59" t="s">
        <v>188</v>
      </c>
      <c r="D392" s="69">
        <f>(29.93+1.4*2.9+1*2.9+0.6*(2.9+2.4+2.9))*(10.764)</f>
        <v>450.04284000000001</v>
      </c>
      <c r="E392" s="59">
        <v>0</v>
      </c>
      <c r="F392" s="59">
        <f t="shared" si="24"/>
        <v>675.06425999999999</v>
      </c>
      <c r="G392" s="135"/>
      <c r="H392" s="136"/>
      <c r="I392" s="55"/>
    </row>
    <row r="393" spans="1:9" s="60" customFormat="1" ht="15.75" customHeight="1" x14ac:dyDescent="0.25">
      <c r="A393" s="131">
        <f t="shared" si="25"/>
        <v>3</v>
      </c>
      <c r="B393" s="132"/>
      <c r="C393" s="59" t="s">
        <v>188</v>
      </c>
      <c r="D393" s="69">
        <f>(29.93+1.4*2.9+1*2.9+0.6*(2.9+2.4+2.9))*(10.764)</f>
        <v>450.04284000000001</v>
      </c>
      <c r="E393" s="59">
        <v>0</v>
      </c>
      <c r="F393" s="59">
        <f t="shared" si="24"/>
        <v>675.06425999999999</v>
      </c>
      <c r="G393" s="135"/>
      <c r="H393" s="136"/>
      <c r="I393" s="55"/>
    </row>
    <row r="394" spans="1:9" s="60" customFormat="1" ht="15.75" customHeight="1" x14ac:dyDescent="0.25">
      <c r="A394" s="131">
        <f t="shared" si="25"/>
        <v>4</v>
      </c>
      <c r="B394" s="132"/>
      <c r="C394" s="59" t="s">
        <v>189</v>
      </c>
      <c r="D394" s="69">
        <f>(47.52+1.4*2.9+0.6*(2.9+2.9+2.4+2.9))*(10.764)</f>
        <v>626.89535999999998</v>
      </c>
      <c r="E394" s="59">
        <v>0</v>
      </c>
      <c r="F394" s="59">
        <f t="shared" si="24"/>
        <v>940.34303999999997</v>
      </c>
      <c r="G394" s="135"/>
      <c r="H394" s="136"/>
      <c r="I394" s="55"/>
    </row>
    <row r="395" spans="1:9" s="60" customFormat="1" ht="15.75" customHeight="1" x14ac:dyDescent="0.25">
      <c r="A395" s="131">
        <f t="shared" si="25"/>
        <v>5</v>
      </c>
      <c r="B395" s="132"/>
      <c r="C395" s="59" t="s">
        <v>189</v>
      </c>
      <c r="D395" s="69">
        <f>(44.66+1.5*2.75+1.2*2.75+0.6*(2.75+2.4+2.75+2.75))*(10.764)</f>
        <v>629.42489999999987</v>
      </c>
      <c r="E395" s="59">
        <v>0</v>
      </c>
      <c r="F395" s="59">
        <f t="shared" si="24"/>
        <v>944.13734999999974</v>
      </c>
      <c r="G395" s="135"/>
      <c r="H395" s="136"/>
      <c r="I395" s="55"/>
    </row>
    <row r="396" spans="1:9" s="60" customFormat="1" ht="15.75" customHeight="1" x14ac:dyDescent="0.25">
      <c r="A396" s="131">
        <f t="shared" si="25"/>
        <v>6</v>
      </c>
      <c r="B396" s="132"/>
      <c r="C396" s="59" t="s">
        <v>188</v>
      </c>
      <c r="D396" s="69">
        <f>(36.35+1.2*2.9+0.6*(2.9+2.4+2.9))*(10.764)</f>
        <v>481.68899999999996</v>
      </c>
      <c r="E396" s="59">
        <v>0</v>
      </c>
      <c r="F396" s="59">
        <f t="shared" si="24"/>
        <v>722.5335</v>
      </c>
      <c r="G396" s="135"/>
      <c r="H396" s="136"/>
      <c r="I396" s="55"/>
    </row>
    <row r="397" spans="1:9" s="60" customFormat="1" ht="15.75" customHeight="1" x14ac:dyDescent="0.25">
      <c r="A397" s="131">
        <f t="shared" si="25"/>
        <v>7</v>
      </c>
      <c r="B397" s="132"/>
      <c r="C397" s="59" t="s">
        <v>188</v>
      </c>
      <c r="D397" s="69">
        <f>(29.93+1.4*2.9+1*2.9+0.6*(2.9+2.4+2.9))*(10.764)</f>
        <v>450.04284000000001</v>
      </c>
      <c r="E397" s="59">
        <v>0</v>
      </c>
      <c r="F397" s="59">
        <f t="shared" si="24"/>
        <v>675.06425999999999</v>
      </c>
      <c r="G397" s="137"/>
      <c r="H397" s="138"/>
      <c r="I397" s="55"/>
    </row>
    <row r="398" spans="1:9" s="35" customFormat="1" x14ac:dyDescent="0.25">
      <c r="A398" s="142" t="s">
        <v>68</v>
      </c>
      <c r="B398" s="142"/>
      <c r="C398" s="142"/>
      <c r="D398" s="142"/>
      <c r="E398" s="142"/>
      <c r="F398" s="142"/>
      <c r="G398" s="142"/>
      <c r="H398" s="142"/>
    </row>
    <row r="399" spans="1:9" s="35" customFormat="1" x14ac:dyDescent="0.25">
      <c r="A399" s="47" t="s">
        <v>150</v>
      </c>
      <c r="B399" s="192" t="s">
        <v>261</v>
      </c>
      <c r="C399" s="193"/>
      <c r="D399" s="193"/>
      <c r="E399" s="193"/>
      <c r="F399" s="193"/>
      <c r="G399" s="193"/>
      <c r="H399" s="194"/>
    </row>
    <row r="400" spans="1:9" s="35" customFormat="1" x14ac:dyDescent="0.25">
      <c r="A400" s="47" t="s">
        <v>150</v>
      </c>
      <c r="B400" s="192" t="str">
        <f>(IF(F256="Saleable area Loading :","We have considered Saleable area of Flats as per our Calculation.","We considered Saleable area of Flat as per Builder area Sheet."))</f>
        <v>We have considered Saleable area of Flats as per our Calculation.</v>
      </c>
      <c r="C400" s="193"/>
      <c r="D400" s="193"/>
      <c r="E400" s="193"/>
      <c r="F400" s="193"/>
      <c r="G400" s="193"/>
      <c r="H400" s="194"/>
    </row>
    <row r="401" spans="1:8" s="35" customFormat="1" x14ac:dyDescent="0.25">
      <c r="A401" s="47" t="s">
        <v>150</v>
      </c>
      <c r="B401" s="192" t="str">
        <f>(IF(F196="Saleable area Loading :","We have considered Saleable area of Commercial as per our Calculation.","We considered Saleable area of Commercial as per Builder area Sheet."))</f>
        <v>We have considered Saleable area of Commercial as per our Calculation.</v>
      </c>
      <c r="C401" s="193"/>
      <c r="D401" s="193"/>
      <c r="E401" s="193"/>
      <c r="F401" s="193"/>
      <c r="G401" s="193"/>
      <c r="H401" s="194"/>
    </row>
    <row r="402" spans="1:8" s="35" customFormat="1" x14ac:dyDescent="0.25">
      <c r="A402" s="47" t="s">
        <v>150</v>
      </c>
      <c r="B402" s="128" t="s">
        <v>120</v>
      </c>
      <c r="C402" s="129"/>
      <c r="D402" s="129"/>
      <c r="E402" s="129"/>
      <c r="F402" s="129"/>
      <c r="G402" s="129"/>
      <c r="H402" s="130"/>
    </row>
    <row r="403" spans="1:8" s="35" customFormat="1" x14ac:dyDescent="0.25">
      <c r="A403" s="47" t="s">
        <v>150</v>
      </c>
      <c r="B403" s="128" t="s">
        <v>229</v>
      </c>
      <c r="C403" s="129"/>
      <c r="D403" s="129"/>
      <c r="E403" s="129"/>
      <c r="F403" s="129"/>
      <c r="G403" s="129"/>
      <c r="H403" s="130"/>
    </row>
    <row r="404" spans="1:8" s="35" customFormat="1" x14ac:dyDescent="0.25">
      <c r="A404" s="47" t="s">
        <v>150</v>
      </c>
      <c r="B404" s="128" t="s">
        <v>149</v>
      </c>
      <c r="C404" s="129"/>
      <c r="D404" s="129"/>
      <c r="E404" s="129"/>
      <c r="F404" s="129"/>
      <c r="G404" s="129"/>
      <c r="H404" s="130"/>
    </row>
    <row r="405" spans="1:8" s="35" customFormat="1" x14ac:dyDescent="0.25">
      <c r="A405" s="47" t="s">
        <v>150</v>
      </c>
      <c r="B405" s="128" t="s">
        <v>121</v>
      </c>
      <c r="C405" s="129"/>
      <c r="D405" s="129"/>
      <c r="E405" s="129"/>
      <c r="F405" s="129"/>
      <c r="G405" s="129"/>
      <c r="H405" s="130"/>
    </row>
    <row r="406" spans="1:8" s="35" customFormat="1" ht="34.5" customHeight="1" x14ac:dyDescent="0.25">
      <c r="A406" s="47" t="s">
        <v>150</v>
      </c>
      <c r="B406" s="128" t="s">
        <v>151</v>
      </c>
      <c r="C406" s="129"/>
      <c r="D406" s="129"/>
      <c r="E406" s="129"/>
      <c r="F406" s="129"/>
      <c r="G406" s="129"/>
      <c r="H406" s="130"/>
    </row>
    <row r="407" spans="1:8" s="35" customFormat="1" x14ac:dyDescent="0.25">
      <c r="A407" s="47" t="s">
        <v>150</v>
      </c>
      <c r="B407" s="128" t="s">
        <v>122</v>
      </c>
      <c r="C407" s="129"/>
      <c r="D407" s="129"/>
      <c r="E407" s="129"/>
      <c r="F407" s="129"/>
      <c r="G407" s="129"/>
      <c r="H407" s="130"/>
    </row>
    <row r="408" spans="1:8" s="35" customFormat="1" ht="30.75" customHeight="1" x14ac:dyDescent="0.25">
      <c r="A408" s="64" t="s">
        <v>150</v>
      </c>
      <c r="B408" s="128" t="s">
        <v>243</v>
      </c>
      <c r="C408" s="129"/>
      <c r="D408" s="129"/>
      <c r="E408" s="129"/>
      <c r="F408" s="129"/>
      <c r="G408" s="129"/>
      <c r="H408" s="130"/>
    </row>
    <row r="409" spans="1:8" x14ac:dyDescent="0.25">
      <c r="A409" s="155" t="s">
        <v>61</v>
      </c>
      <c r="B409" s="155"/>
      <c r="C409" s="155"/>
      <c r="D409" s="155"/>
      <c r="E409" s="155"/>
      <c r="F409" s="155"/>
      <c r="G409" s="155"/>
      <c r="H409" s="155"/>
    </row>
    <row r="410" spans="1:8" x14ac:dyDescent="0.25">
      <c r="A410" s="149" t="s">
        <v>62</v>
      </c>
      <c r="B410" s="149"/>
      <c r="C410" s="149"/>
      <c r="D410" s="149"/>
      <c r="E410" s="149"/>
      <c r="F410" s="149"/>
      <c r="G410" s="149"/>
      <c r="H410" s="149"/>
    </row>
    <row r="411" spans="1:8" ht="15.75" customHeight="1" x14ac:dyDescent="0.25">
      <c r="A411" s="191" t="s">
        <v>63</v>
      </c>
      <c r="B411" s="191"/>
      <c r="C411" s="191"/>
      <c r="D411" s="191"/>
      <c r="E411" s="191"/>
      <c r="F411" s="191"/>
      <c r="G411" s="191"/>
      <c r="H411" s="191"/>
    </row>
    <row r="412" spans="1:8" x14ac:dyDescent="0.25">
      <c r="A412" s="149" t="s">
        <v>64</v>
      </c>
      <c r="B412" s="149"/>
      <c r="C412" s="149"/>
      <c r="D412" s="149"/>
      <c r="E412" s="149"/>
      <c r="F412" s="149"/>
      <c r="G412" s="149"/>
      <c r="H412" s="149"/>
    </row>
    <row r="413" spans="1:8" x14ac:dyDescent="0.25">
      <c r="A413" s="149" t="s">
        <v>65</v>
      </c>
      <c r="B413" s="149"/>
      <c r="C413" s="149"/>
      <c r="D413" s="149"/>
      <c r="E413" s="149"/>
      <c r="F413" s="149"/>
      <c r="G413" s="149"/>
      <c r="H413" s="149"/>
    </row>
    <row r="414" spans="1:8" x14ac:dyDescent="0.25">
      <c r="A414" s="149" t="s">
        <v>123</v>
      </c>
      <c r="B414" s="149"/>
      <c r="C414" s="149"/>
      <c r="D414" s="149"/>
      <c r="E414" s="149"/>
      <c r="F414" s="149"/>
      <c r="G414" s="149"/>
      <c r="H414" s="149"/>
    </row>
    <row r="415" spans="1:8" x14ac:dyDescent="0.25">
      <c r="A415" s="115" t="s">
        <v>124</v>
      </c>
      <c r="B415" s="115"/>
      <c r="C415" s="115"/>
      <c r="D415" s="115"/>
      <c r="E415" s="115"/>
      <c r="F415" s="115"/>
      <c r="G415" s="115"/>
      <c r="H415" s="115"/>
    </row>
    <row r="416" spans="1:8" x14ac:dyDescent="0.25">
      <c r="A416" s="190" t="s">
        <v>78</v>
      </c>
      <c r="B416" s="190"/>
      <c r="C416" s="190" t="s">
        <v>255</v>
      </c>
      <c r="D416" s="190"/>
      <c r="E416" s="190" t="s">
        <v>102</v>
      </c>
      <c r="F416" s="190"/>
      <c r="G416" s="190" t="s">
        <v>262</v>
      </c>
      <c r="H416" s="190"/>
    </row>
    <row r="417" spans="1:8" x14ac:dyDescent="0.25">
      <c r="A417" s="189" t="s">
        <v>80</v>
      </c>
      <c r="B417" s="189"/>
      <c r="C417" s="189"/>
      <c r="D417" s="189"/>
      <c r="E417" s="189"/>
      <c r="F417" s="189"/>
      <c r="G417" s="189"/>
      <c r="H417" s="189"/>
    </row>
    <row r="418" spans="1:8" x14ac:dyDescent="0.25">
      <c r="A418" s="189"/>
      <c r="B418" s="189"/>
      <c r="C418" s="189"/>
      <c r="D418" s="189"/>
      <c r="E418" s="189"/>
      <c r="F418" s="189"/>
      <c r="G418" s="189"/>
      <c r="H418" s="189"/>
    </row>
    <row r="419" spans="1:8" x14ac:dyDescent="0.25">
      <c r="A419" s="189"/>
      <c r="B419" s="189"/>
      <c r="C419" s="189"/>
      <c r="D419" s="189"/>
      <c r="E419" s="189"/>
      <c r="F419" s="189"/>
      <c r="G419" s="189"/>
      <c r="H419" s="189"/>
    </row>
    <row r="420" spans="1:8" x14ac:dyDescent="0.25">
      <c r="A420" s="189"/>
      <c r="B420" s="189"/>
      <c r="C420" s="189"/>
      <c r="D420" s="189"/>
      <c r="E420" s="189"/>
      <c r="F420" s="189"/>
      <c r="G420" s="189"/>
      <c r="H420" s="189"/>
    </row>
    <row r="421" spans="1:8" x14ac:dyDescent="0.25">
      <c r="A421" s="38" t="s">
        <v>66</v>
      </c>
      <c r="B421" s="39"/>
      <c r="C421" s="39"/>
      <c r="D421" s="38" t="str">
        <f>E8</f>
        <v>Nakshatra Veda &amp; II</v>
      </c>
      <c r="F421" s="39"/>
      <c r="G421" s="39"/>
      <c r="H421" s="39"/>
    </row>
    <row r="422" spans="1:8" x14ac:dyDescent="0.25">
      <c r="A422" s="39"/>
      <c r="B422" s="39"/>
      <c r="C422" s="39"/>
      <c r="D422" s="39"/>
      <c r="E422" s="39"/>
      <c r="F422" s="39"/>
      <c r="G422" s="39"/>
      <c r="H422" s="39"/>
    </row>
    <row r="423" spans="1:8" x14ac:dyDescent="0.25">
      <c r="A423" s="39"/>
      <c r="B423" s="39"/>
      <c r="C423" s="39"/>
      <c r="D423" s="39"/>
      <c r="E423" s="39"/>
      <c r="F423" s="39"/>
      <c r="G423" s="39"/>
      <c r="H423" s="39"/>
    </row>
    <row r="424" spans="1:8" ht="15" customHeight="1" x14ac:dyDescent="0.25"/>
    <row r="434" spans="10:10" x14ac:dyDescent="0.25">
      <c r="J434"/>
    </row>
    <row r="435" spans="10:10" x14ac:dyDescent="0.25">
      <c r="J435"/>
    </row>
    <row r="465" spans="1:8" x14ac:dyDescent="0.25">
      <c r="A465" s="41" t="s">
        <v>161</v>
      </c>
      <c r="B465" s="21"/>
      <c r="C465" s="21"/>
      <c r="D465" s="21"/>
      <c r="E465" s="21"/>
      <c r="F465" s="21"/>
      <c r="G465" s="21"/>
      <c r="H465" s="21"/>
    </row>
    <row r="509" spans="1:8" x14ac:dyDescent="0.25">
      <c r="A509" s="41" t="s">
        <v>67</v>
      </c>
      <c r="B509" s="21"/>
      <c r="C509" s="21"/>
      <c r="D509" s="21"/>
      <c r="E509" s="21"/>
      <c r="F509" s="21"/>
      <c r="G509" s="21"/>
      <c r="H509" s="21"/>
    </row>
  </sheetData>
  <mergeCells count="680">
    <mergeCell ref="A88:B88"/>
    <mergeCell ref="A158:B158"/>
    <mergeCell ref="C158:H158"/>
    <mergeCell ref="A160:B160"/>
    <mergeCell ref="C160:H160"/>
    <mergeCell ref="A161:B161"/>
    <mergeCell ref="E161:F161"/>
    <mergeCell ref="G161:H161"/>
    <mergeCell ref="A162:B162"/>
    <mergeCell ref="E162:F171"/>
    <mergeCell ref="G162:H171"/>
    <mergeCell ref="A163:B163"/>
    <mergeCell ref="A164:B164"/>
    <mergeCell ref="A165:B165"/>
    <mergeCell ref="A166:B166"/>
    <mergeCell ref="A167:B167"/>
    <mergeCell ref="A168:B168"/>
    <mergeCell ref="A169:B169"/>
    <mergeCell ref="A170:B170"/>
    <mergeCell ref="A171:B171"/>
    <mergeCell ref="A90:B90"/>
    <mergeCell ref="C90:H90"/>
    <mergeCell ref="A91:B91"/>
    <mergeCell ref="E91:F91"/>
    <mergeCell ref="G91:H91"/>
    <mergeCell ref="A92:B92"/>
    <mergeCell ref="E92:F101"/>
    <mergeCell ref="G92:H101"/>
    <mergeCell ref="A93:B93"/>
    <mergeCell ref="A94:B94"/>
    <mergeCell ref="A95:B95"/>
    <mergeCell ref="A96:B96"/>
    <mergeCell ref="A97:B97"/>
    <mergeCell ref="A98:B98"/>
    <mergeCell ref="A99:B99"/>
    <mergeCell ref="A100:B100"/>
    <mergeCell ref="A101:B101"/>
    <mergeCell ref="G186:H186"/>
    <mergeCell ref="C192:D192"/>
    <mergeCell ref="A104:B104"/>
    <mergeCell ref="C104:H104"/>
    <mergeCell ref="A105:B105"/>
    <mergeCell ref="E105:F105"/>
    <mergeCell ref="G105:H105"/>
    <mergeCell ref="A106:B106"/>
    <mergeCell ref="E106:F115"/>
    <mergeCell ref="G106:H115"/>
    <mergeCell ref="A107:B107"/>
    <mergeCell ref="A108:B108"/>
    <mergeCell ref="A109:B109"/>
    <mergeCell ref="A110:B110"/>
    <mergeCell ref="A113:B113"/>
    <mergeCell ref="A114:B114"/>
    <mergeCell ref="A115:B115"/>
    <mergeCell ref="E192:F192"/>
    <mergeCell ref="G192:H192"/>
    <mergeCell ref="A189:A192"/>
    <mergeCell ref="E147:F147"/>
    <mergeCell ref="G147:H147"/>
    <mergeCell ref="G219:H230"/>
    <mergeCell ref="A220:B220"/>
    <mergeCell ref="A102:B102"/>
    <mergeCell ref="C102:H102"/>
    <mergeCell ref="A313:H313"/>
    <mergeCell ref="A289:B289"/>
    <mergeCell ref="A296:B296"/>
    <mergeCell ref="A293:H293"/>
    <mergeCell ref="A294:B294"/>
    <mergeCell ref="A295:B295"/>
    <mergeCell ref="A298:B298"/>
    <mergeCell ref="E182:F182"/>
    <mergeCell ref="G182:H182"/>
    <mergeCell ref="C183:D183"/>
    <mergeCell ref="E183:F183"/>
    <mergeCell ref="G183:H183"/>
    <mergeCell ref="A184:B184"/>
    <mergeCell ref="C184:D184"/>
    <mergeCell ref="E184:F184"/>
    <mergeCell ref="G184:H184"/>
    <mergeCell ref="A182:A183"/>
    <mergeCell ref="A187:A188"/>
    <mergeCell ref="C189:D189"/>
    <mergeCell ref="E189:F189"/>
    <mergeCell ref="L211:M211"/>
    <mergeCell ref="A206:B206"/>
    <mergeCell ref="L228:M228"/>
    <mergeCell ref="L229:M229"/>
    <mergeCell ref="L230:M230"/>
    <mergeCell ref="A198:H198"/>
    <mergeCell ref="A49:H49"/>
    <mergeCell ref="A53:H53"/>
    <mergeCell ref="A57:H57"/>
    <mergeCell ref="A58:B58"/>
    <mergeCell ref="C58:E58"/>
    <mergeCell ref="G58:H58"/>
    <mergeCell ref="A59:B60"/>
    <mergeCell ref="C59:E59"/>
    <mergeCell ref="G59:H59"/>
    <mergeCell ref="C60:H60"/>
    <mergeCell ref="A69:H69"/>
    <mergeCell ref="A70:B70"/>
    <mergeCell ref="C70:E70"/>
    <mergeCell ref="G70:H70"/>
    <mergeCell ref="A71:B72"/>
    <mergeCell ref="E181:F181"/>
    <mergeCell ref="G181:H181"/>
    <mergeCell ref="A112:B112"/>
    <mergeCell ref="L213:M213"/>
    <mergeCell ref="L205:M205"/>
    <mergeCell ref="L204:M204"/>
    <mergeCell ref="L203:M203"/>
    <mergeCell ref="L216:M216"/>
    <mergeCell ref="G202:H216"/>
    <mergeCell ref="G263:H267"/>
    <mergeCell ref="A274:B274"/>
    <mergeCell ref="A275:B275"/>
    <mergeCell ref="G269:H275"/>
    <mergeCell ref="L219:M219"/>
    <mergeCell ref="L220:M220"/>
    <mergeCell ref="L221:M221"/>
    <mergeCell ref="L222:M222"/>
    <mergeCell ref="L223:M223"/>
    <mergeCell ref="L224:M224"/>
    <mergeCell ref="L225:M225"/>
    <mergeCell ref="L215:M215"/>
    <mergeCell ref="L208:M208"/>
    <mergeCell ref="A209:B209"/>
    <mergeCell ref="L209:M209"/>
    <mergeCell ref="A210:B210"/>
    <mergeCell ref="L210:M210"/>
    <mergeCell ref="A227:B227"/>
    <mergeCell ref="L226:M226"/>
    <mergeCell ref="L227:M227"/>
    <mergeCell ref="C186:D186"/>
    <mergeCell ref="B406:H406"/>
    <mergeCell ref="A47:B47"/>
    <mergeCell ref="C47:H47"/>
    <mergeCell ref="B404:H404"/>
    <mergeCell ref="G148:H157"/>
    <mergeCell ref="A149:B149"/>
    <mergeCell ref="A150:B150"/>
    <mergeCell ref="A151:B151"/>
    <mergeCell ref="F174:H174"/>
    <mergeCell ref="A174:E174"/>
    <mergeCell ref="D196:D197"/>
    <mergeCell ref="A202:B202"/>
    <mergeCell ref="A203:B203"/>
    <mergeCell ref="A204:B204"/>
    <mergeCell ref="A205:B205"/>
    <mergeCell ref="G193:H193"/>
    <mergeCell ref="C181:D181"/>
    <mergeCell ref="A214:B214"/>
    <mergeCell ref="L206:M206"/>
    <mergeCell ref="A207:B207"/>
    <mergeCell ref="L207:M207"/>
    <mergeCell ref="L214:M214"/>
    <mergeCell ref="A146:B146"/>
    <mergeCell ref="A215:B215"/>
    <mergeCell ref="A48:B48"/>
    <mergeCell ref="C48:E48"/>
    <mergeCell ref="G48:H48"/>
    <mergeCell ref="A54:B54"/>
    <mergeCell ref="A82:C82"/>
    <mergeCell ref="D81:H81"/>
    <mergeCell ref="E134:F143"/>
    <mergeCell ref="G134:H143"/>
    <mergeCell ref="A142:B142"/>
    <mergeCell ref="A143:B143"/>
    <mergeCell ref="D82:H82"/>
    <mergeCell ref="A111:B111"/>
    <mergeCell ref="C52:H52"/>
    <mergeCell ref="A55:B56"/>
    <mergeCell ref="C55:E55"/>
    <mergeCell ref="G55:H55"/>
    <mergeCell ref="L202:M202"/>
    <mergeCell ref="A208:B208"/>
    <mergeCell ref="A212:B212"/>
    <mergeCell ref="L212:M212"/>
    <mergeCell ref="A213:B213"/>
    <mergeCell ref="L335:M335"/>
    <mergeCell ref="A336:B336"/>
    <mergeCell ref="A326:H326"/>
    <mergeCell ref="A327:B327"/>
    <mergeCell ref="G327:H332"/>
    <mergeCell ref="A328:B328"/>
    <mergeCell ref="A329:B329"/>
    <mergeCell ref="A330:B330"/>
    <mergeCell ref="A233:H233"/>
    <mergeCell ref="A234:H234"/>
    <mergeCell ref="A260:H260"/>
    <mergeCell ref="A240:B240"/>
    <mergeCell ref="D263:F263"/>
    <mergeCell ref="A331:B331"/>
    <mergeCell ref="A332:B332"/>
    <mergeCell ref="D328:F328"/>
    <mergeCell ref="A333:H333"/>
    <mergeCell ref="L286:M286"/>
    <mergeCell ref="A287:B287"/>
    <mergeCell ref="A310:H310"/>
    <mergeCell ref="A258:H258"/>
    <mergeCell ref="A309:H309"/>
    <mergeCell ref="A319:H319"/>
    <mergeCell ref="A320:B320"/>
    <mergeCell ref="L313:M313"/>
    <mergeCell ref="A314:B314"/>
    <mergeCell ref="G314:H318"/>
    <mergeCell ref="A315:B315"/>
    <mergeCell ref="A316:B316"/>
    <mergeCell ref="A317:B317"/>
    <mergeCell ref="A318:B318"/>
    <mergeCell ref="A141:B141"/>
    <mergeCell ref="C187:D187"/>
    <mergeCell ref="E187:F187"/>
    <mergeCell ref="G187:H187"/>
    <mergeCell ref="A173:E173"/>
    <mergeCell ref="A201:H201"/>
    <mergeCell ref="E196:E197"/>
    <mergeCell ref="G196:H197"/>
    <mergeCell ref="A148:B148"/>
    <mergeCell ref="E148:F157"/>
    <mergeCell ref="A155:B155"/>
    <mergeCell ref="A156:B156"/>
    <mergeCell ref="A157:B157"/>
    <mergeCell ref="F172:H172"/>
    <mergeCell ref="C196:C197"/>
    <mergeCell ref="C146:H146"/>
    <mergeCell ref="A147:B147"/>
    <mergeCell ref="A175:E175"/>
    <mergeCell ref="F175:H175"/>
    <mergeCell ref="A193:B193"/>
    <mergeCell ref="E193:F193"/>
    <mergeCell ref="A42:D42"/>
    <mergeCell ref="E42:H42"/>
    <mergeCell ref="E43:H43"/>
    <mergeCell ref="E44:H44"/>
    <mergeCell ref="E45:H45"/>
    <mergeCell ref="A43:D43"/>
    <mergeCell ref="A140:B140"/>
    <mergeCell ref="A133:B133"/>
    <mergeCell ref="A136:B136"/>
    <mergeCell ref="A132:B132"/>
    <mergeCell ref="A130:B130"/>
    <mergeCell ref="C130:H130"/>
    <mergeCell ref="A138:B138"/>
    <mergeCell ref="A83:C83"/>
    <mergeCell ref="D83:H83"/>
    <mergeCell ref="C132:H132"/>
    <mergeCell ref="A135:B135"/>
    <mergeCell ref="A186:B186"/>
    <mergeCell ref="C188:D188"/>
    <mergeCell ref="E188:F188"/>
    <mergeCell ref="A40:D40"/>
    <mergeCell ref="E40:H40"/>
    <mergeCell ref="D79:H79"/>
    <mergeCell ref="A73:B73"/>
    <mergeCell ref="C73:E73"/>
    <mergeCell ref="C56:H56"/>
    <mergeCell ref="C72:H72"/>
    <mergeCell ref="A61:H61"/>
    <mergeCell ref="A62:B62"/>
    <mergeCell ref="C62:E62"/>
    <mergeCell ref="G62:H62"/>
    <mergeCell ref="A63:B64"/>
    <mergeCell ref="C63:E63"/>
    <mergeCell ref="G63:H63"/>
    <mergeCell ref="C67:E67"/>
    <mergeCell ref="G67:H67"/>
    <mergeCell ref="C68:H68"/>
    <mergeCell ref="C64:H64"/>
    <mergeCell ref="A65:H65"/>
    <mergeCell ref="A66:B66"/>
    <mergeCell ref="C66:E66"/>
    <mergeCell ref="C71:E71"/>
    <mergeCell ref="G71:H71"/>
    <mergeCell ref="E41:H41"/>
    <mergeCell ref="F32:H32"/>
    <mergeCell ref="F33:H33"/>
    <mergeCell ref="A39:H39"/>
    <mergeCell ref="A81:C81"/>
    <mergeCell ref="F35:H35"/>
    <mergeCell ref="A37:B37"/>
    <mergeCell ref="A38:B38"/>
    <mergeCell ref="C38:H38"/>
    <mergeCell ref="A44:D44"/>
    <mergeCell ref="A45:D45"/>
    <mergeCell ref="A46:H46"/>
    <mergeCell ref="D77:H77"/>
    <mergeCell ref="A77:C77"/>
    <mergeCell ref="G50:H50"/>
    <mergeCell ref="A51:B52"/>
    <mergeCell ref="C50:E50"/>
    <mergeCell ref="G54:H54"/>
    <mergeCell ref="G51:H51"/>
    <mergeCell ref="D75:H75"/>
    <mergeCell ref="C51:E51"/>
    <mergeCell ref="D78:H78"/>
    <mergeCell ref="A36:H36"/>
    <mergeCell ref="A35:B35"/>
    <mergeCell ref="C35:E35"/>
    <mergeCell ref="E25:H25"/>
    <mergeCell ref="A27:D27"/>
    <mergeCell ref="E27:H27"/>
    <mergeCell ref="A24:D24"/>
    <mergeCell ref="E24:H24"/>
    <mergeCell ref="A28:D28"/>
    <mergeCell ref="E28:H28"/>
    <mergeCell ref="A25:D25"/>
    <mergeCell ref="A34:B34"/>
    <mergeCell ref="C34:E34"/>
    <mergeCell ref="A29:D29"/>
    <mergeCell ref="E29:H29"/>
    <mergeCell ref="A30:D30"/>
    <mergeCell ref="E30:H30"/>
    <mergeCell ref="A26:D26"/>
    <mergeCell ref="E26:H26"/>
    <mergeCell ref="C31:E31"/>
    <mergeCell ref="F34:H34"/>
    <mergeCell ref="F31:H31"/>
    <mergeCell ref="A32:B32"/>
    <mergeCell ref="A31:B31"/>
    <mergeCell ref="C32:E32"/>
    <mergeCell ref="A33:B33"/>
    <mergeCell ref="C33:E33"/>
    <mergeCell ref="A23:D23"/>
    <mergeCell ref="E23:H23"/>
    <mergeCell ref="A17:B17"/>
    <mergeCell ref="C17:D17"/>
    <mergeCell ref="E17:F17"/>
    <mergeCell ref="G17:H17"/>
    <mergeCell ref="A18:B18"/>
    <mergeCell ref="C18:D18"/>
    <mergeCell ref="E18:F18"/>
    <mergeCell ref="G18:H18"/>
    <mergeCell ref="A19:B19"/>
    <mergeCell ref="C19:D19"/>
    <mergeCell ref="E19:F19"/>
    <mergeCell ref="G19:H19"/>
    <mergeCell ref="A20:B20"/>
    <mergeCell ref="C20:D20"/>
    <mergeCell ref="E20:F20"/>
    <mergeCell ref="G20:H20"/>
    <mergeCell ref="E12:H12"/>
    <mergeCell ref="A13:D13"/>
    <mergeCell ref="A10:D10"/>
    <mergeCell ref="E10:H10"/>
    <mergeCell ref="A21:D22"/>
    <mergeCell ref="E21:H22"/>
    <mergeCell ref="E13:H13"/>
    <mergeCell ref="A14:B14"/>
    <mergeCell ref="C14:H14"/>
    <mergeCell ref="C15:H15"/>
    <mergeCell ref="A11:D11"/>
    <mergeCell ref="E11:H11"/>
    <mergeCell ref="A15:B15"/>
    <mergeCell ref="A12:D12"/>
    <mergeCell ref="A16:B16"/>
    <mergeCell ref="C16:H16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5:D5"/>
    <mergeCell ref="E5:H5"/>
    <mergeCell ref="A6:D6"/>
    <mergeCell ref="E6:H6"/>
    <mergeCell ref="A7:D7"/>
    <mergeCell ref="E7:H7"/>
    <mergeCell ref="D314:F314"/>
    <mergeCell ref="D338:F338"/>
    <mergeCell ref="A341:B341"/>
    <mergeCell ref="G336:H341"/>
    <mergeCell ref="A324:B324"/>
    <mergeCell ref="A325:B325"/>
    <mergeCell ref="D288:F288"/>
    <mergeCell ref="A178:H178"/>
    <mergeCell ref="A176:E176"/>
    <mergeCell ref="F176:H176"/>
    <mergeCell ref="A177:E177"/>
    <mergeCell ref="F177:H177"/>
    <mergeCell ref="A262:H262"/>
    <mergeCell ref="A271:B271"/>
    <mergeCell ref="A185:H185"/>
    <mergeCell ref="E186:F186"/>
    <mergeCell ref="A194:H194"/>
    <mergeCell ref="A180:A181"/>
    <mergeCell ref="C182:D182"/>
    <mergeCell ref="A231:H231"/>
    <mergeCell ref="G188:H188"/>
    <mergeCell ref="A211:B211"/>
    <mergeCell ref="A225:B225"/>
    <mergeCell ref="A226:B226"/>
    <mergeCell ref="A323:B323"/>
    <mergeCell ref="A417:H420"/>
    <mergeCell ref="A416:B416"/>
    <mergeCell ref="E416:F416"/>
    <mergeCell ref="C416:D416"/>
    <mergeCell ref="G416:H416"/>
    <mergeCell ref="A415:H415"/>
    <mergeCell ref="A413:H413"/>
    <mergeCell ref="A414:H414"/>
    <mergeCell ref="A411:H411"/>
    <mergeCell ref="B400:H400"/>
    <mergeCell ref="D336:F336"/>
    <mergeCell ref="A412:H412"/>
    <mergeCell ref="A409:H409"/>
    <mergeCell ref="A410:H410"/>
    <mergeCell ref="B407:H407"/>
    <mergeCell ref="B405:H405"/>
    <mergeCell ref="B401:H401"/>
    <mergeCell ref="B399:H399"/>
    <mergeCell ref="A350:H350"/>
    <mergeCell ref="A351:B351"/>
    <mergeCell ref="A334:H334"/>
    <mergeCell ref="A335:H335"/>
    <mergeCell ref="A349:B349"/>
    <mergeCell ref="A280:B280"/>
    <mergeCell ref="A281:B281"/>
    <mergeCell ref="A339:B339"/>
    <mergeCell ref="A340:B340"/>
    <mergeCell ref="A342:H342"/>
    <mergeCell ref="A337:B337"/>
    <mergeCell ref="A338:B338"/>
    <mergeCell ref="A285:H285"/>
    <mergeCell ref="G277:H283"/>
    <mergeCell ref="A286:H286"/>
    <mergeCell ref="A292:B292"/>
    <mergeCell ref="A290:B290"/>
    <mergeCell ref="A291:B291"/>
    <mergeCell ref="A283:B283"/>
    <mergeCell ref="A299:B299"/>
    <mergeCell ref="A300:B300"/>
    <mergeCell ref="A284:H284"/>
    <mergeCell ref="A288:B288"/>
    <mergeCell ref="G320:H325"/>
    <mergeCell ref="A321:B321"/>
    <mergeCell ref="D289:F289"/>
    <mergeCell ref="A311:H311"/>
    <mergeCell ref="A312:H312"/>
    <mergeCell ref="A322:B322"/>
    <mergeCell ref="A270:B270"/>
    <mergeCell ref="A195:H195"/>
    <mergeCell ref="G179:H179"/>
    <mergeCell ref="C180:D180"/>
    <mergeCell ref="E180:F180"/>
    <mergeCell ref="B196:B197"/>
    <mergeCell ref="A196:A197"/>
    <mergeCell ref="C256:C257"/>
    <mergeCell ref="C193:D193"/>
    <mergeCell ref="A261:H261"/>
    <mergeCell ref="A269:B269"/>
    <mergeCell ref="E179:F179"/>
    <mergeCell ref="A179:B179"/>
    <mergeCell ref="A216:B216"/>
    <mergeCell ref="A217:H217"/>
    <mergeCell ref="A218:H218"/>
    <mergeCell ref="A255:H255"/>
    <mergeCell ref="A232:H232"/>
    <mergeCell ref="A199:H199"/>
    <mergeCell ref="A263:B263"/>
    <mergeCell ref="A228:B228"/>
    <mergeCell ref="A229:B229"/>
    <mergeCell ref="A230:B230"/>
    <mergeCell ref="A200:H200"/>
    <mergeCell ref="E256:E257"/>
    <mergeCell ref="G256:H257"/>
    <mergeCell ref="A152:B152"/>
    <mergeCell ref="A153:B153"/>
    <mergeCell ref="A154:B154"/>
    <mergeCell ref="F173:H173"/>
    <mergeCell ref="G180:H180"/>
    <mergeCell ref="A224:B224"/>
    <mergeCell ref="A221:B221"/>
    <mergeCell ref="A247:B247"/>
    <mergeCell ref="A241:H241"/>
    <mergeCell ref="A242:H242"/>
    <mergeCell ref="C179:D179"/>
    <mergeCell ref="A222:B222"/>
    <mergeCell ref="G189:H189"/>
    <mergeCell ref="C190:D190"/>
    <mergeCell ref="E190:F190"/>
    <mergeCell ref="A223:B223"/>
    <mergeCell ref="G190:H190"/>
    <mergeCell ref="C191:D191"/>
    <mergeCell ref="E191:F191"/>
    <mergeCell ref="G191:H191"/>
    <mergeCell ref="A219:B219"/>
    <mergeCell ref="A172:E172"/>
    <mergeCell ref="A301:H301"/>
    <mergeCell ref="A302:B302"/>
    <mergeCell ref="G302:H308"/>
    <mergeCell ref="G294:H300"/>
    <mergeCell ref="G287:H292"/>
    <mergeCell ref="L243:M243"/>
    <mergeCell ref="A244:B244"/>
    <mergeCell ref="L244:M244"/>
    <mergeCell ref="A245:B245"/>
    <mergeCell ref="L245:M245"/>
    <mergeCell ref="A246:B246"/>
    <mergeCell ref="L246:M246"/>
    <mergeCell ref="A252:B252"/>
    <mergeCell ref="A243:B243"/>
    <mergeCell ref="C280:F280"/>
    <mergeCell ref="A282:B282"/>
    <mergeCell ref="A303:B303"/>
    <mergeCell ref="A304:B304"/>
    <mergeCell ref="A305:B305"/>
    <mergeCell ref="A306:B306"/>
    <mergeCell ref="A307:B307"/>
    <mergeCell ref="A308:B308"/>
    <mergeCell ref="D287:F287"/>
    <mergeCell ref="D256:D257"/>
    <mergeCell ref="A41:D41"/>
    <mergeCell ref="A144:B144"/>
    <mergeCell ref="C144:H144"/>
    <mergeCell ref="A139:B139"/>
    <mergeCell ref="C54:E54"/>
    <mergeCell ref="A50:B50"/>
    <mergeCell ref="A74:H74"/>
    <mergeCell ref="G66:H66"/>
    <mergeCell ref="A67:B68"/>
    <mergeCell ref="A137:B137"/>
    <mergeCell ref="E133:F133"/>
    <mergeCell ref="A84:C84"/>
    <mergeCell ref="D84:H84"/>
    <mergeCell ref="A87:C87"/>
    <mergeCell ref="D87:H87"/>
    <mergeCell ref="A85:C85"/>
    <mergeCell ref="A86:C86"/>
    <mergeCell ref="D86:H86"/>
    <mergeCell ref="A134:B134"/>
    <mergeCell ref="G133:H133"/>
    <mergeCell ref="A76:C76"/>
    <mergeCell ref="D76:H76"/>
    <mergeCell ref="G73:H73"/>
    <mergeCell ref="C88:H88"/>
    <mergeCell ref="G343:H349"/>
    <mergeCell ref="A297:B297"/>
    <mergeCell ref="L262:M262"/>
    <mergeCell ref="A256:A257"/>
    <mergeCell ref="A267:B267"/>
    <mergeCell ref="A264:B264"/>
    <mergeCell ref="A265:B265"/>
    <mergeCell ref="A277:B277"/>
    <mergeCell ref="A278:B278"/>
    <mergeCell ref="A279:B279"/>
    <mergeCell ref="A266:B266"/>
    <mergeCell ref="A273:B273"/>
    <mergeCell ref="B256:B257"/>
    <mergeCell ref="A276:H276"/>
    <mergeCell ref="A268:H268"/>
    <mergeCell ref="A259:H259"/>
    <mergeCell ref="A343:B343"/>
    <mergeCell ref="A344:B344"/>
    <mergeCell ref="A345:B345"/>
    <mergeCell ref="A346:B346"/>
    <mergeCell ref="A347:B347"/>
    <mergeCell ref="A348:B348"/>
    <mergeCell ref="D337:F337"/>
    <mergeCell ref="A272:B272"/>
    <mergeCell ref="L235:M235"/>
    <mergeCell ref="A236:B236"/>
    <mergeCell ref="L236:M236"/>
    <mergeCell ref="A237:B237"/>
    <mergeCell ref="L237:M237"/>
    <mergeCell ref="A238:B238"/>
    <mergeCell ref="L238:M238"/>
    <mergeCell ref="A239:B239"/>
    <mergeCell ref="L239:M239"/>
    <mergeCell ref="A235:B235"/>
    <mergeCell ref="G235:H240"/>
    <mergeCell ref="L240:M240"/>
    <mergeCell ref="L247:M247"/>
    <mergeCell ref="A248:B248"/>
    <mergeCell ref="L248:M248"/>
    <mergeCell ref="A249:B249"/>
    <mergeCell ref="L249:M249"/>
    <mergeCell ref="A250:B250"/>
    <mergeCell ref="L250:M250"/>
    <mergeCell ref="A251:B251"/>
    <mergeCell ref="L251:M251"/>
    <mergeCell ref="G360:H363"/>
    <mergeCell ref="A360:B360"/>
    <mergeCell ref="A361:B361"/>
    <mergeCell ref="A362:B362"/>
    <mergeCell ref="A363:B363"/>
    <mergeCell ref="D361:F361"/>
    <mergeCell ref="D362:F362"/>
    <mergeCell ref="A357:B357"/>
    <mergeCell ref="G351:H357"/>
    <mergeCell ref="A356:B356"/>
    <mergeCell ref="A352:B352"/>
    <mergeCell ref="A353:B353"/>
    <mergeCell ref="A354:B354"/>
    <mergeCell ref="A355:B355"/>
    <mergeCell ref="L252:M252"/>
    <mergeCell ref="A253:B253"/>
    <mergeCell ref="L253:M253"/>
    <mergeCell ref="A254:B254"/>
    <mergeCell ref="L254:M254"/>
    <mergeCell ref="G243:H254"/>
    <mergeCell ref="A374:H374"/>
    <mergeCell ref="A375:H375"/>
    <mergeCell ref="L375:M375"/>
    <mergeCell ref="A370:B370"/>
    <mergeCell ref="G370:H373"/>
    <mergeCell ref="A371:B371"/>
    <mergeCell ref="A372:B372"/>
    <mergeCell ref="A373:B373"/>
    <mergeCell ref="A364:H364"/>
    <mergeCell ref="A365:B365"/>
    <mergeCell ref="G365:H368"/>
    <mergeCell ref="A366:B366"/>
    <mergeCell ref="A367:B367"/>
    <mergeCell ref="A368:B368"/>
    <mergeCell ref="A369:H369"/>
    <mergeCell ref="A358:H358"/>
    <mergeCell ref="A359:H359"/>
    <mergeCell ref="L359:M359"/>
    <mergeCell ref="A380:B380"/>
    <mergeCell ref="A381:B381"/>
    <mergeCell ref="G376:H381"/>
    <mergeCell ref="A387:B387"/>
    <mergeCell ref="A388:B388"/>
    <mergeCell ref="A376:B376"/>
    <mergeCell ref="A377:B377"/>
    <mergeCell ref="A378:B378"/>
    <mergeCell ref="A379:B379"/>
    <mergeCell ref="A382:H382"/>
    <mergeCell ref="A383:B383"/>
    <mergeCell ref="A384:B384"/>
    <mergeCell ref="A385:B385"/>
    <mergeCell ref="A386:B386"/>
    <mergeCell ref="C376:F376"/>
    <mergeCell ref="C377:F377"/>
    <mergeCell ref="C378:F378"/>
    <mergeCell ref="B408:H408"/>
    <mergeCell ref="A395:B395"/>
    <mergeCell ref="A396:B396"/>
    <mergeCell ref="A389:B389"/>
    <mergeCell ref="G383:H389"/>
    <mergeCell ref="A397:B397"/>
    <mergeCell ref="G391:H397"/>
    <mergeCell ref="A390:H390"/>
    <mergeCell ref="A391:B391"/>
    <mergeCell ref="A392:B392"/>
    <mergeCell ref="A393:B393"/>
    <mergeCell ref="A394:B394"/>
    <mergeCell ref="B402:H402"/>
    <mergeCell ref="B403:H403"/>
    <mergeCell ref="A398:H398"/>
    <mergeCell ref="C37:H37"/>
    <mergeCell ref="A116:B116"/>
    <mergeCell ref="C116:H116"/>
    <mergeCell ref="A118:B118"/>
    <mergeCell ref="C118:H118"/>
    <mergeCell ref="A119:B119"/>
    <mergeCell ref="E119:F119"/>
    <mergeCell ref="G119:H119"/>
    <mergeCell ref="A120:B120"/>
    <mergeCell ref="E120:F129"/>
    <mergeCell ref="G120:H129"/>
    <mergeCell ref="A121:B121"/>
    <mergeCell ref="A122:B122"/>
    <mergeCell ref="A123:B123"/>
    <mergeCell ref="A124:B124"/>
    <mergeCell ref="A125:B125"/>
    <mergeCell ref="A126:B126"/>
    <mergeCell ref="A127:B127"/>
    <mergeCell ref="A128:B128"/>
    <mergeCell ref="A129:B129"/>
    <mergeCell ref="D85:H85"/>
    <mergeCell ref="A75:C75"/>
    <mergeCell ref="D80:H80"/>
    <mergeCell ref="A78:C80"/>
  </mergeCells>
  <hyperlinks>
    <hyperlink ref="C38" r:id="rId1"/>
  </hyperlinks>
  <printOptions horizontalCentered="1"/>
  <pageMargins left="0.39370078740157483" right="0.39370078740157483" top="0.82677165354330717" bottom="0.78740157480314965" header="0.15748031496062992" footer="0.19685039370078741"/>
  <pageSetup paperSize="2" scale="86" fitToHeight="0" orientation="portrait" r:id="rId2"/>
  <headerFooter>
    <oddHeader>&amp;C&amp;G</oddHeader>
    <oddFooter>&amp;L&amp;"Times New Roman,Bold"&amp;12Ref No: &amp;F&amp;C&amp;G&amp;R&amp;"Times New Roman,Bold"&amp;12&amp;P</oddFooter>
  </headerFooter>
  <rowBreaks count="6" manualBreakCount="6">
    <brk id="115" max="16383" man="1"/>
    <brk id="157" max="16383" man="1"/>
    <brk id="397" max="16383" man="1"/>
    <brk id="420" max="16383" man="1"/>
    <brk id="464" max="16383" man="1"/>
    <brk id="508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6"/>
  <sheetViews>
    <sheetView zoomScale="85" zoomScaleNormal="85" workbookViewId="0">
      <selection activeCell="C20" sqref="C20"/>
    </sheetView>
  </sheetViews>
  <sheetFormatPr defaultColWidth="8.7109375" defaultRowHeight="15" x14ac:dyDescent="0.25"/>
  <cols>
    <col min="1" max="1" width="8.7109375" style="1"/>
    <col min="2" max="2" width="22.140625" style="1" customWidth="1"/>
    <col min="3" max="3" width="37" style="1" customWidth="1"/>
    <col min="4" max="5" width="11.42578125" style="1" customWidth="1"/>
    <col min="6" max="6" width="14" style="1" customWidth="1"/>
    <col min="7" max="7" width="20" style="1" customWidth="1"/>
    <col min="8" max="8" width="16.42578125" style="1" customWidth="1"/>
    <col min="9" max="16384" width="8.7109375" style="1"/>
  </cols>
  <sheetData>
    <row r="1" spans="1:9" ht="15" customHeight="1" x14ac:dyDescent="0.25"/>
    <row r="2" spans="1:9" ht="15" customHeight="1" x14ac:dyDescent="0.25">
      <c r="A2" s="2"/>
      <c r="B2" s="2"/>
      <c r="C2" s="2"/>
      <c r="D2" s="2"/>
      <c r="E2" s="2"/>
      <c r="F2" s="2"/>
      <c r="G2" s="2"/>
      <c r="H2" s="2"/>
    </row>
    <row r="3" spans="1:9" ht="15.75" customHeight="1" x14ac:dyDescent="0.25">
      <c r="A3" s="2"/>
      <c r="B3" s="234" t="s">
        <v>103</v>
      </c>
      <c r="C3" s="234"/>
      <c r="D3" s="234"/>
      <c r="E3" s="234"/>
      <c r="F3" s="234"/>
      <c r="G3" s="234"/>
      <c r="H3" s="234"/>
    </row>
    <row r="4" spans="1:9" x14ac:dyDescent="0.25">
      <c r="A4" s="2"/>
      <c r="B4" s="3" t="s">
        <v>104</v>
      </c>
      <c r="C4" s="3" t="s">
        <v>105</v>
      </c>
      <c r="D4" s="3" t="s">
        <v>69</v>
      </c>
      <c r="E4" s="3" t="s">
        <v>106</v>
      </c>
      <c r="F4" s="3" t="s">
        <v>112</v>
      </c>
      <c r="G4" s="3" t="s">
        <v>113</v>
      </c>
      <c r="H4" s="3" t="s">
        <v>107</v>
      </c>
    </row>
    <row r="5" spans="1:9" ht="15" customHeight="1" x14ac:dyDescent="0.25">
      <c r="A5" s="2"/>
      <c r="B5" s="5" t="s">
        <v>108</v>
      </c>
      <c r="C5" s="6"/>
      <c r="D5" s="5"/>
      <c r="E5" s="5"/>
      <c r="F5" s="7">
        <f>E5*1.6</f>
        <v>0</v>
      </c>
      <c r="G5" s="7" t="e">
        <f>H5/F5</f>
        <v>#DIV/0!</v>
      </c>
      <c r="H5" s="8"/>
    </row>
    <row r="6" spans="1:9" x14ac:dyDescent="0.25">
      <c r="A6" s="2"/>
      <c r="B6" s="5" t="s">
        <v>108</v>
      </c>
      <c r="C6" s="9"/>
      <c r="D6" s="5"/>
      <c r="E6" s="5"/>
      <c r="F6" s="7">
        <f t="shared" ref="F6:F11" si="0">E6*1.6</f>
        <v>0</v>
      </c>
      <c r="G6" s="7" t="e">
        <f t="shared" ref="G6:G11" si="1">H6/F6</f>
        <v>#DIV/0!</v>
      </c>
      <c r="H6" s="8"/>
    </row>
    <row r="7" spans="1:9" ht="15" customHeight="1" x14ac:dyDescent="0.25">
      <c r="A7" s="2"/>
      <c r="B7" s="5" t="s">
        <v>108</v>
      </c>
      <c r="C7" s="6"/>
      <c r="D7" s="5"/>
      <c r="E7" s="5"/>
      <c r="F7" s="7">
        <f t="shared" si="0"/>
        <v>0</v>
      </c>
      <c r="G7" s="7" t="e">
        <f t="shared" si="1"/>
        <v>#DIV/0!</v>
      </c>
      <c r="H7" s="8"/>
    </row>
    <row r="8" spans="1:9" x14ac:dyDescent="0.25">
      <c r="A8" s="2"/>
      <c r="B8" s="5" t="s">
        <v>108</v>
      </c>
      <c r="C8" s="9"/>
      <c r="D8" s="5"/>
      <c r="E8" s="5"/>
      <c r="F8" s="7">
        <f t="shared" si="0"/>
        <v>0</v>
      </c>
      <c r="G8" s="7" t="e">
        <f t="shared" si="1"/>
        <v>#DIV/0!</v>
      </c>
      <c r="H8" s="8"/>
    </row>
    <row r="9" spans="1:9" ht="15" customHeight="1" x14ac:dyDescent="0.25">
      <c r="A9" s="2"/>
      <c r="B9" s="5" t="s">
        <v>108</v>
      </c>
      <c r="C9" s="9"/>
      <c r="D9" s="5"/>
      <c r="E9" s="5"/>
      <c r="F9" s="7">
        <f t="shared" si="0"/>
        <v>0</v>
      </c>
      <c r="G9" s="7" t="e">
        <f t="shared" si="1"/>
        <v>#DIV/0!</v>
      </c>
      <c r="H9" s="8"/>
    </row>
    <row r="10" spans="1:9" ht="15" customHeight="1" x14ac:dyDescent="0.25">
      <c r="A10" s="2"/>
      <c r="B10" s="5" t="s">
        <v>109</v>
      </c>
      <c r="C10" s="6"/>
      <c r="D10" s="5"/>
      <c r="E10" s="5"/>
      <c r="F10" s="7">
        <f t="shared" si="0"/>
        <v>0</v>
      </c>
      <c r="G10" s="7" t="e">
        <f t="shared" si="1"/>
        <v>#DIV/0!</v>
      </c>
      <c r="H10" s="8"/>
    </row>
    <row r="11" spans="1:9" ht="15" customHeight="1" x14ac:dyDescent="0.25">
      <c r="A11" s="2"/>
      <c r="B11" s="5" t="s">
        <v>109</v>
      </c>
      <c r="C11" s="6"/>
      <c r="D11" s="5"/>
      <c r="E11" s="5"/>
      <c r="F11" s="7">
        <f t="shared" si="0"/>
        <v>0</v>
      </c>
      <c r="G11" s="7" t="e">
        <f t="shared" si="1"/>
        <v>#DIV/0!</v>
      </c>
      <c r="H11" s="8"/>
    </row>
    <row r="12" spans="1:9" ht="15" customHeight="1" x14ac:dyDescent="0.25">
      <c r="A12" s="2"/>
      <c r="B12" s="10" t="s">
        <v>110</v>
      </c>
      <c r="C12" s="5"/>
      <c r="D12" s="5"/>
      <c r="E12" s="5"/>
      <c r="F12" s="5"/>
      <c r="G12" s="11" t="e">
        <f>AVERAGE(G5:G11)</f>
        <v>#DIV/0!</v>
      </c>
      <c r="H12" s="5"/>
    </row>
    <row r="13" spans="1:9" ht="15" customHeight="1" x14ac:dyDescent="0.25">
      <c r="B13" s="10" t="s">
        <v>111</v>
      </c>
      <c r="C13" s="5"/>
      <c r="D13" s="5"/>
      <c r="E13" s="5"/>
      <c r="F13" s="12"/>
      <c r="G13" s="10"/>
      <c r="H13" s="10"/>
      <c r="I13" s="4"/>
    </row>
    <row r="14" spans="1:9" ht="15" customHeight="1" x14ac:dyDescent="0.25"/>
    <row r="15" spans="1:9" ht="15" customHeight="1" x14ac:dyDescent="0.25"/>
    <row r="16" spans="1:9" ht="15" customHeight="1" x14ac:dyDescent="0.25"/>
  </sheetData>
  <mergeCells count="1">
    <mergeCell ref="B3:H3"/>
  </mergeCell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zoomScale="70" zoomScaleNormal="70" workbookViewId="0">
      <selection activeCell="E24" sqref="E24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VSJC</cp:lastModifiedBy>
  <cp:lastPrinted>2025-07-09T11:15:52Z</cp:lastPrinted>
  <dcterms:created xsi:type="dcterms:W3CDTF">2019-07-16T09:29:46Z</dcterms:created>
  <dcterms:modified xsi:type="dcterms:W3CDTF">2025-07-09T11:22:21Z</dcterms:modified>
</cp:coreProperties>
</file>