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  <c r="H71" i="1"/>
  <c r="D77" i="1" l="1"/>
  <c r="J75" i="1"/>
  <c r="C74" i="1" s="1"/>
  <c r="D74" i="1" s="1"/>
  <c r="J73" i="1"/>
  <c r="D83" i="1"/>
  <c r="D79" i="1"/>
  <c r="D82" i="1"/>
  <c r="D78" i="1"/>
  <c r="J74" i="1"/>
  <c r="D81" i="1"/>
  <c r="J70" i="1"/>
  <c r="J72" i="1" s="1"/>
  <c r="D80" i="1"/>
  <c r="D76" i="1"/>
  <c r="J76" i="1"/>
  <c r="J77" i="1" s="1"/>
  <c r="J82" i="1" s="1"/>
  <c r="J83" i="1" s="1"/>
  <c r="C75" i="1" s="1"/>
  <c r="J80" i="1"/>
  <c r="J79" i="1"/>
  <c r="J81" i="1"/>
  <c r="J78" i="1"/>
  <c r="A142" i="1"/>
  <c r="D238" i="1"/>
  <c r="D237" i="1"/>
  <c r="D236" i="1"/>
  <c r="D234" i="1"/>
  <c r="D233" i="1"/>
  <c r="D232" i="1"/>
  <c r="D227" i="1"/>
  <c r="D226" i="1"/>
  <c r="D225" i="1"/>
  <c r="D224" i="1"/>
  <c r="D223" i="1"/>
  <c r="D222" i="1"/>
  <c r="D218" i="1"/>
  <c r="D217" i="1"/>
  <c r="D216" i="1"/>
  <c r="D215" i="1"/>
  <c r="D213" i="1"/>
  <c r="D212" i="1"/>
  <c r="D211" i="1"/>
  <c r="D210" i="1"/>
  <c r="D209" i="1"/>
  <c r="D208" i="1"/>
  <c r="D206" i="1"/>
  <c r="D205" i="1"/>
  <c r="D204" i="1"/>
  <c r="D203" i="1"/>
  <c r="D202" i="1"/>
  <c r="D201" i="1"/>
  <c r="D199" i="1"/>
  <c r="D198" i="1"/>
  <c r="D197" i="1"/>
  <c r="D196" i="1"/>
  <c r="D195" i="1"/>
  <c r="D193" i="1"/>
  <c r="D192" i="1"/>
  <c r="D191" i="1"/>
  <c r="D185" i="1"/>
  <c r="D184" i="1"/>
  <c r="D183" i="1"/>
  <c r="D178" i="1"/>
  <c r="D177" i="1"/>
  <c r="D176" i="1"/>
  <c r="D174" i="1"/>
  <c r="D173" i="1"/>
  <c r="D172" i="1"/>
  <c r="D171" i="1"/>
  <c r="D170" i="1"/>
  <c r="D169" i="1"/>
  <c r="D167" i="1"/>
  <c r="D166" i="1"/>
  <c r="D165" i="1"/>
  <c r="D164" i="1"/>
  <c r="D163" i="1"/>
  <c r="D160" i="1"/>
  <c r="D159" i="1"/>
  <c r="D158" i="1"/>
  <c r="D157" i="1"/>
  <c r="D156" i="1"/>
  <c r="D155" i="1"/>
  <c r="D153" i="1"/>
  <c r="D152" i="1"/>
  <c r="D151" i="1"/>
  <c r="D150" i="1"/>
  <c r="D149" i="1"/>
  <c r="D148" i="1"/>
  <c r="F148" i="1" s="1"/>
  <c r="H148" i="1" s="1"/>
  <c r="D147" i="1"/>
  <c r="D145" i="1"/>
  <c r="D144" i="1"/>
  <c r="D143" i="1"/>
  <c r="D140" i="1"/>
  <c r="F140" i="1" s="1"/>
  <c r="H140" i="1" s="1"/>
  <c r="D139" i="1"/>
  <c r="I144" i="1"/>
  <c r="I139" i="1"/>
  <c r="E74" i="1" l="1"/>
  <c r="D75" i="1"/>
  <c r="I71" i="1" s="1"/>
  <c r="I72" i="1" s="1"/>
  <c r="J71" i="1"/>
  <c r="G74" i="1"/>
  <c r="C115" i="1"/>
  <c r="C116" i="1"/>
  <c r="F147" i="1"/>
  <c r="H147" i="1" s="1"/>
  <c r="F193" i="1"/>
  <c r="H193" i="1" s="1"/>
  <c r="F192" i="1"/>
  <c r="H192" i="1" s="1"/>
  <c r="F191" i="1"/>
  <c r="A190" i="1"/>
  <c r="A191" i="1" s="1"/>
  <c r="A192" i="1" s="1"/>
  <c r="A193" i="1" s="1"/>
  <c r="I189" i="1"/>
  <c r="F145" i="1"/>
  <c r="H145" i="1" s="1"/>
  <c r="I70" i="1" l="1"/>
  <c r="C72" i="1" s="1"/>
  <c r="C117" i="1"/>
  <c r="H191" i="1"/>
  <c r="I184" i="1"/>
  <c r="K99" i="1" l="1"/>
  <c r="F213" i="1" l="1"/>
  <c r="H213" i="1" s="1"/>
  <c r="F212" i="1"/>
  <c r="H212" i="1" s="1"/>
  <c r="F211" i="1"/>
  <c r="H211" i="1" s="1"/>
  <c r="F210" i="1"/>
  <c r="H210" i="1" s="1"/>
  <c r="F209" i="1"/>
  <c r="H209" i="1" s="1"/>
  <c r="A209" i="1"/>
  <c r="A210" i="1" s="1"/>
  <c r="A211" i="1" s="1"/>
  <c r="A212" i="1" s="1"/>
  <c r="A213" i="1" s="1"/>
  <c r="F208" i="1"/>
  <c r="H208" i="1" s="1"/>
  <c r="F238" i="1"/>
  <c r="H238" i="1" s="1"/>
  <c r="F237" i="1"/>
  <c r="H237" i="1" s="1"/>
  <c r="F236" i="1"/>
  <c r="H236" i="1" s="1"/>
  <c r="F234" i="1"/>
  <c r="H234" i="1" s="1"/>
  <c r="F233" i="1"/>
  <c r="H233" i="1" s="1"/>
  <c r="F232" i="1"/>
  <c r="H232" i="1" s="1"/>
  <c r="F227" i="1"/>
  <c r="H227" i="1" s="1"/>
  <c r="J227" i="1" s="1"/>
  <c r="F226" i="1"/>
  <c r="H226" i="1" s="1"/>
  <c r="F225" i="1"/>
  <c r="H225" i="1" s="1"/>
  <c r="F223" i="1"/>
  <c r="H223" i="1" s="1"/>
  <c r="F222" i="1"/>
  <c r="H222" i="1" s="1"/>
  <c r="F218" i="1"/>
  <c r="H218" i="1" s="1"/>
  <c r="F217" i="1"/>
  <c r="H217" i="1" s="1"/>
  <c r="F216" i="1"/>
  <c r="H216" i="1" s="1"/>
  <c r="F206" i="1"/>
  <c r="H206" i="1" s="1"/>
  <c r="F205" i="1"/>
  <c r="H205" i="1" s="1"/>
  <c r="F204" i="1"/>
  <c r="H204" i="1" s="1"/>
  <c r="F203" i="1"/>
  <c r="H203" i="1" s="1"/>
  <c r="F202" i="1"/>
  <c r="H202" i="1" s="1"/>
  <c r="F201" i="1"/>
  <c r="H201" i="1" s="1"/>
  <c r="F199" i="1"/>
  <c r="H199" i="1" s="1"/>
  <c r="F197" i="1"/>
  <c r="H197" i="1" s="1"/>
  <c r="F185" i="1"/>
  <c r="H185" i="1" s="1"/>
  <c r="F184" i="1"/>
  <c r="H184" i="1" s="1"/>
  <c r="F178" i="1"/>
  <c r="H178" i="1" s="1"/>
  <c r="F176" i="1"/>
  <c r="H176" i="1" s="1"/>
  <c r="J176" i="1" s="1"/>
  <c r="F174" i="1"/>
  <c r="H174" i="1" s="1"/>
  <c r="J173" i="1" s="1"/>
  <c r="F173" i="1"/>
  <c r="H173" i="1" s="1"/>
  <c r="F172" i="1"/>
  <c r="H172" i="1" s="1"/>
  <c r="F171" i="1"/>
  <c r="H171" i="1" s="1"/>
  <c r="F170" i="1"/>
  <c r="H170" i="1" s="1"/>
  <c r="F169" i="1"/>
  <c r="H169" i="1" s="1"/>
  <c r="F166" i="1"/>
  <c r="H166" i="1" s="1"/>
  <c r="J166" i="1" s="1"/>
  <c r="F165" i="1"/>
  <c r="H165" i="1" s="1"/>
  <c r="F164" i="1"/>
  <c r="H164" i="1" s="1"/>
  <c r="F163" i="1"/>
  <c r="H163" i="1" s="1"/>
  <c r="F160" i="1"/>
  <c r="H160" i="1" s="1"/>
  <c r="F159" i="1"/>
  <c r="H159" i="1" s="1"/>
  <c r="F158" i="1"/>
  <c r="H158" i="1" s="1"/>
  <c r="F156" i="1"/>
  <c r="H156" i="1" s="1"/>
  <c r="F155" i="1"/>
  <c r="H155" i="1" s="1"/>
  <c r="J155" i="1" s="1"/>
  <c r="F153" i="1"/>
  <c r="H153" i="1" s="1"/>
  <c r="F150" i="1"/>
  <c r="H150" i="1" s="1"/>
  <c r="J150" i="1" s="1"/>
  <c r="F149" i="1"/>
  <c r="H149" i="1" s="1"/>
  <c r="J149" i="1" s="1"/>
  <c r="F144" i="1"/>
  <c r="F143" i="1"/>
  <c r="H143" i="1" s="1"/>
  <c r="I152" i="1"/>
  <c r="I195" i="1"/>
  <c r="F198" i="1"/>
  <c r="H198" i="1" s="1"/>
  <c r="F167" i="1"/>
  <c r="H167" i="1" s="1"/>
  <c r="F157" i="1"/>
  <c r="H157" i="1" s="1"/>
  <c r="F177" i="1"/>
  <c r="H177" i="1" s="1"/>
  <c r="F183" i="1"/>
  <c r="H183" i="1" s="1"/>
  <c r="A237" i="1"/>
  <c r="A238" i="1" s="1"/>
  <c r="A184" i="1"/>
  <c r="A185" i="1" s="1"/>
  <c r="A230" i="1"/>
  <c r="A231" i="1" s="1"/>
  <c r="A232" i="1" s="1"/>
  <c r="A233" i="1" s="1"/>
  <c r="A234" i="1" s="1"/>
  <c r="A177" i="1"/>
  <c r="A178" i="1" s="1"/>
  <c r="A179" i="1" s="1"/>
  <c r="A180" i="1" s="1"/>
  <c r="A181" i="1" s="1"/>
  <c r="F224" i="1"/>
  <c r="H224" i="1" s="1"/>
  <c r="A223" i="1"/>
  <c r="A224" i="1" s="1"/>
  <c r="A225" i="1" s="1"/>
  <c r="A226" i="1" s="1"/>
  <c r="A227" i="1" s="1"/>
  <c r="A170" i="1"/>
  <c r="A171" i="1" s="1"/>
  <c r="A172" i="1" s="1"/>
  <c r="A173" i="1" s="1"/>
  <c r="A174" i="1" s="1"/>
  <c r="A216" i="1"/>
  <c r="A217" i="1" s="1"/>
  <c r="A218" i="1" s="1"/>
  <c r="A219" i="1" s="1"/>
  <c r="A220" i="1" s="1"/>
  <c r="F215" i="1"/>
  <c r="H215" i="1" s="1"/>
  <c r="A163" i="1"/>
  <c r="A164" i="1" s="1"/>
  <c r="A165" i="1" s="1"/>
  <c r="A166" i="1" s="1"/>
  <c r="A167" i="1" s="1"/>
  <c r="A202" i="1"/>
  <c r="A203" i="1" s="1"/>
  <c r="A204" i="1" s="1"/>
  <c r="A205" i="1" s="1"/>
  <c r="A206" i="1" s="1"/>
  <c r="A156" i="1"/>
  <c r="A157" i="1" s="1"/>
  <c r="A158" i="1" s="1"/>
  <c r="A159" i="1" s="1"/>
  <c r="A160" i="1" s="1"/>
  <c r="A196" i="1"/>
  <c r="A197" i="1" s="1"/>
  <c r="A198" i="1" s="1"/>
  <c r="A199" i="1" s="1"/>
  <c r="F152" i="1"/>
  <c r="H152" i="1" s="1"/>
  <c r="A150" i="1"/>
  <c r="A151" i="1" s="1"/>
  <c r="A152" i="1" s="1"/>
  <c r="A153" i="1" s="1"/>
  <c r="A143" i="1"/>
  <c r="A144" i="1" s="1"/>
  <c r="A145" i="1" s="1"/>
  <c r="F139" i="1"/>
  <c r="E115" i="1" l="1"/>
  <c r="H139" i="1"/>
  <c r="H144" i="1"/>
  <c r="J144" i="1" s="1"/>
  <c r="J99" i="1" s="1"/>
  <c r="I99" i="1" s="1"/>
  <c r="C121" i="1"/>
  <c r="F195" i="1"/>
  <c r="F151" i="1"/>
  <c r="C120" i="1"/>
  <c r="C122" i="1" s="1"/>
  <c r="F196" i="1"/>
  <c r="E116" i="1" s="1"/>
  <c r="S34" i="1"/>
  <c r="K135" i="1" l="1"/>
  <c r="E120" i="1"/>
  <c r="H195" i="1"/>
  <c r="G121" i="1" s="1"/>
  <c r="E121" i="1"/>
  <c r="G115" i="1"/>
  <c r="E117" i="1"/>
  <c r="H196" i="1"/>
  <c r="G116" i="1" s="1"/>
  <c r="H151" i="1"/>
  <c r="G120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6" i="1"/>
  <c r="B271" i="1"/>
  <c r="B270" i="1"/>
  <c r="F267" i="1"/>
  <c r="H267" i="1" s="1"/>
  <c r="F266" i="1"/>
  <c r="H266" i="1" s="1"/>
  <c r="F265" i="1"/>
  <c r="H265" i="1" s="1"/>
  <c r="F264" i="1"/>
  <c r="H264" i="1" s="1"/>
  <c r="F263" i="1"/>
  <c r="H263" i="1" s="1"/>
  <c r="F261" i="1"/>
  <c r="H261" i="1" s="1"/>
  <c r="F260" i="1"/>
  <c r="H260" i="1" s="1"/>
  <c r="F259" i="1"/>
  <c r="H259" i="1" s="1"/>
  <c r="F258" i="1"/>
  <c r="H258" i="1" s="1"/>
  <c r="F257" i="1"/>
  <c r="H257" i="1" s="1"/>
  <c r="F255" i="1"/>
  <c r="H255" i="1" s="1"/>
  <c r="F254" i="1"/>
  <c r="H254" i="1" s="1"/>
  <c r="F253" i="1"/>
  <c r="H253" i="1" s="1"/>
  <c r="F252" i="1"/>
  <c r="H252" i="1" s="1"/>
  <c r="F251" i="1"/>
  <c r="H251" i="1" s="1"/>
  <c r="F249" i="1"/>
  <c r="H249" i="1" s="1"/>
  <c r="F248" i="1"/>
  <c r="H248" i="1" s="1"/>
  <c r="F247" i="1"/>
  <c r="H247" i="1" s="1"/>
  <c r="F246" i="1"/>
  <c r="H246" i="1" s="1"/>
  <c r="F245" i="1"/>
  <c r="H245" i="1" s="1"/>
  <c r="A245" i="1"/>
  <c r="A246" i="1" s="1"/>
  <c r="A247" i="1" s="1"/>
  <c r="A248" i="1" s="1"/>
  <c r="A249" i="1" s="1"/>
  <c r="F243" i="1"/>
  <c r="H243" i="1" s="1"/>
  <c r="F242" i="1"/>
  <c r="H242" i="1" s="1"/>
  <c r="F241" i="1"/>
  <c r="H241" i="1" s="1"/>
  <c r="A241" i="1"/>
  <c r="A242" i="1" s="1"/>
  <c r="A243" i="1" s="1"/>
  <c r="F240" i="1"/>
  <c r="H240" i="1" s="1"/>
  <c r="H132" i="1"/>
  <c r="F132" i="1"/>
  <c r="H131" i="1"/>
  <c r="F131" i="1"/>
  <c r="H130" i="1"/>
  <c r="F130" i="1"/>
  <c r="A130" i="1"/>
  <c r="A131" i="1" s="1"/>
  <c r="A132" i="1" s="1"/>
  <c r="H129" i="1"/>
  <c r="F129" i="1"/>
  <c r="F112" i="1"/>
  <c r="D64" i="1"/>
  <c r="D59" i="1"/>
  <c r="G52" i="1"/>
  <c r="C52" i="1"/>
  <c r="E45" i="1"/>
  <c r="E46" i="1" s="1"/>
  <c r="E32" i="1"/>
  <c r="E29" i="1"/>
  <c r="E27" i="1"/>
  <c r="C17" i="1"/>
  <c r="I16" i="1"/>
  <c r="Z14" i="1"/>
  <c r="E8" i="1"/>
  <c r="E3" i="1"/>
  <c r="A251" i="1"/>
  <c r="A263" i="1"/>
  <c r="A257" i="1"/>
  <c r="H85" i="1"/>
  <c r="G122" i="1" l="1"/>
  <c r="G117" i="1"/>
  <c r="G123" i="1" s="1"/>
  <c r="E122" i="1"/>
  <c r="E123" i="1" s="1"/>
  <c r="C123" i="1"/>
  <c r="J84" i="1"/>
  <c r="J86" i="1" s="1"/>
  <c r="J87" i="1"/>
  <c r="J88" i="1"/>
  <c r="J89" i="1"/>
  <c r="C88" i="1" s="1"/>
  <c r="D92" i="1"/>
  <c r="D94" i="1"/>
  <c r="D93" i="1"/>
  <c r="D97" i="1"/>
  <c r="D91" i="1"/>
  <c r="D96" i="1"/>
  <c r="D90" i="1"/>
  <c r="D95" i="1"/>
  <c r="B85" i="1"/>
  <c r="J90" i="1" s="1"/>
  <c r="A252" i="1"/>
  <c r="A264" i="1"/>
  <c r="A258" i="1"/>
  <c r="D88" i="1" l="1"/>
  <c r="J94" i="1"/>
  <c r="J92" i="1"/>
  <c r="J93" i="1"/>
  <c r="J91" i="1"/>
  <c r="J96" i="1" s="1"/>
  <c r="J97" i="1" s="1"/>
  <c r="C89" i="1" s="1"/>
  <c r="J95" i="1"/>
  <c r="A259" i="1"/>
  <c r="A265" i="1"/>
  <c r="A253" i="1"/>
  <c r="J85" i="1" l="1"/>
  <c r="E88" i="1"/>
  <c r="D89" i="1"/>
  <c r="I85" i="1" s="1"/>
  <c r="G88" i="1"/>
  <c r="D68" i="1" s="1"/>
  <c r="A254" i="1"/>
  <c r="A266" i="1"/>
  <c r="A260" i="1"/>
  <c r="F69" i="1" l="1"/>
  <c r="D69" i="1"/>
  <c r="I86" i="1"/>
  <c r="I84" i="1" s="1"/>
  <c r="C86" i="1" s="1"/>
  <c r="A255" i="1"/>
  <c r="A267" i="1"/>
  <c r="A261" i="1"/>
</calcChain>
</file>

<file path=xl/comments1.xml><?xml version="1.0" encoding="utf-8"?>
<comments xmlns="http://schemas.openxmlformats.org/spreadsheetml/2006/main">
  <authors>
    <author>Sachin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<sst xmlns="http://schemas.openxmlformats.org/spreadsheetml/2006/main" count="753" uniqueCount="363">
  <si>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</si>
  <si>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</si>
  <si>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</si>
  <si>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</si>
  <si>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</si>
  <si>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</si>
  <si>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</si>
  <si>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</si>
  <si>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</si>
  <si>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</si>
  <si>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</si>
  <si>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</si>
  <si>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</si>
  <si>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</si>
  <si>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</si>
  <si>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</si>
  <si>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</si>
  <si>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</si>
  <si>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</si>
  <si>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</si>
  <si>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</si>
  <si>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</si>
  <si>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</si>
  <si>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</si>
  <si>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</si>
  <si>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</si>
  <si>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</si>
  <si>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</si>
  <si>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</si>
  <si>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</si>
  <si>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</si>
  <si>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</si>
  <si>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</si>
  <si>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</si>
  <si>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</si>
  <si>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</si>
  <si>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</si>
  <si>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</si>
  <si>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</si>
  <si>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</si>
  <si>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</si>
  <si>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</si>
  <si>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</si>
  <si>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</si>
  <si>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</si>
  <si>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</si>
  <si>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</si>
  <si>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</si>
  <si>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</si>
  <si>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</si>
  <si>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</si>
  <si>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</si>
  <si>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</si>
  <si>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</si>
  <si>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</si>
  <si>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</si>
  <si>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</si>
  <si>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</si>
  <si>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</si>
  <si>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</si>
  <si>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</si>
  <si>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</si>
  <si>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</si>
  <si>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</si>
  <si>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</si>
  <si>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</si>
  <si>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</si>
  <si>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</si>
  <si>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</si>
  <si>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</si>
  <si>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</si>
  <si>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</si>
  <si>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</si>
  <si>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</si>
  <si>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</si>
  <si>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</si>
  <si>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</si>
  <si>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</si>
  <si>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</si>
  <si>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</si>
  <si>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</si>
  <si>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</si>
  <si>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</si>
  <si>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</si>
  <si>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</si>
  <si>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</si>
  <si>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</si>
  <si>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</si>
  <si>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</si>
  <si>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</si>
  <si>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</si>
  <si>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</si>
  <si>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</si>
  <si>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</si>
  <si>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</si>
  <si>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</si>
  <si>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</si>
  <si>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</si>
  <si>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</si>
  <si>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</si>
  <si>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</si>
  <si>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</si>
  <si>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</si>
  <si>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</si>
  <si>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</si>
  <si>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</si>
  <si>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</si>
  <si>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</si>
  <si>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</si>
  <si>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</si>
  <si>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</si>
  <si>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</si>
  <si>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</si>
  <si>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</si>
  <si>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</si>
  <si>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</si>
  <si>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</si>
  <si>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</si>
  <si>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</si>
  <si>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</si>
  <si>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</si>
  <si>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</si>
  <si>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</si>
  <si>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</si>
  <si>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</si>
  <si>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</si>
  <si>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</si>
  <si>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</si>
  <si>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</si>
  <si>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</si>
  <si>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</si>
  <si>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</si>
  <si>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</si>
  <si>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</si>
  <si>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</si>
  <si>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</si>
  <si>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</si>
  <si>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</si>
  <si>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</si>
  <si>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</si>
  <si>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</si>
  <si>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</si>
  <si>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</si>
  <si>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</si>
  <si>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</si>
  <si>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</si>
  <si>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</si>
  <si>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</si>
  <si>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</si>
  <si>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</si>
  <si>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</si>
  <si>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</si>
  <si>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</si>
  <si>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</si>
  <si>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</si>
  <si>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</si>
  <si>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</si>
  <si>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</si>
  <si>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</si>
  <si>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</si>
  <si>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</si>
  <si>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</si>
  <si>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</si>
  <si>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</si>
  <si>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</si>
  <si>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</si>
  <si>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</si>
  <si>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</si>
  <si>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</si>
  <si>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</si>
  <si>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</si>
  <si>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</si>
  <si>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</si>
  <si>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</si>
  <si>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</si>
  <si>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</si>
  <si>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Shop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</si>
  <si>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</si>
  <si>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</si>
  <si>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</si>
  <si>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</si>
  <si>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</si>
  <si>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</si>
  <si>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</si>
  <si>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</si>
  <si>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</si>
  <si>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</si>
  <si>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</si>
  <si>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</si>
  <si>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</si>
  <si>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</si>
  <si>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</si>
  <si>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</si>
  <si>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</si>
  <si>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</si>
  <si>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</si>
  <si>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</si>
  <si>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</si>
  <si>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</si>
  <si>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</si>
  <si>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</si>
  <si>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</si>
  <si>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</si>
  <si>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</si>
  <si>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</si>
  <si>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</si>
  <si>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</si>
  <si>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</si>
  <si>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</si>
  <si>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</si>
  <si>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</si>
  <si>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</si>
  <si>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</si>
  <si>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</si>
  <si>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</si>
  <si>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</si>
  <si>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</si>
  <si>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</si>
  <si>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</si>
  <si>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</si>
  <si>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</si>
  <si>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</si>
  <si>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</si>
  <si>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</si>
  <si>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</si>
  <si>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</si>
  <si>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</si>
  <si>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</si>
  <si>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</si>
  <si>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</si>
  <si>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</si>
  <si>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Fungible area</t>
  </si>
  <si>
    <t>Carpet area</t>
  </si>
  <si>
    <t>Bank Name:</t>
  </si>
  <si>
    <t>Axis Bank</t>
  </si>
  <si>
    <t>Branch</t>
  </si>
  <si>
    <t>Bank</t>
  </si>
  <si>
    <t>Cent Bank</t>
  </si>
  <si>
    <t>Indiabulls Housing Finance Ltd</t>
  </si>
  <si>
    <t>PNB Housing Finance Limited</t>
  </si>
  <si>
    <t>ABFHL</t>
  </si>
  <si>
    <t>Axis Thane</t>
  </si>
  <si>
    <t>Axis Sanpada</t>
  </si>
  <si>
    <t>Axis Badlapur</t>
  </si>
  <si>
    <t>PNB Thane</t>
  </si>
  <si>
    <t>PNB Borivali</t>
  </si>
  <si>
    <t>Cent Kalyan</t>
  </si>
  <si>
    <t>Cent Belapur</t>
  </si>
  <si>
    <t>IBHF Kalyan</t>
  </si>
  <si>
    <t>IBHF Badlapur</t>
  </si>
  <si>
    <t>IBHF Vashi</t>
  </si>
  <si>
    <t>IBHF Thane</t>
  </si>
  <si>
    <t>IBHF Andheri</t>
  </si>
  <si>
    <t>Authorites</t>
  </si>
  <si>
    <t>Slum Rehabilitation Authority (SRA)</t>
  </si>
  <si>
    <t>Municipal Corporation of Greater Mumbai (MCGM)</t>
  </si>
  <si>
    <t>Maharashtra Housing and Area Development Authority(MHADA)</t>
  </si>
  <si>
    <t>Mumbai Metropolitan Region Development Authority (MMRDA)</t>
  </si>
  <si>
    <t>Maharashtra State Road Development Corporation Limited (MSRDC)</t>
  </si>
  <si>
    <t>Navi Mumbai Municipal Corporation (NMMC)</t>
  </si>
  <si>
    <t>Thane Muncipal Cooperation (TMC)</t>
  </si>
  <si>
    <t>Kalyan Dombivli Municipal Corporation (KMDC)</t>
  </si>
  <si>
    <t>Kulgoan Badlapur Municipal Council</t>
  </si>
  <si>
    <t>Town Planning Thane</t>
  </si>
  <si>
    <t>Ambernath Municipal Council (AMC)</t>
  </si>
  <si>
    <t>Ulhasnagar Municipal Corporation</t>
  </si>
  <si>
    <t>Nagar Rachana Ani Mulya Nirdharan Vibhag Thane</t>
  </si>
  <si>
    <t>Bhiwandi Nizampur City Municipal Corporation</t>
  </si>
  <si>
    <t>City and Industrial Development Corporation (CIDCO)</t>
  </si>
  <si>
    <t>Maharashtra Industrial Development Corporation (MIDC)</t>
  </si>
  <si>
    <t>Panvel Municipal Corporation</t>
  </si>
  <si>
    <t>Navi Mumbai Airport Influence Notified Area (NAINA)</t>
  </si>
  <si>
    <t>Pen Municipal Council</t>
  </si>
  <si>
    <t>Raigad Zilha Parishad</t>
  </si>
  <si>
    <t>Roha Municipal Council</t>
  </si>
  <si>
    <t>Vasai-Virar City Municipal Corporation. (VVCMC)</t>
  </si>
  <si>
    <t>Collector Of Palghar</t>
  </si>
  <si>
    <t>Town Planner, Palghar</t>
  </si>
  <si>
    <t>Mira-Bhayandar Municipal Corporation</t>
  </si>
  <si>
    <t>Documents Provided</t>
  </si>
  <si>
    <t>Does the boundaries at site match, as mentioned in the Documentation: NA</t>
  </si>
  <si>
    <t>Deraiya Realtors Private Limited</t>
  </si>
  <si>
    <t>Nehru Nagar Nirmal C.H.S. Ltd.</t>
  </si>
  <si>
    <t>P51800050064</t>
  </si>
  <si>
    <t>https://maps.app.goo.gl/6jiJ52ZbsFuhqYL26</t>
  </si>
  <si>
    <t>Nehru Nagar Nirmal CHSL / Building No.8</t>
  </si>
  <si>
    <t>11 (Pt), S.No.229 &amp; 267 &amp; Redevelopment of building "Nehru Nagar Nirmal CHSL &amp; Building No.8"</t>
  </si>
  <si>
    <t>Nehru Nagar</t>
  </si>
  <si>
    <t>Kurla (East)</t>
  </si>
  <si>
    <t>Kedarnath Temple Road</t>
  </si>
  <si>
    <t>3.6 KM from Kurla Railway Station</t>
  </si>
  <si>
    <t>Wing A &amp; B</t>
  </si>
  <si>
    <t>Mangalprabhat CHS</t>
  </si>
  <si>
    <t>Nalla</t>
  </si>
  <si>
    <t>Saptarshi Classic Apartment</t>
  </si>
  <si>
    <t>12.20 M Wide Existing Road</t>
  </si>
  <si>
    <t>Building No.7</t>
  </si>
  <si>
    <t>Building No.9</t>
  </si>
  <si>
    <t>02 Wings</t>
  </si>
  <si>
    <t>Mhada-22/1205/2022</t>
  </si>
  <si>
    <t>This C.C. is permitted upto Plinth level as per approved I.O.A. plans dtd. 25.11.2022.</t>
  </si>
  <si>
    <t>MH/EE/(BP)/GM/MHADA-22/1205/2023/CC/1/New</t>
  </si>
  <si>
    <t>As per RERA - 31/12/2026</t>
  </si>
  <si>
    <t>Ground Floor for Residential &amp; Parking</t>
  </si>
  <si>
    <t>Wing A</t>
  </si>
  <si>
    <t>MP Room</t>
  </si>
  <si>
    <t>1.5BHK</t>
  </si>
  <si>
    <t>1BHK</t>
  </si>
  <si>
    <t>Entrance Room, Meter Room &amp; Parking</t>
  </si>
  <si>
    <t>Wing B</t>
  </si>
  <si>
    <t>2nd to 7th, 9th &amp; 10th Floor</t>
  </si>
  <si>
    <t>8th Floor (Part Refuge Area)</t>
  </si>
  <si>
    <t>Refuge Area</t>
  </si>
  <si>
    <t>2BHK</t>
  </si>
  <si>
    <t>11th Floor</t>
  </si>
  <si>
    <t>12th Floor (Part Terrace Area)</t>
  </si>
  <si>
    <t>Terrace Area</t>
  </si>
  <si>
    <t>13th Floor</t>
  </si>
  <si>
    <t>Sale / Rehab</t>
  </si>
  <si>
    <t>Rehab</t>
  </si>
  <si>
    <t>10th Floor</t>
  </si>
  <si>
    <t>2nd to 7th, 9th Floor</t>
  </si>
  <si>
    <t>Sale</t>
  </si>
  <si>
    <t>-</t>
  </si>
  <si>
    <t>Residential Area Details : (Sale)</t>
  </si>
  <si>
    <t>Residential Area Details : (Rehab)</t>
  </si>
  <si>
    <t>Infrastructure &amp; LUC Tax</t>
  </si>
  <si>
    <t>Water &amp; Electricity Charges</t>
  </si>
  <si>
    <t>Maintenance Charges for 12 months</t>
  </si>
  <si>
    <t>Miscellaneous Expenditure</t>
  </si>
  <si>
    <t>Online</t>
  </si>
  <si>
    <t>Cost sheet</t>
  </si>
  <si>
    <t>Name of the Project as per Builder</t>
  </si>
  <si>
    <t>Name of the Project as per Rera</t>
  </si>
  <si>
    <t>Deraiya Classico</t>
  </si>
  <si>
    <t>Visitor</t>
  </si>
  <si>
    <t>Children's Play Area, Landscape Garden, Walking Track, Rooftop Reading Deck, Meditation Are, Yoga Zone, Gymnasium, CCTV Surveillance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</si>
  <si>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</si>
  <si>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Approved Plans, CC, Cost Sheet</t>
  </si>
  <si>
    <t>We considered Gross carpet area = Net carpet.</t>
  </si>
  <si>
    <t>Nalla is located west side to the project.</t>
  </si>
  <si>
    <t>19.061230,72.879521</t>
  </si>
  <si>
    <t xml:space="preserve">MH/EE/(BP)/GM/MHADA-22/1205/2024/FCC/1/New
</t>
  </si>
  <si>
    <t>We have updated revised approved CC from MHADA site on 15/07/2024.</t>
  </si>
  <si>
    <t>Parking</t>
  </si>
  <si>
    <t>Validity of CC is expired on 26/02/2024. Please provide latest approved CC.</t>
  </si>
  <si>
    <t>Ground Floor for Residential &amp; Parking Pump Room &amp; Parking</t>
  </si>
  <si>
    <t>1st Floor For Residential</t>
  </si>
  <si>
    <t>Sale Flats - 109, Rehab Flats - 40</t>
  </si>
  <si>
    <t>MP 1</t>
  </si>
  <si>
    <t>MP 2</t>
  </si>
  <si>
    <t>Basement For Pump Room, Domestic Tank, Fire Tank, Flushing Tank &amp; PIT Parking</t>
  </si>
  <si>
    <t>Basement For Meter Panel Room, Space For Storage of Household, Flushing Tank &amp; PIT Parking</t>
  </si>
  <si>
    <t>Wing A &amp; B = 1B +Gr/Stilt + 1st to 13th Floor</t>
  </si>
  <si>
    <t>We have updated revised approved Plans &amp; CC Revalidation Letter on 06/08/2024.</t>
  </si>
  <si>
    <t>Mr. Anand 8368127481</t>
  </si>
  <si>
    <t>Shruti Tathare</t>
  </si>
  <si>
    <t>Akash Kadam</t>
  </si>
  <si>
    <t>Wing A = 1B +Gr/Stilt + 1st to 13th Floor</t>
  </si>
  <si>
    <t>Wing B = 1B +Gr/Stilt + 1st to 13th Floor</t>
  </si>
  <si>
    <t>Construction work is in process at the time of Visit. Internal Visit was not allowed.</t>
  </si>
  <si>
    <t xml:space="preserve">This C.C. is further extended upto top of 13th floor i.e. Wing A &amp; Wing B consist of Basement for Pump Room + Ground (pt) + Stilt (pt) + 1st to 11th + 12 &amp; 13th (pt) upper floor (Including OHT + LMR)as per approved amended plan dtd. 29.11.2023.
</t>
  </si>
  <si>
    <t>Validity of CC is expired on 26/02/2025. Please provide revised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</si>
</sst>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2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17" fillId="0" borderId="16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9" fontId="13" fillId="0" borderId="16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jpe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115459</xdr:colOff>
      <xdr:row>400</xdr:row>
      <xdr:rowOff>16212</xdr:rowOff>
    </xdr:from>
    <xdr:to>
      <xdr:col>6</xdr:col>
      <xdr:colOff>642090</xdr:colOff>
      <xdr:row>419</xdr:row>
      <xdr:rowOff>107469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7868" y="66194757"/>
          <a:ext cx="4809995" cy="38204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228194</xdr:colOff>
      <xdr:row>380</xdr:row>
      <xdr:rowOff>167410</xdr:rowOff>
    </xdr:from>
    <xdr:to>
      <xdr:col>6</xdr:col>
      <xdr:colOff>529356</xdr:colOff>
      <xdr:row>399</xdr:row>
      <xdr:rowOff>70776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0603" y="62420501"/>
          <a:ext cx="4584526" cy="36325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616034</xdr:colOff>
      <xdr:row>405</xdr:row>
      <xdr:rowOff>113283</xdr:rowOff>
    </xdr:from>
    <xdr:to>
      <xdr:col>4</xdr:col>
      <xdr:colOff>292933</xdr:colOff>
      <xdr:row>416</xdr:row>
      <xdr:rowOff>52903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 rot="20446594">
          <a:off x="3144489" y="67076919"/>
          <a:ext cx="635171" cy="209862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2</xdr:col>
      <xdr:colOff>409863</xdr:colOff>
      <xdr:row>405</xdr:row>
      <xdr:rowOff>167409</xdr:rowOff>
    </xdr:from>
    <xdr:ext cx="47564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049318" y="67131045"/>
          <a:ext cx="475643" cy="264560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Nalla</a:t>
          </a:r>
        </a:p>
      </xdr:txBody>
    </xdr:sp>
    <xdr:clientData/>
  </xdr:oneCellAnchor>
  <xdr:twoCellAnchor>
    <xdr:from>
      <xdr:col>2</xdr:col>
      <xdr:colOff>885506</xdr:colOff>
      <xdr:row>406</xdr:row>
      <xdr:rowOff>103416</xdr:rowOff>
    </xdr:from>
    <xdr:to>
      <xdr:col>3</xdr:col>
      <xdr:colOff>392545</xdr:colOff>
      <xdr:row>408</xdr:row>
      <xdr:rowOff>190500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>
          <a:stCxn id="5" idx="3"/>
        </xdr:cNvCxnSpPr>
      </xdr:nvCxnSpPr>
      <xdr:spPr>
        <a:xfrm>
          <a:off x="2524961" y="67263325"/>
          <a:ext cx="396039" cy="47963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730875</xdr:colOff>
      <xdr:row>357</xdr:row>
      <xdr:rowOff>116089</xdr:rowOff>
    </xdr:from>
    <xdr:to>
      <xdr:col>6</xdr:col>
      <xdr:colOff>170</xdr:colOff>
      <xdr:row>374</xdr:row>
      <xdr:rowOff>98849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33284" y="57462362"/>
          <a:ext cx="3544866" cy="33193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456046</xdr:colOff>
      <xdr:row>338</xdr:row>
      <xdr:rowOff>150093</xdr:rowOff>
    </xdr:from>
    <xdr:to>
      <xdr:col>7</xdr:col>
      <xdr:colOff>301844</xdr:colOff>
      <xdr:row>356</xdr:row>
      <xdr:rowOff>111946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6046" y="53767184"/>
          <a:ext cx="5699343" cy="34947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561974</xdr:colOff>
      <xdr:row>296</xdr:row>
      <xdr:rowOff>47625</xdr:rowOff>
    </xdr:from>
    <xdr:to>
      <xdr:col>7</xdr:col>
      <xdr:colOff>300399</xdr:colOff>
      <xdr:row>336</xdr:row>
      <xdr:rowOff>64390</xdr:rowOff>
    </xdr:to>
    <xdr:grpSp>
      <xdr:nvGrpSpPr>
        <xdr:cNvPr id="6" name="Group 5"/>
        <xdr:cNvGrpSpPr/>
      </xdr:nvGrpSpPr>
      <xdr:grpSpPr>
        <a:xfrm>
          <a:off x="561974" y="56073675"/>
          <a:ext cx="5320075" cy="8008240"/>
          <a:chOff x="561974" y="55873650"/>
          <a:chExt cx="5320075" cy="8008240"/>
        </a:xfrm>
      </xdr:grpSpPr>
      <xdr:pic>
        <xdr:nvPicPr>
          <xdr:cNvPr id="20" name="Picture 19" descr="https://vsjcllp.vsjadon.com/upload/insp-23988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62175" y="61769625"/>
            <a:ext cx="3371850" cy="211226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9885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23925" y="5951220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9885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61974" y="55873650"/>
            <a:ext cx="2671763" cy="3562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9885-84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28900" y="59521725"/>
            <a:ext cx="288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988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14699" y="55873650"/>
            <a:ext cx="2567350" cy="35623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9885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95350" y="61769625"/>
            <a:ext cx="1188149" cy="211226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491412</xdr:colOff>
      <xdr:row>35</xdr:row>
      <xdr:rowOff>113000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588" y="2696882"/>
          <a:ext cx="7200000" cy="405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746486</xdr:colOff>
      <xdr:row>14</xdr:row>
      <xdr:rowOff>0</xdr:rowOff>
    </xdr:from>
    <xdr:to>
      <xdr:col>16</xdr:col>
      <xdr:colOff>498309</xdr:colOff>
      <xdr:row>35</xdr:row>
      <xdr:rowOff>113000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7662" y="2696882"/>
          <a:ext cx="7200000" cy="405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37</xdr:row>
      <xdr:rowOff>2599</xdr:rowOff>
    </xdr:from>
    <xdr:to>
      <xdr:col>6</xdr:col>
      <xdr:colOff>491412</xdr:colOff>
      <xdr:row>58</xdr:row>
      <xdr:rowOff>130540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588" y="7010011"/>
          <a:ext cx="7200000" cy="405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746486</xdr:colOff>
      <xdr:row>37</xdr:row>
      <xdr:rowOff>2599</xdr:rowOff>
    </xdr:from>
    <xdr:to>
      <xdr:col>16</xdr:col>
      <xdr:colOff>498309</xdr:colOff>
      <xdr:row>58</xdr:row>
      <xdr:rowOff>130540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7662" y="7010011"/>
          <a:ext cx="7200000" cy="405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6jiJ52ZbsFuhqYL2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80"/>
  <sheetViews>
    <sheetView tabSelected="1" view="pageBreakPreview" zoomScaleNormal="100" zoomScaleSheetLayoutView="100" zoomScalePageLayoutView="85" workbookViewId="0">
      <selection activeCell="E13" sqref="E13:H13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3.7109375" style="37" customWidth="1"/>
    <col min="5" max="5" width="11.7109375" style="37" customWidth="1"/>
    <col min="6" max="6" width="11.140625" style="37" customWidth="1"/>
    <col min="7" max="8" width="11" style="37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2" width="13.85546875" style="18" bestFit="1" customWidth="1"/>
    <col min="13" max="13" width="11.85546875" style="18" customWidth="1"/>
    <col min="14" max="14" width="12.5703125" style="18" customWidth="1"/>
    <col min="15" max="15" width="12.140625" style="18" customWidth="1"/>
    <col min="16" max="16" width="11.7109375" style="18" customWidth="1"/>
    <col min="17" max="18" width="9.140625" style="18"/>
    <col min="19" max="19" width="10.85546875" style="18" bestFit="1" customWidth="1"/>
    <col min="20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26" ht="46.5" customHeight="1" x14ac:dyDescent="0.25">
      <c r="A1" s="172" t="s">
        <v>163</v>
      </c>
      <c r="B1" s="172"/>
      <c r="C1" s="172"/>
      <c r="D1" s="172"/>
      <c r="E1" s="172"/>
      <c r="F1" s="172"/>
      <c r="G1" s="172"/>
      <c r="H1" s="172"/>
    </row>
    <row r="2" spans="1:26" ht="16.5" customHeight="1" x14ac:dyDescent="0.25">
      <c r="A2" s="173" t="s">
        <v>0</v>
      </c>
      <c r="B2" s="173"/>
      <c r="C2" s="173"/>
      <c r="D2" s="173"/>
      <c r="E2" s="173"/>
      <c r="F2" s="173"/>
      <c r="G2" s="173"/>
      <c r="H2" s="173"/>
    </row>
    <row r="3" spans="1:26" x14ac:dyDescent="0.25">
      <c r="A3" s="118" t="s">
        <v>1</v>
      </c>
      <c r="B3" s="118"/>
      <c r="C3" s="118"/>
      <c r="D3" s="118"/>
      <c r="E3" s="118" t="str">
        <f ca="1">TEXT(TODAY(),"DD/MM/YYYY")</f>
        <v>11/07/2025</v>
      </c>
      <c r="F3" s="118"/>
      <c r="G3" s="118"/>
      <c r="H3" s="118"/>
      <c r="K3" s="54" t="s">
        <v>236</v>
      </c>
      <c r="L3" s="50" t="s">
        <v>234</v>
      </c>
      <c r="M3" s="50" t="s">
        <v>239</v>
      </c>
      <c r="N3" s="50" t="s">
        <v>237</v>
      </c>
      <c r="O3" s="50" t="s">
        <v>238</v>
      </c>
      <c r="P3" s="50" t="s">
        <v>240</v>
      </c>
    </row>
    <row r="4" spans="1:26" ht="15" customHeight="1" x14ac:dyDescent="0.25">
      <c r="A4" s="118" t="s">
        <v>233</v>
      </c>
      <c r="B4" s="118"/>
      <c r="C4" s="118"/>
      <c r="D4" s="118"/>
      <c r="E4" s="118" t="s">
        <v>234</v>
      </c>
      <c r="F4" s="118"/>
      <c r="G4" s="118"/>
      <c r="H4" s="118"/>
      <c r="K4" s="49" t="s">
        <v>235</v>
      </c>
      <c r="L4" s="50" t="s">
        <v>169</v>
      </c>
      <c r="M4" s="50" t="s">
        <v>244</v>
      </c>
      <c r="N4" s="50" t="s">
        <v>246</v>
      </c>
      <c r="O4" s="50" t="s">
        <v>248</v>
      </c>
      <c r="P4" s="50"/>
    </row>
    <row r="5" spans="1:26" ht="15" customHeight="1" x14ac:dyDescent="0.25">
      <c r="A5" s="118" t="s">
        <v>2</v>
      </c>
      <c r="B5" s="118"/>
      <c r="C5" s="118"/>
      <c r="D5" s="118"/>
      <c r="E5" s="118" t="s">
        <v>169</v>
      </c>
      <c r="F5" s="118"/>
      <c r="G5" s="118"/>
      <c r="H5" s="118"/>
      <c r="K5" s="49"/>
      <c r="L5" s="50" t="s">
        <v>241</v>
      </c>
      <c r="M5" s="50" t="s">
        <v>245</v>
      </c>
      <c r="N5" s="50" t="s">
        <v>247</v>
      </c>
      <c r="O5" s="50" t="s">
        <v>249</v>
      </c>
      <c r="P5" s="50"/>
    </row>
    <row r="6" spans="1:26" x14ac:dyDescent="0.25">
      <c r="A6" s="118" t="s">
        <v>3</v>
      </c>
      <c r="B6" s="118"/>
      <c r="C6" s="118"/>
      <c r="D6" s="118"/>
      <c r="E6" s="175">
        <v>45847</v>
      </c>
      <c r="F6" s="118"/>
      <c r="G6" s="118"/>
      <c r="H6" s="118"/>
      <c r="K6" s="49"/>
      <c r="L6" s="50" t="s">
        <v>242</v>
      </c>
      <c r="M6" s="50"/>
      <c r="N6" s="50"/>
      <c r="O6" s="50" t="s">
        <v>250</v>
      </c>
      <c r="P6" s="50"/>
    </row>
    <row r="7" spans="1:26" ht="16.5" customHeight="1" x14ac:dyDescent="0.25">
      <c r="A7" s="118" t="s">
        <v>4</v>
      </c>
      <c r="B7" s="118"/>
      <c r="C7" s="118"/>
      <c r="D7" s="118"/>
      <c r="E7" s="118" t="s">
        <v>281</v>
      </c>
      <c r="F7" s="118"/>
      <c r="G7" s="118"/>
      <c r="H7" s="118"/>
      <c r="K7" s="49"/>
      <c r="L7" s="50" t="s">
        <v>243</v>
      </c>
      <c r="M7" s="50"/>
      <c r="N7" s="50"/>
      <c r="O7" s="50" t="s">
        <v>250</v>
      </c>
      <c r="P7" s="50"/>
    </row>
    <row r="8" spans="1:26" ht="15" customHeight="1" x14ac:dyDescent="0.25">
      <c r="A8" s="118" t="s">
        <v>5</v>
      </c>
      <c r="B8" s="118"/>
      <c r="C8" s="118"/>
      <c r="D8" s="118"/>
      <c r="E8" s="118" t="str">
        <f>E7</f>
        <v>Deraiya Realtors Private Limited</v>
      </c>
      <c r="F8" s="118"/>
      <c r="G8" s="118"/>
      <c r="H8" s="118"/>
      <c r="K8" s="49"/>
      <c r="L8" s="50"/>
      <c r="M8" s="50"/>
      <c r="N8" s="50"/>
      <c r="O8" s="50" t="s">
        <v>251</v>
      </c>
      <c r="P8" s="50"/>
    </row>
    <row r="9" spans="1:26" x14ac:dyDescent="0.25">
      <c r="A9" s="118" t="s">
        <v>333</v>
      </c>
      <c r="B9" s="118"/>
      <c r="C9" s="118"/>
      <c r="D9" s="118"/>
      <c r="E9" s="174" t="s">
        <v>282</v>
      </c>
      <c r="F9" s="174"/>
      <c r="G9" s="174"/>
      <c r="H9" s="174"/>
      <c r="K9" s="49"/>
      <c r="L9" s="50"/>
      <c r="M9" s="50"/>
      <c r="N9" s="50"/>
      <c r="O9" s="50" t="s">
        <v>252</v>
      </c>
      <c r="P9" s="50"/>
    </row>
    <row r="10" spans="1:26" x14ac:dyDescent="0.25">
      <c r="A10" s="118" t="s">
        <v>332</v>
      </c>
      <c r="B10" s="118"/>
      <c r="C10" s="118"/>
      <c r="D10" s="118"/>
      <c r="E10" s="174" t="s">
        <v>334</v>
      </c>
      <c r="F10" s="174"/>
      <c r="G10" s="174"/>
      <c r="H10" s="174"/>
      <c r="K10" s="49"/>
      <c r="L10" s="50"/>
      <c r="M10" s="50"/>
      <c r="N10" s="50"/>
      <c r="O10" s="50" t="s">
        <v>252</v>
      </c>
      <c r="P10" s="50"/>
    </row>
    <row r="11" spans="1:26" x14ac:dyDescent="0.25">
      <c r="A11" s="118" t="s">
        <v>166</v>
      </c>
      <c r="B11" s="118"/>
      <c r="C11" s="118"/>
      <c r="D11" s="118"/>
      <c r="E11" s="118">
        <v>9082495942</v>
      </c>
      <c r="F11" s="118"/>
      <c r="G11" s="118"/>
      <c r="H11" s="118"/>
      <c r="K11" s="49"/>
      <c r="L11" s="50"/>
      <c r="M11" s="50"/>
      <c r="N11" s="50"/>
      <c r="O11" s="50"/>
      <c r="P11" s="50"/>
    </row>
    <row r="12" spans="1:26" x14ac:dyDescent="0.25">
      <c r="A12" s="118" t="s">
        <v>167</v>
      </c>
      <c r="B12" s="118"/>
      <c r="C12" s="118"/>
      <c r="D12" s="118"/>
      <c r="E12" s="118" t="s">
        <v>355</v>
      </c>
      <c r="F12" s="118"/>
      <c r="G12" s="118"/>
      <c r="H12" s="118"/>
    </row>
    <row r="13" spans="1:26" x14ac:dyDescent="0.25">
      <c r="A13" s="118" t="s">
        <v>6</v>
      </c>
      <c r="B13" s="118"/>
      <c r="C13" s="118"/>
      <c r="D13" s="118"/>
      <c r="E13" s="118" t="s">
        <v>291</v>
      </c>
      <c r="F13" s="118"/>
      <c r="G13" s="118"/>
      <c r="H13" s="118"/>
    </row>
    <row r="14" spans="1:26" x14ac:dyDescent="0.25">
      <c r="A14" s="118" t="s">
        <v>170</v>
      </c>
      <c r="B14" s="118"/>
      <c r="C14" s="118"/>
      <c r="D14" s="118"/>
      <c r="E14" s="118" t="s">
        <v>285</v>
      </c>
      <c r="F14" s="118"/>
      <c r="G14" s="118"/>
      <c r="H14" s="118"/>
      <c r="S14" s="50" t="s">
        <v>178</v>
      </c>
      <c r="T14" s="50" t="s">
        <v>188</v>
      </c>
      <c r="U14" s="50" t="s">
        <v>171</v>
      </c>
      <c r="V14" s="50" t="s">
        <v>193</v>
      </c>
      <c r="W14" s="50" t="s">
        <v>211</v>
      </c>
      <c r="X14"/>
      <c r="Y14" t="s">
        <v>193</v>
      </c>
      <c r="Z14" t="e">
        <f ca="1">OFFSET($S$14,1,MATCH($G21,$S$14:$W$14,0)-1,15,1)</f>
        <v>#VALUE!</v>
      </c>
    </row>
    <row r="15" spans="1:26" x14ac:dyDescent="0.25">
      <c r="A15" s="98" t="s">
        <v>279</v>
      </c>
      <c r="B15" s="98"/>
      <c r="C15" s="98"/>
      <c r="D15" s="98"/>
      <c r="E15" s="115" t="s">
        <v>338</v>
      </c>
      <c r="F15" s="115"/>
      <c r="G15" s="115"/>
      <c r="H15" s="115"/>
      <c r="S15" s="50" t="s">
        <v>179</v>
      </c>
      <c r="T15" s="50" t="s">
        <v>186</v>
      </c>
      <c r="U15" s="50" t="s">
        <v>208</v>
      </c>
      <c r="V15" s="50" t="s">
        <v>194</v>
      </c>
      <c r="W15" s="50" t="s">
        <v>212</v>
      </c>
      <c r="X15"/>
      <c r="Y15"/>
      <c r="Z15"/>
    </row>
    <row r="16" spans="1:26" x14ac:dyDescent="0.25">
      <c r="A16" s="98" t="s">
        <v>7</v>
      </c>
      <c r="B16" s="98"/>
      <c r="C16" s="98"/>
      <c r="D16" s="98"/>
      <c r="E16" s="115" t="s">
        <v>283</v>
      </c>
      <c r="F16" s="118"/>
      <c r="G16" s="118"/>
      <c r="H16" s="118"/>
      <c r="I16" s="127" t="e">
        <f ca="1">OFFSET($D$5,1,MATCH($J14,$D$5:$H$5,0)-1,15,1)</f>
        <v>#N/A</v>
      </c>
      <c r="J16" s="128"/>
      <c r="K16" s="128"/>
      <c r="L16" s="128"/>
      <c r="M16" s="128"/>
      <c r="N16" s="128"/>
      <c r="O16" s="128"/>
      <c r="P16" s="128"/>
      <c r="S16" s="50" t="s">
        <v>180</v>
      </c>
      <c r="T16" s="50" t="s">
        <v>187</v>
      </c>
      <c r="U16" s="50" t="s">
        <v>209</v>
      </c>
      <c r="V16" s="50" t="s">
        <v>195</v>
      </c>
      <c r="W16" s="50" t="s">
        <v>225</v>
      </c>
      <c r="X16"/>
      <c r="Y16"/>
      <c r="Z16"/>
    </row>
    <row r="17" spans="1:26" ht="65.099999999999994" customHeight="1" x14ac:dyDescent="0.25">
      <c r="A17" s="115" t="s">
        <v>8</v>
      </c>
      <c r="B17" s="115"/>
      <c r="C17" s="115" t="str">
        <f>CONCATENATE((IF(OR(E9="",E9="NA"),"",E9)),", ",(IF(OR(A18="",A18="NA"),"",A18)),".",(IF(OR(C18="",C18="NA"),"",C18)),", near ",(IF(OR(C23="",C23="NA"),"",C23)),", ",(IF(OR(C20="",C20="NA"),"",C20)),", ",(IF(OR(C19="",C19="NA"),"",C19)),", ",(IF(OR(G20="",G20="NA"),"",G20)),", ",(IF(OR(C21="",C21="NA"),"",C21)),", ",(IF(OR(C22="",C22="NA"),"",C22)),", ",(IF(OR(G21="",G21="NA"),"",G21))," - ",(IF(OR(G22="",G22="NA"),"",G22)),".")</f>
        <v>Nehru Nagar Nirmal C.H.S. Ltd., CTS No.11 (Pt), S.No.229 &amp; 267 &amp; Redevelopment of building "Nehru Nagar Nirmal CHSL &amp; Building No.8", near Mangalprabhat CHS, Kedarnath Temple Road, Nehru Nagar, Kurla, Kurla (East), Kurla, Mumbai - 400024.</v>
      </c>
      <c r="D17" s="115"/>
      <c r="E17" s="115"/>
      <c r="F17" s="115"/>
      <c r="G17" s="115"/>
      <c r="H17" s="115"/>
      <c r="S17" s="50" t="s">
        <v>181</v>
      </c>
      <c r="T17" s="50" t="s">
        <v>189</v>
      </c>
      <c r="U17" s="50" t="s">
        <v>210</v>
      </c>
      <c r="V17" s="50" t="s">
        <v>196</v>
      </c>
      <c r="W17" s="50" t="s">
        <v>213</v>
      </c>
      <c r="X17"/>
      <c r="Y17"/>
      <c r="Z17"/>
    </row>
    <row r="18" spans="1:26" ht="32.1" customHeight="1" x14ac:dyDescent="0.25">
      <c r="A18" s="115" t="s">
        <v>175</v>
      </c>
      <c r="B18" s="115"/>
      <c r="C18" s="115" t="s">
        <v>286</v>
      </c>
      <c r="D18" s="115"/>
      <c r="E18" s="115"/>
      <c r="F18" s="115"/>
      <c r="G18" s="115"/>
      <c r="H18" s="115"/>
      <c r="S18" s="50" t="s">
        <v>182</v>
      </c>
      <c r="T18" s="50" t="s">
        <v>190</v>
      </c>
      <c r="U18" s="50" t="s">
        <v>171</v>
      </c>
      <c r="V18" s="50" t="s">
        <v>197</v>
      </c>
      <c r="W18" s="50" t="s">
        <v>214</v>
      </c>
      <c r="X18"/>
      <c r="Y18"/>
      <c r="Z18"/>
    </row>
    <row r="19" spans="1:26" ht="15.75" customHeight="1" x14ac:dyDescent="0.25">
      <c r="A19" s="115" t="s">
        <v>161</v>
      </c>
      <c r="B19" s="115"/>
      <c r="C19" s="115" t="s">
        <v>287</v>
      </c>
      <c r="D19" s="115"/>
      <c r="E19" s="115"/>
      <c r="F19" s="115"/>
      <c r="G19" s="115"/>
      <c r="H19" s="115"/>
      <c r="S19" s="50" t="s">
        <v>183</v>
      </c>
      <c r="T19" s="50" t="s">
        <v>188</v>
      </c>
      <c r="U19" s="50"/>
      <c r="V19" s="50" t="s">
        <v>198</v>
      </c>
      <c r="W19" s="50" t="s">
        <v>215</v>
      </c>
      <c r="X19"/>
      <c r="Y19"/>
      <c r="Z19"/>
    </row>
    <row r="20" spans="1:26" ht="15.75" customHeight="1" x14ac:dyDescent="0.25">
      <c r="A20" s="115" t="s">
        <v>9</v>
      </c>
      <c r="B20" s="115"/>
      <c r="C20" s="118" t="s">
        <v>289</v>
      </c>
      <c r="D20" s="118"/>
      <c r="E20" s="115" t="s">
        <v>68</v>
      </c>
      <c r="F20" s="115"/>
      <c r="G20" s="115" t="s">
        <v>210</v>
      </c>
      <c r="H20" s="115"/>
      <c r="S20" s="50" t="s">
        <v>184</v>
      </c>
      <c r="T20" s="50" t="s">
        <v>191</v>
      </c>
      <c r="U20" s="50"/>
      <c r="V20" s="50" t="s">
        <v>199</v>
      </c>
      <c r="W20" s="50" t="s">
        <v>216</v>
      </c>
      <c r="X20"/>
      <c r="Y20"/>
      <c r="Z20"/>
    </row>
    <row r="21" spans="1:26" x14ac:dyDescent="0.25">
      <c r="A21" s="118" t="s">
        <v>11</v>
      </c>
      <c r="B21" s="118"/>
      <c r="C21" s="115" t="s">
        <v>288</v>
      </c>
      <c r="D21" s="115"/>
      <c r="E21" s="115" t="s">
        <v>10</v>
      </c>
      <c r="F21" s="115"/>
      <c r="G21" s="176" t="s">
        <v>171</v>
      </c>
      <c r="H21" s="176"/>
      <c r="S21" s="50" t="s">
        <v>185</v>
      </c>
      <c r="T21" s="50" t="s">
        <v>192</v>
      </c>
      <c r="U21" s="50"/>
      <c r="V21" s="50" t="s">
        <v>200</v>
      </c>
      <c r="W21" s="50" t="s">
        <v>217</v>
      </c>
      <c r="X21"/>
      <c r="Y21"/>
      <c r="Z21"/>
    </row>
    <row r="22" spans="1:26" x14ac:dyDescent="0.25">
      <c r="A22" s="118" t="s">
        <v>69</v>
      </c>
      <c r="B22" s="118"/>
      <c r="C22" s="115" t="s">
        <v>210</v>
      </c>
      <c r="D22" s="115"/>
      <c r="E22" s="115" t="s">
        <v>12</v>
      </c>
      <c r="F22" s="115"/>
      <c r="G22" s="115">
        <v>400024</v>
      </c>
      <c r="H22" s="115"/>
      <c r="S22" s="50"/>
      <c r="T22" s="50"/>
      <c r="U22" s="50"/>
      <c r="V22" s="50" t="s">
        <v>201</v>
      </c>
      <c r="W22" s="50" t="s">
        <v>218</v>
      </c>
      <c r="X22"/>
      <c r="Y22"/>
      <c r="Z22"/>
    </row>
    <row r="23" spans="1:26" ht="32.25" customHeight="1" x14ac:dyDescent="0.25">
      <c r="A23" s="118" t="s">
        <v>117</v>
      </c>
      <c r="B23" s="118"/>
      <c r="C23" s="115" t="s">
        <v>292</v>
      </c>
      <c r="D23" s="115"/>
      <c r="E23" s="115" t="s">
        <v>13</v>
      </c>
      <c r="F23" s="115"/>
      <c r="G23" s="115" t="s">
        <v>290</v>
      </c>
      <c r="H23" s="115"/>
      <c r="S23" s="50"/>
      <c r="T23" s="50"/>
      <c r="U23" s="50"/>
      <c r="V23" s="50" t="s">
        <v>202</v>
      </c>
      <c r="W23" s="50" t="s">
        <v>219</v>
      </c>
      <c r="X23"/>
      <c r="Y23"/>
      <c r="Z23"/>
    </row>
    <row r="24" spans="1:26" ht="15" customHeight="1" x14ac:dyDescent="0.25">
      <c r="A24" s="138" t="s">
        <v>70</v>
      </c>
      <c r="B24" s="138"/>
      <c r="C24" s="138"/>
      <c r="D24" s="138"/>
      <c r="E24" s="118" t="s">
        <v>14</v>
      </c>
      <c r="F24" s="118"/>
      <c r="G24" s="118"/>
      <c r="H24" s="118"/>
      <c r="S24" s="50"/>
      <c r="T24" s="50"/>
      <c r="U24" s="50"/>
      <c r="V24" s="50" t="s">
        <v>203</v>
      </c>
      <c r="W24" s="50" t="s">
        <v>220</v>
      </c>
      <c r="X24"/>
      <c r="Y24"/>
      <c r="Z24"/>
    </row>
    <row r="25" spans="1:26" ht="18.75" customHeight="1" x14ac:dyDescent="0.25">
      <c r="A25" s="138"/>
      <c r="B25" s="138"/>
      <c r="C25" s="138"/>
      <c r="D25" s="138"/>
      <c r="E25" s="118"/>
      <c r="F25" s="118"/>
      <c r="G25" s="118"/>
      <c r="H25" s="118"/>
      <c r="S25" s="50"/>
      <c r="T25" s="50"/>
      <c r="U25" s="50"/>
      <c r="V25" s="50" t="s">
        <v>204</v>
      </c>
      <c r="W25" s="50" t="s">
        <v>221</v>
      </c>
      <c r="X25"/>
      <c r="Y25"/>
      <c r="Z25"/>
    </row>
    <row r="26" spans="1:26" ht="15" customHeight="1" x14ac:dyDescent="0.25">
      <c r="A26" s="138" t="s">
        <v>15</v>
      </c>
      <c r="B26" s="138"/>
      <c r="C26" s="138"/>
      <c r="D26" s="138"/>
      <c r="E26" s="115" t="s">
        <v>16</v>
      </c>
      <c r="F26" s="115"/>
      <c r="G26" s="115"/>
      <c r="H26" s="115"/>
      <c r="S26" s="50"/>
      <c r="T26" s="50"/>
      <c r="U26" s="50"/>
      <c r="V26" s="50" t="s">
        <v>205</v>
      </c>
      <c r="W26" s="50" t="s">
        <v>222</v>
      </c>
      <c r="X26"/>
      <c r="Y26"/>
      <c r="Z26"/>
    </row>
    <row r="27" spans="1:26" ht="15" customHeight="1" x14ac:dyDescent="0.25">
      <c r="A27" s="98" t="s">
        <v>17</v>
      </c>
      <c r="B27" s="98"/>
      <c r="C27" s="98"/>
      <c r="D27" s="98"/>
      <c r="E27" s="115" t="str">
        <f>IF(AND(G21="Mumbai"),"Upper Class","Middle Class")</f>
        <v>Upper Class</v>
      </c>
      <c r="F27" s="115"/>
      <c r="G27" s="115"/>
      <c r="H27" s="115"/>
      <c r="S27" s="50"/>
      <c r="T27" s="50"/>
      <c r="U27" s="50"/>
      <c r="V27" s="50" t="s">
        <v>206</v>
      </c>
      <c r="W27" s="50" t="s">
        <v>223</v>
      </c>
      <c r="X27"/>
      <c r="Y27"/>
      <c r="Z27"/>
    </row>
    <row r="28" spans="1:26" x14ac:dyDescent="0.25">
      <c r="A28" s="98" t="s">
        <v>18</v>
      </c>
      <c r="B28" s="98"/>
      <c r="C28" s="98"/>
      <c r="D28" s="98"/>
      <c r="E28" s="115" t="s">
        <v>19</v>
      </c>
      <c r="F28" s="115"/>
      <c r="G28" s="115"/>
      <c r="H28" s="115"/>
      <c r="S28" s="50"/>
      <c r="T28" s="50"/>
      <c r="U28" s="50"/>
      <c r="V28" s="50" t="s">
        <v>207</v>
      </c>
      <c r="W28" s="50" t="s">
        <v>224</v>
      </c>
      <c r="X28"/>
      <c r="Y28"/>
      <c r="Z28"/>
    </row>
    <row r="29" spans="1:26" ht="15.75" customHeight="1" x14ac:dyDescent="0.25">
      <c r="A29" s="98" t="s">
        <v>20</v>
      </c>
      <c r="B29" s="98"/>
      <c r="C29" s="98"/>
      <c r="D29" s="98"/>
      <c r="E29" s="115" t="str">
        <f>IF(AND(G21="Mumbai"),"Developed","Developing")</f>
        <v>Developed</v>
      </c>
      <c r="F29" s="115"/>
      <c r="G29" s="115"/>
      <c r="H29" s="115"/>
    </row>
    <row r="30" spans="1:26" x14ac:dyDescent="0.25">
      <c r="A30" s="98" t="s">
        <v>21</v>
      </c>
      <c r="B30" s="98"/>
      <c r="C30" s="98"/>
      <c r="D30" s="98"/>
      <c r="E30" s="115" t="s">
        <v>22</v>
      </c>
      <c r="F30" s="115"/>
      <c r="G30" s="115"/>
      <c r="H30" s="115"/>
    </row>
    <row r="31" spans="1:26" ht="15.75" customHeight="1" x14ac:dyDescent="0.25">
      <c r="A31" s="98" t="s">
        <v>75</v>
      </c>
      <c r="B31" s="98"/>
      <c r="C31" s="98"/>
      <c r="D31" s="98"/>
      <c r="E31" s="115" t="s">
        <v>76</v>
      </c>
      <c r="F31" s="115"/>
      <c r="G31" s="115"/>
      <c r="H31" s="115"/>
    </row>
    <row r="32" spans="1:26" ht="15" customHeight="1" x14ac:dyDescent="0.25">
      <c r="A32" s="98" t="s">
        <v>29</v>
      </c>
      <c r="B32" s="98"/>
      <c r="C32" s="98"/>
      <c r="D32" s="98"/>
      <c r="E32" s="115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</v>
      </c>
      <c r="F32" s="115"/>
      <c r="G32" s="115"/>
      <c r="H32" s="115"/>
    </row>
    <row r="33" spans="1:19" ht="15.75" customHeight="1" x14ac:dyDescent="0.25">
      <c r="A33" s="98" t="s">
        <v>87</v>
      </c>
      <c r="B33" s="98"/>
      <c r="C33" s="98"/>
      <c r="D33" s="98"/>
      <c r="E33" s="115" t="s">
        <v>30</v>
      </c>
      <c r="F33" s="115"/>
      <c r="G33" s="115"/>
      <c r="H33" s="115"/>
    </row>
    <row r="34" spans="1:19" s="19" customFormat="1" x14ac:dyDescent="0.25">
      <c r="A34" s="142" t="s">
        <v>88</v>
      </c>
      <c r="B34" s="142"/>
      <c r="C34" s="179" t="s">
        <v>172</v>
      </c>
      <c r="D34" s="180"/>
      <c r="E34" s="181"/>
      <c r="F34" s="179" t="s">
        <v>28</v>
      </c>
      <c r="G34" s="180"/>
      <c r="H34" s="181"/>
      <c r="S34" s="19" t="e">
        <f ca="1">OFFSET($S$14,1,MATCH($G21,$S$14:$W$14,0)-1,15,1)</f>
        <v>#VALUE!</v>
      </c>
    </row>
    <row r="35" spans="1:19" s="19" customFormat="1" x14ac:dyDescent="0.25">
      <c r="A35" s="141" t="s">
        <v>23</v>
      </c>
      <c r="B35" s="141" t="s">
        <v>27</v>
      </c>
      <c r="C35" s="112" t="s">
        <v>295</v>
      </c>
      <c r="D35" s="113"/>
      <c r="E35" s="114"/>
      <c r="F35" s="112" t="s">
        <v>289</v>
      </c>
      <c r="G35" s="113"/>
      <c r="H35" s="114"/>
    </row>
    <row r="36" spans="1:19" x14ac:dyDescent="0.25">
      <c r="A36" s="141" t="s">
        <v>24</v>
      </c>
      <c r="B36" s="141" t="s">
        <v>27</v>
      </c>
      <c r="C36" s="112" t="s">
        <v>293</v>
      </c>
      <c r="D36" s="113"/>
      <c r="E36" s="114"/>
      <c r="F36" s="112" t="s">
        <v>293</v>
      </c>
      <c r="G36" s="113"/>
      <c r="H36" s="114"/>
    </row>
    <row r="37" spans="1:19" s="19" customFormat="1" x14ac:dyDescent="0.25">
      <c r="A37" s="141" t="s">
        <v>26</v>
      </c>
      <c r="B37" s="141" t="s">
        <v>27</v>
      </c>
      <c r="C37" s="112" t="s">
        <v>296</v>
      </c>
      <c r="D37" s="113"/>
      <c r="E37" s="114"/>
      <c r="F37" s="112" t="s">
        <v>294</v>
      </c>
      <c r="G37" s="113"/>
      <c r="H37" s="114"/>
    </row>
    <row r="38" spans="1:19" x14ac:dyDescent="0.25">
      <c r="A38" s="141" t="s">
        <v>25</v>
      </c>
      <c r="B38" s="141" t="s">
        <v>27</v>
      </c>
      <c r="C38" s="112" t="s">
        <v>297</v>
      </c>
      <c r="D38" s="113"/>
      <c r="E38" s="114"/>
      <c r="F38" s="112" t="s">
        <v>292</v>
      </c>
      <c r="G38" s="113"/>
      <c r="H38" s="114"/>
    </row>
    <row r="39" spans="1:19" x14ac:dyDescent="0.25">
      <c r="A39" s="98" t="s">
        <v>280</v>
      </c>
      <c r="B39" s="98"/>
      <c r="C39" s="98"/>
      <c r="D39" s="98"/>
      <c r="E39" s="98"/>
      <c r="F39" s="98"/>
      <c r="G39" s="98"/>
      <c r="H39" s="98"/>
    </row>
    <row r="40" spans="1:19" ht="15.75" customHeight="1" x14ac:dyDescent="0.25">
      <c r="A40" s="98" t="s">
        <v>164</v>
      </c>
      <c r="B40" s="98"/>
      <c r="C40" s="150" t="s">
        <v>341</v>
      </c>
      <c r="D40" s="150"/>
      <c r="E40" s="150"/>
      <c r="F40" s="150"/>
      <c r="G40" s="150"/>
      <c r="H40" s="150"/>
    </row>
    <row r="41" spans="1:19" x14ac:dyDescent="0.25">
      <c r="A41" s="98" t="s">
        <v>160</v>
      </c>
      <c r="B41" s="98"/>
      <c r="C41" s="178" t="s">
        <v>284</v>
      </c>
      <c r="D41" s="115"/>
      <c r="E41" s="115"/>
      <c r="F41" s="115"/>
      <c r="G41" s="115"/>
      <c r="H41" s="115"/>
    </row>
    <row r="42" spans="1:19" x14ac:dyDescent="0.25">
      <c r="A42" s="150" t="s">
        <v>31</v>
      </c>
      <c r="B42" s="150"/>
      <c r="C42" s="150"/>
      <c r="D42" s="150"/>
      <c r="E42" s="150"/>
      <c r="F42" s="150"/>
      <c r="G42" s="150"/>
      <c r="H42" s="150"/>
    </row>
    <row r="43" spans="1:19" x14ac:dyDescent="0.25">
      <c r="A43" s="98" t="s">
        <v>32</v>
      </c>
      <c r="B43" s="98"/>
      <c r="C43" s="98"/>
      <c r="D43" s="98"/>
      <c r="E43" s="177">
        <v>952.57</v>
      </c>
      <c r="F43" s="177"/>
      <c r="G43" s="177"/>
      <c r="H43" s="177"/>
    </row>
    <row r="44" spans="1:19" x14ac:dyDescent="0.25">
      <c r="A44" s="98" t="s">
        <v>33</v>
      </c>
      <c r="B44" s="98"/>
      <c r="C44" s="98"/>
      <c r="D44" s="98"/>
      <c r="E44" s="132">
        <v>3</v>
      </c>
      <c r="F44" s="132"/>
      <c r="G44" s="132"/>
      <c r="H44" s="132"/>
    </row>
    <row r="45" spans="1:19" x14ac:dyDescent="0.25">
      <c r="A45" s="98" t="s">
        <v>34</v>
      </c>
      <c r="B45" s="98"/>
      <c r="C45" s="98"/>
      <c r="D45" s="98"/>
      <c r="E45" s="132">
        <f>E47/E43-E44</f>
        <v>2.6295180406689269</v>
      </c>
      <c r="F45" s="132"/>
      <c r="G45" s="132"/>
      <c r="H45" s="132"/>
    </row>
    <row r="46" spans="1:19" x14ac:dyDescent="0.25">
      <c r="A46" s="98" t="s">
        <v>35</v>
      </c>
      <c r="B46" s="98"/>
      <c r="C46" s="98"/>
      <c r="D46" s="98"/>
      <c r="E46" s="132">
        <f>E44+E45</f>
        <v>5.6295180406689269</v>
      </c>
      <c r="F46" s="132"/>
      <c r="G46" s="132"/>
      <c r="H46" s="132"/>
    </row>
    <row r="47" spans="1:19" x14ac:dyDescent="0.25">
      <c r="A47" s="98" t="s">
        <v>86</v>
      </c>
      <c r="B47" s="98"/>
      <c r="C47" s="98"/>
      <c r="D47" s="98"/>
      <c r="E47" s="184">
        <v>5362.51</v>
      </c>
      <c r="F47" s="184"/>
      <c r="G47" s="184"/>
      <c r="H47" s="184"/>
    </row>
    <row r="48" spans="1:19" x14ac:dyDescent="0.25">
      <c r="A48" s="118" t="s">
        <v>36</v>
      </c>
      <c r="B48" s="118"/>
      <c r="C48" s="118"/>
      <c r="D48" s="118"/>
      <c r="E48" s="118" t="s">
        <v>298</v>
      </c>
      <c r="F48" s="118"/>
      <c r="G48" s="118"/>
      <c r="H48" s="118"/>
    </row>
    <row r="49" spans="1:22" x14ac:dyDescent="0.25">
      <c r="A49" s="150" t="s">
        <v>37</v>
      </c>
      <c r="B49" s="150"/>
      <c r="C49" s="150"/>
      <c r="D49" s="150"/>
      <c r="E49" s="150"/>
      <c r="F49" s="150"/>
      <c r="G49" s="150"/>
      <c r="H49" s="150"/>
    </row>
    <row r="50" spans="1:22" ht="33.75" customHeight="1" x14ac:dyDescent="0.25">
      <c r="A50" s="135" t="s">
        <v>149</v>
      </c>
      <c r="B50" s="136"/>
      <c r="C50" s="210" t="s">
        <v>256</v>
      </c>
      <c r="D50" s="211"/>
      <c r="E50" s="211"/>
      <c r="F50" s="211"/>
      <c r="G50" s="211"/>
      <c r="H50" s="212"/>
      <c r="R50" t="s">
        <v>253</v>
      </c>
      <c r="S50" t="s">
        <v>171</v>
      </c>
      <c r="T50" t="s">
        <v>178</v>
      </c>
      <c r="U50" t="s">
        <v>193</v>
      </c>
      <c r="V50" t="s">
        <v>188</v>
      </c>
    </row>
    <row r="51" spans="1:22" ht="15.75" customHeight="1" x14ac:dyDescent="0.25">
      <c r="A51" s="135" t="s">
        <v>38</v>
      </c>
      <c r="B51" s="136"/>
      <c r="C51" s="135" t="s">
        <v>299</v>
      </c>
      <c r="D51" s="185"/>
      <c r="E51" s="136"/>
      <c r="F51" s="17" t="s">
        <v>39</v>
      </c>
      <c r="G51" s="133">
        <v>45259</v>
      </c>
      <c r="H51" s="134"/>
      <c r="R51"/>
      <c r="S51" t="s">
        <v>254</v>
      </c>
      <c r="T51" t="s">
        <v>259</v>
      </c>
      <c r="U51" t="s">
        <v>270</v>
      </c>
      <c r="V51" t="s">
        <v>275</v>
      </c>
    </row>
    <row r="52" spans="1:22" x14ac:dyDescent="0.25">
      <c r="A52" s="135" t="s">
        <v>40</v>
      </c>
      <c r="B52" s="136"/>
      <c r="C52" s="135" t="str">
        <f>C51</f>
        <v>Mhada-22/1205/2022</v>
      </c>
      <c r="D52" s="185"/>
      <c r="E52" s="136"/>
      <c r="F52" s="17" t="s">
        <v>39</v>
      </c>
      <c r="G52" s="133">
        <f>G51</f>
        <v>45259</v>
      </c>
      <c r="H52" s="134"/>
      <c r="R52"/>
      <c r="S52" t="s">
        <v>255</v>
      </c>
      <c r="T52" t="s">
        <v>260</v>
      </c>
      <c r="U52" t="s">
        <v>268</v>
      </c>
      <c r="V52" t="s">
        <v>276</v>
      </c>
    </row>
    <row r="53" spans="1:22" s="20" customFormat="1" ht="31.5" customHeight="1" x14ac:dyDescent="0.25">
      <c r="A53" s="195" t="s">
        <v>153</v>
      </c>
      <c r="B53" s="196"/>
      <c r="C53" s="135" t="s">
        <v>301</v>
      </c>
      <c r="D53" s="185"/>
      <c r="E53" s="136"/>
      <c r="F53" s="17" t="s">
        <v>39</v>
      </c>
      <c r="G53" s="133">
        <v>44984</v>
      </c>
      <c r="H53" s="134"/>
      <c r="R53"/>
      <c r="S53" t="s">
        <v>256</v>
      </c>
      <c r="T53" t="s">
        <v>261</v>
      </c>
      <c r="U53" t="s">
        <v>258</v>
      </c>
      <c r="V53" t="s">
        <v>277</v>
      </c>
    </row>
    <row r="54" spans="1:22" s="20" customFormat="1" ht="48.75" customHeight="1" x14ac:dyDescent="0.25">
      <c r="A54" s="197"/>
      <c r="B54" s="198"/>
      <c r="C54" s="135" t="s">
        <v>300</v>
      </c>
      <c r="D54" s="185"/>
      <c r="E54" s="136"/>
      <c r="F54" s="17" t="s">
        <v>116</v>
      </c>
      <c r="G54" s="133">
        <v>45348</v>
      </c>
      <c r="H54" s="134"/>
      <c r="R54"/>
      <c r="S54" t="s">
        <v>257</v>
      </c>
      <c r="T54" t="s">
        <v>264</v>
      </c>
      <c r="U54" t="s">
        <v>271</v>
      </c>
    </row>
    <row r="55" spans="1:22" s="20" customFormat="1" ht="31.5" customHeight="1" x14ac:dyDescent="0.25">
      <c r="A55" s="195" t="s">
        <v>153</v>
      </c>
      <c r="B55" s="196"/>
      <c r="C55" s="135" t="s">
        <v>342</v>
      </c>
      <c r="D55" s="185"/>
      <c r="E55" s="136"/>
      <c r="F55" s="17" t="s">
        <v>39</v>
      </c>
      <c r="G55" s="133">
        <v>45307</v>
      </c>
      <c r="H55" s="134"/>
      <c r="R55"/>
      <c r="S55" t="s">
        <v>256</v>
      </c>
      <c r="T55" t="s">
        <v>261</v>
      </c>
      <c r="U55" t="s">
        <v>258</v>
      </c>
      <c r="V55" t="s">
        <v>277</v>
      </c>
    </row>
    <row r="56" spans="1:22" s="20" customFormat="1" ht="96.75" customHeight="1" x14ac:dyDescent="0.25">
      <c r="A56" s="197"/>
      <c r="B56" s="198"/>
      <c r="C56" s="135" t="s">
        <v>361</v>
      </c>
      <c r="D56" s="185"/>
      <c r="E56" s="136"/>
      <c r="F56" s="17" t="s">
        <v>116</v>
      </c>
      <c r="G56" s="133">
        <v>45714</v>
      </c>
      <c r="H56" s="134"/>
      <c r="R56"/>
      <c r="S56" t="s">
        <v>257</v>
      </c>
      <c r="T56" t="s">
        <v>264</v>
      </c>
      <c r="U56" t="s">
        <v>271</v>
      </c>
    </row>
    <row r="57" spans="1:22" x14ac:dyDescent="0.25">
      <c r="A57" s="129" t="s">
        <v>41</v>
      </c>
      <c r="B57" s="130"/>
      <c r="C57" s="129" t="s">
        <v>98</v>
      </c>
      <c r="D57" s="131"/>
      <c r="E57" s="130"/>
      <c r="F57" s="40" t="s">
        <v>39</v>
      </c>
      <c r="G57" s="139" t="s">
        <v>27</v>
      </c>
      <c r="H57" s="140"/>
      <c r="R57"/>
      <c r="S57" t="s">
        <v>258</v>
      </c>
      <c r="T57" t="s">
        <v>262</v>
      </c>
      <c r="U57" t="s">
        <v>272</v>
      </c>
    </row>
    <row r="58" spans="1:22" x14ac:dyDescent="0.25">
      <c r="A58" s="137" t="s">
        <v>43</v>
      </c>
      <c r="B58" s="137"/>
      <c r="C58" s="137"/>
      <c r="D58" s="137"/>
      <c r="E58" s="137"/>
      <c r="F58" s="137"/>
      <c r="G58" s="137"/>
      <c r="H58" s="137"/>
      <c r="T58" t="s">
        <v>263</v>
      </c>
      <c r="U58" t="s">
        <v>273</v>
      </c>
    </row>
    <row r="59" spans="1:22" x14ac:dyDescent="0.25">
      <c r="A59" s="138" t="s">
        <v>85</v>
      </c>
      <c r="B59" s="138"/>
      <c r="C59" s="138"/>
      <c r="D59" s="98">
        <f>E47</f>
        <v>5362.51</v>
      </c>
      <c r="E59" s="98"/>
      <c r="F59" s="98"/>
      <c r="G59" s="98"/>
      <c r="H59" s="98"/>
      <c r="R59"/>
      <c r="T59" t="s">
        <v>265</v>
      </c>
      <c r="U59" t="s">
        <v>274</v>
      </c>
    </row>
    <row r="60" spans="1:22" x14ac:dyDescent="0.25">
      <c r="A60" s="115" t="s">
        <v>44</v>
      </c>
      <c r="B60" s="118"/>
      <c r="C60" s="118"/>
      <c r="D60" s="118" t="s">
        <v>348</v>
      </c>
      <c r="E60" s="118"/>
      <c r="F60" s="118"/>
      <c r="G60" s="118"/>
      <c r="H60" s="118"/>
      <c r="I60" s="21"/>
      <c r="R60"/>
      <c r="T60" t="s">
        <v>266</v>
      </c>
    </row>
    <row r="61" spans="1:22" x14ac:dyDescent="0.25">
      <c r="A61" s="186" t="s">
        <v>45</v>
      </c>
      <c r="B61" s="187"/>
      <c r="C61" s="192"/>
      <c r="D61" s="147" t="s">
        <v>353</v>
      </c>
      <c r="E61" s="191"/>
      <c r="F61" s="191"/>
      <c r="G61" s="191"/>
      <c r="H61" s="191"/>
      <c r="R61"/>
      <c r="T61" t="s">
        <v>267</v>
      </c>
    </row>
    <row r="62" spans="1:22" ht="15.75" customHeight="1" x14ac:dyDescent="0.25">
      <c r="A62" s="186" t="s">
        <v>83</v>
      </c>
      <c r="B62" s="187"/>
      <c r="C62" s="187"/>
      <c r="D62" s="188" t="s">
        <v>353</v>
      </c>
      <c r="E62" s="189"/>
      <c r="F62" s="189"/>
      <c r="G62" s="189"/>
      <c r="H62" s="190"/>
      <c r="R62"/>
      <c r="T62" t="s">
        <v>269</v>
      </c>
    </row>
    <row r="63" spans="1:22" ht="15.75" customHeight="1" x14ac:dyDescent="0.25">
      <c r="A63" s="98" t="s">
        <v>42</v>
      </c>
      <c r="B63" s="98"/>
      <c r="C63" s="98"/>
      <c r="D63" s="182" t="s">
        <v>302</v>
      </c>
      <c r="E63" s="182"/>
      <c r="F63" s="182"/>
      <c r="G63" s="182"/>
      <c r="H63" s="182"/>
      <c r="J63" s="22"/>
      <c r="K63" s="21"/>
      <c r="N63" s="21"/>
      <c r="S63"/>
    </row>
    <row r="64" spans="1:22" ht="15.75" customHeight="1" x14ac:dyDescent="0.25">
      <c r="A64" s="98" t="s">
        <v>81</v>
      </c>
      <c r="B64" s="98"/>
      <c r="C64" s="98"/>
      <c r="D64" s="183" t="str">
        <f>(IF(G57="NA","60 Years After Completion",IF(G57&lt;&gt;"NA",""&amp;60-ROUNDDOWN((E3-G57)/360,0)&amp;" Years"," ")))</f>
        <v>60 Years After Completion</v>
      </c>
      <c r="E64" s="183"/>
      <c r="F64" s="183"/>
      <c r="G64" s="183"/>
      <c r="H64" s="183"/>
      <c r="N64" s="21"/>
      <c r="S64"/>
    </row>
    <row r="65" spans="1:19" ht="15.75" customHeight="1" x14ac:dyDescent="0.25">
      <c r="A65" s="98" t="s">
        <v>82</v>
      </c>
      <c r="B65" s="98"/>
      <c r="C65" s="98"/>
      <c r="D65" s="138" t="s">
        <v>22</v>
      </c>
      <c r="E65" s="138"/>
      <c r="F65" s="138"/>
      <c r="G65" s="138"/>
      <c r="H65" s="138"/>
      <c r="J65" s="23"/>
      <c r="K65" s="23"/>
      <c r="S65"/>
    </row>
    <row r="66" spans="1:19" ht="47.45" customHeight="1" x14ac:dyDescent="0.25">
      <c r="A66" s="118" t="s">
        <v>337</v>
      </c>
      <c r="B66" s="118"/>
      <c r="C66" s="118"/>
      <c r="D66" s="115" t="s">
        <v>336</v>
      </c>
      <c r="E66" s="138"/>
      <c r="F66" s="138"/>
      <c r="G66" s="138"/>
      <c r="H66" s="138"/>
      <c r="S66"/>
    </row>
    <row r="67" spans="1:19" x14ac:dyDescent="0.25">
      <c r="A67" s="138" t="s">
        <v>145</v>
      </c>
      <c r="B67" s="138"/>
      <c r="C67" s="138"/>
      <c r="D67" s="138" t="s">
        <v>27</v>
      </c>
      <c r="E67" s="138"/>
      <c r="F67" s="138"/>
      <c r="G67" s="138"/>
      <c r="H67" s="138"/>
      <c r="I67" s="24"/>
      <c r="J67" s="24"/>
      <c r="K67" s="24"/>
      <c r="L67" s="24"/>
      <c r="M67" s="24"/>
      <c r="N67" s="24"/>
    </row>
    <row r="68" spans="1:19" ht="15.75" customHeight="1" x14ac:dyDescent="0.25">
      <c r="A68" s="149" t="s">
        <v>80</v>
      </c>
      <c r="B68" s="149"/>
      <c r="C68" s="149"/>
      <c r="D68" s="147" t="str">
        <f ca="1">(IF(G88&gt;95%,"Nothing",IF(G88&gt;0%,"Cement, Aggregate, Steel, etc",IF(G88=0%,"Work not yet Started"))))</f>
        <v>Cement, Aggregate, Steel, etc</v>
      </c>
      <c r="E68" s="147"/>
      <c r="F68" s="147"/>
      <c r="G68" s="147"/>
      <c r="H68" s="147"/>
      <c r="J68" s="23"/>
      <c r="S68"/>
    </row>
    <row r="69" spans="1:19" ht="33.75" customHeight="1" thickBot="1" x14ac:dyDescent="0.3">
      <c r="A69" s="146" t="s">
        <v>111</v>
      </c>
      <c r="B69" s="146"/>
      <c r="C69" s="146"/>
      <c r="D69" s="147" t="str">
        <f ca="1">(IF(D68="Nothing","Yes",IF(D68="Cement, Aggregate, Steel, etc","Under Construction",IF(D68="Work not yet Started","Work not yet Started"))))</f>
        <v>Under Construction</v>
      </c>
      <c r="E69" s="147"/>
      <c r="F69" s="147" t="str">
        <f ca="1">(IF(D68="Nothing","Yes",IF(D68="Cement, Aggregate, Steel, etc","Under Construction",IF(D68="Work not yet Started","Work not yet Started"))))</f>
        <v>Under Construction</v>
      </c>
      <c r="G69" s="147"/>
      <c r="H69" s="147"/>
      <c r="S69"/>
    </row>
    <row r="70" spans="1:19" ht="15.75" customHeight="1" x14ac:dyDescent="0.25">
      <c r="A70" s="217" t="s">
        <v>135</v>
      </c>
      <c r="B70" s="218"/>
      <c r="C70" s="219" t="s">
        <v>358</v>
      </c>
      <c r="D70" s="220"/>
      <c r="E70" s="220"/>
      <c r="F70" s="220"/>
      <c r="G70" s="220"/>
      <c r="H70" s="221"/>
      <c r="I70" s="42" t="str">
        <f ca="1">IF(D83=100%,"All work Completed. Possession granted to the Building.",IF(D82=100%,"All work Completed, Waiting for OC",I71&amp;""&amp;I72&amp;""&amp;J71&amp;""&amp;J70&amp;" "&amp;J72))</f>
        <v>Excavation, Plinth, RCC Slab, Brickwork, Internal Plaster Completed, External Plaster upto 9 Floor, Flooring upto 3 Floor Completed</v>
      </c>
      <c r="J70" s="43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External Plaster upto 9 Floor, Flooring upto 3 Floor</v>
      </c>
      <c r="S70"/>
    </row>
    <row r="71" spans="1:19" x14ac:dyDescent="0.25">
      <c r="A71" s="15" t="s">
        <v>137</v>
      </c>
      <c r="B71" s="47">
        <f>IF(AND(ISNUMBER(SEARCH("1B",C70))),1,IF(AND(ISNUMBER(SEARCH("2B",C70))),2,IF(AND(ISNUMBER(SEARCH("3B",C70))),3,IF(AND(ISNUMBER(SEARCH("4B",C70))),4,IF(ISNUMBER(SEARCH("5B",C70)),5,0)))))</f>
        <v>1</v>
      </c>
      <c r="C71" s="47" t="s">
        <v>67</v>
      </c>
      <c r="D71" s="47">
        <v>1</v>
      </c>
      <c r="E71" s="47" t="s">
        <v>66</v>
      </c>
      <c r="F71" s="47">
        <v>0</v>
      </c>
      <c r="G71" s="47" t="s">
        <v>74</v>
      </c>
      <c r="H71" s="16">
        <f ca="1">--TRIM(RIGHT(SUBSTITUTE(LEFT(C70,_xlfn.AGGREGATE(16,6,FIND({0,1,2,3,4,5,6,7,8,9},C70,ROW(INDIRECT("1:"&amp;LEN(C70)))),1))," ",REPT(" ",LEN(C70))),LEN(C70)))</f>
        <v>13</v>
      </c>
      <c r="I71" s="44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Brickwork, Internal Plaster</v>
      </c>
      <c r="J71" s="45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  <c r="S71"/>
    </row>
    <row r="72" spans="1:19" ht="32.25" customHeight="1" x14ac:dyDescent="0.25">
      <c r="A72" s="216" t="s">
        <v>84</v>
      </c>
      <c r="B72" s="174"/>
      <c r="C72" s="222" t="str">
        <f ca="1">I70</f>
        <v>Excavation, Plinth, RCC Slab, Brickwork, Internal Plaster Completed, External Plaster upto 9 Floor, Flooring upto 3 Floor Completed</v>
      </c>
      <c r="D72" s="222"/>
      <c r="E72" s="222"/>
      <c r="F72" s="222"/>
      <c r="G72" s="222"/>
      <c r="H72" s="223"/>
      <c r="I72" s="44" t="str">
        <f ca="1">IF(I71&lt;&gt;""," Completed","")</f>
        <v xml:space="preserve"> Completed</v>
      </c>
      <c r="J72" s="45" t="str">
        <f ca="1">IF(J70&lt;&gt;"","Completed","")</f>
        <v>Completed</v>
      </c>
      <c r="S72"/>
    </row>
    <row r="73" spans="1:19" ht="15.75" customHeight="1" x14ac:dyDescent="0.25">
      <c r="A73" s="143" t="s">
        <v>46</v>
      </c>
      <c r="B73" s="144"/>
      <c r="C73" s="78" t="s">
        <v>134</v>
      </c>
      <c r="D73" s="78" t="s">
        <v>77</v>
      </c>
      <c r="E73" s="145" t="s">
        <v>79</v>
      </c>
      <c r="F73" s="145"/>
      <c r="G73" s="145" t="s">
        <v>78</v>
      </c>
      <c r="H73" s="148"/>
      <c r="I73" s="13" t="s">
        <v>136</v>
      </c>
      <c r="J73" s="25">
        <f ca="1">H71*25%</f>
        <v>3.25</v>
      </c>
      <c r="S73"/>
    </row>
    <row r="74" spans="1:19" x14ac:dyDescent="0.25">
      <c r="A74" s="143" t="s">
        <v>123</v>
      </c>
      <c r="B74" s="144"/>
      <c r="C74" s="78">
        <f ca="1">J75</f>
        <v>13</v>
      </c>
      <c r="D74" s="60">
        <f ca="1">((100/H71)*C74)/100</f>
        <v>1</v>
      </c>
      <c r="E74" s="199">
        <f ca="1">(((C75/H71*10)+(40/(D71+F71+H71)*C76)+(7.5/(H71)*C77)+(7.5/(H71)*C78)+(10/H71*C79)+(10/H71*C80)+(5/H71*C81)+(5/H71*C82)+(5/H71*C83))/100)</f>
        <v>0.74230769230769222</v>
      </c>
      <c r="F74" s="200"/>
      <c r="G74" s="199">
        <f ca="1">((((C74/H71)*20)+((C75/H71)*25)+(30/(H71+F71+D71)*C76)+(5/H71*C77)+(5/H71*C78)+(5/H71*C79)+(5/H71*C80)+(0/H71*C81)+(0/H71*C82)+(5/H71*C83))/100)</f>
        <v>0.8961538461538463</v>
      </c>
      <c r="H74" s="205"/>
      <c r="I74" s="13" t="s">
        <v>93</v>
      </c>
      <c r="J74" s="26">
        <f ca="1">H71*50%</f>
        <v>6.5</v>
      </c>
    </row>
    <row r="75" spans="1:19" x14ac:dyDescent="0.25">
      <c r="A75" s="143" t="s">
        <v>47</v>
      </c>
      <c r="B75" s="144"/>
      <c r="C75" s="70">
        <f ca="1">J83</f>
        <v>13</v>
      </c>
      <c r="D75" s="60">
        <f ca="1">((100/H71)*C75)/100</f>
        <v>1</v>
      </c>
      <c r="E75" s="201"/>
      <c r="F75" s="202"/>
      <c r="G75" s="201"/>
      <c r="H75" s="206"/>
      <c r="I75" s="13" t="s">
        <v>94</v>
      </c>
      <c r="J75" s="26">
        <f ca="1">H71</f>
        <v>13</v>
      </c>
      <c r="S75"/>
    </row>
    <row r="76" spans="1:19" ht="15.75" customHeight="1" x14ac:dyDescent="0.25">
      <c r="A76" s="143" t="s">
        <v>124</v>
      </c>
      <c r="B76" s="144"/>
      <c r="C76" s="78">
        <v>14</v>
      </c>
      <c r="D76" s="60">
        <f ca="1">((100/(D71+F71+H71))*C76)/100</f>
        <v>1</v>
      </c>
      <c r="E76" s="201"/>
      <c r="F76" s="202"/>
      <c r="G76" s="201"/>
      <c r="H76" s="206"/>
      <c r="I76" s="13" t="s">
        <v>95</v>
      </c>
      <c r="J76" s="27">
        <f ca="1">(IF(B71&gt;1,(H71/(B71+2)),H71/4))</f>
        <v>3.25</v>
      </c>
      <c r="S76"/>
    </row>
    <row r="77" spans="1:19" ht="15.75" customHeight="1" x14ac:dyDescent="0.25">
      <c r="A77" s="143" t="s">
        <v>131</v>
      </c>
      <c r="B77" s="144" t="s">
        <v>125</v>
      </c>
      <c r="C77" s="78">
        <v>13</v>
      </c>
      <c r="D77" s="60">
        <f ca="1">((100/H71)*C77)/100</f>
        <v>1</v>
      </c>
      <c r="E77" s="201"/>
      <c r="F77" s="202"/>
      <c r="G77" s="201"/>
      <c r="H77" s="206"/>
      <c r="I77" s="13" t="s">
        <v>96</v>
      </c>
      <c r="J77" s="27">
        <f ca="1">(IF(B71&gt;1,(H71/(B71+2)+J76),H71/4+J76))</f>
        <v>6.5</v>
      </c>
    </row>
    <row r="78" spans="1:19" ht="15.75" customHeight="1" x14ac:dyDescent="0.25">
      <c r="A78" s="143" t="s">
        <v>132</v>
      </c>
      <c r="B78" s="144" t="s">
        <v>125</v>
      </c>
      <c r="C78" s="78">
        <v>13</v>
      </c>
      <c r="D78" s="60">
        <f ca="1">((100/H71)*C78)/100</f>
        <v>1</v>
      </c>
      <c r="E78" s="201"/>
      <c r="F78" s="202"/>
      <c r="G78" s="201"/>
      <c r="H78" s="206"/>
      <c r="I78" s="13" t="s">
        <v>143</v>
      </c>
      <c r="J78" s="27">
        <f>(IF(B71&gt;1,(H71/(B71+2)+J77),0))</f>
        <v>0</v>
      </c>
    </row>
    <row r="79" spans="1:19" ht="15" customHeight="1" x14ac:dyDescent="0.25">
      <c r="A79" s="143" t="s">
        <v>130</v>
      </c>
      <c r="B79" s="144" t="s">
        <v>127</v>
      </c>
      <c r="C79" s="78">
        <v>9</v>
      </c>
      <c r="D79" s="60">
        <f ca="1">((100/(H71))*C79)/100</f>
        <v>0.69230769230769229</v>
      </c>
      <c r="E79" s="201"/>
      <c r="F79" s="202"/>
      <c r="G79" s="201"/>
      <c r="H79" s="206"/>
      <c r="I79" s="13" t="s">
        <v>138</v>
      </c>
      <c r="J79" s="27">
        <f>(IF(B71&gt;2,(H71/(B71+2)+J78),0))</f>
        <v>0</v>
      </c>
    </row>
    <row r="80" spans="1:19" ht="15.75" customHeight="1" x14ac:dyDescent="0.25">
      <c r="A80" s="143" t="s">
        <v>126</v>
      </c>
      <c r="B80" s="144" t="s">
        <v>126</v>
      </c>
      <c r="C80" s="78">
        <v>3</v>
      </c>
      <c r="D80" s="60">
        <f ca="1">((100/H71)*C80)/100</f>
        <v>0.23076923076923075</v>
      </c>
      <c r="E80" s="201"/>
      <c r="F80" s="202"/>
      <c r="G80" s="201"/>
      <c r="H80" s="206"/>
      <c r="I80" s="13" t="s">
        <v>139</v>
      </c>
      <c r="J80" s="28">
        <f>(IF(B71&gt;3,(H71/(B71+2)+J79),0))</f>
        <v>0</v>
      </c>
    </row>
    <row r="81" spans="1:19" ht="15.75" customHeight="1" x14ac:dyDescent="0.25">
      <c r="A81" s="143" t="s">
        <v>133</v>
      </c>
      <c r="B81" s="144"/>
      <c r="C81" s="78">
        <v>0</v>
      </c>
      <c r="D81" s="60">
        <f ca="1">((100/H71)*C81)/100</f>
        <v>0</v>
      </c>
      <c r="E81" s="201"/>
      <c r="F81" s="202"/>
      <c r="G81" s="201"/>
      <c r="H81" s="206"/>
      <c r="I81" s="13" t="s">
        <v>140</v>
      </c>
      <c r="J81" s="27">
        <f>(IF(B71&gt;4,(H71/(B71+2)+J80),0))</f>
        <v>0</v>
      </c>
    </row>
    <row r="82" spans="1:19" ht="15.75" customHeight="1" x14ac:dyDescent="0.25">
      <c r="A82" s="143" t="s">
        <v>128</v>
      </c>
      <c r="B82" s="144" t="s">
        <v>128</v>
      </c>
      <c r="C82" s="78">
        <v>0</v>
      </c>
      <c r="D82" s="60">
        <f ca="1">((100/(H71))*C82)/100</f>
        <v>0</v>
      </c>
      <c r="E82" s="201"/>
      <c r="F82" s="202"/>
      <c r="G82" s="201"/>
      <c r="H82" s="206"/>
      <c r="I82" s="13" t="s">
        <v>144</v>
      </c>
      <c r="J82" s="27">
        <f ca="1">(IF(B71=1,(H71/(B71+3)+J77),IF(B71=0,(H71/4+J77),IF(B71&gt;1,0))))</f>
        <v>9.75</v>
      </c>
    </row>
    <row r="83" spans="1:19" ht="16.5" thickBot="1" x14ac:dyDescent="0.3">
      <c r="A83" s="214" t="s">
        <v>129</v>
      </c>
      <c r="B83" s="215"/>
      <c r="C83" s="61">
        <v>0</v>
      </c>
      <c r="D83" s="62">
        <f ca="1">((100/(H71))*C83)/100</f>
        <v>0</v>
      </c>
      <c r="E83" s="203"/>
      <c r="F83" s="204"/>
      <c r="G83" s="203"/>
      <c r="H83" s="207"/>
      <c r="I83" s="14" t="s">
        <v>97</v>
      </c>
      <c r="J83" s="29">
        <f ca="1">(IF(B71&gt;1.5,(H71/(B71+2)+J77+MAX(0,J78-J77)+MAX(0,J79-J78)+MAX(0,J80-J79)+MAX(0,J81-J80)+MAX(0,J82-J81)),IF(B71=1,(H71/(B71+3)+J82),IF(B71=0,H71/4+J82))))</f>
        <v>13</v>
      </c>
    </row>
    <row r="84" spans="1:19" ht="15.75" customHeight="1" x14ac:dyDescent="0.25">
      <c r="A84" s="217" t="s">
        <v>135</v>
      </c>
      <c r="B84" s="218"/>
      <c r="C84" s="219" t="s">
        <v>359</v>
      </c>
      <c r="D84" s="220"/>
      <c r="E84" s="220"/>
      <c r="F84" s="220"/>
      <c r="G84" s="220"/>
      <c r="H84" s="221"/>
      <c r="I84" s="42" t="str">
        <f ca="1">IF(D97=100%,"All work Completed. Possession granted to the Building.",IF(D96=100%,"All work Completed, Waiting for OC",I85&amp;""&amp;I86&amp;""&amp;J85&amp;""&amp;J84&amp;" "&amp;J86))</f>
        <v>Excavation, Plinth, RCC Slab, Brickwork, Internal Plaster Completed, External Plaster upto 11 Floor, Flooring upto 3 Floor Completed</v>
      </c>
      <c r="J84" s="43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>, External Plaster upto 11 Floor, Flooring upto 3 Floor</v>
      </c>
      <c r="S84"/>
    </row>
    <row r="85" spans="1:19" x14ac:dyDescent="0.25">
      <c r="A85" s="15" t="s">
        <v>137</v>
      </c>
      <c r="B85" s="46">
        <f>IF(AND(ISNUMBER(SEARCH("1B",C84))),1,IF(AND(ISNUMBER(SEARCH("2B",C84))),2,IF(AND(ISNUMBER(SEARCH("3B",C84))),3,IF(AND(ISNUMBER(SEARCH("4B",C84))),4,IF(ISNUMBER(SEARCH("5B",C84)),5,0)))))</f>
        <v>1</v>
      </c>
      <c r="C85" s="47" t="s">
        <v>67</v>
      </c>
      <c r="D85" s="47">
        <v>1</v>
      </c>
      <c r="E85" s="47" t="s">
        <v>66</v>
      </c>
      <c r="F85" s="47">
        <v>0</v>
      </c>
      <c r="G85" s="47" t="s">
        <v>74</v>
      </c>
      <c r="H85" s="16">
        <f ca="1">--TRIM(RIGHT(SUBSTITUTE(LEFT(C84,_xlfn.AGGREGATE(16,6,FIND({0,1,2,3,4,5,6,7,8,9},C84,ROW(INDIRECT("1:"&amp;LEN(C84)))),1))," ",REPT(" ",LEN(C84))),LEN(C84)))</f>
        <v>13</v>
      </c>
      <c r="I85" s="44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Plinth, RCC Slab, Brickwork, Internal Plaster</v>
      </c>
      <c r="J85" s="45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  <c r="S85"/>
    </row>
    <row r="86" spans="1:19" ht="32.25" customHeight="1" x14ac:dyDescent="0.25">
      <c r="A86" s="216" t="s">
        <v>84</v>
      </c>
      <c r="B86" s="174"/>
      <c r="C86" s="222" t="str">
        <f ca="1">I84</f>
        <v>Excavation, Plinth, RCC Slab, Brickwork, Internal Plaster Completed, External Plaster upto 11 Floor, Flooring upto 3 Floor Completed</v>
      </c>
      <c r="D86" s="222"/>
      <c r="E86" s="222"/>
      <c r="F86" s="222"/>
      <c r="G86" s="222"/>
      <c r="H86" s="223"/>
      <c r="I86" s="44" t="str">
        <f ca="1">IF(I85&lt;&gt;""," Completed","")</f>
        <v xml:space="preserve"> Completed</v>
      </c>
      <c r="J86" s="45" t="str">
        <f ca="1">IF(J84&lt;&gt;"","Completed","")</f>
        <v>Completed</v>
      </c>
      <c r="S86"/>
    </row>
    <row r="87" spans="1:19" ht="15.75" customHeight="1" x14ac:dyDescent="0.25">
      <c r="A87" s="143" t="s">
        <v>46</v>
      </c>
      <c r="B87" s="144"/>
      <c r="C87" s="59" t="s">
        <v>134</v>
      </c>
      <c r="D87" s="59" t="s">
        <v>77</v>
      </c>
      <c r="E87" s="145" t="s">
        <v>79</v>
      </c>
      <c r="F87" s="145"/>
      <c r="G87" s="145" t="s">
        <v>78</v>
      </c>
      <c r="H87" s="148"/>
      <c r="I87" s="13" t="s">
        <v>136</v>
      </c>
      <c r="J87" s="25">
        <f ca="1">H85*25%</f>
        <v>3.25</v>
      </c>
      <c r="S87"/>
    </row>
    <row r="88" spans="1:19" x14ac:dyDescent="0.25">
      <c r="A88" s="143" t="s">
        <v>123</v>
      </c>
      <c r="B88" s="144"/>
      <c r="C88" s="59">
        <f ca="1">J89</f>
        <v>13</v>
      </c>
      <c r="D88" s="60">
        <f ca="1">((100/H85)*C88)/100</f>
        <v>1</v>
      </c>
      <c r="E88" s="199">
        <f ca="1">(((C89/H85*10)+(40/(D85+F85+H85)*C90)+(7.5/(H85)*C91)+(7.5/(H85)*C92)+(10/H85*C93)+(10/H85*C94)+(5/H85*C95)+(5/H85*C96)+(5/H85*C97))/100)</f>
        <v>0.75769230769230778</v>
      </c>
      <c r="F88" s="200"/>
      <c r="G88" s="199">
        <f ca="1">((((C88/H85)*20)+((C89/H85)*25)+(30/(H85+F85+D85)*C90)+(5/H85*C91)+(5/H85*C92)+(5/H85*C93)+(5/H85*C94)+(0/H85*C95)+(0/H85*C96)+(5/H85*C97))/100)</f>
        <v>0.90384615384615385</v>
      </c>
      <c r="H88" s="205"/>
      <c r="I88" s="13" t="s">
        <v>93</v>
      </c>
      <c r="J88" s="26">
        <f ca="1">H85*50%</f>
        <v>6.5</v>
      </c>
    </row>
    <row r="89" spans="1:19" x14ac:dyDescent="0.25">
      <c r="A89" s="143" t="s">
        <v>47</v>
      </c>
      <c r="B89" s="144"/>
      <c r="C89" s="70">
        <f ca="1">J97</f>
        <v>13</v>
      </c>
      <c r="D89" s="60">
        <f ca="1">((100/H85)*C89)/100</f>
        <v>1</v>
      </c>
      <c r="E89" s="201"/>
      <c r="F89" s="202"/>
      <c r="G89" s="201"/>
      <c r="H89" s="206"/>
      <c r="I89" s="13" t="s">
        <v>94</v>
      </c>
      <c r="J89" s="26">
        <f ca="1">H85</f>
        <v>13</v>
      </c>
      <c r="S89"/>
    </row>
    <row r="90" spans="1:19" ht="15.75" customHeight="1" x14ac:dyDescent="0.25">
      <c r="A90" s="143" t="s">
        <v>124</v>
      </c>
      <c r="B90" s="144"/>
      <c r="C90" s="59">
        <v>14</v>
      </c>
      <c r="D90" s="60">
        <f ca="1">((100/(D85+F85+H85))*C90)/100</f>
        <v>1</v>
      </c>
      <c r="E90" s="201"/>
      <c r="F90" s="202"/>
      <c r="G90" s="201"/>
      <c r="H90" s="206"/>
      <c r="I90" s="13" t="s">
        <v>95</v>
      </c>
      <c r="J90" s="27">
        <f ca="1">(IF(B85&gt;1,(H85/(B85+2)),H85/4))</f>
        <v>3.25</v>
      </c>
      <c r="S90"/>
    </row>
    <row r="91" spans="1:19" ht="15.75" customHeight="1" x14ac:dyDescent="0.25">
      <c r="A91" s="143" t="s">
        <v>131</v>
      </c>
      <c r="B91" s="144" t="s">
        <v>125</v>
      </c>
      <c r="C91" s="59">
        <v>13</v>
      </c>
      <c r="D91" s="60">
        <f ca="1">((100/H85)*C91)/100</f>
        <v>1</v>
      </c>
      <c r="E91" s="201"/>
      <c r="F91" s="202"/>
      <c r="G91" s="201"/>
      <c r="H91" s="206"/>
      <c r="I91" s="13" t="s">
        <v>96</v>
      </c>
      <c r="J91" s="27">
        <f ca="1">(IF(B85&gt;1,(H85/(B85+2)+J90),H85/4+J90))</f>
        <v>6.5</v>
      </c>
    </row>
    <row r="92" spans="1:19" ht="15.75" customHeight="1" x14ac:dyDescent="0.25">
      <c r="A92" s="143" t="s">
        <v>132</v>
      </c>
      <c r="B92" s="144" t="s">
        <v>125</v>
      </c>
      <c r="C92" s="59">
        <v>13</v>
      </c>
      <c r="D92" s="60">
        <f ca="1">((100/H85)*C92)/100</f>
        <v>1</v>
      </c>
      <c r="E92" s="201"/>
      <c r="F92" s="202"/>
      <c r="G92" s="201"/>
      <c r="H92" s="206"/>
      <c r="I92" s="13" t="s">
        <v>143</v>
      </c>
      <c r="J92" s="27">
        <f>(IF(B85&gt;1,(H85/(B85+2)+J91),0))</f>
        <v>0</v>
      </c>
    </row>
    <row r="93" spans="1:19" ht="15" customHeight="1" x14ac:dyDescent="0.25">
      <c r="A93" s="143" t="s">
        <v>130</v>
      </c>
      <c r="B93" s="144" t="s">
        <v>127</v>
      </c>
      <c r="C93" s="59">
        <v>11</v>
      </c>
      <c r="D93" s="60">
        <f ca="1">((100/(H85))*C93)/100</f>
        <v>0.84615384615384615</v>
      </c>
      <c r="E93" s="201"/>
      <c r="F93" s="202"/>
      <c r="G93" s="201"/>
      <c r="H93" s="206"/>
      <c r="I93" s="13" t="s">
        <v>138</v>
      </c>
      <c r="J93" s="27">
        <f>(IF(B85&gt;2,(H85/(B85+2)+J92),0))</f>
        <v>0</v>
      </c>
    </row>
    <row r="94" spans="1:19" ht="15.75" customHeight="1" x14ac:dyDescent="0.25">
      <c r="A94" s="143" t="s">
        <v>126</v>
      </c>
      <c r="B94" s="144" t="s">
        <v>126</v>
      </c>
      <c r="C94" s="59">
        <v>3</v>
      </c>
      <c r="D94" s="60">
        <f ca="1">((100/H85)*C94)/100</f>
        <v>0.23076923076923075</v>
      </c>
      <c r="E94" s="201"/>
      <c r="F94" s="202"/>
      <c r="G94" s="201"/>
      <c r="H94" s="206"/>
      <c r="I94" s="13" t="s">
        <v>139</v>
      </c>
      <c r="J94" s="28">
        <f>(IF(B85&gt;3,(H85/(B85+2)+J93),0))</f>
        <v>0</v>
      </c>
    </row>
    <row r="95" spans="1:19" ht="15.75" customHeight="1" x14ac:dyDescent="0.25">
      <c r="A95" s="143" t="s">
        <v>133</v>
      </c>
      <c r="B95" s="144"/>
      <c r="C95" s="59">
        <v>0</v>
      </c>
      <c r="D95" s="60">
        <f ca="1">((100/H85)*C95)/100</f>
        <v>0</v>
      </c>
      <c r="E95" s="201"/>
      <c r="F95" s="202"/>
      <c r="G95" s="201"/>
      <c r="H95" s="206"/>
      <c r="I95" s="13" t="s">
        <v>140</v>
      </c>
      <c r="J95" s="27">
        <f>(IF(B85&gt;4,(H85/(B85+2)+J94),0))</f>
        <v>0</v>
      </c>
    </row>
    <row r="96" spans="1:19" ht="15.75" customHeight="1" x14ac:dyDescent="0.25">
      <c r="A96" s="143" t="s">
        <v>128</v>
      </c>
      <c r="B96" s="144" t="s">
        <v>128</v>
      </c>
      <c r="C96" s="59">
        <v>0</v>
      </c>
      <c r="D96" s="60">
        <f ca="1">((100/(H85))*C96)/100</f>
        <v>0</v>
      </c>
      <c r="E96" s="201"/>
      <c r="F96" s="202"/>
      <c r="G96" s="201"/>
      <c r="H96" s="206"/>
      <c r="I96" s="13" t="s">
        <v>144</v>
      </c>
      <c r="J96" s="27">
        <f ca="1">(IF(B85=1,(H85/(B85+3)+J91),IF(B85=0,(H85/4+J91),IF(B85&gt;1,0))))</f>
        <v>9.75</v>
      </c>
    </row>
    <row r="97" spans="1:14" ht="16.5" thickBot="1" x14ac:dyDescent="0.3">
      <c r="A97" s="214" t="s">
        <v>129</v>
      </c>
      <c r="B97" s="215"/>
      <c r="C97" s="61">
        <v>0</v>
      </c>
      <c r="D97" s="62">
        <f ca="1">((100/(H85))*C97)/100</f>
        <v>0</v>
      </c>
      <c r="E97" s="203"/>
      <c r="F97" s="204"/>
      <c r="G97" s="203"/>
      <c r="H97" s="207"/>
      <c r="I97" s="14" t="s">
        <v>97</v>
      </c>
      <c r="J97" s="29">
        <f ca="1">(IF(B85&gt;1.5,(H85/(B85+2)+J91+MAX(0,J92-J91)+MAX(0,J93-J92)+MAX(0,J94-J93)+MAX(0,J95-J94)+MAX(0,J96-J95)),IF(B85=1,(H85/(B85+3)+J96),IF(B85=0,H85/4+J96))))</f>
        <v>13</v>
      </c>
    </row>
    <row r="98" spans="1:14" x14ac:dyDescent="0.25">
      <c r="A98" s="213" t="s">
        <v>155</v>
      </c>
      <c r="B98" s="213"/>
      <c r="C98" s="213"/>
      <c r="D98" s="213"/>
      <c r="E98" s="213"/>
      <c r="F98" s="119" t="s">
        <v>159</v>
      </c>
      <c r="G98" s="119"/>
      <c r="H98" s="119"/>
      <c r="I98" s="64"/>
      <c r="J98" s="64" t="s">
        <v>330</v>
      </c>
      <c r="K98" s="64" t="s">
        <v>331</v>
      </c>
      <c r="L98" s="64" t="s">
        <v>335</v>
      </c>
      <c r="M98" s="64"/>
      <c r="N98" s="64"/>
    </row>
    <row r="99" spans="1:14" x14ac:dyDescent="0.25">
      <c r="A99" s="98" t="s">
        <v>157</v>
      </c>
      <c r="B99" s="98"/>
      <c r="C99" s="98"/>
      <c r="D99" s="98"/>
      <c r="E99" s="98"/>
      <c r="F99" s="109">
        <v>12500</v>
      </c>
      <c r="G99" s="109"/>
      <c r="H99" s="109"/>
      <c r="I99" s="67">
        <f>AVERAGE(J99:K99)</f>
        <v>11992.130811217015</v>
      </c>
      <c r="J99" s="67">
        <f>AVERAGE(J144,J149:J150,J155,J166,J227)</f>
        <v>13348.261622434031</v>
      </c>
      <c r="K99" s="64">
        <f>15954/1.5</f>
        <v>10636</v>
      </c>
      <c r="L99" s="64"/>
      <c r="M99" s="64"/>
      <c r="N99" s="64"/>
    </row>
    <row r="100" spans="1:14" hidden="1" x14ac:dyDescent="0.25">
      <c r="A100" s="98" t="s">
        <v>156</v>
      </c>
      <c r="B100" s="98"/>
      <c r="C100" s="98"/>
      <c r="D100" s="98"/>
      <c r="E100" s="98"/>
      <c r="F100" s="120"/>
      <c r="G100" s="120"/>
      <c r="H100" s="120"/>
      <c r="I100" s="64"/>
      <c r="J100" s="64"/>
      <c r="K100" s="64"/>
      <c r="L100" s="64"/>
      <c r="M100" s="64"/>
      <c r="N100" s="64"/>
    </row>
    <row r="101" spans="1:14" hidden="1" x14ac:dyDescent="0.25">
      <c r="A101" s="98" t="s">
        <v>158</v>
      </c>
      <c r="B101" s="98"/>
      <c r="C101" s="98"/>
      <c r="D101" s="98"/>
      <c r="E101" s="98"/>
      <c r="F101" s="120"/>
      <c r="G101" s="120"/>
      <c r="H101" s="120"/>
      <c r="I101" s="64"/>
      <c r="J101" s="64"/>
      <c r="K101" s="64"/>
      <c r="L101" s="64"/>
      <c r="M101" s="64"/>
      <c r="N101" s="64"/>
    </row>
    <row r="102" spans="1:14" s="30" customFormat="1" hidden="1" x14ac:dyDescent="0.25">
      <c r="A102" s="98" t="s">
        <v>174</v>
      </c>
      <c r="B102" s="98"/>
      <c r="C102" s="98"/>
      <c r="D102" s="98"/>
      <c r="E102" s="98"/>
      <c r="F102" s="120"/>
      <c r="G102" s="120"/>
      <c r="H102" s="120"/>
      <c r="I102" s="65"/>
      <c r="J102" s="65"/>
      <c r="K102" s="65"/>
      <c r="L102" s="65"/>
      <c r="M102" s="65"/>
      <c r="N102" s="65"/>
    </row>
    <row r="103" spans="1:14" s="30" customFormat="1" x14ac:dyDescent="0.25">
      <c r="A103" s="98" t="s">
        <v>89</v>
      </c>
      <c r="B103" s="98"/>
      <c r="C103" s="98"/>
      <c r="D103" s="98"/>
      <c r="E103" s="98"/>
      <c r="F103" s="109">
        <v>75000</v>
      </c>
      <c r="G103" s="109"/>
      <c r="H103" s="109"/>
      <c r="I103" s="65"/>
      <c r="J103" s="65"/>
      <c r="K103" s="65"/>
      <c r="L103" s="65"/>
      <c r="M103" s="65"/>
      <c r="N103" s="65"/>
    </row>
    <row r="104" spans="1:14" s="30" customFormat="1" x14ac:dyDescent="0.25">
      <c r="A104" s="98" t="s">
        <v>326</v>
      </c>
      <c r="B104" s="98"/>
      <c r="C104" s="98"/>
      <c r="D104" s="98"/>
      <c r="E104" s="98"/>
      <c r="F104" s="109">
        <v>100000</v>
      </c>
      <c r="G104" s="109"/>
      <c r="H104" s="109"/>
      <c r="I104" s="65"/>
      <c r="J104" s="65"/>
      <c r="K104" s="65"/>
      <c r="L104" s="65"/>
      <c r="M104" s="65"/>
      <c r="N104" s="65"/>
    </row>
    <row r="105" spans="1:14" s="30" customFormat="1" hidden="1" x14ac:dyDescent="0.25">
      <c r="A105" s="98" t="s">
        <v>90</v>
      </c>
      <c r="B105" s="98"/>
      <c r="C105" s="98"/>
      <c r="D105" s="98"/>
      <c r="E105" s="98"/>
      <c r="F105" s="109"/>
      <c r="G105" s="109"/>
      <c r="H105" s="109"/>
      <c r="I105" s="65"/>
      <c r="J105" s="65"/>
      <c r="K105" s="65"/>
      <c r="L105" s="65"/>
      <c r="M105" s="65"/>
      <c r="N105" s="65"/>
    </row>
    <row r="106" spans="1:14" s="30" customFormat="1" hidden="1" x14ac:dyDescent="0.25">
      <c r="A106" s="98" t="s">
        <v>91</v>
      </c>
      <c r="B106" s="98"/>
      <c r="C106" s="98"/>
      <c r="D106" s="98"/>
      <c r="E106" s="98"/>
      <c r="F106" s="109"/>
      <c r="G106" s="109"/>
      <c r="H106" s="109"/>
      <c r="I106" s="65"/>
      <c r="J106" s="65"/>
      <c r="K106" s="65"/>
      <c r="L106" s="65"/>
      <c r="M106" s="65"/>
      <c r="N106" s="65"/>
    </row>
    <row r="107" spans="1:14" s="30" customFormat="1" x14ac:dyDescent="0.25">
      <c r="A107" s="98" t="s">
        <v>327</v>
      </c>
      <c r="B107" s="98"/>
      <c r="C107" s="98"/>
      <c r="D107" s="98"/>
      <c r="E107" s="98"/>
      <c r="F107" s="109">
        <v>40000</v>
      </c>
      <c r="G107" s="109"/>
      <c r="H107" s="109"/>
      <c r="I107" s="65"/>
      <c r="J107" s="65"/>
      <c r="K107" s="65"/>
      <c r="L107" s="65"/>
      <c r="M107" s="65"/>
      <c r="N107" s="65"/>
    </row>
    <row r="108" spans="1:14" s="30" customFormat="1" x14ac:dyDescent="0.25">
      <c r="A108" s="98" t="s">
        <v>92</v>
      </c>
      <c r="B108" s="98"/>
      <c r="C108" s="98"/>
      <c r="D108" s="98"/>
      <c r="E108" s="98"/>
      <c r="F108" s="109">
        <v>25000</v>
      </c>
      <c r="G108" s="109"/>
      <c r="H108" s="109"/>
      <c r="I108" s="65"/>
      <c r="J108" s="65"/>
      <c r="K108" s="65"/>
      <c r="L108" s="65"/>
      <c r="M108" s="65"/>
      <c r="N108" s="65"/>
    </row>
    <row r="109" spans="1:14" s="30" customFormat="1" x14ac:dyDescent="0.25">
      <c r="A109" s="98" t="s">
        <v>329</v>
      </c>
      <c r="B109" s="98"/>
      <c r="C109" s="98"/>
      <c r="D109" s="98"/>
      <c r="E109" s="98"/>
      <c r="F109" s="109">
        <v>10000</v>
      </c>
      <c r="G109" s="109"/>
      <c r="H109" s="109"/>
      <c r="I109" s="65"/>
      <c r="J109" s="65"/>
      <c r="K109" s="65"/>
      <c r="L109" s="65"/>
      <c r="M109" s="65"/>
      <c r="N109" s="65"/>
    </row>
    <row r="110" spans="1:14" s="30" customFormat="1" x14ac:dyDescent="0.25">
      <c r="A110" s="98" t="s">
        <v>328</v>
      </c>
      <c r="B110" s="98"/>
      <c r="C110" s="98"/>
      <c r="D110" s="98"/>
      <c r="E110" s="98"/>
      <c r="F110" s="109">
        <v>25000</v>
      </c>
      <c r="G110" s="109"/>
      <c r="H110" s="109"/>
      <c r="I110" s="65"/>
      <c r="J110" s="65"/>
      <c r="K110" s="65"/>
      <c r="L110" s="65"/>
      <c r="M110" s="65"/>
      <c r="N110" s="65"/>
    </row>
    <row r="111" spans="1:14" x14ac:dyDescent="0.25">
      <c r="A111" s="98" t="s">
        <v>48</v>
      </c>
      <c r="B111" s="98"/>
      <c r="C111" s="98"/>
      <c r="D111" s="98"/>
      <c r="E111" s="98"/>
      <c r="F111" s="109">
        <v>600000</v>
      </c>
      <c r="G111" s="109"/>
      <c r="H111" s="109"/>
      <c r="I111" s="64"/>
      <c r="J111" s="64"/>
      <c r="K111" s="64"/>
      <c r="L111" s="64"/>
      <c r="M111" s="64"/>
      <c r="N111" s="64"/>
    </row>
    <row r="112" spans="1:14" s="31" customFormat="1" x14ac:dyDescent="0.25">
      <c r="A112" s="150" t="s">
        <v>49</v>
      </c>
      <c r="B112" s="150"/>
      <c r="C112" s="150"/>
      <c r="D112" s="150"/>
      <c r="E112" s="150"/>
      <c r="F112" s="109">
        <f>F99*0.8</f>
        <v>10000</v>
      </c>
      <c r="G112" s="109"/>
      <c r="H112" s="109"/>
      <c r="I112" s="66"/>
      <c r="J112" s="66"/>
      <c r="K112" s="66"/>
      <c r="L112" s="66"/>
      <c r="M112" s="66"/>
      <c r="N112" s="66"/>
    </row>
    <row r="113" spans="1:10" s="32" customFormat="1" ht="15.75" customHeight="1" x14ac:dyDescent="0.25">
      <c r="A113" s="103" t="s">
        <v>324</v>
      </c>
      <c r="B113" s="103"/>
      <c r="C113" s="103"/>
      <c r="D113" s="103"/>
      <c r="E113" s="103"/>
      <c r="F113" s="103"/>
      <c r="G113" s="103"/>
      <c r="H113" s="103"/>
    </row>
    <row r="114" spans="1:10" s="32" customFormat="1" ht="15.75" customHeight="1" x14ac:dyDescent="0.25">
      <c r="A114" s="108" t="s">
        <v>50</v>
      </c>
      <c r="B114" s="108"/>
      <c r="C114" s="105" t="s">
        <v>72</v>
      </c>
      <c r="D114" s="105"/>
      <c r="E114" s="107" t="s">
        <v>51</v>
      </c>
      <c r="F114" s="107"/>
      <c r="G114" s="108" t="s">
        <v>52</v>
      </c>
      <c r="H114" s="108"/>
    </row>
    <row r="115" spans="1:10" s="32" customFormat="1" x14ac:dyDescent="0.25">
      <c r="A115" s="152" t="s">
        <v>304</v>
      </c>
      <c r="B115" s="152"/>
      <c r="C115" s="102">
        <f>COUNT(D139:D140,D143:D145)+COUNT(D147:D150,D152)+COUNT(D155:D157,D159)*8+COUNT(D163:D164,D166)+COUNT(D169:D174)+COUNT(D176:D178)+COUNT(D183:D185)</f>
        <v>57</v>
      </c>
      <c r="D115" s="102"/>
      <c r="E115" s="102">
        <f>SUM(F139:F140,F143:F145)+SUM(F147:F150,F152)+SUM(F155:F157,F159)*8+SUM(F163:F164,F166)+SUM(F169:F174)+SUM(F176:F178)+SUM(F183:F185)</f>
        <v>22034.446199999998</v>
      </c>
      <c r="F115" s="102"/>
      <c r="G115" s="102">
        <f>SUM(H139:H140,H143:H145)+SUM(H147:H150,H152)+SUM(H155:H157,H159)*8+SUM(H163:H164,H166)+SUM(H169:H174)+SUM(H176:H178)+SUM(H183:H185)</f>
        <v>33051.669300000001</v>
      </c>
      <c r="H115" s="102"/>
    </row>
    <row r="116" spans="1:10" s="32" customFormat="1" x14ac:dyDescent="0.25">
      <c r="A116" s="152" t="s">
        <v>309</v>
      </c>
      <c r="B116" s="152"/>
      <c r="C116" s="102">
        <f>COUNT(D191:D193)+COUNT(D196,D198:D199)+COUNT(D202,D204:D206)*7+COUNT(D210:D213)+COUNT(D216,D218)+COUNT(D222:D227)+COUNT(D232:D234)+COUNT(D236:D238)</f>
        <v>52</v>
      </c>
      <c r="D116" s="102"/>
      <c r="E116" s="102">
        <f>SUM(F191:F193)+SUM(F196,F198:F199)+SUM(F202,F204:F206)*7+SUM(F210:F213)+SUM(F216,F218)+SUM(F222:F227)+SUM(F232:F234)+SUM(F236:F238)</f>
        <v>22240.146240000002</v>
      </c>
      <c r="F116" s="102"/>
      <c r="G116" s="102">
        <f>SUM(H191:H193)+SUM(H196,H198:H199)+SUM(H202,H204:H206)*7+SUM(H210:H213)+SUM(H216,H218)+SUM(H222:H227)+SUM(H232:H234)+SUM(H236:H238)</f>
        <v>33360.219359999996</v>
      </c>
      <c r="H116" s="102"/>
    </row>
    <row r="117" spans="1:10" s="32" customFormat="1" x14ac:dyDescent="0.25">
      <c r="A117" s="103" t="s">
        <v>148</v>
      </c>
      <c r="B117" s="103"/>
      <c r="C117" s="104">
        <f>SUM(C115:C116)</f>
        <v>109</v>
      </c>
      <c r="D117" s="105"/>
      <c r="E117" s="106">
        <f>SUM(E115:E116)</f>
        <v>44274.59244</v>
      </c>
      <c r="F117" s="107"/>
      <c r="G117" s="108">
        <f>SUM(G115:G116)</f>
        <v>66411.888659999997</v>
      </c>
      <c r="H117" s="108"/>
    </row>
    <row r="118" spans="1:10" s="32" customFormat="1" x14ac:dyDescent="0.25">
      <c r="A118" s="103" t="s">
        <v>325</v>
      </c>
      <c r="B118" s="103"/>
      <c r="C118" s="103"/>
      <c r="D118" s="103"/>
      <c r="E118" s="103"/>
      <c r="F118" s="103"/>
      <c r="G118" s="103"/>
      <c r="H118" s="103"/>
    </row>
    <row r="119" spans="1:10" s="32" customFormat="1" ht="15.75" customHeight="1" x14ac:dyDescent="0.25">
      <c r="A119" s="108" t="s">
        <v>50</v>
      </c>
      <c r="B119" s="108"/>
      <c r="C119" s="105" t="s">
        <v>72</v>
      </c>
      <c r="D119" s="105"/>
      <c r="E119" s="107" t="s">
        <v>51</v>
      </c>
      <c r="F119" s="107"/>
      <c r="G119" s="108" t="s">
        <v>52</v>
      </c>
      <c r="H119" s="108"/>
    </row>
    <row r="120" spans="1:10" s="32" customFormat="1" x14ac:dyDescent="0.25">
      <c r="A120" s="152" t="s">
        <v>304</v>
      </c>
      <c r="B120" s="152"/>
      <c r="C120" s="102">
        <f>COUNT(D151,D153)+COUNT(D158,D160)*8+COUNT(D165,D167)</f>
        <v>20</v>
      </c>
      <c r="D120" s="102"/>
      <c r="E120" s="102">
        <f>SUM(F151,F153)+SUM(F158,F160)*8+SUM(F165,F167)</f>
        <v>10678.964400000001</v>
      </c>
      <c r="F120" s="102"/>
      <c r="G120" s="102">
        <f>SUM(H151,H153)+SUM(H158,H160)*8+SUM(H165,H167)</f>
        <v>16018.446599999996</v>
      </c>
      <c r="H120" s="102"/>
    </row>
    <row r="121" spans="1:10" s="32" customFormat="1" x14ac:dyDescent="0.25">
      <c r="A121" s="152" t="s">
        <v>309</v>
      </c>
      <c r="B121" s="152"/>
      <c r="C121" s="102">
        <f>COUNT(D195,D197)+COUNT(D201,D203)*7+COUNT(D208:D209)+COUNT(D215,D217)</f>
        <v>20</v>
      </c>
      <c r="D121" s="102"/>
      <c r="E121" s="102">
        <f>SUM(F195,F197)+SUM(F201,F203)*7+SUM(F208:F209)+SUM(F215,F217)</f>
        <v>10611.581759999999</v>
      </c>
      <c r="F121" s="102"/>
      <c r="G121" s="102">
        <f>SUM(H195,H197)+SUM(H201,H203)*7+SUM(H208:H209)+SUM(H215,H217)</f>
        <v>15917.37264</v>
      </c>
      <c r="H121" s="102"/>
    </row>
    <row r="122" spans="1:10" s="32" customFormat="1" ht="16.5" thickBot="1" x14ac:dyDescent="0.3">
      <c r="A122" s="99" t="s">
        <v>148</v>
      </c>
      <c r="B122" s="99"/>
      <c r="C122" s="110">
        <f>SUM(C120:C121)</f>
        <v>40</v>
      </c>
      <c r="D122" s="111"/>
      <c r="E122" s="100">
        <f>SUM(E120:E121)</f>
        <v>21290.546159999998</v>
      </c>
      <c r="F122" s="100"/>
      <c r="G122" s="101">
        <f>SUM(G120:G121)</f>
        <v>31935.819239999997</v>
      </c>
      <c r="H122" s="101"/>
    </row>
    <row r="123" spans="1:10" s="32" customFormat="1" ht="16.5" thickBot="1" x14ac:dyDescent="0.3">
      <c r="A123" s="153" t="s">
        <v>165</v>
      </c>
      <c r="B123" s="154"/>
      <c r="C123" s="155">
        <f>C117+C122</f>
        <v>149</v>
      </c>
      <c r="D123" s="156"/>
      <c r="E123" s="157">
        <f>E117+E122</f>
        <v>65565.138600000006</v>
      </c>
      <c r="F123" s="157"/>
      <c r="G123" s="208">
        <f>G117+G122</f>
        <v>98347.707899999994</v>
      </c>
      <c r="H123" s="209"/>
    </row>
    <row r="124" spans="1:10" s="31" customFormat="1" x14ac:dyDescent="0.25">
      <c r="A124" s="119" t="s">
        <v>53</v>
      </c>
      <c r="B124" s="119"/>
      <c r="C124" s="119"/>
      <c r="D124" s="119"/>
      <c r="E124" s="119"/>
      <c r="F124" s="119"/>
      <c r="G124" s="119"/>
      <c r="H124" s="119"/>
    </row>
    <row r="125" spans="1:10" x14ac:dyDescent="0.25">
      <c r="A125" s="158" t="s">
        <v>173</v>
      </c>
      <c r="B125" s="158"/>
      <c r="C125" s="158"/>
      <c r="D125" s="158"/>
      <c r="E125" s="158"/>
      <c r="F125" s="158"/>
      <c r="G125" s="158"/>
      <c r="H125" s="158"/>
    </row>
    <row r="126" spans="1:10" ht="47.25" hidden="1" customHeight="1" x14ac:dyDescent="0.25">
      <c r="A126" s="116" t="s">
        <v>114</v>
      </c>
      <c r="B126" s="116" t="s">
        <v>176</v>
      </c>
      <c r="C126" s="116" t="s">
        <v>54</v>
      </c>
      <c r="D126" s="116" t="s">
        <v>232</v>
      </c>
      <c r="E126" s="193" t="s">
        <v>154</v>
      </c>
      <c r="F126" s="116" t="s">
        <v>55</v>
      </c>
      <c r="G126" s="193" t="s">
        <v>56</v>
      </c>
      <c r="H126" s="52" t="s">
        <v>146</v>
      </c>
    </row>
    <row r="127" spans="1:10" s="34" customFormat="1" hidden="1" x14ac:dyDescent="0.25">
      <c r="A127" s="117"/>
      <c r="B127" s="117"/>
      <c r="C127" s="117"/>
      <c r="D127" s="117"/>
      <c r="E127" s="194"/>
      <c r="F127" s="117"/>
      <c r="G127" s="194"/>
      <c r="H127" s="53">
        <v>0.45</v>
      </c>
    </row>
    <row r="128" spans="1:10" s="34" customFormat="1" hidden="1" x14ac:dyDescent="0.25">
      <c r="A128" s="89" t="s">
        <v>112</v>
      </c>
      <c r="B128" s="90"/>
      <c r="C128" s="90"/>
      <c r="D128" s="90"/>
      <c r="E128" s="90"/>
      <c r="F128" s="90"/>
      <c r="G128" s="90"/>
      <c r="H128" s="91"/>
      <c r="J128" s="33"/>
    </row>
    <row r="129" spans="1:14" s="34" customFormat="1" ht="15.75" hidden="1" customHeight="1" x14ac:dyDescent="0.25">
      <c r="A129" s="87">
        <v>1</v>
      </c>
      <c r="B129" s="88"/>
      <c r="C129" s="39"/>
      <c r="D129" s="39"/>
      <c r="E129" s="39">
        <v>0</v>
      </c>
      <c r="F129" s="39">
        <f>D129+E129</f>
        <v>0</v>
      </c>
      <c r="G129" s="51">
        <v>0</v>
      </c>
      <c r="H129" s="51">
        <f>(D129+E129)*(($H$127)+1)</f>
        <v>0</v>
      </c>
      <c r="I129" s="33"/>
      <c r="L129" s="80"/>
      <c r="M129" s="80"/>
      <c r="N129" s="33"/>
    </row>
    <row r="130" spans="1:14" s="34" customFormat="1" ht="15.75" hidden="1" customHeight="1" x14ac:dyDescent="0.25">
      <c r="A130" s="87">
        <f>A129+1</f>
        <v>2</v>
      </c>
      <c r="B130" s="88"/>
      <c r="C130" s="39"/>
      <c r="D130" s="39"/>
      <c r="E130" s="39">
        <v>0</v>
      </c>
      <c r="F130" s="51">
        <f>D130+E130</f>
        <v>0</v>
      </c>
      <c r="G130" s="51">
        <v>0</v>
      </c>
      <c r="H130" s="51">
        <f>(D130+E130)*(($H$127)+1)</f>
        <v>0</v>
      </c>
      <c r="I130" s="33"/>
      <c r="L130" s="80"/>
      <c r="M130" s="80"/>
      <c r="N130" s="33"/>
    </row>
    <row r="131" spans="1:14" s="34" customFormat="1" ht="15.75" hidden="1" customHeight="1" x14ac:dyDescent="0.25">
      <c r="A131" s="87">
        <f>A130+1</f>
        <v>3</v>
      </c>
      <c r="B131" s="88"/>
      <c r="C131" s="39"/>
      <c r="D131" s="39"/>
      <c r="E131" s="39">
        <v>0</v>
      </c>
      <c r="F131" s="51">
        <f>D131+E131</f>
        <v>0</v>
      </c>
      <c r="G131" s="51">
        <v>0</v>
      </c>
      <c r="H131" s="51">
        <f>(D131+E131)*(($H$127)+1)</f>
        <v>0</v>
      </c>
      <c r="I131" s="33"/>
      <c r="L131" s="80"/>
      <c r="M131" s="80"/>
      <c r="N131" s="33"/>
    </row>
    <row r="132" spans="1:14" s="34" customFormat="1" ht="15.75" hidden="1" customHeight="1" x14ac:dyDescent="0.25">
      <c r="A132" s="87">
        <f>A131+1</f>
        <v>4</v>
      </c>
      <c r="B132" s="88"/>
      <c r="C132" s="39"/>
      <c r="D132" s="39"/>
      <c r="E132" s="39">
        <v>0</v>
      </c>
      <c r="F132" s="51">
        <f>D132+E132</f>
        <v>0</v>
      </c>
      <c r="G132" s="51">
        <v>0</v>
      </c>
      <c r="H132" s="51">
        <f>(D132+E132)*(($H$127)+1)</f>
        <v>0</v>
      </c>
      <c r="I132" s="33"/>
      <c r="L132" s="80"/>
      <c r="M132" s="80"/>
      <c r="N132" s="33"/>
    </row>
    <row r="133" spans="1:14" s="34" customFormat="1" hidden="1" x14ac:dyDescent="0.25">
      <c r="A133" s="87"/>
      <c r="B133" s="169"/>
      <c r="C133" s="169"/>
      <c r="D133" s="169"/>
      <c r="E133" s="169"/>
      <c r="F133" s="169"/>
      <c r="G133" s="169"/>
      <c r="H133" s="88"/>
      <c r="I133" s="33"/>
      <c r="N133" s="33"/>
    </row>
    <row r="134" spans="1:14" ht="47.25" customHeight="1" x14ac:dyDescent="0.25">
      <c r="A134" s="170" t="s">
        <v>115</v>
      </c>
      <c r="B134" s="116" t="s">
        <v>318</v>
      </c>
      <c r="C134" s="116" t="s">
        <v>54</v>
      </c>
      <c r="D134" s="116" t="s">
        <v>232</v>
      </c>
      <c r="E134" s="116" t="s">
        <v>231</v>
      </c>
      <c r="F134" s="116" t="s">
        <v>55</v>
      </c>
      <c r="G134" s="193" t="s">
        <v>56</v>
      </c>
      <c r="H134" s="52" t="s">
        <v>146</v>
      </c>
      <c r="I134" s="33"/>
    </row>
    <row r="135" spans="1:14" s="34" customFormat="1" x14ac:dyDescent="0.25">
      <c r="A135" s="171"/>
      <c r="B135" s="117"/>
      <c r="C135" s="117"/>
      <c r="D135" s="117"/>
      <c r="E135" s="117"/>
      <c r="F135" s="117"/>
      <c r="G135" s="194"/>
      <c r="H135" s="68">
        <v>0.5</v>
      </c>
      <c r="I135" s="33"/>
      <c r="K135" s="34">
        <f>COUNT(F139,F143:F144)+COUNT(F149:F153,D195:D199)+COUNT(F155:F160)*8+COUNT(D201:D206)+COUNT(F163:F167,D208:D213)+COUNT(F169:F174,D215:D218)+COUNT(F176:F178,D222:D227)+COUNT(F183:F185,D232:D234,D236:D238)</f>
        <v>106</v>
      </c>
    </row>
    <row r="136" spans="1:14" s="56" customFormat="1" x14ac:dyDescent="0.25">
      <c r="A136" s="95" t="s">
        <v>304</v>
      </c>
      <c r="B136" s="96"/>
      <c r="C136" s="96"/>
      <c r="D136" s="96"/>
      <c r="E136" s="96"/>
      <c r="F136" s="96"/>
      <c r="G136" s="96"/>
      <c r="H136" s="97"/>
      <c r="J136" s="33"/>
    </row>
    <row r="137" spans="1:14" s="74" customFormat="1" ht="31.5" customHeight="1" x14ac:dyDescent="0.25">
      <c r="A137" s="89" t="s">
        <v>352</v>
      </c>
      <c r="B137" s="90"/>
      <c r="C137" s="90"/>
      <c r="D137" s="90"/>
      <c r="E137" s="90"/>
      <c r="F137" s="90"/>
      <c r="G137" s="90"/>
      <c r="H137" s="91"/>
      <c r="J137" s="63">
        <v>10.763999999999999</v>
      </c>
    </row>
    <row r="138" spans="1:14" s="56" customFormat="1" x14ac:dyDescent="0.25">
      <c r="A138" s="89" t="s">
        <v>303</v>
      </c>
      <c r="B138" s="90"/>
      <c r="C138" s="90"/>
      <c r="D138" s="90"/>
      <c r="E138" s="90"/>
      <c r="F138" s="90"/>
      <c r="G138" s="90"/>
      <c r="H138" s="91"/>
      <c r="J138" s="63">
        <v>10.763999999999999</v>
      </c>
    </row>
    <row r="139" spans="1:14" s="56" customFormat="1" x14ac:dyDescent="0.25">
      <c r="A139" s="71" t="s">
        <v>349</v>
      </c>
      <c r="B139" s="75" t="s">
        <v>322</v>
      </c>
      <c r="C139" s="71" t="s">
        <v>305</v>
      </c>
      <c r="D139" s="63">
        <f>(22.68)*10.764</f>
        <v>244.12751999999998</v>
      </c>
      <c r="E139" s="55">
        <v>0</v>
      </c>
      <c r="F139" s="55">
        <f>D139+E139</f>
        <v>244.12751999999998</v>
      </c>
      <c r="G139" s="55">
        <v>0</v>
      </c>
      <c r="H139" s="55">
        <f>F139*(($H$135)+1)+(IF(G139&lt;101,G139,IF(G139&lt;201,G139/2,IF(G139&lt;=301,G139/3,G139/4))))</f>
        <v>366.19127999999995</v>
      </c>
      <c r="I139" s="77">
        <f>5.48*3.77+2*1.12</f>
        <v>22.8996</v>
      </c>
      <c r="L139" s="80"/>
      <c r="M139" s="80"/>
      <c r="N139" s="33"/>
    </row>
    <row r="140" spans="1:14" s="56" customFormat="1" ht="15.75" customHeight="1" x14ac:dyDescent="0.25">
      <c r="A140" s="71" t="s">
        <v>350</v>
      </c>
      <c r="B140" s="75" t="s">
        <v>322</v>
      </c>
      <c r="C140" s="71" t="s">
        <v>305</v>
      </c>
      <c r="D140" s="63">
        <f>(26.94)*10.764</f>
        <v>289.98216000000002</v>
      </c>
      <c r="E140" s="71">
        <v>0</v>
      </c>
      <c r="F140" s="71">
        <f>D140+E140</f>
        <v>289.98216000000002</v>
      </c>
      <c r="G140" s="71">
        <v>0</v>
      </c>
      <c r="H140" s="71">
        <f>F140*(($H$135)+1)+(IF(G140&lt;101,G140,IF(G140&lt;201,G140/2,IF(G140&lt;=301,G140/3,G140/4))))</f>
        <v>434.97324000000003</v>
      </c>
      <c r="I140" s="33"/>
      <c r="L140" s="80"/>
      <c r="M140" s="80"/>
      <c r="N140" s="33"/>
    </row>
    <row r="141" spans="1:14" s="74" customFormat="1" ht="15.75" customHeight="1" x14ac:dyDescent="0.25">
      <c r="A141" s="71">
        <v>2</v>
      </c>
      <c r="B141" s="72" t="s">
        <v>323</v>
      </c>
      <c r="C141" s="81" t="s">
        <v>308</v>
      </c>
      <c r="D141" s="82"/>
      <c r="E141" s="82"/>
      <c r="F141" s="82"/>
      <c r="G141" s="83"/>
      <c r="H141" s="71" t="s">
        <v>323</v>
      </c>
      <c r="I141" s="33"/>
      <c r="L141" s="80"/>
      <c r="M141" s="80"/>
      <c r="N141" s="33"/>
    </row>
    <row r="142" spans="1:14" s="56" customFormat="1" ht="15.75" customHeight="1" x14ac:dyDescent="0.25">
      <c r="A142" s="55">
        <f>A141+1</f>
        <v>3</v>
      </c>
      <c r="B142" s="72" t="s">
        <v>323</v>
      </c>
      <c r="C142" s="84"/>
      <c r="D142" s="85"/>
      <c r="E142" s="85"/>
      <c r="F142" s="85"/>
      <c r="G142" s="86"/>
      <c r="H142" s="71" t="s">
        <v>323</v>
      </c>
      <c r="I142" s="33"/>
      <c r="L142" s="80"/>
      <c r="M142" s="80"/>
      <c r="N142" s="33"/>
    </row>
    <row r="143" spans="1:14" s="56" customFormat="1" ht="15.75" customHeight="1" x14ac:dyDescent="0.25">
      <c r="A143" s="55">
        <f>A142+1</f>
        <v>4</v>
      </c>
      <c r="B143" s="57" t="s">
        <v>322</v>
      </c>
      <c r="C143" s="55" t="s">
        <v>306</v>
      </c>
      <c r="D143" s="63">
        <f>(49.36)*10.764</f>
        <v>531.31103999999993</v>
      </c>
      <c r="E143" s="55">
        <v>0</v>
      </c>
      <c r="F143" s="55">
        <f>D143+E143</f>
        <v>531.31103999999993</v>
      </c>
      <c r="G143" s="55">
        <v>0</v>
      </c>
      <c r="H143" s="55">
        <f>F143*(($H$135)+1)+(IF(G143&lt;101,G143,IF(G143&lt;201,G143/2,IF(G143&lt;=301,G143/3,G143/4))))</f>
        <v>796.96655999999984</v>
      </c>
      <c r="I143" s="33"/>
      <c r="L143" s="80"/>
      <c r="M143" s="80"/>
      <c r="N143" s="33"/>
    </row>
    <row r="144" spans="1:14" s="56" customFormat="1" ht="15.75" customHeight="1" x14ac:dyDescent="0.25">
      <c r="A144" s="55">
        <f>A143+1</f>
        <v>5</v>
      </c>
      <c r="B144" s="57" t="s">
        <v>322</v>
      </c>
      <c r="C144" s="55" t="s">
        <v>307</v>
      </c>
      <c r="D144" s="63">
        <f>(33.43)*10.764</f>
        <v>359.84051999999997</v>
      </c>
      <c r="E144" s="55">
        <v>0</v>
      </c>
      <c r="F144" s="55">
        <f>D144+E144</f>
        <v>359.84051999999997</v>
      </c>
      <c r="G144" s="55">
        <v>0</v>
      </c>
      <c r="H144" s="55">
        <f>F144*(($H$135)+1)+(IF(G144&lt;101,G144,IF(G144&lt;201,G144/2,IF(G144&lt;=301,G144/3,G144/4))))</f>
        <v>539.76077999999995</v>
      </c>
      <c r="I144" s="77">
        <f>2.75*5.5+1.05*2.5+3.15*2.75+0.9*1.2+1.05*1.2+2.1*1.25</f>
        <v>31.377500000000001</v>
      </c>
      <c r="J144" s="33">
        <f>7200000/H144</f>
        <v>13339.242617813026</v>
      </c>
      <c r="L144" s="80"/>
      <c r="M144" s="80"/>
      <c r="N144" s="33"/>
    </row>
    <row r="145" spans="1:14" s="56" customFormat="1" ht="15.75" customHeight="1" x14ac:dyDescent="0.25">
      <c r="A145" s="55">
        <f>A144+1</f>
        <v>6</v>
      </c>
      <c r="B145" s="72" t="s">
        <v>322</v>
      </c>
      <c r="C145" s="71" t="s">
        <v>307</v>
      </c>
      <c r="D145" s="63">
        <f>(34.98)*10.764</f>
        <v>376.52471999999995</v>
      </c>
      <c r="E145" s="71">
        <v>0</v>
      </c>
      <c r="F145" s="71">
        <f>D145+E145</f>
        <v>376.52471999999995</v>
      </c>
      <c r="G145" s="71">
        <v>0</v>
      </c>
      <c r="H145" s="71">
        <f>F145*(($H$135)+1)+(IF(G145&lt;101,G145,IF(G145&lt;201,G145/2,IF(G145&lt;=301,G145/3,G145/4))))</f>
        <v>564.78707999999995</v>
      </c>
      <c r="I145" s="33"/>
      <c r="L145" s="80"/>
      <c r="M145" s="80"/>
      <c r="N145" s="33"/>
    </row>
    <row r="146" spans="1:14" s="56" customFormat="1" x14ac:dyDescent="0.25">
      <c r="A146" s="89" t="s">
        <v>347</v>
      </c>
      <c r="B146" s="90"/>
      <c r="C146" s="90"/>
      <c r="D146" s="90"/>
      <c r="E146" s="90"/>
      <c r="F146" s="90"/>
      <c r="G146" s="90"/>
      <c r="H146" s="91"/>
      <c r="J146" s="33"/>
    </row>
    <row r="147" spans="1:14" s="56" customFormat="1" ht="15.75" customHeight="1" x14ac:dyDescent="0.25">
      <c r="A147" s="55" t="s">
        <v>349</v>
      </c>
      <c r="B147" s="75" t="s">
        <v>322</v>
      </c>
      <c r="C147" s="71" t="s">
        <v>305</v>
      </c>
      <c r="D147" s="63">
        <f>(33.41)*10.764</f>
        <v>359.62523999999996</v>
      </c>
      <c r="E147" s="71">
        <v>0</v>
      </c>
      <c r="F147" s="71">
        <f>D147+E147</f>
        <v>359.62523999999996</v>
      </c>
      <c r="G147" s="71">
        <v>0</v>
      </c>
      <c r="H147" s="71">
        <f>F147*(($H$135)+1)+(IF(G147&lt;101,G147,IF(G147&lt;201,G147/2,IF(G147&lt;=301,G147/3,G147/4))))</f>
        <v>539.43786</v>
      </c>
      <c r="I147" s="33"/>
      <c r="L147" s="80"/>
      <c r="M147" s="80"/>
      <c r="N147" s="33"/>
    </row>
    <row r="148" spans="1:14" s="74" customFormat="1" ht="15.75" customHeight="1" x14ac:dyDescent="0.25">
      <c r="A148" s="71" t="s">
        <v>350</v>
      </c>
      <c r="B148" s="75" t="s">
        <v>322</v>
      </c>
      <c r="C148" s="71" t="s">
        <v>305</v>
      </c>
      <c r="D148" s="63">
        <f>(35.34)*10.764</f>
        <v>380.39976000000001</v>
      </c>
      <c r="E148" s="71">
        <v>0</v>
      </c>
      <c r="F148" s="71">
        <f>D148+E148</f>
        <v>380.39976000000001</v>
      </c>
      <c r="G148" s="71">
        <v>0</v>
      </c>
      <c r="H148" s="71">
        <f>F148*(($H$135)+1)+(IF(G148&lt;101,G148,IF(G148&lt;201,G148/2,IF(G148&lt;=301,G148/3,G148/4))))</f>
        <v>570.59964000000002</v>
      </c>
      <c r="I148" s="33"/>
      <c r="L148" s="80"/>
      <c r="M148" s="80"/>
      <c r="N148" s="33"/>
    </row>
    <row r="149" spans="1:14" s="56" customFormat="1" ht="15.75" customHeight="1" x14ac:dyDescent="0.25">
      <c r="A149" s="55">
        <v>2</v>
      </c>
      <c r="B149" s="75" t="s">
        <v>322</v>
      </c>
      <c r="C149" s="55" t="s">
        <v>307</v>
      </c>
      <c r="D149" s="63">
        <f>(36.25)*10.764</f>
        <v>390.19499999999999</v>
      </c>
      <c r="E149" s="55">
        <v>0</v>
      </c>
      <c r="F149" s="55">
        <f t="shared" ref="F149:F153" si="0">D149+E149</f>
        <v>390.19499999999999</v>
      </c>
      <c r="G149" s="55">
        <v>0</v>
      </c>
      <c r="H149" s="55">
        <f t="shared" ref="H149:H153" si="1">F149*(($H$135)+1)+(IF(G149&lt;101,G149,IF(G149&lt;201,G149/2,IF(G149&lt;=301,G149/3,G149/4))))</f>
        <v>585.29250000000002</v>
      </c>
      <c r="I149" s="33"/>
      <c r="J149" s="33">
        <f>8222000/H149</f>
        <v>14047.677016192758</v>
      </c>
      <c r="L149" s="80"/>
      <c r="M149" s="80"/>
      <c r="N149" s="33"/>
    </row>
    <row r="150" spans="1:14" s="56" customFormat="1" ht="15.75" customHeight="1" x14ac:dyDescent="0.25">
      <c r="A150" s="55">
        <f>A149+1</f>
        <v>3</v>
      </c>
      <c r="B150" s="75" t="s">
        <v>322</v>
      </c>
      <c r="C150" s="55" t="s">
        <v>307</v>
      </c>
      <c r="D150" s="63">
        <f>(37.18)*10.764</f>
        <v>400.20551999999998</v>
      </c>
      <c r="E150" s="55">
        <v>0</v>
      </c>
      <c r="F150" s="55">
        <f t="shared" si="0"/>
        <v>400.20551999999998</v>
      </c>
      <c r="G150" s="55">
        <v>0</v>
      </c>
      <c r="H150" s="55">
        <f t="shared" si="1"/>
        <v>600.30827999999997</v>
      </c>
      <c r="I150" s="33"/>
      <c r="J150" s="33">
        <f>8400000/H150</f>
        <v>13992.8104939682</v>
      </c>
      <c r="L150" s="80"/>
      <c r="M150" s="80"/>
      <c r="N150" s="33"/>
    </row>
    <row r="151" spans="1:14" s="56" customFormat="1" ht="15.75" customHeight="1" x14ac:dyDescent="0.25">
      <c r="A151" s="55">
        <f>A150+1</f>
        <v>4</v>
      </c>
      <c r="B151" s="76" t="s">
        <v>319</v>
      </c>
      <c r="C151" s="55" t="s">
        <v>306</v>
      </c>
      <c r="D151" s="63">
        <f>(49.36)*10.764</f>
        <v>531.31103999999993</v>
      </c>
      <c r="E151" s="55">
        <v>0</v>
      </c>
      <c r="F151" s="55">
        <f t="shared" si="0"/>
        <v>531.31103999999993</v>
      </c>
      <c r="G151" s="55">
        <v>0</v>
      </c>
      <c r="H151" s="55">
        <f t="shared" si="1"/>
        <v>796.96655999999984</v>
      </c>
      <c r="I151" s="33"/>
      <c r="L151" s="80"/>
      <c r="M151" s="80"/>
      <c r="N151" s="33"/>
    </row>
    <row r="152" spans="1:14" s="56" customFormat="1" ht="15.75" customHeight="1" x14ac:dyDescent="0.25">
      <c r="A152" s="55">
        <f>A151+1</f>
        <v>5</v>
      </c>
      <c r="B152" s="75" t="s">
        <v>322</v>
      </c>
      <c r="C152" s="55" t="s">
        <v>307</v>
      </c>
      <c r="D152" s="63">
        <f>(33.43)*10.764</f>
        <v>359.84051999999997</v>
      </c>
      <c r="E152" s="55">
        <v>0</v>
      </c>
      <c r="F152" s="55">
        <f t="shared" si="0"/>
        <v>359.84051999999997</v>
      </c>
      <c r="G152" s="55">
        <v>0</v>
      </c>
      <c r="H152" s="55">
        <f t="shared" si="1"/>
        <v>539.76077999999995</v>
      </c>
      <c r="I152" s="33">
        <f>2.75*5.5+1.05*2.6+3.15*2.75+2.1*1.25+1.05*1.2+0.9*1.2</f>
        <v>31.482500000000002</v>
      </c>
      <c r="L152" s="80"/>
      <c r="M152" s="80"/>
      <c r="N152" s="33"/>
    </row>
    <row r="153" spans="1:14" s="56" customFormat="1" ht="15.75" customHeight="1" x14ac:dyDescent="0.25">
      <c r="A153" s="55">
        <f>A152+1</f>
        <v>6</v>
      </c>
      <c r="B153" s="76" t="s">
        <v>319</v>
      </c>
      <c r="C153" s="55" t="s">
        <v>306</v>
      </c>
      <c r="D153" s="63">
        <f>(49.85)*10.764</f>
        <v>536.58539999999994</v>
      </c>
      <c r="E153" s="55">
        <v>0</v>
      </c>
      <c r="F153" s="55">
        <f t="shared" si="0"/>
        <v>536.58539999999994</v>
      </c>
      <c r="G153" s="55">
        <v>0</v>
      </c>
      <c r="H153" s="55">
        <f t="shared" si="1"/>
        <v>804.8780999999999</v>
      </c>
      <c r="I153" s="33"/>
      <c r="L153" s="80"/>
      <c r="M153" s="80"/>
      <c r="N153" s="33"/>
    </row>
    <row r="154" spans="1:14" s="56" customFormat="1" x14ac:dyDescent="0.25">
      <c r="A154" s="92" t="s">
        <v>310</v>
      </c>
      <c r="B154" s="93"/>
      <c r="C154" s="93"/>
      <c r="D154" s="93"/>
      <c r="E154" s="93"/>
      <c r="F154" s="93"/>
      <c r="G154" s="93"/>
      <c r="H154" s="94"/>
      <c r="J154" s="33"/>
    </row>
    <row r="155" spans="1:14" s="56" customFormat="1" ht="15.75" customHeight="1" x14ac:dyDescent="0.25">
      <c r="A155" s="55">
        <v>1</v>
      </c>
      <c r="B155" s="75" t="s">
        <v>322</v>
      </c>
      <c r="C155" s="55" t="s">
        <v>307</v>
      </c>
      <c r="D155" s="63">
        <f>(38.76)*10.764</f>
        <v>417.21263999999996</v>
      </c>
      <c r="E155" s="55">
        <v>0</v>
      </c>
      <c r="F155" s="55">
        <f t="shared" ref="F155:F160" si="2">D155+E155</f>
        <v>417.21263999999996</v>
      </c>
      <c r="G155" s="55">
        <v>0</v>
      </c>
      <c r="H155" s="55">
        <f t="shared" ref="H155:H160" si="3">F155*(($H$135)+1)+(IF(G155&lt;101,G155,IF(G155&lt;201,G155/2,IF(G155&lt;=301,G155/3,G155/4))))</f>
        <v>625.81895999999995</v>
      </c>
      <c r="I155" s="33"/>
      <c r="J155" s="33">
        <f>8700000/H155</f>
        <v>13901.783991971097</v>
      </c>
      <c r="L155" s="80"/>
      <c r="M155" s="80"/>
      <c r="N155" s="33"/>
    </row>
    <row r="156" spans="1:14" s="56" customFormat="1" ht="15.75" customHeight="1" x14ac:dyDescent="0.25">
      <c r="A156" s="55">
        <f>A155+1</f>
        <v>2</v>
      </c>
      <c r="B156" s="75" t="s">
        <v>322</v>
      </c>
      <c r="C156" s="55" t="s">
        <v>307</v>
      </c>
      <c r="D156" s="63">
        <f>(36.25)*10.764</f>
        <v>390.19499999999999</v>
      </c>
      <c r="E156" s="55">
        <v>0</v>
      </c>
      <c r="F156" s="55">
        <f t="shared" si="2"/>
        <v>390.19499999999999</v>
      </c>
      <c r="G156" s="55">
        <v>0</v>
      </c>
      <c r="H156" s="55">
        <f t="shared" si="3"/>
        <v>585.29250000000002</v>
      </c>
      <c r="I156" s="33"/>
      <c r="L156" s="80"/>
      <c r="M156" s="80"/>
      <c r="N156" s="33"/>
    </row>
    <row r="157" spans="1:14" s="56" customFormat="1" ht="15.75" customHeight="1" x14ac:dyDescent="0.25">
      <c r="A157" s="55">
        <f>A156+1</f>
        <v>3</v>
      </c>
      <c r="B157" s="75" t="s">
        <v>322</v>
      </c>
      <c r="C157" s="55" t="s">
        <v>307</v>
      </c>
      <c r="D157" s="63">
        <f>(37.18)*10.764</f>
        <v>400.20551999999998</v>
      </c>
      <c r="E157" s="55">
        <v>0</v>
      </c>
      <c r="F157" s="55">
        <f t="shared" si="2"/>
        <v>400.20551999999998</v>
      </c>
      <c r="G157" s="55">
        <v>0</v>
      </c>
      <c r="H157" s="55">
        <f t="shared" si="3"/>
        <v>600.30827999999997</v>
      </c>
      <c r="I157" s="33"/>
      <c r="L157" s="80"/>
      <c r="M157" s="80"/>
      <c r="N157" s="33"/>
    </row>
    <row r="158" spans="1:14" s="56" customFormat="1" ht="15.75" customHeight="1" x14ac:dyDescent="0.25">
      <c r="A158" s="55">
        <f>A157+1</f>
        <v>4</v>
      </c>
      <c r="B158" s="76" t="s">
        <v>319</v>
      </c>
      <c r="C158" s="55" t="s">
        <v>306</v>
      </c>
      <c r="D158" s="63">
        <f>(49.36)*10.764</f>
        <v>531.31103999999993</v>
      </c>
      <c r="E158" s="55">
        <v>0</v>
      </c>
      <c r="F158" s="55">
        <f t="shared" si="2"/>
        <v>531.31103999999993</v>
      </c>
      <c r="G158" s="55">
        <v>0</v>
      </c>
      <c r="H158" s="55">
        <f t="shared" si="3"/>
        <v>796.96655999999984</v>
      </c>
      <c r="I158" s="33"/>
      <c r="L158" s="80"/>
      <c r="M158" s="80"/>
      <c r="N158" s="33"/>
    </row>
    <row r="159" spans="1:14" s="56" customFormat="1" ht="15.75" customHeight="1" x14ac:dyDescent="0.25">
      <c r="A159" s="55">
        <f>A158+1</f>
        <v>5</v>
      </c>
      <c r="B159" s="75" t="s">
        <v>322</v>
      </c>
      <c r="C159" s="55" t="s">
        <v>307</v>
      </c>
      <c r="D159" s="63">
        <f>(33.43)*10.764</f>
        <v>359.84051999999997</v>
      </c>
      <c r="E159" s="55">
        <v>0</v>
      </c>
      <c r="F159" s="55">
        <f t="shared" si="2"/>
        <v>359.84051999999997</v>
      </c>
      <c r="G159" s="55">
        <v>0</v>
      </c>
      <c r="H159" s="55">
        <f t="shared" si="3"/>
        <v>539.76077999999995</v>
      </c>
      <c r="I159" s="33"/>
      <c r="L159" s="80"/>
      <c r="M159" s="80"/>
      <c r="N159" s="33"/>
    </row>
    <row r="160" spans="1:14" s="56" customFormat="1" ht="15.75" customHeight="1" x14ac:dyDescent="0.25">
      <c r="A160" s="55">
        <f>A159+1</f>
        <v>6</v>
      </c>
      <c r="B160" s="76" t="s">
        <v>319</v>
      </c>
      <c r="C160" s="55" t="s">
        <v>306</v>
      </c>
      <c r="D160" s="63">
        <f>(49.85)*10.764</f>
        <v>536.58539999999994</v>
      </c>
      <c r="E160" s="55">
        <v>0</v>
      </c>
      <c r="F160" s="55">
        <f t="shared" si="2"/>
        <v>536.58539999999994</v>
      </c>
      <c r="G160" s="55">
        <v>0</v>
      </c>
      <c r="H160" s="55">
        <f t="shared" si="3"/>
        <v>804.8780999999999</v>
      </c>
      <c r="I160" s="33"/>
      <c r="L160" s="80"/>
      <c r="M160" s="80"/>
      <c r="N160" s="33"/>
    </row>
    <row r="161" spans="1:14" s="56" customFormat="1" x14ac:dyDescent="0.25">
      <c r="A161" s="89" t="s">
        <v>311</v>
      </c>
      <c r="B161" s="90"/>
      <c r="C161" s="90"/>
      <c r="D161" s="90"/>
      <c r="E161" s="90"/>
      <c r="F161" s="90"/>
      <c r="G161" s="90"/>
      <c r="H161" s="91"/>
      <c r="J161" s="33"/>
    </row>
    <row r="162" spans="1:14" s="56" customFormat="1" ht="15.75" customHeight="1" x14ac:dyDescent="0.25">
      <c r="A162" s="55">
        <v>1</v>
      </c>
      <c r="B162" s="76" t="s">
        <v>323</v>
      </c>
      <c r="C162" s="121" t="s">
        <v>312</v>
      </c>
      <c r="D162" s="121"/>
      <c r="E162" s="121"/>
      <c r="F162" s="121"/>
      <c r="G162" s="121"/>
      <c r="H162" s="71" t="s">
        <v>323</v>
      </c>
      <c r="I162" s="33"/>
      <c r="L162" s="80"/>
      <c r="M162" s="80"/>
      <c r="N162" s="33"/>
    </row>
    <row r="163" spans="1:14" s="56" customFormat="1" ht="15.75" customHeight="1" x14ac:dyDescent="0.25">
      <c r="A163" s="55">
        <f>A162+1</f>
        <v>2</v>
      </c>
      <c r="B163" s="75" t="s">
        <v>322</v>
      </c>
      <c r="C163" s="55" t="s">
        <v>307</v>
      </c>
      <c r="D163" s="63">
        <f>(36.25)*10.764</f>
        <v>390.19499999999999</v>
      </c>
      <c r="E163" s="55">
        <v>0</v>
      </c>
      <c r="F163" s="55">
        <f>D163+E163</f>
        <v>390.19499999999999</v>
      </c>
      <c r="G163" s="55">
        <v>0</v>
      </c>
      <c r="H163" s="55">
        <f>F163*(($H$135)+1)+(IF(G163&lt;101,G163,IF(G163&lt;201,G163/2,IF(G163&lt;=301,G163/3,G163/4))))</f>
        <v>585.29250000000002</v>
      </c>
      <c r="I163" s="33"/>
      <c r="L163" s="80"/>
      <c r="M163" s="80"/>
      <c r="N163" s="33"/>
    </row>
    <row r="164" spans="1:14" s="56" customFormat="1" ht="15.75" customHeight="1" x14ac:dyDescent="0.25">
      <c r="A164" s="55">
        <f>A163+1</f>
        <v>3</v>
      </c>
      <c r="B164" s="75" t="s">
        <v>322</v>
      </c>
      <c r="C164" s="55" t="s">
        <v>307</v>
      </c>
      <c r="D164" s="63">
        <f>(37.18)*10.764</f>
        <v>400.20551999999998</v>
      </c>
      <c r="E164" s="55">
        <v>0</v>
      </c>
      <c r="F164" s="55">
        <f>D164+E164</f>
        <v>400.20551999999998</v>
      </c>
      <c r="G164" s="55">
        <v>0</v>
      </c>
      <c r="H164" s="55">
        <f>F164*(($H$135)+1)+(IF(G164&lt;101,G164,IF(G164&lt;201,G164/2,IF(G164&lt;=301,G164/3,G164/4))))</f>
        <v>600.30827999999997</v>
      </c>
      <c r="I164" s="33"/>
      <c r="L164" s="80"/>
      <c r="M164" s="80"/>
      <c r="N164" s="33"/>
    </row>
    <row r="165" spans="1:14" s="56" customFormat="1" ht="15.75" customHeight="1" x14ac:dyDescent="0.25">
      <c r="A165" s="55">
        <f>A164+1</f>
        <v>4</v>
      </c>
      <c r="B165" s="76" t="s">
        <v>319</v>
      </c>
      <c r="C165" s="55" t="s">
        <v>306</v>
      </c>
      <c r="D165" s="63">
        <f>(49.36)*10.764</f>
        <v>531.31103999999993</v>
      </c>
      <c r="E165" s="55">
        <v>0</v>
      </c>
      <c r="F165" s="55">
        <f>D165+E165</f>
        <v>531.31103999999993</v>
      </c>
      <c r="G165" s="55">
        <v>0</v>
      </c>
      <c r="H165" s="55">
        <f>F165*(($H$135)+1)+(IF(G165&lt;101,G165,IF(G165&lt;201,G165/2,IF(G165&lt;=301,G165/3,G165/4))))</f>
        <v>796.96655999999984</v>
      </c>
      <c r="I165" s="33"/>
      <c r="L165" s="80"/>
      <c r="M165" s="80"/>
      <c r="N165" s="33"/>
    </row>
    <row r="166" spans="1:14" s="56" customFormat="1" ht="15.75" customHeight="1" x14ac:dyDescent="0.25">
      <c r="A166" s="55">
        <f>A165+1</f>
        <v>5</v>
      </c>
      <c r="B166" s="75" t="s">
        <v>322</v>
      </c>
      <c r="C166" s="55" t="s">
        <v>307</v>
      </c>
      <c r="D166" s="63">
        <f>(33.43)*10.764</f>
        <v>359.84051999999997</v>
      </c>
      <c r="E166" s="55">
        <v>0</v>
      </c>
      <c r="F166" s="55">
        <f>D166+E166</f>
        <v>359.84051999999997</v>
      </c>
      <c r="G166" s="55">
        <v>0</v>
      </c>
      <c r="H166" s="55">
        <f>F166*(($H$135)+1)+(IF(G166&lt;101,G166,IF(G166&lt;201,G166/2,IF(G166&lt;=301,G166/3,G166/4))))</f>
        <v>539.76077999999995</v>
      </c>
      <c r="I166" s="33"/>
      <c r="J166" s="33">
        <f>6509000/H166</f>
        <v>12059.045861020137</v>
      </c>
      <c r="L166" s="80"/>
      <c r="M166" s="80"/>
      <c r="N166" s="33"/>
    </row>
    <row r="167" spans="1:14" s="56" customFormat="1" ht="15.75" customHeight="1" x14ac:dyDescent="0.25">
      <c r="A167" s="55">
        <f>A166+1</f>
        <v>6</v>
      </c>
      <c r="B167" s="76" t="s">
        <v>319</v>
      </c>
      <c r="C167" s="55" t="s">
        <v>306</v>
      </c>
      <c r="D167" s="63">
        <f>(49.85)*10.764</f>
        <v>536.58539999999994</v>
      </c>
      <c r="E167" s="55">
        <v>0</v>
      </c>
      <c r="F167" s="55">
        <f>D167+E167</f>
        <v>536.58539999999994</v>
      </c>
      <c r="G167" s="55">
        <v>0</v>
      </c>
      <c r="H167" s="55">
        <f>F167*(($H$135)+1)+(IF(G167&lt;101,G167,IF(G167&lt;201,G167/2,IF(G167&lt;=301,G167/3,G167/4))))</f>
        <v>804.8780999999999</v>
      </c>
      <c r="I167" s="33"/>
      <c r="L167" s="80"/>
      <c r="M167" s="80"/>
      <c r="N167" s="33"/>
    </row>
    <row r="168" spans="1:14" s="56" customFormat="1" x14ac:dyDescent="0.25">
      <c r="A168" s="89" t="s">
        <v>314</v>
      </c>
      <c r="B168" s="90"/>
      <c r="C168" s="90"/>
      <c r="D168" s="90"/>
      <c r="E168" s="90"/>
      <c r="F168" s="90"/>
      <c r="G168" s="90"/>
      <c r="H168" s="91"/>
      <c r="J168" s="33"/>
    </row>
    <row r="169" spans="1:14" s="56" customFormat="1" ht="15.75" customHeight="1" x14ac:dyDescent="0.25">
      <c r="A169" s="55">
        <v>1</v>
      </c>
      <c r="B169" s="57" t="s">
        <v>322</v>
      </c>
      <c r="C169" s="55" t="s">
        <v>307</v>
      </c>
      <c r="D169" s="63">
        <f>(38.76)*10.764</f>
        <v>417.21263999999996</v>
      </c>
      <c r="E169" s="55">
        <v>0</v>
      </c>
      <c r="F169" s="55">
        <f t="shared" ref="F169:F174" si="4">D169+E169</f>
        <v>417.21263999999996</v>
      </c>
      <c r="G169" s="55">
        <v>0</v>
      </c>
      <c r="H169" s="55">
        <f t="shared" ref="H169:H174" si="5">F169*(($H$135)+1)+(IF(G169&lt;101,G169,IF(G169&lt;201,G169/2,IF(G169&lt;=301,G169/3,G169/4))))</f>
        <v>625.81895999999995</v>
      </c>
      <c r="I169" s="33"/>
      <c r="L169" s="80"/>
      <c r="M169" s="80"/>
      <c r="N169" s="33"/>
    </row>
    <row r="170" spans="1:14" s="56" customFormat="1" ht="15.75" customHeight="1" x14ac:dyDescent="0.25">
      <c r="A170" s="55">
        <f>A169+1</f>
        <v>2</v>
      </c>
      <c r="B170" s="57" t="s">
        <v>322</v>
      </c>
      <c r="C170" s="55" t="s">
        <v>307</v>
      </c>
      <c r="D170" s="63">
        <f>(36.25)*10.764</f>
        <v>390.19499999999999</v>
      </c>
      <c r="E170" s="55">
        <v>0</v>
      </c>
      <c r="F170" s="55">
        <f t="shared" si="4"/>
        <v>390.19499999999999</v>
      </c>
      <c r="G170" s="55">
        <v>0</v>
      </c>
      <c r="H170" s="55">
        <f t="shared" si="5"/>
        <v>585.29250000000002</v>
      </c>
      <c r="I170" s="33"/>
      <c r="L170" s="80"/>
      <c r="M170" s="80"/>
      <c r="N170" s="33"/>
    </row>
    <row r="171" spans="1:14" s="56" customFormat="1" ht="15.75" customHeight="1" x14ac:dyDescent="0.25">
      <c r="A171" s="55">
        <f>A170+1</f>
        <v>3</v>
      </c>
      <c r="B171" s="57" t="s">
        <v>322</v>
      </c>
      <c r="C171" s="55" t="s">
        <v>307</v>
      </c>
      <c r="D171" s="63">
        <f>(37.18)*10.764</f>
        <v>400.20551999999998</v>
      </c>
      <c r="E171" s="55">
        <v>0</v>
      </c>
      <c r="F171" s="55">
        <f t="shared" si="4"/>
        <v>400.20551999999998</v>
      </c>
      <c r="G171" s="55">
        <v>0</v>
      </c>
      <c r="H171" s="55">
        <f t="shared" si="5"/>
        <v>600.30827999999997</v>
      </c>
      <c r="I171" s="33"/>
      <c r="L171" s="80"/>
      <c r="M171" s="80"/>
      <c r="N171" s="33"/>
    </row>
    <row r="172" spans="1:14" s="56" customFormat="1" ht="15.75" customHeight="1" x14ac:dyDescent="0.25">
      <c r="A172" s="55">
        <f>A171+1</f>
        <v>4</v>
      </c>
      <c r="B172" s="57" t="s">
        <v>322</v>
      </c>
      <c r="C172" s="55" t="s">
        <v>307</v>
      </c>
      <c r="D172" s="63">
        <f>(36.24)*10.764</f>
        <v>390.08735999999999</v>
      </c>
      <c r="E172" s="55">
        <v>0</v>
      </c>
      <c r="F172" s="55">
        <f t="shared" si="4"/>
        <v>390.08735999999999</v>
      </c>
      <c r="G172" s="55">
        <v>0</v>
      </c>
      <c r="H172" s="55">
        <f t="shared" si="5"/>
        <v>585.13103999999998</v>
      </c>
      <c r="I172" s="33"/>
      <c r="L172" s="80"/>
      <c r="M172" s="80"/>
      <c r="N172" s="33"/>
    </row>
    <row r="173" spans="1:14" s="56" customFormat="1" ht="15.75" customHeight="1" x14ac:dyDescent="0.25">
      <c r="A173" s="55">
        <f>A172+1</f>
        <v>5</v>
      </c>
      <c r="B173" s="57" t="s">
        <v>322</v>
      </c>
      <c r="C173" s="55" t="s">
        <v>305</v>
      </c>
      <c r="D173" s="63">
        <f>(24.35)*10.764</f>
        <v>262.10340000000002</v>
      </c>
      <c r="E173" s="55">
        <v>0</v>
      </c>
      <c r="F173" s="55">
        <f t="shared" si="4"/>
        <v>262.10340000000002</v>
      </c>
      <c r="G173" s="55">
        <v>0</v>
      </c>
      <c r="H173" s="55">
        <f t="shared" si="5"/>
        <v>393.15510000000006</v>
      </c>
      <c r="I173" s="33"/>
      <c r="J173" s="56">
        <f>65090000/H174</f>
        <v>114951.21275560399</v>
      </c>
      <c r="L173" s="80"/>
      <c r="M173" s="80"/>
      <c r="N173" s="33"/>
    </row>
    <row r="174" spans="1:14" s="56" customFormat="1" ht="15.75" customHeight="1" x14ac:dyDescent="0.25">
      <c r="A174" s="55">
        <f>A173+1</f>
        <v>6</v>
      </c>
      <c r="B174" s="57" t="s">
        <v>322</v>
      </c>
      <c r="C174" s="55" t="s">
        <v>307</v>
      </c>
      <c r="D174" s="63">
        <f>(35.07)*10.764</f>
        <v>377.49347999999998</v>
      </c>
      <c r="E174" s="55">
        <v>0</v>
      </c>
      <c r="F174" s="55">
        <f t="shared" si="4"/>
        <v>377.49347999999998</v>
      </c>
      <c r="G174" s="55">
        <v>0</v>
      </c>
      <c r="H174" s="55">
        <f t="shared" si="5"/>
        <v>566.24021999999991</v>
      </c>
      <c r="I174" s="33"/>
      <c r="L174" s="80"/>
      <c r="M174" s="80"/>
      <c r="N174" s="33"/>
    </row>
    <row r="175" spans="1:14" s="56" customFormat="1" x14ac:dyDescent="0.25">
      <c r="A175" s="89" t="s">
        <v>315</v>
      </c>
      <c r="B175" s="90"/>
      <c r="C175" s="90"/>
      <c r="D175" s="90"/>
      <c r="E175" s="90"/>
      <c r="F175" s="90"/>
      <c r="G175" s="90"/>
      <c r="H175" s="91"/>
      <c r="J175" s="33"/>
    </row>
    <row r="176" spans="1:14" s="56" customFormat="1" ht="15.75" customHeight="1" x14ac:dyDescent="0.25">
      <c r="A176" s="55">
        <v>1</v>
      </c>
      <c r="B176" s="57" t="s">
        <v>322</v>
      </c>
      <c r="C176" s="55" t="s">
        <v>307</v>
      </c>
      <c r="D176" s="63">
        <f>(38.76)*10.764</f>
        <v>417.21263999999996</v>
      </c>
      <c r="E176" s="55">
        <v>0</v>
      </c>
      <c r="F176" s="55">
        <f>D176+E176</f>
        <v>417.21263999999996</v>
      </c>
      <c r="G176" s="55">
        <v>0</v>
      </c>
      <c r="H176" s="55">
        <f>F176*(($H$135)+1)+(IF(G176&lt;101,G176,IF(G176&lt;201,G176/2,IF(G176&lt;=301,G176/3,G176/4))))</f>
        <v>625.81895999999995</v>
      </c>
      <c r="I176" s="33"/>
      <c r="J176" s="56">
        <f>79000000/H176</f>
        <v>126234.59027192146</v>
      </c>
      <c r="L176" s="80"/>
      <c r="M176" s="80"/>
      <c r="N176" s="33"/>
    </row>
    <row r="177" spans="1:14" s="56" customFormat="1" ht="15.75" customHeight="1" x14ac:dyDescent="0.25">
      <c r="A177" s="55">
        <f>A176+1</f>
        <v>2</v>
      </c>
      <c r="B177" s="57" t="s">
        <v>322</v>
      </c>
      <c r="C177" s="55" t="s">
        <v>307</v>
      </c>
      <c r="D177" s="63">
        <f>(36.25)*10.764</f>
        <v>390.19499999999999</v>
      </c>
      <c r="E177" s="55">
        <v>0</v>
      </c>
      <c r="F177" s="55">
        <f>D177+E177</f>
        <v>390.19499999999999</v>
      </c>
      <c r="G177" s="55">
        <v>0</v>
      </c>
      <c r="H177" s="55">
        <f>F177*(($H$135)+1)+(IF(G177&lt;101,G177,IF(G177&lt;201,G177/2,IF(G177&lt;=301,G177/3,G177/4))))</f>
        <v>585.29250000000002</v>
      </c>
      <c r="I177" s="33"/>
      <c r="L177" s="80"/>
      <c r="M177" s="80"/>
      <c r="N177" s="33"/>
    </row>
    <row r="178" spans="1:14" s="56" customFormat="1" ht="15.75" customHeight="1" x14ac:dyDescent="0.25">
      <c r="A178" s="55">
        <f>A177+1</f>
        <v>3</v>
      </c>
      <c r="B178" s="57" t="s">
        <v>322</v>
      </c>
      <c r="C178" s="55" t="s">
        <v>307</v>
      </c>
      <c r="D178" s="63">
        <f>(37.18)*10.764</f>
        <v>400.20551999999998</v>
      </c>
      <c r="E178" s="55">
        <v>0</v>
      </c>
      <c r="F178" s="55">
        <f>D178+E178</f>
        <v>400.20551999999998</v>
      </c>
      <c r="G178" s="55">
        <v>0</v>
      </c>
      <c r="H178" s="55">
        <f>F178*(($H$135)+1)+(IF(G178&lt;101,G178,IF(G178&lt;201,G178/2,IF(G178&lt;=301,G178/3,G178/4))))</f>
        <v>600.30827999999997</v>
      </c>
      <c r="I178" s="33"/>
      <c r="L178" s="80"/>
      <c r="M178" s="80"/>
      <c r="N178" s="33"/>
    </row>
    <row r="179" spans="1:14" s="56" customFormat="1" ht="15.75" customHeight="1" x14ac:dyDescent="0.25">
      <c r="A179" s="55">
        <f>A178+1</f>
        <v>4</v>
      </c>
      <c r="B179" s="55" t="s">
        <v>323</v>
      </c>
      <c r="C179" s="81" t="s">
        <v>316</v>
      </c>
      <c r="D179" s="82"/>
      <c r="E179" s="82"/>
      <c r="F179" s="82"/>
      <c r="G179" s="82"/>
      <c r="H179" s="71" t="s">
        <v>323</v>
      </c>
      <c r="I179" s="33"/>
      <c r="L179" s="80"/>
      <c r="M179" s="80"/>
      <c r="N179" s="33"/>
    </row>
    <row r="180" spans="1:14" s="56" customFormat="1" ht="15.75" customHeight="1" x14ac:dyDescent="0.25">
      <c r="A180" s="55">
        <f>A179+1</f>
        <v>5</v>
      </c>
      <c r="B180" s="55" t="s">
        <v>323</v>
      </c>
      <c r="C180" s="125"/>
      <c r="D180" s="126"/>
      <c r="E180" s="126"/>
      <c r="F180" s="126"/>
      <c r="G180" s="126"/>
      <c r="H180" s="71" t="s">
        <v>323</v>
      </c>
      <c r="I180" s="33"/>
      <c r="L180" s="80"/>
      <c r="M180" s="80"/>
      <c r="N180" s="33"/>
    </row>
    <row r="181" spans="1:14" s="56" customFormat="1" ht="15.75" customHeight="1" x14ac:dyDescent="0.25">
      <c r="A181" s="55">
        <f>A180+1</f>
        <v>6</v>
      </c>
      <c r="B181" s="55" t="s">
        <v>323</v>
      </c>
      <c r="C181" s="84"/>
      <c r="D181" s="85"/>
      <c r="E181" s="85"/>
      <c r="F181" s="85"/>
      <c r="G181" s="85"/>
      <c r="H181" s="71" t="s">
        <v>323</v>
      </c>
      <c r="I181" s="33"/>
      <c r="L181" s="80"/>
      <c r="M181" s="80"/>
      <c r="N181" s="33"/>
    </row>
    <row r="182" spans="1:14" s="56" customFormat="1" x14ac:dyDescent="0.25">
      <c r="A182" s="89" t="s">
        <v>317</v>
      </c>
      <c r="B182" s="90"/>
      <c r="C182" s="90"/>
      <c r="D182" s="90"/>
      <c r="E182" s="90"/>
      <c r="F182" s="90"/>
      <c r="G182" s="90"/>
      <c r="H182" s="91"/>
      <c r="J182" s="33"/>
    </row>
    <row r="183" spans="1:14" s="56" customFormat="1" ht="15.75" customHeight="1" x14ac:dyDescent="0.25">
      <c r="A183" s="55">
        <v>1</v>
      </c>
      <c r="B183" s="57" t="s">
        <v>322</v>
      </c>
      <c r="C183" s="55" t="s">
        <v>307</v>
      </c>
      <c r="D183" s="63">
        <f>(38.76)*10.764</f>
        <v>417.21263999999996</v>
      </c>
      <c r="E183" s="55">
        <v>0</v>
      </c>
      <c r="F183" s="55">
        <f>D183+E183</f>
        <v>417.21263999999996</v>
      </c>
      <c r="G183" s="55">
        <v>0</v>
      </c>
      <c r="H183" s="55">
        <f>F183*(($H$135)+1)+(IF(G183&lt;101,G183,IF(G183&lt;201,G183/2,IF(G183&lt;=301,G183/3,G183/4))))</f>
        <v>625.81895999999995</v>
      </c>
      <c r="I183" s="33"/>
      <c r="L183" s="80"/>
      <c r="M183" s="80"/>
      <c r="N183" s="33"/>
    </row>
    <row r="184" spans="1:14" s="56" customFormat="1" ht="15.75" customHeight="1" x14ac:dyDescent="0.25">
      <c r="A184" s="55">
        <f>A183+1</f>
        <v>2</v>
      </c>
      <c r="B184" s="57" t="s">
        <v>322</v>
      </c>
      <c r="C184" s="55" t="s">
        <v>307</v>
      </c>
      <c r="D184" s="63">
        <f>(36.25)*10.764</f>
        <v>390.19499999999999</v>
      </c>
      <c r="E184" s="55">
        <v>0</v>
      </c>
      <c r="F184" s="55">
        <f>D184+E184</f>
        <v>390.19499999999999</v>
      </c>
      <c r="G184" s="55">
        <v>0</v>
      </c>
      <c r="H184" s="55">
        <f>F184*(($H$135)+1)+(IF(G184&lt;101,G184,IF(G184&lt;201,G184/2,IF(G184&lt;=301,G184/3,G184/4))))</f>
        <v>585.29250000000002</v>
      </c>
      <c r="I184" s="33">
        <f>1+11+13+13+11+11+10+1+1+1+10+10+10+12+12+11+1+1+1+1</f>
        <v>142</v>
      </c>
      <c r="L184" s="80"/>
      <c r="M184" s="80"/>
      <c r="N184" s="33"/>
    </row>
    <row r="185" spans="1:14" s="56" customFormat="1" ht="15.75" customHeight="1" x14ac:dyDescent="0.25">
      <c r="A185" s="55">
        <f>A184+1</f>
        <v>3</v>
      </c>
      <c r="B185" s="57" t="s">
        <v>322</v>
      </c>
      <c r="C185" s="55" t="s">
        <v>307</v>
      </c>
      <c r="D185" s="63">
        <f>(37.18)*10.764</f>
        <v>400.20551999999998</v>
      </c>
      <c r="E185" s="55">
        <v>0</v>
      </c>
      <c r="F185" s="55">
        <f>D185+E185</f>
        <v>400.20551999999998</v>
      </c>
      <c r="G185" s="55">
        <v>0</v>
      </c>
      <c r="H185" s="55">
        <f>F185*(($H$135)+1)+(IF(G185&lt;101,G185,IF(G185&lt;201,G185/2,IF(G185&lt;=301,G185/3,G185/4))))</f>
        <v>600.30827999999997</v>
      </c>
      <c r="I185" s="33"/>
      <c r="L185" s="80"/>
      <c r="M185" s="80"/>
      <c r="N185" s="33"/>
    </row>
    <row r="186" spans="1:14" s="56" customFormat="1" x14ac:dyDescent="0.25">
      <c r="A186" s="95" t="s">
        <v>309</v>
      </c>
      <c r="B186" s="96"/>
      <c r="C186" s="96"/>
      <c r="D186" s="96"/>
      <c r="E186" s="96"/>
      <c r="F186" s="96"/>
      <c r="G186" s="96"/>
      <c r="H186" s="97"/>
      <c r="J186" s="33"/>
    </row>
    <row r="187" spans="1:14" s="74" customFormat="1" x14ac:dyDescent="0.25">
      <c r="A187" s="89" t="s">
        <v>351</v>
      </c>
      <c r="B187" s="90"/>
      <c r="C187" s="90"/>
      <c r="D187" s="90"/>
      <c r="E187" s="90"/>
      <c r="F187" s="90"/>
      <c r="G187" s="90"/>
      <c r="H187" s="91"/>
      <c r="J187" s="33"/>
    </row>
    <row r="188" spans="1:14" s="56" customFormat="1" x14ac:dyDescent="0.25">
      <c r="A188" s="89" t="s">
        <v>346</v>
      </c>
      <c r="B188" s="90"/>
      <c r="C188" s="90"/>
      <c r="D188" s="90"/>
      <c r="E188" s="90"/>
      <c r="F188" s="90"/>
      <c r="G188" s="90"/>
      <c r="H188" s="91"/>
      <c r="J188" s="33"/>
    </row>
    <row r="189" spans="1:14" s="74" customFormat="1" ht="15.75" customHeight="1" x14ac:dyDescent="0.25">
      <c r="A189" s="71">
        <v>1</v>
      </c>
      <c r="B189" s="71" t="s">
        <v>323</v>
      </c>
      <c r="C189" s="81" t="s">
        <v>344</v>
      </c>
      <c r="D189" s="82"/>
      <c r="E189" s="82"/>
      <c r="F189" s="82"/>
      <c r="G189" s="83"/>
      <c r="H189" s="71" t="s">
        <v>323</v>
      </c>
      <c r="I189" s="33">
        <f>2.8*5+1*2.3+1.8*2.35+2.75*3.65+2.1*2.35+2.25*1.33+2.25*1.33+0.9*2.1</f>
        <v>43.377500000000005</v>
      </c>
      <c r="L189" s="80"/>
      <c r="M189" s="80"/>
      <c r="N189" s="33"/>
    </row>
    <row r="190" spans="1:14" s="74" customFormat="1" ht="15.75" customHeight="1" x14ac:dyDescent="0.25">
      <c r="A190" s="71">
        <f>A189+1</f>
        <v>2</v>
      </c>
      <c r="B190" s="72" t="s">
        <v>323</v>
      </c>
      <c r="C190" s="84"/>
      <c r="D190" s="85"/>
      <c r="E190" s="85"/>
      <c r="F190" s="85"/>
      <c r="G190" s="86"/>
      <c r="H190" s="71" t="s">
        <v>323</v>
      </c>
      <c r="I190" s="33"/>
      <c r="L190" s="80"/>
      <c r="M190" s="80"/>
      <c r="N190" s="33"/>
    </row>
    <row r="191" spans="1:14" s="74" customFormat="1" ht="15.75" customHeight="1" x14ac:dyDescent="0.25">
      <c r="A191" s="71">
        <f>A190+1</f>
        <v>3</v>
      </c>
      <c r="B191" s="72" t="s">
        <v>322</v>
      </c>
      <c r="C191" s="71" t="s">
        <v>306</v>
      </c>
      <c r="D191" s="63">
        <f>(49.97)*10.764</f>
        <v>537.87707999999998</v>
      </c>
      <c r="E191" s="71">
        <v>0</v>
      </c>
      <c r="F191" s="71">
        <f t="shared" ref="F191:F192" si="6">D191+E191</f>
        <v>537.87707999999998</v>
      </c>
      <c r="G191" s="71">
        <v>0</v>
      </c>
      <c r="H191" s="71">
        <f t="shared" ref="H191:H192" si="7">F191*(($H$135)+1)+(IF(G191&lt;101,G191,IF(G191&lt;201,G191/2,IF(G191&lt;=301,G191/3,G191/4))))</f>
        <v>806.81561999999997</v>
      </c>
      <c r="I191" s="33"/>
      <c r="L191" s="80"/>
      <c r="M191" s="80"/>
      <c r="N191" s="33"/>
    </row>
    <row r="192" spans="1:14" s="74" customFormat="1" ht="15.75" customHeight="1" x14ac:dyDescent="0.25">
      <c r="A192" s="71">
        <f>A191+1</f>
        <v>4</v>
      </c>
      <c r="B192" s="72" t="s">
        <v>322</v>
      </c>
      <c r="C192" s="71" t="s">
        <v>305</v>
      </c>
      <c r="D192" s="63">
        <f>(24.79)*10.764</f>
        <v>266.83955999999995</v>
      </c>
      <c r="E192" s="71">
        <v>0</v>
      </c>
      <c r="F192" s="71">
        <f t="shared" si="6"/>
        <v>266.83955999999995</v>
      </c>
      <c r="G192" s="71">
        <v>0</v>
      </c>
      <c r="H192" s="71">
        <f t="shared" si="7"/>
        <v>400.25933999999995</v>
      </c>
      <c r="I192" s="33"/>
      <c r="L192" s="80"/>
      <c r="M192" s="80"/>
      <c r="N192" s="33"/>
    </row>
    <row r="193" spans="1:14" s="74" customFormat="1" ht="15.75" customHeight="1" x14ac:dyDescent="0.25">
      <c r="A193" s="71">
        <f>A192+1</f>
        <v>5</v>
      </c>
      <c r="B193" s="72" t="s">
        <v>322</v>
      </c>
      <c r="C193" s="71" t="s">
        <v>305</v>
      </c>
      <c r="D193" s="63">
        <f>(15.58)*10.764</f>
        <v>167.70311999999998</v>
      </c>
      <c r="E193" s="71">
        <v>0</v>
      </c>
      <c r="F193" s="71">
        <f t="shared" ref="F193" si="8">D193+E193</f>
        <v>167.70311999999998</v>
      </c>
      <c r="G193" s="71">
        <v>0</v>
      </c>
      <c r="H193" s="71">
        <f t="shared" ref="H193" si="9">F193*(($H$135)+1)+(IF(G193&lt;101,G193,IF(G193&lt;201,G193/2,IF(G193&lt;=301,G193/3,G193/4))))</f>
        <v>251.55467999999996</v>
      </c>
      <c r="I193" s="33"/>
      <c r="L193" s="80"/>
      <c r="M193" s="80"/>
      <c r="N193" s="33"/>
    </row>
    <row r="194" spans="1:14" s="56" customFormat="1" x14ac:dyDescent="0.25">
      <c r="A194" s="89" t="s">
        <v>347</v>
      </c>
      <c r="B194" s="90"/>
      <c r="C194" s="90"/>
      <c r="D194" s="90"/>
      <c r="E194" s="90"/>
      <c r="F194" s="90"/>
      <c r="G194" s="90"/>
      <c r="H194" s="91"/>
      <c r="J194" s="33"/>
    </row>
    <row r="195" spans="1:14" s="56" customFormat="1" ht="15.75" customHeight="1" x14ac:dyDescent="0.25">
      <c r="A195" s="55">
        <v>1</v>
      </c>
      <c r="B195" s="76" t="s">
        <v>319</v>
      </c>
      <c r="C195" s="55" t="s">
        <v>306</v>
      </c>
      <c r="D195" s="63">
        <f>(49.72)*10.764</f>
        <v>535.18607999999995</v>
      </c>
      <c r="E195" s="55">
        <v>0</v>
      </c>
      <c r="F195" s="55">
        <f t="shared" ref="F195:F199" si="10">D195+E195</f>
        <v>535.18607999999995</v>
      </c>
      <c r="G195" s="55">
        <v>0</v>
      </c>
      <c r="H195" s="55">
        <f t="shared" ref="H195:H199" si="11">F195*(($H$135)+1)+(IF(G195&lt;101,G195,IF(G195&lt;201,G195/2,IF(G195&lt;=301,G195/3,G195/4))))</f>
        <v>802.77911999999992</v>
      </c>
      <c r="I195" s="33">
        <f>2.8*5+1*2.3+1.8*2.35+2.75*3.65+2.1*2.35+2.25*1.33+2.25*1.33+0.9*2.1</f>
        <v>43.377500000000005</v>
      </c>
      <c r="L195" s="80"/>
      <c r="M195" s="80"/>
      <c r="N195" s="33"/>
    </row>
    <row r="196" spans="1:14" s="56" customFormat="1" ht="15.75" customHeight="1" x14ac:dyDescent="0.25">
      <c r="A196" s="55">
        <f>A195+1</f>
        <v>2</v>
      </c>
      <c r="B196" s="75" t="s">
        <v>322</v>
      </c>
      <c r="C196" s="55" t="s">
        <v>307</v>
      </c>
      <c r="D196" s="63">
        <f>(38.91)*10.764</f>
        <v>418.82723999999996</v>
      </c>
      <c r="E196" s="55">
        <v>0</v>
      </c>
      <c r="F196" s="55">
        <f t="shared" si="10"/>
        <v>418.82723999999996</v>
      </c>
      <c r="G196" s="55">
        <v>0</v>
      </c>
      <c r="H196" s="55">
        <f t="shared" si="11"/>
        <v>628.24085999999988</v>
      </c>
      <c r="I196" s="33"/>
      <c r="L196" s="80"/>
      <c r="M196" s="80"/>
      <c r="N196" s="33"/>
    </row>
    <row r="197" spans="1:14" s="56" customFormat="1" ht="15.75" customHeight="1" x14ac:dyDescent="0.25">
      <c r="A197" s="55">
        <f>A196+1</f>
        <v>3</v>
      </c>
      <c r="B197" s="76" t="s">
        <v>319</v>
      </c>
      <c r="C197" s="55" t="s">
        <v>306</v>
      </c>
      <c r="D197" s="63">
        <f>(49.97)*10.764</f>
        <v>537.87707999999998</v>
      </c>
      <c r="E197" s="55">
        <v>0</v>
      </c>
      <c r="F197" s="55">
        <f t="shared" si="10"/>
        <v>537.87707999999998</v>
      </c>
      <c r="G197" s="55">
        <v>0</v>
      </c>
      <c r="H197" s="55">
        <f t="shared" si="11"/>
        <v>806.81561999999997</v>
      </c>
      <c r="I197" s="33"/>
      <c r="L197" s="80"/>
      <c r="M197" s="80"/>
      <c r="N197" s="33"/>
    </row>
    <row r="198" spans="1:14" s="56" customFormat="1" ht="15.75" customHeight="1" x14ac:dyDescent="0.25">
      <c r="A198" s="55">
        <f>A197+1</f>
        <v>4</v>
      </c>
      <c r="B198" s="75" t="s">
        <v>322</v>
      </c>
      <c r="C198" s="55" t="s">
        <v>307</v>
      </c>
      <c r="D198" s="63">
        <f>(37.24)*10.764</f>
        <v>400.85136</v>
      </c>
      <c r="E198" s="55">
        <v>0</v>
      </c>
      <c r="F198" s="55">
        <f t="shared" si="10"/>
        <v>400.85136</v>
      </c>
      <c r="G198" s="55">
        <v>0</v>
      </c>
      <c r="H198" s="55">
        <f t="shared" si="11"/>
        <v>601.27703999999994</v>
      </c>
      <c r="I198" s="33"/>
      <c r="L198" s="80"/>
      <c r="M198" s="80"/>
      <c r="N198" s="33"/>
    </row>
    <row r="199" spans="1:14" s="56" customFormat="1" ht="15.75" customHeight="1" x14ac:dyDescent="0.25">
      <c r="A199" s="55">
        <f>A198+1</f>
        <v>5</v>
      </c>
      <c r="B199" s="75" t="s">
        <v>322</v>
      </c>
      <c r="C199" s="55" t="s">
        <v>307</v>
      </c>
      <c r="D199" s="63">
        <f>(37.53)*10.764</f>
        <v>403.97291999999999</v>
      </c>
      <c r="E199" s="55">
        <v>0</v>
      </c>
      <c r="F199" s="55">
        <f t="shared" si="10"/>
        <v>403.97291999999999</v>
      </c>
      <c r="G199" s="55">
        <v>0</v>
      </c>
      <c r="H199" s="55">
        <f t="shared" si="11"/>
        <v>605.95938000000001</v>
      </c>
      <c r="I199" s="33"/>
      <c r="L199" s="80"/>
      <c r="M199" s="80"/>
      <c r="N199" s="33"/>
    </row>
    <row r="200" spans="1:14" s="56" customFormat="1" x14ac:dyDescent="0.25">
      <c r="A200" s="89" t="s">
        <v>321</v>
      </c>
      <c r="B200" s="90"/>
      <c r="C200" s="90"/>
      <c r="D200" s="90"/>
      <c r="E200" s="90"/>
      <c r="F200" s="90"/>
      <c r="G200" s="90"/>
      <c r="H200" s="91"/>
      <c r="J200" s="33"/>
    </row>
    <row r="201" spans="1:14" s="56" customFormat="1" ht="15.75" customHeight="1" x14ac:dyDescent="0.25">
      <c r="A201" s="55">
        <v>1</v>
      </c>
      <c r="B201" s="76" t="s">
        <v>319</v>
      </c>
      <c r="C201" s="55" t="s">
        <v>306</v>
      </c>
      <c r="D201" s="63">
        <f>(49.72)*10.764</f>
        <v>535.18607999999995</v>
      </c>
      <c r="E201" s="55">
        <v>0</v>
      </c>
      <c r="F201" s="55">
        <f t="shared" ref="F201:F206" si="12">D201+E201</f>
        <v>535.18607999999995</v>
      </c>
      <c r="G201" s="55">
        <v>0</v>
      </c>
      <c r="H201" s="55">
        <f t="shared" ref="H201:H206" si="13">F201*(($H$135)+1)+(IF(G201&lt;101,G201,IF(G201&lt;201,G201/2,IF(G201&lt;=301,G201/3,G201/4))))</f>
        <v>802.77911999999992</v>
      </c>
      <c r="I201" s="33"/>
      <c r="L201" s="80"/>
      <c r="M201" s="80"/>
      <c r="N201" s="33"/>
    </row>
    <row r="202" spans="1:14" s="56" customFormat="1" ht="15.75" customHeight="1" x14ac:dyDescent="0.25">
      <c r="A202" s="55">
        <f>A201+1</f>
        <v>2</v>
      </c>
      <c r="B202" s="75" t="s">
        <v>322</v>
      </c>
      <c r="C202" s="55" t="s">
        <v>307</v>
      </c>
      <c r="D202" s="63">
        <f>(38.91)*10.764</f>
        <v>418.82723999999996</v>
      </c>
      <c r="E202" s="55">
        <v>0</v>
      </c>
      <c r="F202" s="55">
        <f t="shared" si="12"/>
        <v>418.82723999999996</v>
      </c>
      <c r="G202" s="55">
        <v>0</v>
      </c>
      <c r="H202" s="55">
        <f t="shared" si="13"/>
        <v>628.24085999999988</v>
      </c>
      <c r="I202" s="33"/>
      <c r="L202" s="80"/>
      <c r="M202" s="80"/>
      <c r="N202" s="33"/>
    </row>
    <row r="203" spans="1:14" s="56" customFormat="1" ht="15.75" customHeight="1" x14ac:dyDescent="0.25">
      <c r="A203" s="55">
        <f>A202+1</f>
        <v>3</v>
      </c>
      <c r="B203" s="76" t="s">
        <v>319</v>
      </c>
      <c r="C203" s="55" t="s">
        <v>306</v>
      </c>
      <c r="D203" s="63">
        <f>(49.97)*10.764</f>
        <v>537.87707999999998</v>
      </c>
      <c r="E203" s="55">
        <v>0</v>
      </c>
      <c r="F203" s="55">
        <f t="shared" si="12"/>
        <v>537.87707999999998</v>
      </c>
      <c r="G203" s="55">
        <v>0</v>
      </c>
      <c r="H203" s="55">
        <f t="shared" si="13"/>
        <v>806.81561999999997</v>
      </c>
      <c r="I203" s="33"/>
      <c r="L203" s="80"/>
      <c r="M203" s="80"/>
      <c r="N203" s="33"/>
    </row>
    <row r="204" spans="1:14" s="56" customFormat="1" ht="15.75" customHeight="1" x14ac:dyDescent="0.25">
      <c r="A204" s="55">
        <f>A203+1</f>
        <v>4</v>
      </c>
      <c r="B204" s="75" t="s">
        <v>322</v>
      </c>
      <c r="C204" s="55" t="s">
        <v>307</v>
      </c>
      <c r="D204" s="63">
        <f>(37.24)*10.764</f>
        <v>400.85136</v>
      </c>
      <c r="E204" s="55">
        <v>0</v>
      </c>
      <c r="F204" s="55">
        <f t="shared" si="12"/>
        <v>400.85136</v>
      </c>
      <c r="G204" s="55">
        <v>0</v>
      </c>
      <c r="H204" s="55">
        <f t="shared" si="13"/>
        <v>601.27703999999994</v>
      </c>
      <c r="I204" s="33"/>
      <c r="L204" s="80"/>
      <c r="M204" s="80"/>
      <c r="N204" s="33"/>
    </row>
    <row r="205" spans="1:14" s="56" customFormat="1" ht="15.75" customHeight="1" x14ac:dyDescent="0.25">
      <c r="A205" s="55">
        <f>A204+1</f>
        <v>5</v>
      </c>
      <c r="B205" s="75" t="s">
        <v>322</v>
      </c>
      <c r="C205" s="55" t="s">
        <v>307</v>
      </c>
      <c r="D205" s="63">
        <f>(37.53)*10.764</f>
        <v>403.97291999999999</v>
      </c>
      <c r="E205" s="55">
        <v>0</v>
      </c>
      <c r="F205" s="55">
        <f t="shared" si="12"/>
        <v>403.97291999999999</v>
      </c>
      <c r="G205" s="55">
        <v>0</v>
      </c>
      <c r="H205" s="55">
        <f t="shared" si="13"/>
        <v>605.95938000000001</v>
      </c>
      <c r="I205" s="33"/>
      <c r="L205" s="80"/>
      <c r="M205" s="80"/>
      <c r="N205" s="33"/>
    </row>
    <row r="206" spans="1:14" s="56" customFormat="1" ht="15.75" customHeight="1" x14ac:dyDescent="0.25">
      <c r="A206" s="55">
        <f>A205+1</f>
        <v>6</v>
      </c>
      <c r="B206" s="75" t="s">
        <v>322</v>
      </c>
      <c r="C206" s="55" t="s">
        <v>306</v>
      </c>
      <c r="D206" s="63">
        <f>(47.9)*10.764</f>
        <v>515.59559999999999</v>
      </c>
      <c r="E206" s="55">
        <v>0</v>
      </c>
      <c r="F206" s="55">
        <f t="shared" si="12"/>
        <v>515.59559999999999</v>
      </c>
      <c r="G206" s="55">
        <v>0</v>
      </c>
      <c r="H206" s="55">
        <f t="shared" si="13"/>
        <v>773.39339999999993</v>
      </c>
      <c r="I206" s="33"/>
      <c r="L206" s="80"/>
      <c r="M206" s="80"/>
      <c r="N206" s="33"/>
    </row>
    <row r="207" spans="1:14" s="56" customFormat="1" x14ac:dyDescent="0.25">
      <c r="A207" s="89" t="s">
        <v>320</v>
      </c>
      <c r="B207" s="90"/>
      <c r="C207" s="90"/>
      <c r="D207" s="90"/>
      <c r="E207" s="90"/>
      <c r="F207" s="90"/>
      <c r="G207" s="90"/>
      <c r="H207" s="91"/>
      <c r="J207" s="33"/>
    </row>
    <row r="208" spans="1:14" s="56" customFormat="1" ht="15.75" customHeight="1" x14ac:dyDescent="0.25">
      <c r="A208" s="76">
        <v>1</v>
      </c>
      <c r="B208" s="76" t="s">
        <v>319</v>
      </c>
      <c r="C208" s="76" t="s">
        <v>306</v>
      </c>
      <c r="D208" s="63">
        <f>(49.72)*10.764</f>
        <v>535.18607999999995</v>
      </c>
      <c r="E208" s="76">
        <v>0</v>
      </c>
      <c r="F208" s="76">
        <f t="shared" ref="F208:F213" si="14">D208+E208</f>
        <v>535.18607999999995</v>
      </c>
      <c r="G208" s="76">
        <v>0</v>
      </c>
      <c r="H208" s="76">
        <f t="shared" ref="H208:H213" si="15">F208*(($H$135)+1)+(IF(G208&lt;101,G208,IF(G208&lt;201,G208/2,IF(G208&lt;=301,G208/3,G208/4))))</f>
        <v>802.77911999999992</v>
      </c>
      <c r="I208" s="33"/>
      <c r="L208" s="80"/>
      <c r="M208" s="80"/>
      <c r="N208" s="33"/>
    </row>
    <row r="209" spans="1:14" s="56" customFormat="1" ht="15.75" customHeight="1" x14ac:dyDescent="0.25">
      <c r="A209" s="76">
        <f>A208+1</f>
        <v>2</v>
      </c>
      <c r="B209" s="76" t="s">
        <v>319</v>
      </c>
      <c r="C209" s="76" t="s">
        <v>307</v>
      </c>
      <c r="D209" s="63">
        <f>(38.91)*10.764</f>
        <v>418.82723999999996</v>
      </c>
      <c r="E209" s="76">
        <v>0</v>
      </c>
      <c r="F209" s="76">
        <f t="shared" si="14"/>
        <v>418.82723999999996</v>
      </c>
      <c r="G209" s="76">
        <v>0</v>
      </c>
      <c r="H209" s="76">
        <f t="shared" si="15"/>
        <v>628.24085999999988</v>
      </c>
      <c r="I209" s="33"/>
      <c r="L209" s="80"/>
      <c r="M209" s="80"/>
      <c r="N209" s="33"/>
    </row>
    <row r="210" spans="1:14" s="56" customFormat="1" ht="15.75" customHeight="1" x14ac:dyDescent="0.25">
      <c r="A210" s="76">
        <f>A209+1</f>
        <v>3</v>
      </c>
      <c r="B210" s="75" t="s">
        <v>322</v>
      </c>
      <c r="C210" s="76" t="s">
        <v>306</v>
      </c>
      <c r="D210" s="63">
        <f>(49.97)*10.764</f>
        <v>537.87707999999998</v>
      </c>
      <c r="E210" s="76">
        <v>0</v>
      </c>
      <c r="F210" s="76">
        <f t="shared" si="14"/>
        <v>537.87707999999998</v>
      </c>
      <c r="G210" s="76">
        <v>0</v>
      </c>
      <c r="H210" s="76">
        <f t="shared" si="15"/>
        <v>806.81561999999997</v>
      </c>
      <c r="I210" s="33"/>
      <c r="L210" s="80"/>
      <c r="M210" s="80"/>
      <c r="N210" s="33"/>
    </row>
    <row r="211" spans="1:14" s="56" customFormat="1" ht="15.75" customHeight="1" x14ac:dyDescent="0.25">
      <c r="A211" s="76">
        <f>A210+1</f>
        <v>4</v>
      </c>
      <c r="B211" s="75" t="s">
        <v>322</v>
      </c>
      <c r="C211" s="76" t="s">
        <v>307</v>
      </c>
      <c r="D211" s="63">
        <f>(37.24)*10.764</f>
        <v>400.85136</v>
      </c>
      <c r="E211" s="76">
        <v>0</v>
      </c>
      <c r="F211" s="76">
        <f t="shared" si="14"/>
        <v>400.85136</v>
      </c>
      <c r="G211" s="76">
        <v>0</v>
      </c>
      <c r="H211" s="76">
        <f t="shared" si="15"/>
        <v>601.27703999999994</v>
      </c>
      <c r="I211" s="33"/>
      <c r="L211" s="80"/>
      <c r="M211" s="80"/>
      <c r="N211" s="33"/>
    </row>
    <row r="212" spans="1:14" s="56" customFormat="1" ht="15.75" customHeight="1" x14ac:dyDescent="0.25">
      <c r="A212" s="76">
        <f>A211+1</f>
        <v>5</v>
      </c>
      <c r="B212" s="75" t="s">
        <v>322</v>
      </c>
      <c r="C212" s="76" t="s">
        <v>307</v>
      </c>
      <c r="D212" s="63">
        <f>(37.53)*10.764</f>
        <v>403.97291999999999</v>
      </c>
      <c r="E212" s="76">
        <v>0</v>
      </c>
      <c r="F212" s="76">
        <f t="shared" si="14"/>
        <v>403.97291999999999</v>
      </c>
      <c r="G212" s="76">
        <v>0</v>
      </c>
      <c r="H212" s="76">
        <f t="shared" si="15"/>
        <v>605.95938000000001</v>
      </c>
      <c r="I212" s="33"/>
      <c r="L212" s="80"/>
      <c r="M212" s="80"/>
      <c r="N212" s="33"/>
    </row>
    <row r="213" spans="1:14" s="56" customFormat="1" ht="15.75" customHeight="1" x14ac:dyDescent="0.25">
      <c r="A213" s="76">
        <f>A212+1</f>
        <v>6</v>
      </c>
      <c r="B213" s="75" t="s">
        <v>322</v>
      </c>
      <c r="C213" s="76" t="s">
        <v>306</v>
      </c>
      <c r="D213" s="63">
        <f>(47.9)*10.764</f>
        <v>515.59559999999999</v>
      </c>
      <c r="E213" s="76">
        <v>0</v>
      </c>
      <c r="F213" s="76">
        <f t="shared" si="14"/>
        <v>515.59559999999999</v>
      </c>
      <c r="G213" s="76">
        <v>0</v>
      </c>
      <c r="H213" s="76">
        <f t="shared" si="15"/>
        <v>773.39339999999993</v>
      </c>
      <c r="I213" s="33"/>
      <c r="L213" s="80"/>
      <c r="M213" s="80"/>
      <c r="N213" s="33"/>
    </row>
    <row r="214" spans="1:14" s="56" customFormat="1" x14ac:dyDescent="0.25">
      <c r="A214" s="92" t="s">
        <v>311</v>
      </c>
      <c r="B214" s="93"/>
      <c r="C214" s="93"/>
      <c r="D214" s="93"/>
      <c r="E214" s="93"/>
      <c r="F214" s="93"/>
      <c r="G214" s="93"/>
      <c r="H214" s="94"/>
      <c r="J214" s="33"/>
    </row>
    <row r="215" spans="1:14" s="56" customFormat="1" ht="15.75" customHeight="1" x14ac:dyDescent="0.25">
      <c r="A215" s="76">
        <v>1</v>
      </c>
      <c r="B215" s="76" t="s">
        <v>319</v>
      </c>
      <c r="C215" s="76" t="s">
        <v>306</v>
      </c>
      <c r="D215" s="63">
        <f>(49.72)*10.764</f>
        <v>535.18607999999995</v>
      </c>
      <c r="E215" s="76">
        <v>0</v>
      </c>
      <c r="F215" s="76">
        <f>D215+E215</f>
        <v>535.18607999999995</v>
      </c>
      <c r="G215" s="76">
        <v>0</v>
      </c>
      <c r="H215" s="76">
        <f>F215*(($H$135)+1)+(IF(G215&lt;101,G215,IF(G215&lt;201,G215/2,IF(G215&lt;=301,G215/3,G215/4))))</f>
        <v>802.77911999999992</v>
      </c>
      <c r="I215" s="33"/>
      <c r="L215" s="80"/>
      <c r="M215" s="80"/>
      <c r="N215" s="33"/>
    </row>
    <row r="216" spans="1:14" s="56" customFormat="1" ht="15.75" customHeight="1" x14ac:dyDescent="0.25">
      <c r="A216" s="76">
        <f>A215+1</f>
        <v>2</v>
      </c>
      <c r="B216" s="75" t="s">
        <v>322</v>
      </c>
      <c r="C216" s="76" t="s">
        <v>307</v>
      </c>
      <c r="D216" s="63">
        <f>(38.91)*10.764</f>
        <v>418.82723999999996</v>
      </c>
      <c r="E216" s="76">
        <v>0</v>
      </c>
      <c r="F216" s="76">
        <f>D216+E216</f>
        <v>418.82723999999996</v>
      </c>
      <c r="G216" s="76">
        <v>0</v>
      </c>
      <c r="H216" s="76">
        <f>F216*(($H$135)+1)+(IF(G216&lt;101,G216,IF(G216&lt;201,G216/2,IF(G216&lt;=301,G216/3,G216/4))))</f>
        <v>628.24085999999988</v>
      </c>
      <c r="I216" s="33"/>
      <c r="L216" s="80"/>
      <c r="M216" s="80"/>
      <c r="N216" s="33"/>
    </row>
    <row r="217" spans="1:14" s="56" customFormat="1" ht="15.75" customHeight="1" x14ac:dyDescent="0.25">
      <c r="A217" s="76">
        <f>A216+1</f>
        <v>3</v>
      </c>
      <c r="B217" s="76" t="s">
        <v>319</v>
      </c>
      <c r="C217" s="76" t="s">
        <v>306</v>
      </c>
      <c r="D217" s="63">
        <f>(49.97)*10.764</f>
        <v>537.87707999999998</v>
      </c>
      <c r="E217" s="76">
        <v>0</v>
      </c>
      <c r="F217" s="76">
        <f>D217+E217</f>
        <v>537.87707999999998</v>
      </c>
      <c r="G217" s="76">
        <v>0</v>
      </c>
      <c r="H217" s="76">
        <f>F217*(($H$135)+1)+(IF(G217&lt;101,G217,IF(G217&lt;201,G217/2,IF(G217&lt;=301,G217/3,G217/4))))</f>
        <v>806.81561999999997</v>
      </c>
      <c r="I217" s="33"/>
      <c r="L217" s="80"/>
      <c r="M217" s="80"/>
      <c r="N217" s="33"/>
    </row>
    <row r="218" spans="1:14" s="56" customFormat="1" ht="15.75" customHeight="1" x14ac:dyDescent="0.25">
      <c r="A218" s="76">
        <f>A217+1</f>
        <v>4</v>
      </c>
      <c r="B218" s="75" t="s">
        <v>322</v>
      </c>
      <c r="C218" s="76" t="s">
        <v>313</v>
      </c>
      <c r="D218" s="63">
        <f>(54.34)*10.764</f>
        <v>584.91575999999998</v>
      </c>
      <c r="E218" s="76">
        <v>0</v>
      </c>
      <c r="F218" s="76">
        <f>D218+E218</f>
        <v>584.91575999999998</v>
      </c>
      <c r="G218" s="76">
        <v>0</v>
      </c>
      <c r="H218" s="76">
        <f>F218*(($H$135)+1)+(IF(G218&lt;101,G218,IF(G218&lt;201,G218/2,IF(G218&lt;=301,G218/3,G218/4))))</f>
        <v>877.37364000000002</v>
      </c>
      <c r="I218" s="33"/>
      <c r="L218" s="80"/>
      <c r="M218" s="80"/>
      <c r="N218" s="33"/>
    </row>
    <row r="219" spans="1:14" s="56" customFormat="1" ht="15.75" customHeight="1" x14ac:dyDescent="0.25">
      <c r="A219" s="76">
        <f>A218+1</f>
        <v>5</v>
      </c>
      <c r="B219" s="76" t="s">
        <v>323</v>
      </c>
      <c r="C219" s="224" t="s">
        <v>312</v>
      </c>
      <c r="D219" s="224"/>
      <c r="E219" s="224"/>
      <c r="F219" s="224"/>
      <c r="G219" s="224"/>
      <c r="H219" s="76" t="s">
        <v>323</v>
      </c>
      <c r="I219" s="33"/>
      <c r="L219" s="80"/>
      <c r="M219" s="80"/>
      <c r="N219" s="33"/>
    </row>
    <row r="220" spans="1:14" s="56" customFormat="1" ht="15.75" customHeight="1" x14ac:dyDescent="0.25">
      <c r="A220" s="76">
        <f>A219+1</f>
        <v>6</v>
      </c>
      <c r="B220" s="76" t="s">
        <v>323</v>
      </c>
      <c r="C220" s="224"/>
      <c r="D220" s="224"/>
      <c r="E220" s="224"/>
      <c r="F220" s="224"/>
      <c r="G220" s="224"/>
      <c r="H220" s="76" t="s">
        <v>323</v>
      </c>
      <c r="I220" s="33"/>
      <c r="L220" s="80"/>
      <c r="M220" s="80"/>
      <c r="N220" s="33"/>
    </row>
    <row r="221" spans="1:14" s="56" customFormat="1" x14ac:dyDescent="0.25">
      <c r="A221" s="89" t="s">
        <v>314</v>
      </c>
      <c r="B221" s="90"/>
      <c r="C221" s="90"/>
      <c r="D221" s="90"/>
      <c r="E221" s="90"/>
      <c r="F221" s="90"/>
      <c r="G221" s="90"/>
      <c r="H221" s="91"/>
      <c r="J221" s="33"/>
    </row>
    <row r="222" spans="1:14" s="56" customFormat="1" ht="15.75" customHeight="1" x14ac:dyDescent="0.25">
      <c r="A222" s="55">
        <v>1</v>
      </c>
      <c r="B222" s="57" t="s">
        <v>322</v>
      </c>
      <c r="C222" s="55" t="s">
        <v>307</v>
      </c>
      <c r="D222" s="63">
        <f>(34.55)*10.764</f>
        <v>371.89619999999996</v>
      </c>
      <c r="E222" s="55">
        <v>0</v>
      </c>
      <c r="F222" s="55">
        <f t="shared" ref="F222:F227" si="16">D222+E222</f>
        <v>371.89619999999996</v>
      </c>
      <c r="G222" s="55">
        <v>0</v>
      </c>
      <c r="H222" s="55">
        <f t="shared" ref="H222:H227" si="17">F222*(($H$135)+1)+(IF(G222&lt;101,G222,IF(G222&lt;201,G222/2,IF(G222&lt;=301,G222/3,G222/4))))</f>
        <v>557.84429999999998</v>
      </c>
      <c r="I222" s="33"/>
      <c r="L222" s="80"/>
      <c r="M222" s="80"/>
      <c r="N222" s="33"/>
    </row>
    <row r="223" spans="1:14" s="56" customFormat="1" ht="15.75" customHeight="1" x14ac:dyDescent="0.25">
      <c r="A223" s="55">
        <f>A222+1</f>
        <v>2</v>
      </c>
      <c r="B223" s="57" t="s">
        <v>322</v>
      </c>
      <c r="C223" s="55" t="s">
        <v>305</v>
      </c>
      <c r="D223" s="63">
        <f>(27.51)*10.764</f>
        <v>296.11763999999999</v>
      </c>
      <c r="E223" s="55">
        <v>0</v>
      </c>
      <c r="F223" s="55">
        <f t="shared" si="16"/>
        <v>296.11763999999999</v>
      </c>
      <c r="G223" s="55">
        <v>0</v>
      </c>
      <c r="H223" s="55">
        <f t="shared" si="17"/>
        <v>444.17646000000002</v>
      </c>
      <c r="I223" s="33"/>
      <c r="L223" s="80"/>
      <c r="M223" s="80"/>
      <c r="N223" s="33"/>
    </row>
    <row r="224" spans="1:14" s="56" customFormat="1" ht="15.75" customHeight="1" x14ac:dyDescent="0.25">
      <c r="A224" s="55">
        <f>A223+1</f>
        <v>3</v>
      </c>
      <c r="B224" s="57" t="s">
        <v>322</v>
      </c>
      <c r="C224" s="55" t="s">
        <v>305</v>
      </c>
      <c r="D224" s="63">
        <f>(35.12)*10.764</f>
        <v>378.03167999999994</v>
      </c>
      <c r="E224" s="55">
        <v>0</v>
      </c>
      <c r="F224" s="55">
        <f t="shared" si="16"/>
        <v>378.03167999999994</v>
      </c>
      <c r="G224" s="55">
        <v>0</v>
      </c>
      <c r="H224" s="55">
        <f t="shared" si="17"/>
        <v>567.04751999999985</v>
      </c>
      <c r="I224" s="33"/>
      <c r="L224" s="80"/>
      <c r="M224" s="80"/>
      <c r="N224" s="33"/>
    </row>
    <row r="225" spans="1:14" s="56" customFormat="1" ht="15.75" customHeight="1" x14ac:dyDescent="0.25">
      <c r="A225" s="55">
        <f>A224+1</f>
        <v>4</v>
      </c>
      <c r="B225" s="57" t="s">
        <v>322</v>
      </c>
      <c r="C225" s="55" t="s">
        <v>307</v>
      </c>
      <c r="D225" s="63">
        <f>(37.24)*10.764</f>
        <v>400.85136</v>
      </c>
      <c r="E225" s="55">
        <v>0</v>
      </c>
      <c r="F225" s="55">
        <f t="shared" si="16"/>
        <v>400.85136</v>
      </c>
      <c r="G225" s="55">
        <v>0</v>
      </c>
      <c r="H225" s="55">
        <f t="shared" si="17"/>
        <v>601.27703999999994</v>
      </c>
      <c r="I225" s="33"/>
      <c r="L225" s="80"/>
      <c r="M225" s="80"/>
      <c r="N225" s="33"/>
    </row>
    <row r="226" spans="1:14" s="56" customFormat="1" ht="15.75" customHeight="1" x14ac:dyDescent="0.25">
      <c r="A226" s="55">
        <f>A225+1</f>
        <v>5</v>
      </c>
      <c r="B226" s="57" t="s">
        <v>322</v>
      </c>
      <c r="C226" s="55" t="s">
        <v>307</v>
      </c>
      <c r="D226" s="63">
        <f>(37.53)*10.764</f>
        <v>403.97291999999999</v>
      </c>
      <c r="E226" s="55">
        <v>0</v>
      </c>
      <c r="F226" s="55">
        <f t="shared" si="16"/>
        <v>403.97291999999999</v>
      </c>
      <c r="G226" s="55">
        <v>0</v>
      </c>
      <c r="H226" s="55">
        <f t="shared" si="17"/>
        <v>605.95938000000001</v>
      </c>
      <c r="I226" s="33"/>
      <c r="L226" s="80"/>
      <c r="M226" s="80"/>
      <c r="N226" s="33"/>
    </row>
    <row r="227" spans="1:14" s="56" customFormat="1" ht="15.75" customHeight="1" x14ac:dyDescent="0.25">
      <c r="A227" s="55">
        <f>A226+1</f>
        <v>6</v>
      </c>
      <c r="B227" s="57" t="s">
        <v>322</v>
      </c>
      <c r="C227" s="55" t="s">
        <v>306</v>
      </c>
      <c r="D227" s="63">
        <f>(47.9)*10.764</f>
        <v>515.59559999999999</v>
      </c>
      <c r="E227" s="55">
        <v>0</v>
      </c>
      <c r="F227" s="55">
        <f t="shared" si="16"/>
        <v>515.59559999999999</v>
      </c>
      <c r="G227" s="55">
        <v>0</v>
      </c>
      <c r="H227" s="55">
        <f t="shared" si="17"/>
        <v>773.39339999999993</v>
      </c>
      <c r="I227" s="33"/>
      <c r="J227" s="33">
        <f>9860000/H227</f>
        <v>12749.009753638964</v>
      </c>
      <c r="L227" s="80"/>
      <c r="M227" s="80"/>
      <c r="N227" s="33"/>
    </row>
    <row r="228" spans="1:14" s="56" customFormat="1" x14ac:dyDescent="0.25">
      <c r="A228" s="89" t="s">
        <v>315</v>
      </c>
      <c r="B228" s="90"/>
      <c r="C228" s="90"/>
      <c r="D228" s="90"/>
      <c r="E228" s="90"/>
      <c r="F228" s="90"/>
      <c r="G228" s="90"/>
      <c r="H228" s="91"/>
      <c r="J228" s="33"/>
    </row>
    <row r="229" spans="1:14" s="56" customFormat="1" ht="15.75" customHeight="1" x14ac:dyDescent="0.25">
      <c r="A229" s="55">
        <v>1</v>
      </c>
      <c r="B229" s="55" t="s">
        <v>323</v>
      </c>
      <c r="C229" s="121" t="s">
        <v>316</v>
      </c>
      <c r="D229" s="121"/>
      <c r="E229" s="121"/>
      <c r="F229" s="121"/>
      <c r="G229" s="121"/>
      <c r="H229" s="71" t="s">
        <v>323</v>
      </c>
      <c r="I229" s="33"/>
      <c r="L229" s="80"/>
      <c r="M229" s="80"/>
      <c r="N229" s="33"/>
    </row>
    <row r="230" spans="1:14" s="56" customFormat="1" ht="15.75" customHeight="1" x14ac:dyDescent="0.25">
      <c r="A230" s="55">
        <f>A229+1</f>
        <v>2</v>
      </c>
      <c r="B230" s="55" t="s">
        <v>323</v>
      </c>
      <c r="C230" s="121"/>
      <c r="D230" s="121"/>
      <c r="E230" s="121"/>
      <c r="F230" s="121"/>
      <c r="G230" s="121"/>
      <c r="H230" s="71" t="s">
        <v>323</v>
      </c>
      <c r="I230" s="33"/>
      <c r="L230" s="80"/>
      <c r="M230" s="80"/>
      <c r="N230" s="33"/>
    </row>
    <row r="231" spans="1:14" s="56" customFormat="1" ht="15.75" customHeight="1" x14ac:dyDescent="0.25">
      <c r="A231" s="55">
        <f>A230+1</f>
        <v>3</v>
      </c>
      <c r="B231" s="55" t="s">
        <v>323</v>
      </c>
      <c r="C231" s="121"/>
      <c r="D231" s="121"/>
      <c r="E231" s="121"/>
      <c r="F231" s="121"/>
      <c r="G231" s="121"/>
      <c r="H231" s="71" t="s">
        <v>323</v>
      </c>
      <c r="I231" s="33"/>
      <c r="L231" s="80"/>
      <c r="M231" s="80"/>
      <c r="N231" s="33"/>
    </row>
    <row r="232" spans="1:14" s="56" customFormat="1" ht="15.75" customHeight="1" x14ac:dyDescent="0.25">
      <c r="A232" s="55">
        <f>A231+1</f>
        <v>4</v>
      </c>
      <c r="B232" s="57" t="s">
        <v>322</v>
      </c>
      <c r="C232" s="55" t="s">
        <v>307</v>
      </c>
      <c r="D232" s="63">
        <f>(37.24)*10.764</f>
        <v>400.85136</v>
      </c>
      <c r="E232" s="55">
        <v>0</v>
      </c>
      <c r="F232" s="55">
        <f>D232+E232</f>
        <v>400.85136</v>
      </c>
      <c r="G232" s="55">
        <v>0</v>
      </c>
      <c r="H232" s="55">
        <f>F232*(($H$135)+1)+(IF(G232&lt;101,G232,IF(G232&lt;201,G232/2,IF(G232&lt;=301,G232/3,G232/4))))</f>
        <v>601.27703999999994</v>
      </c>
      <c r="I232" s="33"/>
      <c r="L232" s="80"/>
      <c r="M232" s="80"/>
      <c r="N232" s="33"/>
    </row>
    <row r="233" spans="1:14" s="56" customFormat="1" ht="15.75" customHeight="1" x14ac:dyDescent="0.25">
      <c r="A233" s="55">
        <f>A232+1</f>
        <v>5</v>
      </c>
      <c r="B233" s="57" t="s">
        <v>322</v>
      </c>
      <c r="C233" s="55" t="s">
        <v>307</v>
      </c>
      <c r="D233" s="63">
        <f>(37.53)*10.764</f>
        <v>403.97291999999999</v>
      </c>
      <c r="E233" s="55">
        <v>0</v>
      </c>
      <c r="F233" s="55">
        <f>D233+E233</f>
        <v>403.97291999999999</v>
      </c>
      <c r="G233" s="55">
        <v>0</v>
      </c>
      <c r="H233" s="55">
        <f>F233*(($H$135)+1)+(IF(G233&lt;101,G233,IF(G233&lt;201,G233/2,IF(G233&lt;=301,G233/3,G233/4))))</f>
        <v>605.95938000000001</v>
      </c>
      <c r="I233" s="33"/>
      <c r="L233" s="80"/>
      <c r="M233" s="80"/>
      <c r="N233" s="33"/>
    </row>
    <row r="234" spans="1:14" s="56" customFormat="1" ht="15.75" customHeight="1" x14ac:dyDescent="0.25">
      <c r="A234" s="55">
        <f>A233+1</f>
        <v>6</v>
      </c>
      <c r="B234" s="57" t="s">
        <v>322</v>
      </c>
      <c r="C234" s="55" t="s">
        <v>306</v>
      </c>
      <c r="D234" s="63">
        <f>(47.9)*10.764</f>
        <v>515.59559999999999</v>
      </c>
      <c r="E234" s="55">
        <v>0</v>
      </c>
      <c r="F234" s="55">
        <f>D234+E234</f>
        <v>515.59559999999999</v>
      </c>
      <c r="G234" s="55">
        <v>0</v>
      </c>
      <c r="H234" s="55">
        <f>F234*(($H$135)+1)+(IF(G234&lt;101,G234,IF(G234&lt;201,G234/2,IF(G234&lt;=301,G234/3,G234/4))))</f>
        <v>773.39339999999993</v>
      </c>
      <c r="I234" s="33"/>
      <c r="L234" s="80"/>
      <c r="M234" s="80"/>
      <c r="N234" s="33"/>
    </row>
    <row r="235" spans="1:14" s="56" customFormat="1" x14ac:dyDescent="0.25">
      <c r="A235" s="89" t="s">
        <v>317</v>
      </c>
      <c r="B235" s="90"/>
      <c r="C235" s="90"/>
      <c r="D235" s="90"/>
      <c r="E235" s="90"/>
      <c r="F235" s="90"/>
      <c r="G235" s="90"/>
      <c r="H235" s="91"/>
      <c r="J235" s="33"/>
    </row>
    <row r="236" spans="1:14" s="56" customFormat="1" ht="15.75" customHeight="1" x14ac:dyDescent="0.25">
      <c r="A236" s="55">
        <v>4</v>
      </c>
      <c r="B236" s="57" t="s">
        <v>322</v>
      </c>
      <c r="C236" s="55" t="s">
        <v>307</v>
      </c>
      <c r="D236" s="63">
        <f>(37.24)*10.764</f>
        <v>400.85136</v>
      </c>
      <c r="E236" s="55">
        <v>0</v>
      </c>
      <c r="F236" s="55">
        <f>D236+E236</f>
        <v>400.85136</v>
      </c>
      <c r="G236" s="55">
        <v>0</v>
      </c>
      <c r="H236" s="55">
        <f>F236*(($H$135)+1)+(IF(G236&lt;101,G236,IF(G236&lt;201,G236/2,IF(G236&lt;=301,G236/3,G236/4))))</f>
        <v>601.27703999999994</v>
      </c>
      <c r="I236" s="33"/>
      <c r="L236" s="80"/>
      <c r="M236" s="80"/>
      <c r="N236" s="33"/>
    </row>
    <row r="237" spans="1:14" s="56" customFormat="1" ht="15.75" customHeight="1" x14ac:dyDescent="0.25">
      <c r="A237" s="55">
        <f>A236+1</f>
        <v>5</v>
      </c>
      <c r="B237" s="57" t="s">
        <v>322</v>
      </c>
      <c r="C237" s="55" t="s">
        <v>307</v>
      </c>
      <c r="D237" s="63">
        <f>(37.53)*10.764</f>
        <v>403.97291999999999</v>
      </c>
      <c r="E237" s="55">
        <v>0</v>
      </c>
      <c r="F237" s="55">
        <f>D237+E237</f>
        <v>403.97291999999999</v>
      </c>
      <c r="G237" s="55">
        <v>0</v>
      </c>
      <c r="H237" s="55">
        <f>F237*(($H$135)+1)+(IF(G237&lt;101,G237,IF(G237&lt;201,G237/2,IF(G237&lt;=301,G237/3,G237/4))))</f>
        <v>605.95938000000001</v>
      </c>
      <c r="I237" s="33"/>
      <c r="L237" s="80"/>
      <c r="M237" s="80"/>
      <c r="N237" s="33"/>
    </row>
    <row r="238" spans="1:14" s="56" customFormat="1" ht="15.75" customHeight="1" x14ac:dyDescent="0.25">
      <c r="A238" s="55">
        <f>A237+1</f>
        <v>6</v>
      </c>
      <c r="B238" s="57" t="s">
        <v>322</v>
      </c>
      <c r="C238" s="55" t="s">
        <v>306</v>
      </c>
      <c r="D238" s="63">
        <f>(47.9)*10.764</f>
        <v>515.59559999999999</v>
      </c>
      <c r="E238" s="55">
        <v>0</v>
      </c>
      <c r="F238" s="55">
        <f>D238+E238</f>
        <v>515.59559999999999</v>
      </c>
      <c r="G238" s="55">
        <v>0</v>
      </c>
      <c r="H238" s="55">
        <f>F238*(($H$135)+1)+(IF(G238&lt;101,G238,IF(G238&lt;201,G238/2,IF(G238&lt;=301,G238/3,G238/4))))</f>
        <v>773.39339999999993</v>
      </c>
      <c r="I238" s="33"/>
      <c r="L238" s="80"/>
      <c r="M238" s="80"/>
      <c r="N238" s="33"/>
    </row>
    <row r="239" spans="1:14" s="34" customFormat="1" hidden="1" x14ac:dyDescent="0.25">
      <c r="A239" s="89" t="s">
        <v>112</v>
      </c>
      <c r="B239" s="90"/>
      <c r="C239" s="90"/>
      <c r="D239" s="90"/>
      <c r="E239" s="90"/>
      <c r="F239" s="90"/>
      <c r="G239" s="90"/>
      <c r="H239" s="91"/>
      <c r="J239" s="33"/>
    </row>
    <row r="240" spans="1:14" s="34" customFormat="1" ht="15.75" hidden="1" customHeight="1" x14ac:dyDescent="0.25">
      <c r="A240" s="87">
        <v>1</v>
      </c>
      <c r="B240" s="88"/>
      <c r="C240" s="39"/>
      <c r="D240" s="39"/>
      <c r="E240" s="39">
        <v>0</v>
      </c>
      <c r="F240" s="39">
        <f>D240+E240</f>
        <v>0</v>
      </c>
      <c r="G240" s="51">
        <v>0</v>
      </c>
      <c r="H240" s="51">
        <f>F240*(($H$135)+1)+(IF(G240&lt;101,G240,IF(G240&lt;201,G240/2,IF(G240&lt;=301,G240/3,G240/4))))</f>
        <v>0</v>
      </c>
      <c r="I240" s="33"/>
      <c r="L240" s="80"/>
      <c r="M240" s="80"/>
      <c r="N240" s="33"/>
    </row>
    <row r="241" spans="1:14" s="34" customFormat="1" ht="15.75" hidden="1" customHeight="1" x14ac:dyDescent="0.25">
      <c r="A241" s="87">
        <f>A240+1</f>
        <v>2</v>
      </c>
      <c r="B241" s="88"/>
      <c r="C241" s="39"/>
      <c r="D241" s="39"/>
      <c r="E241" s="39">
        <v>0</v>
      </c>
      <c r="F241" s="51">
        <f>D241+E241</f>
        <v>0</v>
      </c>
      <c r="G241" s="51">
        <v>0</v>
      </c>
      <c r="H241" s="51">
        <f>F241*(($H$135)+1)+(IF(G241&lt;101,G241,IF(G241&lt;201,G241/2,IF(G241&lt;=301,G241/3,G241/4))))</f>
        <v>0</v>
      </c>
      <c r="I241" s="33"/>
      <c r="L241" s="80"/>
      <c r="M241" s="80"/>
      <c r="N241" s="33"/>
    </row>
    <row r="242" spans="1:14" s="34" customFormat="1" ht="15.75" hidden="1" customHeight="1" x14ac:dyDescent="0.25">
      <c r="A242" s="87">
        <f>A241+1</f>
        <v>3</v>
      </c>
      <c r="B242" s="88"/>
      <c r="C242" s="39"/>
      <c r="D242" s="39"/>
      <c r="E242" s="39">
        <v>0</v>
      </c>
      <c r="F242" s="51">
        <f>D242+E242</f>
        <v>0</v>
      </c>
      <c r="G242" s="51">
        <v>0</v>
      </c>
      <c r="H242" s="51">
        <f>F242*(($H$135)+1)+(IF(G242&lt;101,G242,IF(G242&lt;201,G242/2,IF(G242&lt;=301,G242/3,G242/4))))</f>
        <v>0</v>
      </c>
      <c r="I242" s="33"/>
      <c r="L242" s="80"/>
      <c r="M242" s="80"/>
      <c r="N242" s="33"/>
    </row>
    <row r="243" spans="1:14" s="34" customFormat="1" ht="15.75" hidden="1" customHeight="1" x14ac:dyDescent="0.25">
      <c r="A243" s="87">
        <f>A242+1</f>
        <v>4</v>
      </c>
      <c r="B243" s="88"/>
      <c r="C243" s="39"/>
      <c r="D243" s="39"/>
      <c r="E243" s="39">
        <v>0</v>
      </c>
      <c r="F243" s="51">
        <f>D243+E243</f>
        <v>0</v>
      </c>
      <c r="G243" s="51">
        <v>0</v>
      </c>
      <c r="H243" s="51">
        <f>F243*(($H$135)+1)+(IF(G243&lt;101,G243,IF(G243&lt;201,G243/2,IF(G243&lt;=301,G243/3,G243/4))))</f>
        <v>0</v>
      </c>
      <c r="I243" s="33"/>
      <c r="L243" s="80"/>
      <c r="M243" s="80"/>
      <c r="N243" s="33"/>
    </row>
    <row r="244" spans="1:14" s="34" customFormat="1" hidden="1" x14ac:dyDescent="0.25">
      <c r="A244" s="151" t="s">
        <v>113</v>
      </c>
      <c r="B244" s="151"/>
      <c r="C244" s="151"/>
      <c r="D244" s="151"/>
      <c r="E244" s="151"/>
      <c r="F244" s="151"/>
      <c r="G244" s="151"/>
      <c r="H244" s="151"/>
      <c r="I244" s="33"/>
      <c r="L244" s="80"/>
      <c r="M244" s="80"/>
    </row>
    <row r="245" spans="1:14" s="34" customFormat="1" hidden="1" x14ac:dyDescent="0.25">
      <c r="A245" s="121">
        <f>LEFT(A244,SUM(LEN(A244)-LEN(SUBSTITUTE(A244,{"0","1","2","3","4","5","6","7","8","9"},""))))*100+1</f>
        <v>201</v>
      </c>
      <c r="B245" s="121"/>
      <c r="C245" s="39"/>
      <c r="D245" s="39"/>
      <c r="E245" s="51">
        <v>0</v>
      </c>
      <c r="F245" s="51">
        <f>D245+E245</f>
        <v>0</v>
      </c>
      <c r="G245" s="51">
        <v>0</v>
      </c>
      <c r="H245" s="51">
        <f>F245*(($H$135)+1)+(IF(G245&lt;101,G245,IF(G245&lt;201,G245/2,IF(G245&lt;=301,G245/3,G245/4))))</f>
        <v>0</v>
      </c>
      <c r="I245" s="33"/>
      <c r="N245" s="33"/>
    </row>
    <row r="246" spans="1:14" s="34" customFormat="1" hidden="1" x14ac:dyDescent="0.25">
      <c r="A246" s="121">
        <f>A245+1</f>
        <v>202</v>
      </c>
      <c r="B246" s="121"/>
      <c r="C246" s="39"/>
      <c r="D246" s="39"/>
      <c r="E246" s="51">
        <v>0</v>
      </c>
      <c r="F246" s="51">
        <f>D246+E246</f>
        <v>0</v>
      </c>
      <c r="G246" s="51">
        <v>0</v>
      </c>
      <c r="H246" s="51">
        <f>F246*(($H$135)+1)+(IF(G246&lt;101,G246,IF(G246&lt;201,G246/2,IF(G246&lt;=301,G246/3,G246/4))))</f>
        <v>0</v>
      </c>
      <c r="I246" s="33"/>
      <c r="N246" s="33"/>
    </row>
    <row r="247" spans="1:14" s="34" customFormat="1" hidden="1" x14ac:dyDescent="0.25">
      <c r="A247" s="121">
        <f>A246+1</f>
        <v>203</v>
      </c>
      <c r="B247" s="121"/>
      <c r="C247" s="39"/>
      <c r="D247" s="39"/>
      <c r="E247" s="51">
        <v>0</v>
      </c>
      <c r="F247" s="51">
        <f>D247+E247</f>
        <v>0</v>
      </c>
      <c r="G247" s="51">
        <v>0</v>
      </c>
      <c r="H247" s="51">
        <f>F247*(($H$135)+1)+(IF(G247&lt;101,G247,IF(G247&lt;201,G247/2,IF(G247&lt;=301,G247/3,G247/4))))</f>
        <v>0</v>
      </c>
      <c r="I247" s="33"/>
      <c r="N247" s="33"/>
    </row>
    <row r="248" spans="1:14" s="34" customFormat="1" hidden="1" x14ac:dyDescent="0.25">
      <c r="A248" s="121">
        <f>A247+1</f>
        <v>204</v>
      </c>
      <c r="B248" s="121"/>
      <c r="C248" s="39"/>
      <c r="D248" s="39"/>
      <c r="E248" s="51">
        <v>0</v>
      </c>
      <c r="F248" s="51">
        <f>D248+E248</f>
        <v>0</v>
      </c>
      <c r="G248" s="51">
        <v>0</v>
      </c>
      <c r="H248" s="51">
        <f>F248*(($H$135)+1)+(IF(G248&lt;101,G248,IF(G248&lt;201,G248/2,IF(G248&lt;=301,G248/3,G248/4))))</f>
        <v>0</v>
      </c>
      <c r="I248" s="33"/>
      <c r="N248" s="33"/>
    </row>
    <row r="249" spans="1:14" s="34" customFormat="1" hidden="1" x14ac:dyDescent="0.25">
      <c r="A249" s="121">
        <f>A248+1</f>
        <v>205</v>
      </c>
      <c r="B249" s="121"/>
      <c r="C249" s="39"/>
      <c r="D249" s="39"/>
      <c r="E249" s="51">
        <v>0</v>
      </c>
      <c r="F249" s="51">
        <f>D249+E249</f>
        <v>0</v>
      </c>
      <c r="G249" s="51">
        <v>0</v>
      </c>
      <c r="H249" s="51">
        <f>F249*(($H$135)+1)+(IF(G249&lt;101,G249,IF(G249&lt;201,G249/2,IF(G249&lt;=301,G249/3,G249/4))))</f>
        <v>0</v>
      </c>
      <c r="I249" s="33"/>
      <c r="N249" s="33"/>
    </row>
    <row r="250" spans="1:14" s="34" customFormat="1" ht="15.75" hidden="1" customHeight="1" x14ac:dyDescent="0.25">
      <c r="A250" s="89" t="s">
        <v>147</v>
      </c>
      <c r="B250" s="90"/>
      <c r="C250" s="90"/>
      <c r="D250" s="90"/>
      <c r="E250" s="90"/>
      <c r="F250" s="90"/>
      <c r="G250" s="90"/>
      <c r="H250" s="91"/>
      <c r="I250" s="33"/>
    </row>
    <row r="251" spans="1:14" s="34" customFormat="1" ht="15.75" hidden="1" customHeight="1" x14ac:dyDescent="0.25">
      <c r="A251" s="87" t="str">
        <f ca="1">(SUMPRODUCT(MID(0&amp;(LEFT(A250,SUM(LEN(A250)-LEN(SUBSTITUTE(A250,{"0","1","2"},""))))), LARGE(INDEX(ISNUMBER(--MID((LEFT(A250,SUM(LEN(A250)-LEN(SUBSTITUTE(A250,{"0","1","2"},""))))), ROW(INDIRECT("1:"&amp;LEN((LEFT(A250,SUM(LEN(A250)-LEN(SUBSTITUTE(A250,{"0","1","2"},"")))))))), 1)) * ROW(INDIRECT("1:"&amp;LEN((LEFT(A250,SUM(LEN(A250)-LEN(SUBSTITUTE(A250,{"0","1","2"},"")))))))), 0), ROW(INDIRECT("1:"&amp;LEN((LEFT(A250,SUM(LEN(A250)-LEN(SUBSTITUTE(A250,{"0","1","2"},"")))))))))+1, 1) * 10^ROW(INDIRECT("1:"&amp;LEN((LEFT(A250,SUM(LEN(A250)-LEN(SUBSTITUTE(A250,{"0","1","2"},""))))))))/10))*100+1&amp;""&amp;" ,.., "&amp;""&amp;(SUMPRODUCT(MID(0&amp;(--TRIM(RIGHT(SUBSTITUTE(LEFT(A250,_xlfn.AGGREGATE(16,6,FIND({0,1,2,3,4,5,6,7,8,9},A250,ROW(INDIRECT("1:"&amp;LEN(A250)))),1))," ",REPT(" ",LEN(A250))),LEN(A250)))), LARGE(INDEX(ISNUMBER(--MID((--TRIM(RIGHT(SUBSTITUTE(LEFT(A250,_xlfn.AGGREGATE(16,6,FIND({0,1,2,3,4,5,6,7,8,9},A250,ROW(INDIRECT("1:"&amp;LEN(A250)))),1))," ",REPT(" ",LEN(A250))),LEN(A250)))), ROW(INDIRECT("1:"&amp;LEN((--TRIM(RIGHT(SUBSTITUTE(LEFT(A250,_xlfn.AGGREGATE(16,6,FIND({0,1,2,3,4,5,6,7,8,9},A250,ROW(INDIRECT("1:"&amp;LEN(A250)))),1))," ",REPT(" ",LEN(A250))),LEN(A250))))))), 1)) * ROW(INDIRECT("1:"&amp;LEN((--TRIM(RIGHT(SUBSTITUTE(LEFT(A250,_xlfn.AGGREGATE(16,6,FIND({0,1,2,3,4,5,6,7,8,9},A250,ROW(INDIRECT("1:"&amp;LEN(A250)))),1))," ",REPT(" ",LEN(A250))),LEN(A250))))))), 0), ROW(INDIRECT("1:"&amp;LEN((--TRIM(RIGHT(SUBSTITUTE(LEFT(A250,_xlfn.AGGREGATE(16,6,FIND({0,1,2,3,4,5,6,7,8,9},A250,ROW(INDIRECT("1:"&amp;LEN(A250)))),1))," ",REPT(" ",LEN(A250))),LEN(A250))))))))+1, 1) * 10^ROW(INDIRECT("1:"&amp;LEN((--TRIM(RIGHT(SUBSTITUTE(LEFT(A250,_xlfn.AGGREGATE(16,6,FIND({0,1,2,3,4,5,6,7,8,9},A250,ROW(INDIRECT("1:"&amp;LEN(A250)))),1))," ",REPT(" ",LEN(A250))),LEN(A250)))))))/10))*100+1</f>
        <v>301 ,.., 1501</v>
      </c>
      <c r="B251" s="88"/>
      <c r="C251" s="39"/>
      <c r="D251" s="39"/>
      <c r="E251" s="51">
        <v>0</v>
      </c>
      <c r="F251" s="51">
        <f>D251+E251</f>
        <v>0</v>
      </c>
      <c r="G251" s="51">
        <v>0</v>
      </c>
      <c r="H251" s="51">
        <f>F251*(($H$135)+1)+(IF(G251&lt;101,G251,IF(G251&lt;201,G251/2,IF(G251&lt;=301,G251/3,G251/4))))</f>
        <v>0</v>
      </c>
      <c r="I251" s="33"/>
    </row>
    <row r="252" spans="1:14" s="34" customFormat="1" ht="15.75" hidden="1" customHeight="1" x14ac:dyDescent="0.25">
      <c r="A252" s="87" t="str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10^ROW(INDIRECT("1:"&amp;LEN((LEFT(A251,SUM(LEN(A251)-LEN(SUBSTITUTE(A251,{"0","1","2"},""))))))))/10))*1+1&amp;""&amp;" ,.., "&amp;""&amp;(SUMPRODUCT(MID(0&amp;(--TRIM(RIGHT(SUBSTITUTE(LEFT(A251,_xlfn.AGGREGATE(16,6,FIND({0,1,2,3,4,5,6,7,8,9},A251,ROW(INDIRECT("1:"&amp;LEN(A251)))),1)),"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",LEN(A251))),LEN(A251)))))))/10))*1+1</f>
        <v>302 ,.., 1502</v>
      </c>
      <c r="B252" s="88"/>
      <c r="C252" s="39"/>
      <c r="D252" s="39"/>
      <c r="E252" s="51">
        <v>0</v>
      </c>
      <c r="F252" s="51">
        <f>D252+E252</f>
        <v>0</v>
      </c>
      <c r="G252" s="51">
        <v>0</v>
      </c>
      <c r="H252" s="51">
        <f>F252*(($H$135)+1)+(IF(G252&lt;101,G252,IF(G252&lt;201,G252/2,IF(G252&lt;=301,G252/3,G252/4))))</f>
        <v>0</v>
      </c>
      <c r="I252" s="33"/>
    </row>
    <row r="253" spans="1:14" s="34" customFormat="1" ht="15.75" hidden="1" customHeight="1" x14ac:dyDescent="0.25">
      <c r="A253" s="87" t="str">
        <f ca="1">(SUMPRODUCT(MID(0&amp;(LEFT(A252,SUM(LEN(A252)-LEN(SUBSTITUTE(A252,{"0","1","2"},""))))), LARGE(INDEX(ISNUMBER(--MID((LEFT(A252,SUM(LEN(A252)-LEN(SUBSTITUTE(A252,{"0","1","2"},""))))), ROW(INDIRECT("1:"&amp;LEN((LEFT(A252,SUM(LEN(A252)-LEN(SUBSTITUTE(A252,{"0","1","2"},"")))))))), 1)) * ROW(INDIRECT("1:"&amp;LEN((LEFT(A252,SUM(LEN(A252)-LEN(SUBSTITUTE(A252,{"0","1","2"},"")))))))), 0), ROW(INDIRECT("1:"&amp;LEN((LEFT(A252,SUM(LEN(A252)-LEN(SUBSTITUTE(A252,{"0","1","2"},"")))))))))+1, 1) * 10^ROW(INDIRECT("1:"&amp;LEN((LEFT(A252,SUM(LEN(A252)-LEN(SUBSTITUTE(A252,{"0","1","2"},""))))))))/10))*1+1&amp;""&amp;" ,.., "&amp;""&amp;(SUMPRODUCT(MID(0&amp;(--TRIM(RIGHT(SUBSTITUTE(LEFT(A252,_xlfn.AGGREGATE(16,6,FIND({0,1,2,3,4,5,6,7,8,9},A252,ROW(INDIRECT("1:"&amp;LEN(A252)))),1))," ",REPT(" ",LEN(A252))),LEN(A252)))), LARGE(INDEX(ISNUMBER(--MID((--TRIM(RIGHT(SUBSTITUTE(LEFT(A252,_xlfn.AGGREGATE(16,6,FIND({0,1,2,3,4,5,6,7,8,9},A252,ROW(INDIRECT("1:"&amp;LEN(A252)))),1))," ",REPT(" ",LEN(A252))),LEN(A252)))), ROW(INDIRECT("1:"&amp;LEN((--TRIM(RIGHT(SUBSTITUTE(LEFT(A252,_xlfn.AGGREGATE(16,6,FIND({0,1,2,3,4,5,6,7,8,9},A252,ROW(INDIRECT("1:"&amp;LEN(A252)))),1))," ",REPT(" ",LEN(A252))),LEN(A252))))))), 1)) * ROW(INDIRECT("1:"&amp;LEN((--TRIM(RIGHT(SUBSTITUTE(LEFT(A252,_xlfn.AGGREGATE(16,6,FIND({0,1,2,3,4,5,6,7,8,9},A252,ROW(INDIRECT("1:"&amp;LEN(A252)))),1))," ",REPT(" ",LEN(A252))),LEN(A252))))))), 0), ROW(INDIRECT("1:"&amp;LEN((--TRIM(RIGHT(SUBSTITUTE(LEFT(A252,_xlfn.AGGREGATE(16,6,FIND({0,1,2,3,4,5,6,7,8,9},A252,ROW(INDIRECT("1:"&amp;LEN(A252)))),1))," ",REPT(" ",LEN(A252))),LEN(A252))))))))+1, 1) * 10^ROW(INDIRECT("1:"&amp;LEN((--TRIM(RIGHT(SUBSTITUTE(LEFT(A252,_xlfn.AGGREGATE(16,6,FIND({0,1,2,3,4,5,6,7,8,9},A252,ROW(INDIRECT("1:"&amp;LEN(A252)))),1))," ",REPT(" ",LEN(A252))),LEN(A252)))))))/10))*1+1</f>
        <v>303 ,.., 1503</v>
      </c>
      <c r="B253" s="88"/>
      <c r="C253" s="39"/>
      <c r="D253" s="39"/>
      <c r="E253" s="51">
        <v>0</v>
      </c>
      <c r="F253" s="51">
        <f>D253+E253</f>
        <v>0</v>
      </c>
      <c r="G253" s="51">
        <v>0</v>
      </c>
      <c r="H253" s="51">
        <f>F253*(($H$135)+1)+(IF(G253&lt;101,G253,IF(G253&lt;201,G253/2,IF(G253&lt;=301,G253/3,G253/4))))</f>
        <v>0</v>
      </c>
      <c r="I253" s="33"/>
    </row>
    <row r="254" spans="1:14" s="34" customFormat="1" ht="15.75" hidden="1" customHeight="1" x14ac:dyDescent="0.25">
      <c r="A254" s="87" t="str">
        <f ca="1">(SUMPRODUCT(MID(0&amp;(LEFT(A253,SUM(LEN(A253)-LEN(SUBSTITUTE(A253,{"0","1","2"},""))))), LARGE(INDEX(ISNUMBER(--MID((LEFT(A253,SUM(LEN(A253)-LEN(SUBSTITUTE(A253,{"0","1","2"},""))))), ROW(INDIRECT("1:"&amp;LEN((LEFT(A253,SUM(LEN(A253)-LEN(SUBSTITUTE(A253,{"0","1","2"},"")))))))), 1)) * ROW(INDIRECT("1:"&amp;LEN((LEFT(A253,SUM(LEN(A253)-LEN(SUBSTITUTE(A253,{"0","1","2"},"")))))))), 0), ROW(INDIRECT("1:"&amp;LEN((LEFT(A253,SUM(LEN(A253)-LEN(SUBSTITUTE(A253,{"0","1","2"},"")))))))))+1, 1) * 10^ROW(INDIRECT("1:"&amp;LEN((LEFT(A253,SUM(LEN(A253)-LEN(SUBSTITUTE(A253,{"0","1","2"},""))))))))/10))*1+1&amp;""&amp;" ,.., "&amp;""&amp;(SUMPRODUCT(MID(0&amp;(--TRIM(RIGHT(SUBSTITUTE(LEFT(A253,_xlfn.AGGREGATE(16,6,FIND({0,1,2,3,4,5,6,7,8,9},A253,ROW(INDIRECT("1:"&amp;LEN(A253)))),1))," ",REPT(" ",LEN(A253))),LEN(A253)))), LARGE(INDEX(ISNUMBER(--MID((--TRIM(RIGHT(SUBSTITUTE(LEFT(A253,_xlfn.AGGREGATE(16,6,FIND({0,1,2,3,4,5,6,7,8,9},A253,ROW(INDIRECT("1:"&amp;LEN(A253)))),1))," ",REPT(" ",LEN(A253))),LEN(A253)))), ROW(INDIRECT("1:"&amp;LEN((--TRIM(RIGHT(SUBSTITUTE(LEFT(A253,_xlfn.AGGREGATE(16,6,FIND({0,1,2,3,4,5,6,7,8,9},A253,ROW(INDIRECT("1:"&amp;LEN(A253)))),1))," ",REPT(" ",LEN(A253))),LEN(A253))))))), 1)) * ROW(INDIRECT("1:"&amp;LEN((--TRIM(RIGHT(SUBSTITUTE(LEFT(A253,_xlfn.AGGREGATE(16,6,FIND({0,1,2,3,4,5,6,7,8,9},A253,ROW(INDIRECT("1:"&amp;LEN(A253)))),1))," ",REPT(" ",LEN(A253))),LEN(A253))))))), 0), ROW(INDIRECT("1:"&amp;LEN((--TRIM(RIGHT(SUBSTITUTE(LEFT(A253,_xlfn.AGGREGATE(16,6,FIND({0,1,2,3,4,5,6,7,8,9},A253,ROW(INDIRECT("1:"&amp;LEN(A253)))),1))," ",REPT(" ",LEN(A253))),LEN(A253))))))))+1, 1) * 10^ROW(INDIRECT("1:"&amp;LEN((--TRIM(RIGHT(SUBSTITUTE(LEFT(A253,_xlfn.AGGREGATE(16,6,FIND({0,1,2,3,4,5,6,7,8,9},A253,ROW(INDIRECT("1:"&amp;LEN(A253)))),1))," ",REPT(" ",LEN(A253))),LEN(A253)))))))/10))*1+1</f>
        <v>304 ,.., 1504</v>
      </c>
      <c r="B254" s="88"/>
      <c r="C254" s="39"/>
      <c r="D254" s="39"/>
      <c r="E254" s="51">
        <v>0</v>
      </c>
      <c r="F254" s="51">
        <f>D254+E254</f>
        <v>0</v>
      </c>
      <c r="G254" s="51">
        <v>0</v>
      </c>
      <c r="H254" s="51">
        <f>F254*(($H$135)+1)+(IF(G254&lt;101,G254,IF(G254&lt;201,G254/2,IF(G254&lt;=301,G254/3,G254/4))))</f>
        <v>0</v>
      </c>
      <c r="I254" s="33"/>
    </row>
    <row r="255" spans="1:14" s="34" customFormat="1" ht="15.75" hidden="1" customHeight="1" x14ac:dyDescent="0.25">
      <c r="A255" s="87" t="str">
        <f ca="1">(SUMPRODUCT(MID(0&amp;(LEFT(A254,SUM(LEN(A254)-LEN(SUBSTITUTE(A254,{"0","1","2"},""))))), LARGE(INDEX(ISNUMBER(--MID((LEFT(A254,SUM(LEN(A254)-LEN(SUBSTITUTE(A254,{"0","1","2"},""))))), ROW(INDIRECT("1:"&amp;LEN((LEFT(A254,SUM(LEN(A254)-LEN(SUBSTITUTE(A254,{"0","1","2"},"")))))))), 1)) * ROW(INDIRECT("1:"&amp;LEN((LEFT(A254,SUM(LEN(A254)-LEN(SUBSTITUTE(A254,{"0","1","2"},"")))))))), 0), ROW(INDIRECT("1:"&amp;LEN((LEFT(A254,SUM(LEN(A254)-LEN(SUBSTITUTE(A254,{"0","1","2"},"")))))))))+1, 1) * 10^ROW(INDIRECT("1:"&amp;LEN((LEFT(A254,SUM(LEN(A254)-LEN(SUBSTITUTE(A254,{"0","1","2"},""))))))))/10))*1+1&amp;""&amp;" ,.., "&amp;""&amp;(SUMPRODUCT(MID(0&amp;(--TRIM(RIGHT(SUBSTITUTE(LEFT(A254,_xlfn.AGGREGATE(16,6,FIND({0,1,2,3,4,5,6,7,8,9},A254,ROW(INDIRECT("1:"&amp;LEN(A254)))),1))," ",REPT(" ",LEN(A254))),LEN(A254)))), LARGE(INDEX(ISNUMBER(--MID((--TRIM(RIGHT(SUBSTITUTE(LEFT(A254,_xlfn.AGGREGATE(16,6,FIND({0,1,2,3,4,5,6,7,8,9},A254,ROW(INDIRECT("1:"&amp;LEN(A254)))),1))," ",REPT(" ",LEN(A254))),LEN(A254)))), ROW(INDIRECT("1:"&amp;LEN((--TRIM(RIGHT(SUBSTITUTE(LEFT(A254,_xlfn.AGGREGATE(16,6,FIND({0,1,2,3,4,5,6,7,8,9},A254,ROW(INDIRECT("1:"&amp;LEN(A254)))),1))," ",REPT(" ",LEN(A254))),LEN(A254))))))), 1)) * ROW(INDIRECT("1:"&amp;LEN((--TRIM(RIGHT(SUBSTITUTE(LEFT(A254,_xlfn.AGGREGATE(16,6,FIND({0,1,2,3,4,5,6,7,8,9},A254,ROW(INDIRECT("1:"&amp;LEN(A254)))),1))," ",REPT(" ",LEN(A254))),LEN(A254))))))), 0), ROW(INDIRECT("1:"&amp;LEN((--TRIM(RIGHT(SUBSTITUTE(LEFT(A254,_xlfn.AGGREGATE(16,6,FIND({0,1,2,3,4,5,6,7,8,9},A254,ROW(INDIRECT("1:"&amp;LEN(A254)))),1))," ",REPT(" ",LEN(A254))),LEN(A254))))))))+1, 1) * 10^ROW(INDIRECT("1:"&amp;LEN((--TRIM(RIGHT(SUBSTITUTE(LEFT(A254,_xlfn.AGGREGATE(16,6,FIND({0,1,2,3,4,5,6,7,8,9},A254,ROW(INDIRECT("1:"&amp;LEN(A254)))),1))," ",REPT(" ",LEN(A254))),LEN(A254)))))))/10))*1+1</f>
        <v>305 ,.., 1505</v>
      </c>
      <c r="B255" s="88"/>
      <c r="C255" s="39"/>
      <c r="D255" s="39"/>
      <c r="E255" s="51">
        <v>0</v>
      </c>
      <c r="F255" s="51">
        <f>D255+E255</f>
        <v>0</v>
      </c>
      <c r="G255" s="51">
        <v>0</v>
      </c>
      <c r="H255" s="51">
        <f>F255*(($H$135)+1)+(IF(G255&lt;101,G255,IF(G255&lt;201,G255/2,IF(G255&lt;=301,G255/3,G255/4))))</f>
        <v>0</v>
      </c>
      <c r="I255" s="33"/>
    </row>
    <row r="256" spans="1:14" s="34" customFormat="1" hidden="1" x14ac:dyDescent="0.25">
      <c r="A256" s="89" t="s">
        <v>141</v>
      </c>
      <c r="B256" s="90"/>
      <c r="C256" s="90"/>
      <c r="D256" s="90"/>
      <c r="E256" s="90"/>
      <c r="F256" s="90"/>
      <c r="G256" s="90"/>
      <c r="H256" s="91"/>
      <c r="I256" s="33"/>
    </row>
    <row r="257" spans="1:9" s="34" customFormat="1" ht="15.75" hidden="1" customHeight="1" x14ac:dyDescent="0.25">
      <c r="A257" s="87" t="str">
        <f ca="1">(SUMPRODUCT(MID(0&amp;(LEFT(A256,SUM(LEN(A256)-LEN(SUBSTITUTE(A256,{"0","1","2"},""))))), LARGE(INDEX(ISNUMBER(--MID((LEFT(A256,SUM(LEN(A256)-LEN(SUBSTITUTE(A256,{"0","1","2"},""))))), ROW(INDIRECT("1:"&amp;LEN((LEFT(A256,SUM(LEN(A256)-LEN(SUBSTITUTE(A256,{"0","1","2"},"")))))))), 1)) * ROW(INDIRECT("1:"&amp;LEN((LEFT(A256,SUM(LEN(A256)-LEN(SUBSTITUTE(A256,{"0","1","2"},"")))))))), 0), ROW(INDIRECT("1:"&amp;LEN((LEFT(A256,SUM(LEN(A256)-LEN(SUBSTITUTE(A256,{"0","1","2"},"")))))))))+1, 1) * 10^ROW(INDIRECT("1:"&amp;LEN((LEFT(A256,SUM(LEN(A256)-LEN(SUBSTITUTE(A256,{"0","1","2"},""))))))))/10))*100+1&amp;""&amp;" to "&amp;""&amp;(SUMPRODUCT(MID(0&amp;(--TRIM(RIGHT(SUBSTITUTE(LEFT(A256,_xlfn.AGGREGATE(16,6,FIND({0,1,2,3,4,5,6,7,8,9},A256,ROW(INDIRECT("1:"&amp;LEN(A256)))),1))," ",REPT(" ",LEN(A256))),LEN(A256)))), LARGE(INDEX(ISNUMBER(--MID((--TRIM(RIGHT(SUBSTITUTE(LEFT(A256,_xlfn.AGGREGATE(16,6,FIND({0,1,2,3,4,5,6,7,8,9},A256,ROW(INDIRECT("1:"&amp;LEN(A256)))),1))," ",REPT(" ",LEN(A256))),LEN(A256)))), ROW(INDIRECT("1:"&amp;LEN((--TRIM(RIGHT(SUBSTITUTE(LEFT(A256,_xlfn.AGGREGATE(16,6,FIND({0,1,2,3,4,5,6,7,8,9},A256,ROW(INDIRECT("1:"&amp;LEN(A256)))),1))," ",REPT(" ",LEN(A256))),LEN(A256))))))), 1)) * ROW(INDIRECT("1:"&amp;LEN((--TRIM(RIGHT(SUBSTITUTE(LEFT(A256,_xlfn.AGGREGATE(16,6,FIND({0,1,2,3,4,5,6,7,8,9},A256,ROW(INDIRECT("1:"&amp;LEN(A256)))),1))," ",REPT(" ",LEN(A256))),LEN(A256))))))), 0), ROW(INDIRECT("1:"&amp;LEN((--TRIM(RIGHT(SUBSTITUTE(LEFT(A256,_xlfn.AGGREGATE(16,6,FIND({0,1,2,3,4,5,6,7,8,9},A256,ROW(INDIRECT("1:"&amp;LEN(A256)))),1))," ",REPT(" ",LEN(A256))),LEN(A256))))))))+1, 1) * 10^ROW(INDIRECT("1:"&amp;LEN((--TRIM(RIGHT(SUBSTITUTE(LEFT(A256,_xlfn.AGGREGATE(16,6,FIND({0,1,2,3,4,5,6,7,8,9},A256,ROW(INDIRECT("1:"&amp;LEN(A256)))),1))," ",REPT(" ",LEN(A256))),LEN(A256)))))))/10))*100+1</f>
        <v>201 to 501</v>
      </c>
      <c r="B257" s="88"/>
      <c r="C257" s="39"/>
      <c r="D257" s="39"/>
      <c r="E257" s="51">
        <v>0</v>
      </c>
      <c r="F257" s="51">
        <f>D257+E257</f>
        <v>0</v>
      </c>
      <c r="G257" s="51">
        <v>0</v>
      </c>
      <c r="H257" s="51">
        <f>F257*(($H$135)+1)+(IF(G257&lt;101,G257,IF(G257&lt;201,G257/2,IF(G257&lt;=301,G257/3,G257/4))))</f>
        <v>0</v>
      </c>
      <c r="I257" s="33"/>
    </row>
    <row r="258" spans="1:9" s="34" customFormat="1" ht="15.75" hidden="1" customHeight="1" x14ac:dyDescent="0.25">
      <c r="A258" s="87" t="str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10^ROW(INDIRECT("1:"&amp;LEN((LEFT(A257,SUM(LEN(A257)-LEN(SUBSTITUTE(A257,{"0","1","2"},""))))))))/10))*1+1&amp;""&amp;" to "&amp;""&amp;(SUMPRODUCT(MID(0&amp;(--TRIM(RIGHT(SUBSTITUTE(LEFT(A257,_xlfn.AGGREGATE(16,6,FIND({0,1,2,3,4,5,6,7,8,9},A257,ROW(INDIRECT("1:"&amp;LEN(A257)))),1)),"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",LEN(A257))),LEN(A257)))))))/10))*1+1</f>
        <v>202 to 502</v>
      </c>
      <c r="B258" s="88"/>
      <c r="C258" s="39"/>
      <c r="D258" s="39"/>
      <c r="E258" s="51">
        <v>0</v>
      </c>
      <c r="F258" s="51">
        <f>D258+E258</f>
        <v>0</v>
      </c>
      <c r="G258" s="51">
        <v>0</v>
      </c>
      <c r="H258" s="51">
        <f>F258*(($H$135)+1)+(IF(G258&lt;101,G258,IF(G258&lt;201,G258/2,IF(G258&lt;=301,G258/3,G258/4))))</f>
        <v>0</v>
      </c>
      <c r="I258" s="33"/>
    </row>
    <row r="259" spans="1:9" s="34" customFormat="1" ht="15.75" hidden="1" customHeight="1" x14ac:dyDescent="0.25">
      <c r="A259" s="87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10^ROW(INDIRECT("1:"&amp;LEN((LEFT(A258,SUM(LEN(A258)-LEN(SUBSTITUTE(A258,{"0","1","2"},""))))))))/10))*1+1&amp;""&amp;" to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",LEN(A258))),LEN(A258)))))))/10))*1+1</f>
        <v>203 to 503</v>
      </c>
      <c r="B259" s="88"/>
      <c r="C259" s="39"/>
      <c r="D259" s="39"/>
      <c r="E259" s="51">
        <v>0</v>
      </c>
      <c r="F259" s="51">
        <f>D259+E259</f>
        <v>0</v>
      </c>
      <c r="G259" s="51">
        <v>0</v>
      </c>
      <c r="H259" s="51">
        <f>F259*(($H$135)+1)+(IF(G259&lt;101,G259,IF(G259&lt;201,G259/2,IF(G259&lt;=301,G259/3,G259/4))))</f>
        <v>0</v>
      </c>
      <c r="I259" s="33"/>
    </row>
    <row r="260" spans="1:9" s="34" customFormat="1" ht="15.75" hidden="1" customHeight="1" x14ac:dyDescent="0.25">
      <c r="A260" s="87" t="str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10^ROW(INDIRECT("1:"&amp;LEN((LEFT(A259,SUM(LEN(A259)-LEN(SUBSTITUTE(A259,{"0","1","2"},""))))))))/10))*1+1&amp;""&amp;" to "&amp;""&amp;(SUMPRODUCT(MID(0&amp;(--TRIM(RIGHT(SUBSTITUTE(LEFT(A259,_xlfn.AGGREGATE(16,6,FIND({0,1,2,3,4,5,6,7,8,9},A259,ROW(INDIRECT("1:"&amp;LEN(A259)))),1)),"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",LEN(A259))),LEN(A259)))))))/10))*1+1</f>
        <v>204 to 504</v>
      </c>
      <c r="B260" s="88"/>
      <c r="C260" s="39"/>
      <c r="D260" s="39"/>
      <c r="E260" s="51">
        <v>0</v>
      </c>
      <c r="F260" s="51">
        <f>D260+E260</f>
        <v>0</v>
      </c>
      <c r="G260" s="51">
        <v>0</v>
      </c>
      <c r="H260" s="51">
        <f>F260*(($H$135)+1)+(IF(G260&lt;101,G260,IF(G260&lt;201,G260/2,IF(G260&lt;=301,G260/3,G260/4))))</f>
        <v>0</v>
      </c>
      <c r="I260" s="33"/>
    </row>
    <row r="261" spans="1:9" s="34" customFormat="1" ht="15.75" hidden="1" customHeight="1" x14ac:dyDescent="0.25">
      <c r="A261" s="87" t="str">
        <f ca="1">(SUMPRODUCT(MID(0&amp;(LEFT(A260,SUM(LEN(A260)-LEN(SUBSTITUTE(A260,{"0","1","2"},""))))), LARGE(INDEX(ISNUMBER(--MID((LEFT(A260,SUM(LEN(A260)-LEN(SUBSTITUTE(A260,{"0","1","2"},""))))), ROW(INDIRECT("1:"&amp;LEN((LEFT(A260,SUM(LEN(A260)-LEN(SUBSTITUTE(A260,{"0","1","2"},"")))))))), 1)) * ROW(INDIRECT("1:"&amp;LEN((LEFT(A260,SUM(LEN(A260)-LEN(SUBSTITUTE(A260,{"0","1","2"},"")))))))), 0), ROW(INDIRECT("1:"&amp;LEN((LEFT(A260,SUM(LEN(A260)-LEN(SUBSTITUTE(A260,{"0","1","2"},"")))))))))+1, 1) * 10^ROW(INDIRECT("1:"&amp;LEN((LEFT(A260,SUM(LEN(A260)-LEN(SUBSTITUTE(A260,{"0","1","2"},""))))))))/10))*1+1&amp;""&amp;" to "&amp;""&amp;(SUMPRODUCT(MID(0&amp;(--TRIM(RIGHT(SUBSTITUTE(LEFT(A260,_xlfn.AGGREGATE(16,6,FIND({0,1,2,3,4,5,6,7,8,9},A260,ROW(INDIRECT("1:"&amp;LEN(A260)))),1))," ",REPT(" ",LEN(A260))),LEN(A260)))), LARGE(INDEX(ISNUMBER(--MID((--TRIM(RIGHT(SUBSTITUTE(LEFT(A260,_xlfn.AGGREGATE(16,6,FIND({0,1,2,3,4,5,6,7,8,9},A260,ROW(INDIRECT("1:"&amp;LEN(A260)))),1))," ",REPT(" ",LEN(A260))),LEN(A260)))), ROW(INDIRECT("1:"&amp;LEN((--TRIM(RIGHT(SUBSTITUTE(LEFT(A260,_xlfn.AGGREGATE(16,6,FIND({0,1,2,3,4,5,6,7,8,9},A260,ROW(INDIRECT("1:"&amp;LEN(A260)))),1))," ",REPT(" ",LEN(A260))),LEN(A260))))))), 1)) * ROW(INDIRECT("1:"&amp;LEN((--TRIM(RIGHT(SUBSTITUTE(LEFT(A260,_xlfn.AGGREGATE(16,6,FIND({0,1,2,3,4,5,6,7,8,9},A260,ROW(INDIRECT("1:"&amp;LEN(A260)))),1))," ",REPT(" ",LEN(A260))),LEN(A260))))))), 0), ROW(INDIRECT("1:"&amp;LEN((--TRIM(RIGHT(SUBSTITUTE(LEFT(A260,_xlfn.AGGREGATE(16,6,FIND({0,1,2,3,4,5,6,7,8,9},A260,ROW(INDIRECT("1:"&amp;LEN(A260)))),1))," ",REPT(" ",LEN(A260))),LEN(A260))))))))+1, 1) * 10^ROW(INDIRECT("1:"&amp;LEN((--TRIM(RIGHT(SUBSTITUTE(LEFT(A260,_xlfn.AGGREGATE(16,6,FIND({0,1,2,3,4,5,6,7,8,9},A260,ROW(INDIRECT("1:"&amp;LEN(A260)))),1))," ",REPT(" ",LEN(A260))),LEN(A260)))))))/10))*1+1</f>
        <v>205 to 505</v>
      </c>
      <c r="B261" s="88"/>
      <c r="C261" s="39"/>
      <c r="D261" s="39"/>
      <c r="E261" s="51">
        <v>0</v>
      </c>
      <c r="F261" s="51">
        <f>D261+E261</f>
        <v>0</v>
      </c>
      <c r="G261" s="51">
        <v>0</v>
      </c>
      <c r="H261" s="51">
        <f>F261*(($H$135)+1)+(IF(G261&lt;101,G261,IF(G261&lt;201,G261/2,IF(G261&lt;=301,G261/3,G261/4))))</f>
        <v>0</v>
      </c>
      <c r="I261" s="33"/>
    </row>
    <row r="262" spans="1:9" s="34" customFormat="1" hidden="1" x14ac:dyDescent="0.25">
      <c r="A262" s="89" t="s">
        <v>142</v>
      </c>
      <c r="B262" s="90"/>
      <c r="C262" s="90"/>
      <c r="D262" s="90"/>
      <c r="E262" s="90"/>
      <c r="F262" s="90"/>
      <c r="G262" s="90"/>
      <c r="H262" s="91"/>
      <c r="I262" s="33"/>
    </row>
    <row r="263" spans="1:9" s="34" customFormat="1" ht="15.75" hidden="1" customHeight="1" x14ac:dyDescent="0.25">
      <c r="A263" s="87" t="str">
        <f ca="1">(SUMPRODUCT(MID(0&amp;(LEFT(A262,SUM(LEN(A262)-LEN(SUBSTITUTE(A262,{"0","1","2"},""))))), LARGE(INDEX(ISNUMBER(--MID((LEFT(A262,SUM(LEN(A262)-LEN(SUBSTITUTE(A262,{"0","1","2"},""))))), ROW(INDIRECT("1:"&amp;LEN((LEFT(A262,SUM(LEN(A262)-LEN(SUBSTITUTE(A262,{"0","1","2"},"")))))))), 1)) * ROW(INDIRECT("1:"&amp;LEN((LEFT(A262,SUM(LEN(A262)-LEN(SUBSTITUTE(A262,{"0","1","2"},"")))))))), 0), ROW(INDIRECT("1:"&amp;LEN((LEFT(A262,SUM(LEN(A262)-LEN(SUBSTITUTE(A262,{"0","1","2"},"")))))))))+1, 1) * 10^ROW(INDIRECT("1:"&amp;LEN((LEFT(A262,SUM(LEN(A262)-LEN(SUBSTITUTE(A262,{"0","1","2"},""))))))))/10))*100+1&amp;""&amp;" &amp; "&amp;""&amp;(SUMPRODUCT(MID(0&amp;(--TRIM(RIGHT(SUBSTITUTE(LEFT(A262,_xlfn.AGGREGATE(16,6,FIND({0,1,2,3,4,5,6,7,8,9},A262,ROW(INDIRECT("1:"&amp;LEN(A262)))),1))," ",REPT(" ",LEN(A262))),LEN(A262)))), LARGE(INDEX(ISNUMBER(--MID((--TRIM(RIGHT(SUBSTITUTE(LEFT(A262,_xlfn.AGGREGATE(16,6,FIND({0,1,2,3,4,5,6,7,8,9},A262,ROW(INDIRECT("1:"&amp;LEN(A262)))),1))," ",REPT(" ",LEN(A262))),LEN(A262)))), ROW(INDIRECT("1:"&amp;LEN((--TRIM(RIGHT(SUBSTITUTE(LEFT(A262,_xlfn.AGGREGATE(16,6,FIND({0,1,2,3,4,5,6,7,8,9},A262,ROW(INDIRECT("1:"&amp;LEN(A262)))),1))," ",REPT(" ",LEN(A262))),LEN(A262))))))), 1)) * ROW(INDIRECT("1:"&amp;LEN((--TRIM(RIGHT(SUBSTITUTE(LEFT(A262,_xlfn.AGGREGATE(16,6,FIND({0,1,2,3,4,5,6,7,8,9},A262,ROW(INDIRECT("1:"&amp;LEN(A262)))),1))," ",REPT(" ",LEN(A262))),LEN(A262))))))), 0), ROW(INDIRECT("1:"&amp;LEN((--TRIM(RIGHT(SUBSTITUTE(LEFT(A262,_xlfn.AGGREGATE(16,6,FIND({0,1,2,3,4,5,6,7,8,9},A262,ROW(INDIRECT("1:"&amp;LEN(A262)))),1))," ",REPT(" ",LEN(A262))),LEN(A262))))))))+1, 1) * 10^ROW(INDIRECT("1:"&amp;LEN((--TRIM(RIGHT(SUBSTITUTE(LEFT(A262,_xlfn.AGGREGATE(16,6,FIND({0,1,2,3,4,5,6,7,8,9},A262,ROW(INDIRECT("1:"&amp;LEN(A262)))),1))," ",REPT(" ",LEN(A262))),LEN(A262)))))))/10))*100+1</f>
        <v>201 &amp; 501</v>
      </c>
      <c r="B263" s="88"/>
      <c r="C263" s="39"/>
      <c r="D263" s="39"/>
      <c r="E263" s="51">
        <v>0</v>
      </c>
      <c r="F263" s="51">
        <f>D263+E263</f>
        <v>0</v>
      </c>
      <c r="G263" s="51">
        <v>0</v>
      </c>
      <c r="H263" s="51">
        <f>F263*(($H$135)+1)+(IF(G263&lt;101,G263,IF(G263&lt;201,G263/2,IF(G263&lt;=301,G263/3,G263/4))))</f>
        <v>0</v>
      </c>
      <c r="I263" s="33"/>
    </row>
    <row r="264" spans="1:9" s="34" customFormat="1" ht="15.75" hidden="1" customHeight="1" x14ac:dyDescent="0.25">
      <c r="A264" s="87" t="str">
        <f ca="1">(SUMPRODUCT(MID(0&amp;(LEFT(A263,SUM(LEN(A263)-LEN(SUBSTITUTE(A263,{"0","1","2"},""))))), LARGE(INDEX(ISNUMBER(--MID((LEFT(A263,SUM(LEN(A263)-LEN(SUBSTITUTE(A263,{"0","1","2"},""))))), ROW(INDIRECT("1:"&amp;LEN((LEFT(A263,SUM(LEN(A263)-LEN(SUBSTITUTE(A263,{"0","1","2"},"")))))))), 1)) * ROW(INDIRECT("1:"&amp;LEN((LEFT(A263,SUM(LEN(A263)-LEN(SUBSTITUTE(A263,{"0","1","2"},"")))))))), 0), ROW(INDIRECT("1:"&amp;LEN((LEFT(A263,SUM(LEN(A263)-LEN(SUBSTITUTE(A263,{"0","1","2"},"")))))))))+1, 1) * 10^ROW(INDIRECT("1:"&amp;LEN((LEFT(A263,SUM(LEN(A263)-LEN(SUBSTITUTE(A263,{"0","1","2"},""))))))))/10))*1+1&amp;""&amp;" &amp; "&amp;""&amp;(SUMPRODUCT(MID(0&amp;(--TRIM(RIGHT(SUBSTITUTE(LEFT(A263,_xlfn.AGGREGATE(16,6,FIND({0,1,2,3,4,5,6,7,8,9},A263,ROW(INDIRECT("1:"&amp;LEN(A263)))),1))," ",REPT(" ",LEN(A263))),LEN(A263)))), LARGE(INDEX(ISNUMBER(--MID((--TRIM(RIGHT(SUBSTITUTE(LEFT(A263,_xlfn.AGGREGATE(16,6,FIND({0,1,2,3,4,5,6,7,8,9},A263,ROW(INDIRECT("1:"&amp;LEN(A263)))),1))," ",REPT(" ",LEN(A263))),LEN(A263)))), ROW(INDIRECT("1:"&amp;LEN((--TRIM(RIGHT(SUBSTITUTE(LEFT(A263,_xlfn.AGGREGATE(16,6,FIND({0,1,2,3,4,5,6,7,8,9},A263,ROW(INDIRECT("1:"&amp;LEN(A263)))),1))," ",REPT(" ",LEN(A263))),LEN(A263))))))), 1)) * ROW(INDIRECT("1:"&amp;LEN((--TRIM(RIGHT(SUBSTITUTE(LEFT(A263,_xlfn.AGGREGATE(16,6,FIND({0,1,2,3,4,5,6,7,8,9},A263,ROW(INDIRECT("1:"&amp;LEN(A263)))),1))," ",REPT(" ",LEN(A263))),LEN(A263))))))), 0), ROW(INDIRECT("1:"&amp;LEN((--TRIM(RIGHT(SUBSTITUTE(LEFT(A263,_xlfn.AGGREGATE(16,6,FIND({0,1,2,3,4,5,6,7,8,9},A263,ROW(INDIRECT("1:"&amp;LEN(A263)))),1))," ",REPT(" ",LEN(A263))),LEN(A263))))))))+1, 1) * 10^ROW(INDIRECT("1:"&amp;LEN((--TRIM(RIGHT(SUBSTITUTE(LEFT(A263,_xlfn.AGGREGATE(16,6,FIND({0,1,2,3,4,5,6,7,8,9},A263,ROW(INDIRECT("1:"&amp;LEN(A263)))),1))," ",REPT(" ",LEN(A263))),LEN(A263)))))))/10))*1+1</f>
        <v>202 &amp; 502</v>
      </c>
      <c r="B264" s="88"/>
      <c r="C264" s="39"/>
      <c r="D264" s="39"/>
      <c r="E264" s="51">
        <v>0</v>
      </c>
      <c r="F264" s="51">
        <f>D264+E264</f>
        <v>0</v>
      </c>
      <c r="G264" s="51">
        <v>0</v>
      </c>
      <c r="H264" s="51">
        <f>F264*(($H$135)+1)+(IF(G264&lt;101,G264,IF(G264&lt;201,G264/2,IF(G264&lt;=301,G264/3,G264/4))))</f>
        <v>0</v>
      </c>
      <c r="I264" s="33"/>
    </row>
    <row r="265" spans="1:9" s="34" customFormat="1" ht="15.75" hidden="1" customHeight="1" x14ac:dyDescent="0.25">
      <c r="A265" s="87" t="str">
        <f ca="1">(SUMPRODUCT(MID(0&amp;(LEFT(A264,SUM(LEN(A264)-LEN(SUBSTITUTE(A264,{"0","1","2"},""))))), LARGE(INDEX(ISNUMBER(--MID((LEFT(A264,SUM(LEN(A264)-LEN(SUBSTITUTE(A264,{"0","1","2"},""))))), ROW(INDIRECT("1:"&amp;LEN((LEFT(A264,SUM(LEN(A264)-LEN(SUBSTITUTE(A264,{"0","1","2"},"")))))))), 1)) * ROW(INDIRECT("1:"&amp;LEN((LEFT(A264,SUM(LEN(A264)-LEN(SUBSTITUTE(A264,{"0","1","2"},"")))))))), 0), ROW(INDIRECT("1:"&amp;LEN((LEFT(A264,SUM(LEN(A264)-LEN(SUBSTITUTE(A264,{"0","1","2"},"")))))))))+1, 1) * 10^ROW(INDIRECT("1:"&amp;LEN((LEFT(A264,SUM(LEN(A264)-LEN(SUBSTITUTE(A264,{"0","1","2"},""))))))))/10))*1+1&amp;""&amp;" &amp; "&amp;""&amp;(SUMPRODUCT(MID(0&amp;(--TRIM(RIGHT(SUBSTITUTE(LEFT(A264,_xlfn.AGGREGATE(16,6,FIND({0,1,2,3,4,5,6,7,8,9},A264,ROW(INDIRECT("1:"&amp;LEN(A264)))),1))," ",REPT(" ",LEN(A264))),LEN(A264)))), LARGE(INDEX(ISNUMBER(--MID((--TRIM(RIGHT(SUBSTITUTE(LEFT(A264,_xlfn.AGGREGATE(16,6,FIND({0,1,2,3,4,5,6,7,8,9},A264,ROW(INDIRECT("1:"&amp;LEN(A264)))),1))," ",REPT(" ",LEN(A264))),LEN(A264)))), ROW(INDIRECT("1:"&amp;LEN((--TRIM(RIGHT(SUBSTITUTE(LEFT(A264,_xlfn.AGGREGATE(16,6,FIND({0,1,2,3,4,5,6,7,8,9},A264,ROW(INDIRECT("1:"&amp;LEN(A264)))),1))," ",REPT(" ",LEN(A264))),LEN(A264))))))), 1)) * ROW(INDIRECT("1:"&amp;LEN((--TRIM(RIGHT(SUBSTITUTE(LEFT(A264,_xlfn.AGGREGATE(16,6,FIND({0,1,2,3,4,5,6,7,8,9},A264,ROW(INDIRECT("1:"&amp;LEN(A264)))),1))," ",REPT(" ",LEN(A264))),LEN(A264))))))), 0), ROW(INDIRECT("1:"&amp;LEN((--TRIM(RIGHT(SUBSTITUTE(LEFT(A264,_xlfn.AGGREGATE(16,6,FIND({0,1,2,3,4,5,6,7,8,9},A264,ROW(INDIRECT("1:"&amp;LEN(A264)))),1))," ",REPT(" ",LEN(A264))),LEN(A264))))))))+1, 1) * 10^ROW(INDIRECT("1:"&amp;LEN((--TRIM(RIGHT(SUBSTITUTE(LEFT(A264,_xlfn.AGGREGATE(16,6,FIND({0,1,2,3,4,5,6,7,8,9},A264,ROW(INDIRECT("1:"&amp;LEN(A264)))),1))," ",REPT(" ",LEN(A264))),LEN(A264)))))))/10))*1+1</f>
        <v>203 &amp; 503</v>
      </c>
      <c r="B265" s="88"/>
      <c r="C265" s="39"/>
      <c r="D265" s="39"/>
      <c r="E265" s="51">
        <v>0</v>
      </c>
      <c r="F265" s="51">
        <f>D265+E265</f>
        <v>0</v>
      </c>
      <c r="G265" s="51">
        <v>0</v>
      </c>
      <c r="H265" s="51">
        <f>F265*(($H$135)+1)+(IF(G265&lt;101,G265,IF(G265&lt;201,G265/2,IF(G265&lt;=301,G265/3,G265/4))))</f>
        <v>0</v>
      </c>
      <c r="I265" s="33"/>
    </row>
    <row r="266" spans="1:9" s="34" customFormat="1" ht="15.75" hidden="1" customHeight="1" x14ac:dyDescent="0.25">
      <c r="A266" s="87" t="str">
        <f ca="1">(SUMPRODUCT(MID(0&amp;(LEFT(A265,SUM(LEN(A265)-LEN(SUBSTITUTE(A265,{"0","1","2"},""))))), LARGE(INDEX(ISNUMBER(--MID((LEFT(A265,SUM(LEN(A265)-LEN(SUBSTITUTE(A265,{"0","1","2"},""))))), ROW(INDIRECT("1:"&amp;LEN((LEFT(A265,SUM(LEN(A265)-LEN(SUBSTITUTE(A265,{"0","1","2"},"")))))))), 1)) * ROW(INDIRECT("1:"&amp;LEN((LEFT(A265,SUM(LEN(A265)-LEN(SUBSTITUTE(A265,{"0","1","2"},"")))))))), 0), ROW(INDIRECT("1:"&amp;LEN((LEFT(A265,SUM(LEN(A265)-LEN(SUBSTITUTE(A265,{"0","1","2"},"")))))))))+1, 1) * 10^ROW(INDIRECT("1:"&amp;LEN((LEFT(A265,SUM(LEN(A265)-LEN(SUBSTITUTE(A265,{"0","1","2"},""))))))))/10))*1+1&amp;""&amp;" &amp; "&amp;""&amp;(SUMPRODUCT(MID(0&amp;(--TRIM(RIGHT(SUBSTITUTE(LEFT(A265,_xlfn.AGGREGATE(16,6,FIND({0,1,2,3,4,5,6,7,8,9},A265,ROW(INDIRECT("1:"&amp;LEN(A265)))),1))," ",REPT(" ",LEN(A265))),LEN(A265)))), LARGE(INDEX(ISNUMBER(--MID((--TRIM(RIGHT(SUBSTITUTE(LEFT(A265,_xlfn.AGGREGATE(16,6,FIND({0,1,2,3,4,5,6,7,8,9},A265,ROW(INDIRECT("1:"&amp;LEN(A265)))),1))," ",REPT(" ",LEN(A265))),LEN(A265)))), ROW(INDIRECT("1:"&amp;LEN((--TRIM(RIGHT(SUBSTITUTE(LEFT(A265,_xlfn.AGGREGATE(16,6,FIND({0,1,2,3,4,5,6,7,8,9},A265,ROW(INDIRECT("1:"&amp;LEN(A265)))),1))," ",REPT(" ",LEN(A265))),LEN(A265))))))), 1)) * ROW(INDIRECT("1:"&amp;LEN((--TRIM(RIGHT(SUBSTITUTE(LEFT(A265,_xlfn.AGGREGATE(16,6,FIND({0,1,2,3,4,5,6,7,8,9},A265,ROW(INDIRECT("1:"&amp;LEN(A265)))),1))," ",REPT(" ",LEN(A265))),LEN(A265))))))), 0), ROW(INDIRECT("1:"&amp;LEN((--TRIM(RIGHT(SUBSTITUTE(LEFT(A265,_xlfn.AGGREGATE(16,6,FIND({0,1,2,3,4,5,6,7,8,9},A265,ROW(INDIRECT("1:"&amp;LEN(A265)))),1))," ",REPT(" ",LEN(A265))),LEN(A265))))))))+1, 1) * 10^ROW(INDIRECT("1:"&amp;LEN((--TRIM(RIGHT(SUBSTITUTE(LEFT(A265,_xlfn.AGGREGATE(16,6,FIND({0,1,2,3,4,5,6,7,8,9},A265,ROW(INDIRECT("1:"&amp;LEN(A265)))),1))," ",REPT(" ",LEN(A265))),LEN(A265)))))))/10))*1+1</f>
        <v>204 &amp; 504</v>
      </c>
      <c r="B266" s="88"/>
      <c r="C266" s="39"/>
      <c r="D266" s="39"/>
      <c r="E266" s="51">
        <v>0</v>
      </c>
      <c r="F266" s="51">
        <f>D266+E266</f>
        <v>0</v>
      </c>
      <c r="G266" s="51">
        <v>0</v>
      </c>
      <c r="H266" s="51">
        <f>F266*(($H$135)+1)+(IF(G266&lt;101,G266,IF(G266&lt;201,G266/2,IF(G266&lt;=301,G266/3,G266/4))))</f>
        <v>0</v>
      </c>
      <c r="I266" s="33"/>
    </row>
    <row r="267" spans="1:9" s="34" customFormat="1" ht="15.75" hidden="1" customHeight="1" x14ac:dyDescent="0.25">
      <c r="A267" s="87" t="str">
        <f ca="1">(SUMPRODUCT(MID(0&amp;(LEFT(A266,SUM(LEN(A266)-LEN(SUBSTITUTE(A266,{"0","1","2"},""))))), LARGE(INDEX(ISNUMBER(--MID((LEFT(A266,SUM(LEN(A266)-LEN(SUBSTITUTE(A266,{"0","1","2"},""))))), ROW(INDIRECT("1:"&amp;LEN((LEFT(A266,SUM(LEN(A266)-LEN(SUBSTITUTE(A266,{"0","1","2"},"")))))))), 1)) * ROW(INDIRECT("1:"&amp;LEN((LEFT(A266,SUM(LEN(A266)-LEN(SUBSTITUTE(A266,{"0","1","2"},"")))))))), 0), ROW(INDIRECT("1:"&amp;LEN((LEFT(A266,SUM(LEN(A266)-LEN(SUBSTITUTE(A266,{"0","1","2"},"")))))))))+1, 1) * 10^ROW(INDIRECT("1:"&amp;LEN((LEFT(A266,SUM(LEN(A266)-LEN(SUBSTITUTE(A266,{"0","1","2"},""))))))))/10))*1+1&amp;""&amp;" &amp; "&amp;""&amp;(SUMPRODUCT(MID(0&amp;(--TRIM(RIGHT(SUBSTITUTE(LEFT(A266,_xlfn.AGGREGATE(16,6,FIND({0,1,2,3,4,5,6,7,8,9},A266,ROW(INDIRECT("1:"&amp;LEN(A266)))),1))," ",REPT(" ",LEN(A266))),LEN(A266)))), LARGE(INDEX(ISNUMBER(--MID((--TRIM(RIGHT(SUBSTITUTE(LEFT(A266,_xlfn.AGGREGATE(16,6,FIND({0,1,2,3,4,5,6,7,8,9},A266,ROW(INDIRECT("1:"&amp;LEN(A266)))),1))," ",REPT(" ",LEN(A266))),LEN(A266)))), ROW(INDIRECT("1:"&amp;LEN((--TRIM(RIGHT(SUBSTITUTE(LEFT(A266,_xlfn.AGGREGATE(16,6,FIND({0,1,2,3,4,5,6,7,8,9},A266,ROW(INDIRECT("1:"&amp;LEN(A266)))),1))," ",REPT(" ",LEN(A266))),LEN(A266))))))), 1)) * ROW(INDIRECT("1:"&amp;LEN((--TRIM(RIGHT(SUBSTITUTE(LEFT(A266,_xlfn.AGGREGATE(16,6,FIND({0,1,2,3,4,5,6,7,8,9},A266,ROW(INDIRECT("1:"&amp;LEN(A266)))),1))," ",REPT(" ",LEN(A266))),LEN(A266))))))), 0), ROW(INDIRECT("1:"&amp;LEN((--TRIM(RIGHT(SUBSTITUTE(LEFT(A266,_xlfn.AGGREGATE(16,6,FIND({0,1,2,3,4,5,6,7,8,9},A266,ROW(INDIRECT("1:"&amp;LEN(A266)))),1))," ",REPT(" ",LEN(A266))),LEN(A266))))))))+1, 1) * 10^ROW(INDIRECT("1:"&amp;LEN((--TRIM(RIGHT(SUBSTITUTE(LEFT(A266,_xlfn.AGGREGATE(16,6,FIND({0,1,2,3,4,5,6,7,8,9},A266,ROW(INDIRECT("1:"&amp;LEN(A266)))),1))," ",REPT(" ",LEN(A266))),LEN(A266)))))))/10))*1+1</f>
        <v>205 &amp; 505</v>
      </c>
      <c r="B267" s="88"/>
      <c r="C267" s="39"/>
      <c r="D267" s="39"/>
      <c r="E267" s="51">
        <v>0</v>
      </c>
      <c r="F267" s="51">
        <f>D267+E267</f>
        <v>0</v>
      </c>
      <c r="G267" s="51">
        <v>0</v>
      </c>
      <c r="H267" s="51">
        <f>F267*(($H$135)+1)+(IF(G267&lt;101,G267,IF(G267&lt;201,G267/2,IF(G267&lt;=301,G267/3,G267/4))))</f>
        <v>0</v>
      </c>
      <c r="I267" s="33"/>
    </row>
    <row r="268" spans="1:9" s="32" customFormat="1" x14ac:dyDescent="0.25">
      <c r="A268" s="162" t="s">
        <v>64</v>
      </c>
      <c r="B268" s="162"/>
      <c r="C268" s="162"/>
      <c r="D268" s="162"/>
      <c r="E268" s="162"/>
      <c r="F268" s="162"/>
      <c r="G268" s="162"/>
      <c r="H268" s="162"/>
    </row>
    <row r="269" spans="1:9" s="32" customFormat="1" x14ac:dyDescent="0.25">
      <c r="A269" s="41" t="s">
        <v>151</v>
      </c>
      <c r="B269" s="122" t="s">
        <v>360</v>
      </c>
      <c r="C269" s="123"/>
      <c r="D269" s="123"/>
      <c r="E269" s="123"/>
      <c r="F269" s="123"/>
      <c r="G269" s="123"/>
      <c r="H269" s="124"/>
    </row>
    <row r="270" spans="1:9" s="32" customFormat="1" x14ac:dyDescent="0.25">
      <c r="A270" s="41" t="s">
        <v>151</v>
      </c>
      <c r="B270" s="122" t="str">
        <f>(IF(H134="Saleable area Loading :","We have considered Saleable area of Flats as per our Calculation.","We considered Saleable area of Flat as per Builder area Sheet."))</f>
        <v>We have considered Saleable area of Flats as per our Calculation.</v>
      </c>
      <c r="C270" s="123"/>
      <c r="D270" s="123"/>
      <c r="E270" s="123"/>
      <c r="F270" s="123"/>
      <c r="G270" s="123"/>
      <c r="H270" s="124"/>
    </row>
    <row r="271" spans="1:9" s="32" customFormat="1" x14ac:dyDescent="0.25">
      <c r="A271" s="41" t="s">
        <v>151</v>
      </c>
      <c r="B271" s="122" t="str">
        <f>(IF(H126="Saleable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1" s="123"/>
      <c r="D271" s="123"/>
      <c r="E271" s="123"/>
      <c r="F271" s="123"/>
      <c r="G271" s="123"/>
      <c r="H271" s="124"/>
    </row>
    <row r="272" spans="1:9" s="32" customFormat="1" x14ac:dyDescent="0.25">
      <c r="A272" s="41" t="s">
        <v>151</v>
      </c>
      <c r="B272" s="159" t="s">
        <v>118</v>
      </c>
      <c r="C272" s="160"/>
      <c r="D272" s="160"/>
      <c r="E272" s="160"/>
      <c r="F272" s="160"/>
      <c r="G272" s="160"/>
      <c r="H272" s="161"/>
    </row>
    <row r="273" spans="1:8" s="32" customFormat="1" x14ac:dyDescent="0.25">
      <c r="A273" s="41" t="s">
        <v>151</v>
      </c>
      <c r="B273" s="122" t="s">
        <v>339</v>
      </c>
      <c r="C273" s="123"/>
      <c r="D273" s="123"/>
      <c r="E273" s="123"/>
      <c r="F273" s="123"/>
      <c r="G273" s="123"/>
      <c r="H273" s="124"/>
    </row>
    <row r="274" spans="1:8" s="32" customFormat="1" x14ac:dyDescent="0.25">
      <c r="A274" s="41" t="s">
        <v>151</v>
      </c>
      <c r="B274" s="159" t="s">
        <v>150</v>
      </c>
      <c r="C274" s="160"/>
      <c r="D274" s="160"/>
      <c r="E274" s="160"/>
      <c r="F274" s="160"/>
      <c r="G274" s="160"/>
      <c r="H274" s="161"/>
    </row>
    <row r="275" spans="1:8" s="32" customFormat="1" x14ac:dyDescent="0.25">
      <c r="A275" s="41" t="s">
        <v>151</v>
      </c>
      <c r="B275" s="159" t="s">
        <v>119</v>
      </c>
      <c r="C275" s="160"/>
      <c r="D275" s="160"/>
      <c r="E275" s="160"/>
      <c r="F275" s="160"/>
      <c r="G275" s="160"/>
      <c r="H275" s="161"/>
    </row>
    <row r="276" spans="1:8" s="32" customFormat="1" ht="34.5" customHeight="1" x14ac:dyDescent="0.25">
      <c r="A276" s="41" t="s">
        <v>151</v>
      </c>
      <c r="B276" s="159" t="s">
        <v>152</v>
      </c>
      <c r="C276" s="160"/>
      <c r="D276" s="160"/>
      <c r="E276" s="160"/>
      <c r="F276" s="160"/>
      <c r="G276" s="160"/>
      <c r="H276" s="161"/>
    </row>
    <row r="277" spans="1:8" s="32" customFormat="1" x14ac:dyDescent="0.25">
      <c r="A277" s="58" t="s">
        <v>151</v>
      </c>
      <c r="B277" s="159" t="s">
        <v>340</v>
      </c>
      <c r="C277" s="160"/>
      <c r="D277" s="160"/>
      <c r="E277" s="160"/>
      <c r="F277" s="160"/>
      <c r="G277" s="160"/>
      <c r="H277" s="161"/>
    </row>
    <row r="278" spans="1:8" s="32" customFormat="1" x14ac:dyDescent="0.25">
      <c r="A278" s="69" t="s">
        <v>151</v>
      </c>
      <c r="B278" s="159" t="s">
        <v>120</v>
      </c>
      <c r="C278" s="160"/>
      <c r="D278" s="160"/>
      <c r="E278" s="160"/>
      <c r="F278" s="160"/>
      <c r="G278" s="160"/>
      <c r="H278" s="161"/>
    </row>
    <row r="279" spans="1:8" s="32" customFormat="1" x14ac:dyDescent="0.25">
      <c r="A279" s="69" t="s">
        <v>151</v>
      </c>
      <c r="B279" s="159" t="s">
        <v>343</v>
      </c>
      <c r="C279" s="160"/>
      <c r="D279" s="160"/>
      <c r="E279" s="160"/>
      <c r="F279" s="160"/>
      <c r="G279" s="160"/>
      <c r="H279" s="161"/>
    </row>
    <row r="280" spans="1:8" s="32" customFormat="1" hidden="1" x14ac:dyDescent="0.25">
      <c r="A280" s="73" t="s">
        <v>151</v>
      </c>
      <c r="B280" s="159" t="s">
        <v>345</v>
      </c>
      <c r="C280" s="160"/>
      <c r="D280" s="160"/>
      <c r="E280" s="160"/>
      <c r="F280" s="160"/>
      <c r="G280" s="160"/>
      <c r="H280" s="161"/>
    </row>
    <row r="281" spans="1:8" s="32" customFormat="1" x14ac:dyDescent="0.25">
      <c r="A281" s="79" t="s">
        <v>151</v>
      </c>
      <c r="B281" s="159" t="s">
        <v>354</v>
      </c>
      <c r="C281" s="160"/>
      <c r="D281" s="160"/>
      <c r="E281" s="160"/>
      <c r="F281" s="160"/>
      <c r="G281" s="160"/>
      <c r="H281" s="161"/>
    </row>
    <row r="282" spans="1:8" s="32" customFormat="1" x14ac:dyDescent="0.25">
      <c r="A282" s="41" t="s">
        <v>151</v>
      </c>
      <c r="B282" s="159" t="s">
        <v>362</v>
      </c>
      <c r="C282" s="160"/>
      <c r="D282" s="160"/>
      <c r="E282" s="160"/>
      <c r="F282" s="160"/>
      <c r="G282" s="160"/>
      <c r="H282" s="161"/>
    </row>
    <row r="283" spans="1:8" s="32" customFormat="1" hidden="1" x14ac:dyDescent="0.25">
      <c r="A283" s="48" t="s">
        <v>151</v>
      </c>
      <c r="B283" s="165" t="s">
        <v>177</v>
      </c>
      <c r="C283" s="166"/>
      <c r="D283" s="166"/>
      <c r="E283" s="166"/>
      <c r="F283" s="166"/>
      <c r="G283" s="166"/>
      <c r="H283" s="167"/>
    </row>
    <row r="284" spans="1:8" x14ac:dyDescent="0.25">
      <c r="A284" s="137" t="s">
        <v>57</v>
      </c>
      <c r="B284" s="137"/>
      <c r="C284" s="137"/>
      <c r="D284" s="137"/>
      <c r="E284" s="137"/>
      <c r="F284" s="137"/>
      <c r="G284" s="137"/>
      <c r="H284" s="137"/>
    </row>
    <row r="285" spans="1:8" x14ac:dyDescent="0.25">
      <c r="A285" s="98" t="s">
        <v>58</v>
      </c>
      <c r="B285" s="98"/>
      <c r="C285" s="98"/>
      <c r="D285" s="98"/>
      <c r="E285" s="98"/>
      <c r="F285" s="98"/>
      <c r="G285" s="98"/>
      <c r="H285" s="98"/>
    </row>
    <row r="286" spans="1:8" ht="15.75" customHeight="1" x14ac:dyDescent="0.25">
      <c r="A286" s="168" t="s">
        <v>59</v>
      </c>
      <c r="B286" s="168"/>
      <c r="C286" s="168"/>
      <c r="D286" s="168"/>
      <c r="E286" s="168"/>
      <c r="F286" s="168"/>
      <c r="G286" s="168"/>
      <c r="H286" s="168"/>
    </row>
    <row r="287" spans="1:8" x14ac:dyDescent="0.25">
      <c r="A287" s="98" t="s">
        <v>60</v>
      </c>
      <c r="B287" s="98"/>
      <c r="C287" s="98"/>
      <c r="D287" s="98"/>
      <c r="E287" s="98"/>
      <c r="F287" s="98"/>
      <c r="G287" s="98"/>
      <c r="H287" s="98"/>
    </row>
    <row r="288" spans="1:8" x14ac:dyDescent="0.25">
      <c r="A288" s="98" t="s">
        <v>61</v>
      </c>
      <c r="B288" s="98"/>
      <c r="C288" s="98"/>
      <c r="D288" s="98"/>
      <c r="E288" s="98"/>
      <c r="F288" s="98"/>
      <c r="G288" s="98"/>
      <c r="H288" s="98"/>
    </row>
    <row r="289" spans="1:8" x14ac:dyDescent="0.25">
      <c r="A289" s="98" t="s">
        <v>121</v>
      </c>
      <c r="B289" s="98"/>
      <c r="C289" s="98"/>
      <c r="D289" s="98"/>
      <c r="E289" s="98"/>
      <c r="F289" s="98"/>
      <c r="G289" s="98"/>
      <c r="H289" s="98"/>
    </row>
    <row r="290" spans="1:8" ht="33.950000000000003" customHeight="1" x14ac:dyDescent="0.25">
      <c r="A290" s="138" t="s">
        <v>122</v>
      </c>
      <c r="B290" s="138"/>
      <c r="C290" s="138"/>
      <c r="D290" s="138"/>
      <c r="E290" s="138"/>
      <c r="F290" s="138"/>
      <c r="G290" s="138"/>
      <c r="H290" s="138"/>
    </row>
    <row r="291" spans="1:8" x14ac:dyDescent="0.25">
      <c r="A291" s="164" t="s">
        <v>71</v>
      </c>
      <c r="B291" s="164"/>
      <c r="C291" s="164" t="s">
        <v>357</v>
      </c>
      <c r="D291" s="164"/>
      <c r="E291" s="164" t="s">
        <v>99</v>
      </c>
      <c r="F291" s="164"/>
      <c r="G291" s="164" t="s">
        <v>356</v>
      </c>
      <c r="H291" s="164"/>
    </row>
    <row r="292" spans="1:8" x14ac:dyDescent="0.25">
      <c r="A292" s="163" t="s">
        <v>73</v>
      </c>
      <c r="B292" s="163"/>
      <c r="C292" s="163"/>
      <c r="D292" s="163"/>
      <c r="E292" s="163"/>
      <c r="F292" s="163"/>
      <c r="G292" s="163"/>
      <c r="H292" s="163"/>
    </row>
    <row r="293" spans="1:8" x14ac:dyDescent="0.25">
      <c r="A293" s="163"/>
      <c r="B293" s="163"/>
      <c r="C293" s="163"/>
      <c r="D293" s="163"/>
      <c r="E293" s="163"/>
      <c r="F293" s="163"/>
      <c r="G293" s="163"/>
      <c r="H293" s="163"/>
    </row>
    <row r="294" spans="1:8" x14ac:dyDescent="0.25">
      <c r="A294" s="163"/>
      <c r="B294" s="163"/>
      <c r="C294" s="163"/>
      <c r="D294" s="163"/>
      <c r="E294" s="163"/>
      <c r="F294" s="163"/>
      <c r="G294" s="163"/>
      <c r="H294" s="163"/>
    </row>
    <row r="295" spans="1:8" x14ac:dyDescent="0.25">
      <c r="A295" s="163"/>
      <c r="B295" s="163"/>
      <c r="C295" s="163"/>
      <c r="D295" s="163"/>
      <c r="E295" s="163"/>
      <c r="F295" s="163"/>
      <c r="G295" s="163"/>
      <c r="H295" s="163"/>
    </row>
    <row r="296" spans="1:8" x14ac:dyDescent="0.25">
      <c r="A296" s="35" t="s">
        <v>62</v>
      </c>
      <c r="B296" s="36"/>
      <c r="C296" s="36"/>
      <c r="D296" s="35" t="str">
        <f>E9</f>
        <v>Nehru Nagar Nirmal C.H.S. Ltd.</v>
      </c>
      <c r="F296" s="36"/>
      <c r="G296" s="36"/>
      <c r="H296" s="36"/>
    </row>
    <row r="297" spans="1:8" x14ac:dyDescent="0.25">
      <c r="A297" s="36"/>
      <c r="B297" s="36"/>
      <c r="C297" s="36"/>
      <c r="D297" s="36"/>
      <c r="E297" s="36"/>
      <c r="F297" s="36"/>
      <c r="G297" s="36"/>
      <c r="H297" s="36"/>
    </row>
    <row r="298" spans="1:8" x14ac:dyDescent="0.25">
      <c r="A298" s="36"/>
      <c r="B298" s="36"/>
      <c r="C298" s="36"/>
      <c r="D298" s="36"/>
      <c r="E298" s="36"/>
      <c r="F298" s="36"/>
      <c r="G298" s="36"/>
      <c r="H298" s="36"/>
    </row>
    <row r="299" spans="1:8" ht="15" customHeight="1" x14ac:dyDescent="0.25"/>
    <row r="338" spans="1:1" x14ac:dyDescent="0.25">
      <c r="A338" s="38" t="s">
        <v>162</v>
      </c>
    </row>
    <row r="380" spans="1:1" x14ac:dyDescent="0.25">
      <c r="A380" s="38" t="s">
        <v>63</v>
      </c>
    </row>
  </sheetData>
  <mergeCells count="452">
    <mergeCell ref="A80:B80"/>
    <mergeCell ref="A81:B81"/>
    <mergeCell ref="A82:B82"/>
    <mergeCell ref="A83:B83"/>
    <mergeCell ref="B281:H281"/>
    <mergeCell ref="L237:M237"/>
    <mergeCell ref="L238:M238"/>
    <mergeCell ref="A207:H207"/>
    <mergeCell ref="L208:M208"/>
    <mergeCell ref="L209:M209"/>
    <mergeCell ref="L210:M210"/>
    <mergeCell ref="L211:M211"/>
    <mergeCell ref="L212:M212"/>
    <mergeCell ref="L213:M213"/>
    <mergeCell ref="A235:H235"/>
    <mergeCell ref="L236:M236"/>
    <mergeCell ref="L233:M233"/>
    <mergeCell ref="L234:M234"/>
    <mergeCell ref="L229:M229"/>
    <mergeCell ref="L230:M230"/>
    <mergeCell ref="L231:M231"/>
    <mergeCell ref="L232:M232"/>
    <mergeCell ref="L226:M226"/>
    <mergeCell ref="L227:M227"/>
    <mergeCell ref="L222:M222"/>
    <mergeCell ref="L223:M223"/>
    <mergeCell ref="L224:M224"/>
    <mergeCell ref="L225:M225"/>
    <mergeCell ref="C229:G231"/>
    <mergeCell ref="L196:M196"/>
    <mergeCell ref="L197:M197"/>
    <mergeCell ref="L198:M198"/>
    <mergeCell ref="L219:M219"/>
    <mergeCell ref="L220:M220"/>
    <mergeCell ref="A55:B56"/>
    <mergeCell ref="C55:E55"/>
    <mergeCell ref="G55:H55"/>
    <mergeCell ref="C56:E56"/>
    <mergeCell ref="G56:H56"/>
    <mergeCell ref="C219:G220"/>
    <mergeCell ref="L199:M199"/>
    <mergeCell ref="L216:M216"/>
    <mergeCell ref="L217:M217"/>
    <mergeCell ref="L218:M218"/>
    <mergeCell ref="L215:M215"/>
    <mergeCell ref="L205:M205"/>
    <mergeCell ref="L206:M206"/>
    <mergeCell ref="L201:M201"/>
    <mergeCell ref="L202:M202"/>
    <mergeCell ref="L203:M203"/>
    <mergeCell ref="L204:M204"/>
    <mergeCell ref="L195:M195"/>
    <mergeCell ref="A175:H175"/>
    <mergeCell ref="L176:M176"/>
    <mergeCell ref="L177:M177"/>
    <mergeCell ref="L178:M178"/>
    <mergeCell ref="L179:M179"/>
    <mergeCell ref="L180:M180"/>
    <mergeCell ref="L181:M181"/>
    <mergeCell ref="A182:H182"/>
    <mergeCell ref="L183:M183"/>
    <mergeCell ref="L184:M184"/>
    <mergeCell ref="L164:M164"/>
    <mergeCell ref="L165:M165"/>
    <mergeCell ref="L166:M166"/>
    <mergeCell ref="L141:M141"/>
    <mergeCell ref="L139:M139"/>
    <mergeCell ref="L140:M140"/>
    <mergeCell ref="L142:M142"/>
    <mergeCell ref="L143:M143"/>
    <mergeCell ref="L144:M144"/>
    <mergeCell ref="L145:M145"/>
    <mergeCell ref="L147:M147"/>
    <mergeCell ref="L149:M149"/>
    <mergeCell ref="L150:M150"/>
    <mergeCell ref="L151:M151"/>
    <mergeCell ref="L152:M152"/>
    <mergeCell ref="L153:M153"/>
    <mergeCell ref="L155:M155"/>
    <mergeCell ref="L156:M156"/>
    <mergeCell ref="L157:M157"/>
    <mergeCell ref="L158:M158"/>
    <mergeCell ref="L159:M159"/>
    <mergeCell ref="L160:M160"/>
    <mergeCell ref="L162:M162"/>
    <mergeCell ref="L163:M163"/>
    <mergeCell ref="A90:B90"/>
    <mergeCell ref="A50:B50"/>
    <mergeCell ref="C50:H50"/>
    <mergeCell ref="B274:H274"/>
    <mergeCell ref="F100:H100"/>
    <mergeCell ref="A100:E100"/>
    <mergeCell ref="D126:D127"/>
    <mergeCell ref="A102:E102"/>
    <mergeCell ref="A101:E101"/>
    <mergeCell ref="A98:E98"/>
    <mergeCell ref="F102:H102"/>
    <mergeCell ref="F134:F135"/>
    <mergeCell ref="G126:G127"/>
    <mergeCell ref="A258:B258"/>
    <mergeCell ref="A97:B97"/>
    <mergeCell ref="A86:B86"/>
    <mergeCell ref="A84:B84"/>
    <mergeCell ref="C84:H84"/>
    <mergeCell ref="A92:B92"/>
    <mergeCell ref="A65:C65"/>
    <mergeCell ref="D65:H65"/>
    <mergeCell ref="C86:H86"/>
    <mergeCell ref="A194:H194"/>
    <mergeCell ref="A70:B70"/>
    <mergeCell ref="A53:B54"/>
    <mergeCell ref="A94:B94"/>
    <mergeCell ref="E88:F97"/>
    <mergeCell ref="G88:H97"/>
    <mergeCell ref="A96:B96"/>
    <mergeCell ref="L244:M244"/>
    <mergeCell ref="A249:B249"/>
    <mergeCell ref="A246:B246"/>
    <mergeCell ref="A247:B247"/>
    <mergeCell ref="F126:F127"/>
    <mergeCell ref="C115:D115"/>
    <mergeCell ref="E115:F115"/>
    <mergeCell ref="B126:B127"/>
    <mergeCell ref="A126:A127"/>
    <mergeCell ref="C134:C135"/>
    <mergeCell ref="G134:G135"/>
    <mergeCell ref="L243:M243"/>
    <mergeCell ref="L240:M240"/>
    <mergeCell ref="A241:B241"/>
    <mergeCell ref="G123:H123"/>
    <mergeCell ref="L241:M241"/>
    <mergeCell ref="A242:B242"/>
    <mergeCell ref="L242:M242"/>
    <mergeCell ref="A243:B243"/>
    <mergeCell ref="L132:M132"/>
    <mergeCell ref="L131:M131"/>
    <mergeCell ref="L130:M130"/>
    <mergeCell ref="L129:M129"/>
    <mergeCell ref="A95:B95"/>
    <mergeCell ref="C120:D120"/>
    <mergeCell ref="E120:F120"/>
    <mergeCell ref="G120:H120"/>
    <mergeCell ref="A99:E99"/>
    <mergeCell ref="A128:H128"/>
    <mergeCell ref="E126:E127"/>
    <mergeCell ref="G121:H121"/>
    <mergeCell ref="A109:E109"/>
    <mergeCell ref="F109:H109"/>
    <mergeCell ref="A108:E108"/>
    <mergeCell ref="A114:B114"/>
    <mergeCell ref="A116:B116"/>
    <mergeCell ref="A104:E104"/>
    <mergeCell ref="F104:H104"/>
    <mergeCell ref="A130:B130"/>
    <mergeCell ref="F108:H108"/>
    <mergeCell ref="E114:F114"/>
    <mergeCell ref="A129:B129"/>
    <mergeCell ref="A119:B119"/>
    <mergeCell ref="D63:H63"/>
    <mergeCell ref="D64:H64"/>
    <mergeCell ref="A45:D45"/>
    <mergeCell ref="E45:H45"/>
    <mergeCell ref="E46:H46"/>
    <mergeCell ref="E47:H47"/>
    <mergeCell ref="E48:H48"/>
    <mergeCell ref="A46:D46"/>
    <mergeCell ref="F38:H38"/>
    <mergeCell ref="C53:E53"/>
    <mergeCell ref="A62:C62"/>
    <mergeCell ref="D62:H62"/>
    <mergeCell ref="C52:E52"/>
    <mergeCell ref="C51:E51"/>
    <mergeCell ref="C54:E54"/>
    <mergeCell ref="G54:H54"/>
    <mergeCell ref="A40:B40"/>
    <mergeCell ref="C40:H40"/>
    <mergeCell ref="A47:D47"/>
    <mergeCell ref="A48:D48"/>
    <mergeCell ref="A49:H49"/>
    <mergeCell ref="D61:H61"/>
    <mergeCell ref="A61:C61"/>
    <mergeCell ref="G52:H52"/>
    <mergeCell ref="A24:D25"/>
    <mergeCell ref="E24:H25"/>
    <mergeCell ref="C36:E36"/>
    <mergeCell ref="A39:H39"/>
    <mergeCell ref="A38:B38"/>
    <mergeCell ref="C38:E38"/>
    <mergeCell ref="A43:D43"/>
    <mergeCell ref="E43:H43"/>
    <mergeCell ref="A42:H42"/>
    <mergeCell ref="A41:B41"/>
    <mergeCell ref="C41:H41"/>
    <mergeCell ref="E28:H28"/>
    <mergeCell ref="A30:D30"/>
    <mergeCell ref="E30:H30"/>
    <mergeCell ref="A27:D27"/>
    <mergeCell ref="E27:H27"/>
    <mergeCell ref="A31:D31"/>
    <mergeCell ref="E31:H31"/>
    <mergeCell ref="A28:D28"/>
    <mergeCell ref="A29:D29"/>
    <mergeCell ref="E29:H29"/>
    <mergeCell ref="C34:E34"/>
    <mergeCell ref="F37:H37"/>
    <mergeCell ref="F34:H34"/>
    <mergeCell ref="E15:H15"/>
    <mergeCell ref="A16:D16"/>
    <mergeCell ref="A12:D12"/>
    <mergeCell ref="E12:H12"/>
    <mergeCell ref="A14:D14"/>
    <mergeCell ref="E14:H14"/>
    <mergeCell ref="A13:D13"/>
    <mergeCell ref="E13:H13"/>
    <mergeCell ref="A15:D15"/>
    <mergeCell ref="A1:H1"/>
    <mergeCell ref="A2:H2"/>
    <mergeCell ref="A3:D3"/>
    <mergeCell ref="E3:H3"/>
    <mergeCell ref="A5:D5"/>
    <mergeCell ref="A9:D9"/>
    <mergeCell ref="E9:H9"/>
    <mergeCell ref="A11:D11"/>
    <mergeCell ref="E11:H11"/>
    <mergeCell ref="E5:H5"/>
    <mergeCell ref="A6:D6"/>
    <mergeCell ref="E6:H6"/>
    <mergeCell ref="A7:D7"/>
    <mergeCell ref="E7:H7"/>
    <mergeCell ref="A8:D8"/>
    <mergeCell ref="E8:H8"/>
    <mergeCell ref="A4:D4"/>
    <mergeCell ref="E4:H4"/>
    <mergeCell ref="A10:D10"/>
    <mergeCell ref="E10:H10"/>
    <mergeCell ref="B276:H276"/>
    <mergeCell ref="A259:B259"/>
    <mergeCell ref="A248:B248"/>
    <mergeCell ref="A221:H221"/>
    <mergeCell ref="A228:H228"/>
    <mergeCell ref="A133:H133"/>
    <mergeCell ref="E119:F119"/>
    <mergeCell ref="A124:H124"/>
    <mergeCell ref="A134:A135"/>
    <mergeCell ref="A138:H138"/>
    <mergeCell ref="C119:D119"/>
    <mergeCell ref="A262:H262"/>
    <mergeCell ref="A121:B121"/>
    <mergeCell ref="C121:D121"/>
    <mergeCell ref="E121:F121"/>
    <mergeCell ref="B270:H270"/>
    <mergeCell ref="B272:H272"/>
    <mergeCell ref="B273:H273"/>
    <mergeCell ref="A268:H268"/>
    <mergeCell ref="A292:H295"/>
    <mergeCell ref="A291:B291"/>
    <mergeCell ref="E291:F291"/>
    <mergeCell ref="C291:D291"/>
    <mergeCell ref="G291:H291"/>
    <mergeCell ref="A287:H287"/>
    <mergeCell ref="B283:H283"/>
    <mergeCell ref="B282:H282"/>
    <mergeCell ref="B275:H275"/>
    <mergeCell ref="B271:H271"/>
    <mergeCell ref="B278:H278"/>
    <mergeCell ref="B279:H279"/>
    <mergeCell ref="A289:H289"/>
    <mergeCell ref="A286:H286"/>
    <mergeCell ref="B280:H280"/>
    <mergeCell ref="B277:H277"/>
    <mergeCell ref="A290:H290"/>
    <mergeCell ref="A288:H288"/>
    <mergeCell ref="A284:H284"/>
    <mergeCell ref="A285:H285"/>
    <mergeCell ref="A63:C63"/>
    <mergeCell ref="A64:C64"/>
    <mergeCell ref="A60:C60"/>
    <mergeCell ref="D60:H60"/>
    <mergeCell ref="A263:B263"/>
    <mergeCell ref="A264:B264"/>
    <mergeCell ref="A113:H113"/>
    <mergeCell ref="A111:E111"/>
    <mergeCell ref="F111:H111"/>
    <mergeCell ref="A112:E112"/>
    <mergeCell ref="F112:H112"/>
    <mergeCell ref="A244:H244"/>
    <mergeCell ref="A120:B120"/>
    <mergeCell ref="A253:B253"/>
    <mergeCell ref="A115:B115"/>
    <mergeCell ref="A118:H118"/>
    <mergeCell ref="A123:B123"/>
    <mergeCell ref="C123:D123"/>
    <mergeCell ref="E123:F123"/>
    <mergeCell ref="A257:B257"/>
    <mergeCell ref="A200:H200"/>
    <mergeCell ref="A146:H146"/>
    <mergeCell ref="A154:H154"/>
    <mergeCell ref="A161:H161"/>
    <mergeCell ref="D66:H66"/>
    <mergeCell ref="A69:C69"/>
    <mergeCell ref="D69:H69"/>
    <mergeCell ref="A67:C67"/>
    <mergeCell ref="D68:H68"/>
    <mergeCell ref="A88:B88"/>
    <mergeCell ref="G87:H87"/>
    <mergeCell ref="D67:H67"/>
    <mergeCell ref="A68:C68"/>
    <mergeCell ref="A87:B87"/>
    <mergeCell ref="C70:H70"/>
    <mergeCell ref="A72:B72"/>
    <mergeCell ref="C72:H72"/>
    <mergeCell ref="A73:B73"/>
    <mergeCell ref="E73:F73"/>
    <mergeCell ref="G73:H73"/>
    <mergeCell ref="A74:B74"/>
    <mergeCell ref="E74:F83"/>
    <mergeCell ref="G74:H83"/>
    <mergeCell ref="A75:B75"/>
    <mergeCell ref="A76:B76"/>
    <mergeCell ref="A77:B77"/>
    <mergeCell ref="A78:B78"/>
    <mergeCell ref="A79:B79"/>
    <mergeCell ref="I16:P16"/>
    <mergeCell ref="A57:B57"/>
    <mergeCell ref="C57:E57"/>
    <mergeCell ref="D59:H59"/>
    <mergeCell ref="E44:H44"/>
    <mergeCell ref="A44:D44"/>
    <mergeCell ref="G51:H51"/>
    <mergeCell ref="G53:H53"/>
    <mergeCell ref="A52:B52"/>
    <mergeCell ref="A58:H58"/>
    <mergeCell ref="A59:C59"/>
    <mergeCell ref="A26:D26"/>
    <mergeCell ref="E26:H26"/>
    <mergeCell ref="A20:B20"/>
    <mergeCell ref="C20:D20"/>
    <mergeCell ref="E20:F20"/>
    <mergeCell ref="G20:H20"/>
    <mergeCell ref="G57:H57"/>
    <mergeCell ref="F35:H35"/>
    <mergeCell ref="F36:H36"/>
    <mergeCell ref="A37:B37"/>
    <mergeCell ref="A35:B35"/>
    <mergeCell ref="A34:B34"/>
    <mergeCell ref="C35:E35"/>
    <mergeCell ref="C141:G142"/>
    <mergeCell ref="C162:G162"/>
    <mergeCell ref="A137:H137"/>
    <mergeCell ref="A187:H187"/>
    <mergeCell ref="A261:B261"/>
    <mergeCell ref="A267:B267"/>
    <mergeCell ref="A266:B266"/>
    <mergeCell ref="B269:H269"/>
    <mergeCell ref="A245:B245"/>
    <mergeCell ref="A188:H188"/>
    <mergeCell ref="C179:G181"/>
    <mergeCell ref="A239:H239"/>
    <mergeCell ref="A252:B252"/>
    <mergeCell ref="A265:B265"/>
    <mergeCell ref="A255:B255"/>
    <mergeCell ref="E16:H16"/>
    <mergeCell ref="A17:B17"/>
    <mergeCell ref="C17:H17"/>
    <mergeCell ref="C18:H18"/>
    <mergeCell ref="A19:B19"/>
    <mergeCell ref="C19:H19"/>
    <mergeCell ref="A18:B18"/>
    <mergeCell ref="G22:H22"/>
    <mergeCell ref="A23:B23"/>
    <mergeCell ref="C23:D23"/>
    <mergeCell ref="E23:F23"/>
    <mergeCell ref="G23:H23"/>
    <mergeCell ref="A21:B21"/>
    <mergeCell ref="C21:D21"/>
    <mergeCell ref="E21:F21"/>
    <mergeCell ref="G21:H21"/>
    <mergeCell ref="A22:B22"/>
    <mergeCell ref="C22:D22"/>
    <mergeCell ref="E22:F22"/>
    <mergeCell ref="F99:H99"/>
    <mergeCell ref="F106:H106"/>
    <mergeCell ref="C114:D114"/>
    <mergeCell ref="C122:D122"/>
    <mergeCell ref="C37:E37"/>
    <mergeCell ref="A32:D32"/>
    <mergeCell ref="E32:H32"/>
    <mergeCell ref="A33:D33"/>
    <mergeCell ref="E33:H33"/>
    <mergeCell ref="G115:H115"/>
    <mergeCell ref="F98:H98"/>
    <mergeCell ref="F103:H103"/>
    <mergeCell ref="A105:E105"/>
    <mergeCell ref="F105:H105"/>
    <mergeCell ref="A107:E107"/>
    <mergeCell ref="F101:H101"/>
    <mergeCell ref="F110:H110"/>
    <mergeCell ref="A36:B36"/>
    <mergeCell ref="A93:B93"/>
    <mergeCell ref="A51:B51"/>
    <mergeCell ref="A89:B89"/>
    <mergeCell ref="A91:B91"/>
    <mergeCell ref="E87:F87"/>
    <mergeCell ref="A66:C66"/>
    <mergeCell ref="A136:H136"/>
    <mergeCell ref="A103:E103"/>
    <mergeCell ref="A122:B122"/>
    <mergeCell ref="E122:F122"/>
    <mergeCell ref="A110:E110"/>
    <mergeCell ref="G122:H122"/>
    <mergeCell ref="C116:D116"/>
    <mergeCell ref="E116:F116"/>
    <mergeCell ref="G116:H116"/>
    <mergeCell ref="A117:B117"/>
    <mergeCell ref="C117:D117"/>
    <mergeCell ref="E117:F117"/>
    <mergeCell ref="A132:B132"/>
    <mergeCell ref="A106:E106"/>
    <mergeCell ref="G117:H117"/>
    <mergeCell ref="F107:H107"/>
    <mergeCell ref="D134:D135"/>
    <mergeCell ref="E134:E135"/>
    <mergeCell ref="A131:B131"/>
    <mergeCell ref="A125:H125"/>
    <mergeCell ref="G114:H114"/>
    <mergeCell ref="G119:H119"/>
    <mergeCell ref="C126:C127"/>
    <mergeCell ref="B134:B135"/>
    <mergeCell ref="L189:M189"/>
    <mergeCell ref="L190:M190"/>
    <mergeCell ref="L191:M191"/>
    <mergeCell ref="L192:M192"/>
    <mergeCell ref="L193:M193"/>
    <mergeCell ref="L148:M148"/>
    <mergeCell ref="C189:G190"/>
    <mergeCell ref="A251:B251"/>
    <mergeCell ref="A260:B260"/>
    <mergeCell ref="A256:H256"/>
    <mergeCell ref="A250:H250"/>
    <mergeCell ref="A240:B240"/>
    <mergeCell ref="A254:B254"/>
    <mergeCell ref="A214:H214"/>
    <mergeCell ref="L167:M167"/>
    <mergeCell ref="A168:H168"/>
    <mergeCell ref="L169:M169"/>
    <mergeCell ref="L185:M185"/>
    <mergeCell ref="A186:H186"/>
    <mergeCell ref="L170:M170"/>
    <mergeCell ref="L171:M171"/>
    <mergeCell ref="L172:M172"/>
    <mergeCell ref="L173:M173"/>
    <mergeCell ref="L174:M174"/>
  </mergeCells>
  <dataValidations count="15">
    <dataValidation type="list" allowBlank="1" showInputMessage="1" showErrorMessage="1" sqref="E5:H5">
      <formula1>OFFSET($L$3,1,MATCH($E4,$L$3:$P$3,0)-1,10,1)</formula1>
    </dataValidation>
    <dataValidation type="list" allowBlank="1" showInputMessage="1" showErrorMessage="1" sqref="A18:B18">
      <formula1>"CTS No,Survey No,Plot No,Gut No,FP No,"</formula1>
    </dataValidation>
    <dataValidation type="list" allowBlank="1" showInputMessage="1" showErrorMessage="1" sqref="G21:H21">
      <formula1>$S$14:$W$14</formula1>
    </dataValidation>
    <dataValidation type="list" allowBlank="1" showInputMessage="1" showErrorMessage="1" sqref="E126:E127">
      <formula1>"Attached Loft area,Attached Otla area,Attached Mezzanine area"</formula1>
    </dataValidation>
    <dataValidation type="list" allowBlank="1" showInputMessage="1" showErrorMessage="1" sqref="G291:H291">
      <formula1>"Kunal Kadam,Shruti Tathare,Pranita Mhatre,Shruti Fule,Pooja Kawale,Mansee Mohite,Anjali Kamble, Hitakshi Mhatre, Sachin Sawant"</formula1>
    </dataValidation>
    <dataValidation type="list" allowBlank="1" showInputMessage="1" showErrorMessage="1" sqref="F98:H98">
      <formula1>"On Saleable Area,On Builtup Area,On Carpet Area,On Plot Area"</formula1>
    </dataValidation>
    <dataValidation type="list" allowBlank="1" showInputMessage="1" showErrorMessage="1" sqref="F111:H111">
      <formula1>"100000,150000,200000,250000,300000,350000,400000,500000,600000,700000,800000,900000,1000000,1200000,1400000,1500000"</formula1>
    </dataValidation>
    <dataValidation type="list" allowBlank="1" showInputMessage="1" showErrorMessage="1" sqref="B126:B127">
      <formula1>"Shop No. (Sale Plan),Sale / Rehab,Sale / Mhada"</formula1>
    </dataValidation>
    <dataValidation type="list" allowBlank="1" showInputMessage="1" showErrorMessage="1" sqref="B134:B135">
      <formula1>"Flat No. (Sale Plan),Sale / Rehab,Sale / Mhada"</formula1>
    </dataValidation>
    <dataValidation type="list" allowBlank="1" showInputMessage="1" showErrorMessage="1" sqref="C22:D22">
      <formula1>OFFSET($S$14,1,MATCH($G21,$S$14:$W$14,0)-1,15,1)</formula1>
    </dataValidation>
    <dataValidation type="list" allowBlank="1" showInputMessage="1" showErrorMessage="1" sqref="Y14">
      <formula1>$D$5:$H$5</formula1>
    </dataValidation>
    <dataValidation type="list" allowBlank="1" showInputMessage="1" showErrorMessage="1" sqref="E134:E135">
      <formula1>"Fungible area,Balcony Area,Chajja Area,Cornice Area,AP Area,WS Area"</formula1>
    </dataValidation>
    <dataValidation type="list" allowBlank="1" showInputMessage="1" showErrorMessage="1" sqref="H127 H135">
      <formula1>".45,.50,.55,.60"</formula1>
    </dataValidation>
    <dataValidation type="list" allowBlank="1" showInputMessage="1" showErrorMessage="1" sqref="E4:H4">
      <formula1>$L$3:$P$3</formula1>
    </dataValidation>
    <dataValidation type="list" allowBlank="1" showInputMessage="1" showErrorMessage="1" sqref="C50:H50">
      <formula1>OFFSET($S$50,1,MATCH($G21,$S$50:$W$50,0)-1,15,1)</formula1>
    </dataValidation>
  </dataValidations>
  <hyperlinks>
    <hyperlink ref="C41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12" max="7" man="1"/>
    <brk id="295" max="16383" man="1"/>
    <brk id="337" max="16383" man="1"/>
    <brk id="379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7" zoomScale="85" zoomScaleNormal="85" workbookViewId="0">
      <selection activeCell="C10" sqref="C1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5" t="s">
        <v>100</v>
      </c>
      <c r="C3" s="225"/>
      <c r="D3" s="225"/>
      <c r="E3" s="225"/>
      <c r="F3" s="225"/>
      <c r="G3" s="225"/>
      <c r="H3" s="225"/>
    </row>
    <row r="4" spans="1:9" x14ac:dyDescent="0.25">
      <c r="A4" s="2"/>
      <c r="B4" s="3" t="s">
        <v>101</v>
      </c>
      <c r="C4" s="3" t="s">
        <v>102</v>
      </c>
      <c r="D4" s="3" t="s">
        <v>65</v>
      </c>
      <c r="E4" s="3" t="s">
        <v>103</v>
      </c>
      <c r="F4" s="3" t="s">
        <v>109</v>
      </c>
      <c r="G4" s="3" t="s">
        <v>110</v>
      </c>
      <c r="H4" s="3" t="s">
        <v>104</v>
      </c>
    </row>
    <row r="5" spans="1:9" ht="15" customHeight="1" x14ac:dyDescent="0.25">
      <c r="A5" s="2"/>
      <c r="B5" s="5" t="s">
        <v>105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107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108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69"/>
  <sheetViews>
    <sheetView topLeftCell="A55" zoomScale="130" zoomScaleNormal="130" workbookViewId="0">
      <selection activeCell="C43" sqref="C43:D69"/>
    </sheetView>
  </sheetViews>
  <sheetFormatPr defaultRowHeight="15" x14ac:dyDescent="0.25"/>
  <cols>
    <col min="4" max="4" width="13.85546875" bestFit="1" customWidth="1"/>
    <col min="5" max="5" width="10.42578125" bestFit="1" customWidth="1"/>
    <col min="6" max="6" width="12.42578125" bestFit="1" customWidth="1"/>
    <col min="7" max="7" width="18.140625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9"/>
      <c r="C4" s="49" t="s">
        <v>10</v>
      </c>
      <c r="D4" s="50" t="s">
        <v>178</v>
      </c>
      <c r="E4" s="50" t="s">
        <v>188</v>
      </c>
      <c r="F4" s="50" t="s">
        <v>171</v>
      </c>
      <c r="G4" s="50" t="s">
        <v>193</v>
      </c>
      <c r="H4" s="50" t="s">
        <v>211</v>
      </c>
      <c r="J4" t="s">
        <v>193</v>
      </c>
      <c r="K4" t="s">
        <v>209</v>
      </c>
    </row>
    <row r="5" spans="2:11" x14ac:dyDescent="0.25">
      <c r="B5" s="49"/>
      <c r="C5" s="49"/>
      <c r="D5" s="50" t="s">
        <v>179</v>
      </c>
      <c r="E5" s="50" t="s">
        <v>186</v>
      </c>
      <c r="F5" s="50" t="s">
        <v>208</v>
      </c>
      <c r="G5" s="50" t="s">
        <v>194</v>
      </c>
      <c r="H5" s="50" t="s">
        <v>212</v>
      </c>
    </row>
    <row r="6" spans="2:11" x14ac:dyDescent="0.25">
      <c r="B6" s="49"/>
      <c r="C6" s="49"/>
      <c r="D6" s="50" t="s">
        <v>180</v>
      </c>
      <c r="E6" s="50" t="s">
        <v>187</v>
      </c>
      <c r="F6" s="50" t="s">
        <v>209</v>
      </c>
      <c r="G6" s="50" t="s">
        <v>195</v>
      </c>
      <c r="H6" s="50" t="s">
        <v>225</v>
      </c>
    </row>
    <row r="7" spans="2:11" x14ac:dyDescent="0.25">
      <c r="B7" s="49"/>
      <c r="C7" s="49"/>
      <c r="D7" s="50" t="s">
        <v>181</v>
      </c>
      <c r="E7" s="50" t="s">
        <v>189</v>
      </c>
      <c r="F7" s="50" t="s">
        <v>210</v>
      </c>
      <c r="G7" s="50" t="s">
        <v>196</v>
      </c>
      <c r="H7" s="50" t="s">
        <v>213</v>
      </c>
    </row>
    <row r="8" spans="2:11" x14ac:dyDescent="0.25">
      <c r="B8" s="49"/>
      <c r="C8" s="49"/>
      <c r="D8" s="50" t="s">
        <v>182</v>
      </c>
      <c r="E8" s="50" t="s">
        <v>190</v>
      </c>
      <c r="F8" s="50"/>
      <c r="G8" s="50" t="s">
        <v>197</v>
      </c>
      <c r="H8" s="50" t="s">
        <v>214</v>
      </c>
    </row>
    <row r="9" spans="2:11" x14ac:dyDescent="0.25">
      <c r="B9" s="49"/>
      <c r="C9" s="49"/>
      <c r="D9" s="50" t="s">
        <v>183</v>
      </c>
      <c r="E9" s="50" t="s">
        <v>188</v>
      </c>
      <c r="F9" s="50"/>
      <c r="G9" s="50" t="s">
        <v>198</v>
      </c>
      <c r="H9" s="50" t="s">
        <v>215</v>
      </c>
    </row>
    <row r="10" spans="2:11" x14ac:dyDescent="0.25">
      <c r="B10" s="49"/>
      <c r="C10" s="49"/>
      <c r="D10" s="50" t="s">
        <v>184</v>
      </c>
      <c r="E10" s="50" t="s">
        <v>191</v>
      </c>
      <c r="F10" s="50"/>
      <c r="G10" s="50" t="s">
        <v>199</v>
      </c>
      <c r="H10" s="50" t="s">
        <v>216</v>
      </c>
    </row>
    <row r="11" spans="2:11" x14ac:dyDescent="0.25">
      <c r="B11" s="49"/>
      <c r="C11" s="49"/>
      <c r="D11" s="50" t="s">
        <v>185</v>
      </c>
      <c r="E11" s="50" t="s">
        <v>192</v>
      </c>
      <c r="F11" s="50"/>
      <c r="G11" s="50" t="s">
        <v>200</v>
      </c>
      <c r="H11" s="50" t="s">
        <v>217</v>
      </c>
    </row>
    <row r="12" spans="2:11" x14ac:dyDescent="0.25">
      <c r="B12" s="49"/>
      <c r="C12" s="49"/>
      <c r="D12" s="50"/>
      <c r="E12" s="50"/>
      <c r="F12" s="50"/>
      <c r="G12" s="50" t="s">
        <v>201</v>
      </c>
      <c r="H12" s="50" t="s">
        <v>218</v>
      </c>
    </row>
    <row r="13" spans="2:11" x14ac:dyDescent="0.25">
      <c r="B13" s="49"/>
      <c r="C13" s="49"/>
      <c r="D13" s="50"/>
      <c r="E13" s="50"/>
      <c r="F13" s="50"/>
      <c r="G13" s="50" t="s">
        <v>202</v>
      </c>
      <c r="H13" s="50" t="s">
        <v>219</v>
      </c>
    </row>
    <row r="14" spans="2:11" x14ac:dyDescent="0.25">
      <c r="B14" s="49"/>
      <c r="C14" s="49"/>
      <c r="D14" s="50"/>
      <c r="E14" s="50"/>
      <c r="F14" s="50"/>
      <c r="G14" s="50" t="s">
        <v>203</v>
      </c>
      <c r="H14" s="50" t="s">
        <v>220</v>
      </c>
    </row>
    <row r="15" spans="2:11" x14ac:dyDescent="0.25">
      <c r="B15" s="49"/>
      <c r="C15" s="49"/>
      <c r="D15" s="50"/>
      <c r="E15" s="50"/>
      <c r="F15" s="50"/>
      <c r="G15" s="50" t="s">
        <v>204</v>
      </c>
      <c r="H15" s="50" t="s">
        <v>221</v>
      </c>
    </row>
    <row r="16" spans="2:11" x14ac:dyDescent="0.25">
      <c r="B16" s="49"/>
      <c r="C16" s="49"/>
      <c r="D16" s="50"/>
      <c r="E16" s="50"/>
      <c r="F16" s="50"/>
      <c r="G16" s="50" t="s">
        <v>205</v>
      </c>
      <c r="H16" s="50" t="s">
        <v>222</v>
      </c>
    </row>
    <row r="17" spans="2:8" x14ac:dyDescent="0.25">
      <c r="B17" s="49"/>
      <c r="C17" s="49"/>
      <c r="D17" s="50"/>
      <c r="E17" s="50"/>
      <c r="F17" s="50"/>
      <c r="G17" s="50" t="s">
        <v>206</v>
      </c>
      <c r="H17" s="50" t="s">
        <v>223</v>
      </c>
    </row>
    <row r="18" spans="2:8" x14ac:dyDescent="0.25">
      <c r="B18" s="49"/>
      <c r="C18" s="49"/>
      <c r="D18" s="50"/>
      <c r="E18" s="50"/>
      <c r="F18" s="50"/>
      <c r="G18" s="50" t="s">
        <v>207</v>
      </c>
      <c r="H18" s="50" t="s">
        <v>224</v>
      </c>
    </row>
    <row r="24" spans="2:8" x14ac:dyDescent="0.25">
      <c r="C24" t="s">
        <v>168</v>
      </c>
    </row>
    <row r="25" spans="2:8" x14ac:dyDescent="0.25">
      <c r="C25" t="s">
        <v>226</v>
      </c>
    </row>
    <row r="26" spans="2:8" x14ac:dyDescent="0.25">
      <c r="C26" t="s">
        <v>227</v>
      </c>
    </row>
    <row r="27" spans="2:8" x14ac:dyDescent="0.25">
      <c r="C27" t="s">
        <v>228</v>
      </c>
    </row>
    <row r="28" spans="2:8" x14ac:dyDescent="0.25">
      <c r="C28" t="s">
        <v>229</v>
      </c>
    </row>
    <row r="29" spans="2:8" x14ac:dyDescent="0.25">
      <c r="C29" t="s">
        <v>230</v>
      </c>
    </row>
    <row r="30" spans="2:8" x14ac:dyDescent="0.25">
      <c r="C30" t="s">
        <v>168</v>
      </c>
    </row>
    <row r="33" spans="3:11" x14ac:dyDescent="0.25">
      <c r="J33">
        <v>1</v>
      </c>
      <c r="K33">
        <v>2</v>
      </c>
    </row>
    <row r="34" spans="3:11" x14ac:dyDescent="0.25">
      <c r="C34" s="54" t="s">
        <v>236</v>
      </c>
      <c r="D34" s="50" t="s">
        <v>234</v>
      </c>
      <c r="E34" s="50" t="s">
        <v>239</v>
      </c>
      <c r="F34" s="50" t="s">
        <v>237</v>
      </c>
      <c r="G34" s="50" t="s">
        <v>238</v>
      </c>
      <c r="H34" s="50" t="s">
        <v>240</v>
      </c>
      <c r="J34" t="s">
        <v>193</v>
      </c>
      <c r="K34" t="s">
        <v>209</v>
      </c>
    </row>
    <row r="35" spans="3:11" x14ac:dyDescent="0.25">
      <c r="C35" s="49" t="s">
        <v>235</v>
      </c>
      <c r="D35" s="50" t="s">
        <v>169</v>
      </c>
      <c r="E35" s="50" t="s">
        <v>244</v>
      </c>
      <c r="F35" s="50" t="s">
        <v>246</v>
      </c>
      <c r="G35" s="50" t="s">
        <v>248</v>
      </c>
      <c r="H35" s="50"/>
    </row>
    <row r="36" spans="3:11" x14ac:dyDescent="0.25">
      <c r="C36" s="49"/>
      <c r="D36" s="50" t="s">
        <v>241</v>
      </c>
      <c r="E36" s="50" t="s">
        <v>245</v>
      </c>
      <c r="F36" s="50" t="s">
        <v>247</v>
      </c>
      <c r="G36" s="50" t="s">
        <v>249</v>
      </c>
      <c r="H36" s="50"/>
    </row>
    <row r="37" spans="3:11" x14ac:dyDescent="0.25">
      <c r="C37" s="49"/>
      <c r="D37" s="50" t="s">
        <v>242</v>
      </c>
      <c r="E37" s="50"/>
      <c r="F37" s="50"/>
      <c r="G37" s="50" t="s">
        <v>250</v>
      </c>
      <c r="H37" s="50"/>
    </row>
    <row r="38" spans="3:11" x14ac:dyDescent="0.25">
      <c r="C38" s="49"/>
      <c r="D38" s="50" t="s">
        <v>243</v>
      </c>
      <c r="E38" s="50"/>
      <c r="F38" s="50"/>
      <c r="G38" s="50" t="s">
        <v>250</v>
      </c>
      <c r="H38" s="50"/>
    </row>
    <row r="39" spans="3:11" x14ac:dyDescent="0.25">
      <c r="C39" s="49"/>
      <c r="D39" s="50"/>
      <c r="E39" s="50"/>
      <c r="F39" s="50"/>
      <c r="G39" s="50" t="s">
        <v>251</v>
      </c>
      <c r="H39" s="50"/>
    </row>
    <row r="40" spans="3:11" x14ac:dyDescent="0.25">
      <c r="C40" s="49"/>
      <c r="D40" s="50"/>
      <c r="E40" s="50"/>
      <c r="F40" s="50"/>
      <c r="G40" s="50" t="s">
        <v>252</v>
      </c>
      <c r="H40" s="50"/>
    </row>
    <row r="41" spans="3:11" x14ac:dyDescent="0.25">
      <c r="C41" s="49"/>
      <c r="D41" s="50"/>
      <c r="E41" s="50"/>
      <c r="F41" s="50"/>
      <c r="G41" s="50"/>
      <c r="H41" s="50"/>
    </row>
    <row r="43" spans="3:11" x14ac:dyDescent="0.25">
      <c r="C43" t="s">
        <v>253</v>
      </c>
    </row>
    <row r="44" spans="3:11" x14ac:dyDescent="0.25">
      <c r="C44" t="s">
        <v>171</v>
      </c>
      <c r="D44" t="s">
        <v>254</v>
      </c>
    </row>
    <row r="45" spans="3:11" x14ac:dyDescent="0.25">
      <c r="D45" t="s">
        <v>255</v>
      </c>
    </row>
    <row r="46" spans="3:11" x14ac:dyDescent="0.25">
      <c r="D46" t="s">
        <v>256</v>
      </c>
    </row>
    <row r="47" spans="3:11" x14ac:dyDescent="0.25">
      <c r="D47" t="s">
        <v>257</v>
      </c>
    </row>
    <row r="48" spans="3:11" x14ac:dyDescent="0.25">
      <c r="D48" t="s">
        <v>258</v>
      </c>
    </row>
    <row r="49" spans="3:4" x14ac:dyDescent="0.25">
      <c r="C49" t="s">
        <v>178</v>
      </c>
      <c r="D49" t="s">
        <v>259</v>
      </c>
    </row>
    <row r="50" spans="3:4" x14ac:dyDescent="0.25">
      <c r="D50" t="s">
        <v>260</v>
      </c>
    </row>
    <row r="51" spans="3:4" x14ac:dyDescent="0.25">
      <c r="D51" t="s">
        <v>261</v>
      </c>
    </row>
    <row r="52" spans="3:4" x14ac:dyDescent="0.25">
      <c r="D52" t="s">
        <v>264</v>
      </c>
    </row>
    <row r="53" spans="3:4" x14ac:dyDescent="0.25">
      <c r="D53" t="s">
        <v>262</v>
      </c>
    </row>
    <row r="54" spans="3:4" x14ac:dyDescent="0.25">
      <c r="D54" t="s">
        <v>263</v>
      </c>
    </row>
    <row r="55" spans="3:4" x14ac:dyDescent="0.25">
      <c r="D55" t="s">
        <v>265</v>
      </c>
    </row>
    <row r="56" spans="3:4" x14ac:dyDescent="0.25">
      <c r="D56" t="s">
        <v>266</v>
      </c>
    </row>
    <row r="57" spans="3:4" x14ac:dyDescent="0.25">
      <c r="D57" t="s">
        <v>267</v>
      </c>
    </row>
    <row r="58" spans="3:4" x14ac:dyDescent="0.25">
      <c r="D58" t="s">
        <v>269</v>
      </c>
    </row>
    <row r="59" spans="3:4" x14ac:dyDescent="0.25">
      <c r="D59" t="s">
        <v>278</v>
      </c>
    </row>
    <row r="60" spans="3:4" x14ac:dyDescent="0.25">
      <c r="C60" t="s">
        <v>193</v>
      </c>
      <c r="D60" t="s">
        <v>270</v>
      </c>
    </row>
    <row r="61" spans="3:4" x14ac:dyDescent="0.25">
      <c r="D61" t="s">
        <v>268</v>
      </c>
    </row>
    <row r="62" spans="3:4" x14ac:dyDescent="0.25">
      <c r="D62" t="s">
        <v>258</v>
      </c>
    </row>
    <row r="63" spans="3:4" x14ac:dyDescent="0.25">
      <c r="D63" t="s">
        <v>271</v>
      </c>
    </row>
    <row r="64" spans="3:4" x14ac:dyDescent="0.25">
      <c r="D64" t="s">
        <v>272</v>
      </c>
    </row>
    <row r="65" spans="3:4" x14ac:dyDescent="0.25">
      <c r="D65" t="s">
        <v>273</v>
      </c>
    </row>
    <row r="66" spans="3:4" x14ac:dyDescent="0.25">
      <c r="D66" t="s">
        <v>274</v>
      </c>
    </row>
    <row r="67" spans="3:4" x14ac:dyDescent="0.25">
      <c r="C67" t="s">
        <v>188</v>
      </c>
      <c r="D67" t="s">
        <v>275</v>
      </c>
    </row>
    <row r="68" spans="3:4" x14ac:dyDescent="0.25">
      <c r="D68" t="s">
        <v>276</v>
      </c>
    </row>
    <row r="69" spans="3:4" x14ac:dyDescent="0.25">
      <c r="D69" t="s">
        <v>277</v>
      </c>
    </row>
  </sheetData>
  <dataValidations count="2">
    <dataValidation type="list" allowBlank="1" showInputMessage="1" showErrorMessage="1" sqref="J4 J34">
      <formula1>$D$4:$H$4</formula1>
    </dataValidation>
    <dataValidation type="list" allowBlank="1" showInputMessage="1" showErrorMessage="1" sqref="K4 K34">
      <formula1>OFFSET($D$4,1,MATCH($J4,$D$4:$H$4,0)-1,15,1)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2025-07-11T12:37:46Z</cp:lastPrinted>
  <dcterms:created xsi:type="dcterms:W3CDTF">2019-07-16T09:29:46Z</dcterms:created>
  <dcterms:modified xsi:type="dcterms:W3CDTF">2025-07-11T12:37:49Z</dcterms:modified>
</cp:coreProperties>
</file>