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49" i="1"/>
  <c r="D148" i="1"/>
  <c r="D147" i="1"/>
  <c r="D146" i="1"/>
  <c r="F146" i="1" s="1"/>
  <c r="D144" i="1"/>
  <c r="F144" i="1" s="1"/>
  <c r="K99" i="1" s="1"/>
  <c r="D141" i="1"/>
  <c r="F141" i="1" s="1"/>
  <c r="D140" i="1"/>
  <c r="F140" i="1" s="1"/>
  <c r="D139" i="1"/>
  <c r="F139" i="1" s="1"/>
  <c r="J101" i="1" s="1"/>
  <c r="D138" i="1"/>
  <c r="F138" i="1" s="1"/>
  <c r="D136" i="1"/>
  <c r="D135" i="1"/>
  <c r="F135" i="1" s="1"/>
  <c r="D134" i="1"/>
  <c r="D133" i="1"/>
  <c r="D132" i="1"/>
  <c r="D131" i="1"/>
  <c r="D130" i="1"/>
  <c r="D128" i="1"/>
  <c r="F128" i="1" s="1"/>
  <c r="J128" i="1" s="1"/>
  <c r="D127" i="1"/>
  <c r="D126" i="1"/>
  <c r="F126" i="1" s="1"/>
  <c r="D125" i="1"/>
  <c r="D124" i="1"/>
  <c r="D123" i="1"/>
  <c r="D122" i="1"/>
  <c r="D116" i="1"/>
  <c r="F116" i="1" s="1"/>
  <c r="D115" i="1"/>
  <c r="F115" i="1" s="1"/>
  <c r="D114" i="1"/>
  <c r="D113" i="1"/>
  <c r="D112" i="1"/>
  <c r="D111" i="1"/>
  <c r="D110" i="1"/>
  <c r="I124" i="1"/>
  <c r="F152" i="1"/>
  <c r="F149" i="1"/>
  <c r="F148" i="1"/>
  <c r="F147" i="1"/>
  <c r="A147" i="1"/>
  <c r="A148" i="1" s="1"/>
  <c r="A149" i="1" s="1"/>
  <c r="A150" i="1" s="1"/>
  <c r="A151" i="1" s="1"/>
  <c r="A152" i="1" s="1"/>
  <c r="G146" i="1"/>
  <c r="A139" i="1"/>
  <c r="A140" i="1" s="1"/>
  <c r="A141" i="1" s="1"/>
  <c r="A142" i="1" s="1"/>
  <c r="A143" i="1" s="1"/>
  <c r="A144" i="1" s="1"/>
  <c r="G138" i="1"/>
  <c r="F136" i="1"/>
  <c r="I122" i="1"/>
  <c r="F127" i="1"/>
  <c r="J127" i="1" s="1"/>
  <c r="J111" i="1"/>
  <c r="J110" i="1"/>
  <c r="I110" i="1"/>
  <c r="F114" i="1"/>
  <c r="C102" i="1" l="1"/>
  <c r="L99" i="1"/>
  <c r="J99" i="1"/>
  <c r="I99" i="1"/>
  <c r="J126" i="1"/>
  <c r="K100" i="1"/>
  <c r="E102" i="1"/>
  <c r="C99" i="1"/>
  <c r="E99" i="1"/>
  <c r="D62" i="1"/>
  <c r="E30" i="1"/>
  <c r="B155" i="1"/>
  <c r="C68" i="1"/>
  <c r="B69" i="1" s="1"/>
  <c r="E25" i="1"/>
  <c r="C103" i="1" l="1"/>
  <c r="E103" i="1"/>
  <c r="E27" i="1"/>
  <c r="C15" i="1"/>
  <c r="E43" i="1" l="1"/>
  <c r="E44" i="1" s="1"/>
  <c r="F123" i="1" l="1"/>
  <c r="F124" i="1"/>
  <c r="J124" i="1" s="1"/>
  <c r="F125" i="1"/>
  <c r="J125" i="1" s="1"/>
  <c r="F122" i="1"/>
  <c r="J122" i="1" s="1"/>
  <c r="A123" i="1"/>
  <c r="A124" i="1" s="1"/>
  <c r="A125" i="1" s="1"/>
  <c r="A126" i="1" s="1"/>
  <c r="A127" i="1" s="1"/>
  <c r="A128" i="1" s="1"/>
  <c r="G122" i="1"/>
  <c r="J123" i="1" l="1"/>
  <c r="J129" i="1" s="1"/>
  <c r="I101" i="1"/>
  <c r="F96" i="1"/>
  <c r="F111" i="1" l="1"/>
  <c r="F112" i="1"/>
  <c r="F113" i="1"/>
  <c r="F110" i="1"/>
  <c r="G99" i="1" s="1"/>
  <c r="F134" i="1" l="1"/>
  <c r="F133" i="1"/>
  <c r="F131" i="1"/>
  <c r="K101" i="1" s="1"/>
  <c r="K102" i="1" s="1"/>
  <c r="F130" i="1"/>
  <c r="L100" i="1" s="1"/>
  <c r="L101" i="1" s="1"/>
  <c r="F132" i="1"/>
  <c r="J100" i="1" l="1"/>
  <c r="J102" i="1" s="1"/>
  <c r="I100" i="1"/>
  <c r="I102" i="1" s="1"/>
  <c r="G102" i="1"/>
  <c r="G103" i="1" s="1"/>
  <c r="B15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9" i="1"/>
  <c r="G130" i="1"/>
  <c r="A131" i="1"/>
  <c r="A132" i="1" s="1"/>
  <c r="A133" i="1" s="1"/>
  <c r="A134" i="1" s="1"/>
  <c r="A135" i="1" s="1"/>
  <c r="A136" i="1" s="1"/>
  <c r="A111" i="1"/>
  <c r="A112" i="1" s="1"/>
  <c r="A113" i="1" s="1"/>
  <c r="A114" i="1" s="1"/>
  <c r="A115" i="1" s="1"/>
  <c r="A116" i="1" s="1"/>
  <c r="G110" i="1"/>
  <c r="D57" i="1"/>
  <c r="C50" i="1"/>
  <c r="E7" i="1"/>
  <c r="E3" i="1"/>
  <c r="H69" i="1"/>
  <c r="D81" i="1" l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76" i="1" l="1"/>
  <c r="J77" i="1" s="1"/>
  <c r="J78" i="1" s="1"/>
  <c r="J79" i="1" s="1"/>
  <c r="D74" i="1"/>
  <c r="J70" i="1"/>
  <c r="D72" i="1"/>
  <c r="J81" i="1" l="1"/>
  <c r="C73" i="1" s="1"/>
  <c r="G72" i="1" s="1"/>
  <c r="D66" i="1" l="1"/>
  <c r="D67" i="1" s="1"/>
  <c r="J69" i="1"/>
  <c r="D73" i="1"/>
  <c r="I69" i="1" s="1"/>
  <c r="E72" i="1"/>
  <c r="F67" i="1" l="1"/>
  <c r="I70" i="1"/>
  <c r="I68" i="1" s="1"/>
  <c r="C70" i="1" s="1"/>
</calcChain>
</file>

<file path=xl/sharedStrings.xml><?xml version="1.0" encoding="utf-8"?>
<sst xmlns="http://schemas.openxmlformats.org/spreadsheetml/2006/main" count="324" uniqueCount="246">
  <si>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</si>
  <si>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</si>
  <si>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</si>
  <si>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</si>
  <si>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</si>
  <si>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</si>
  <si>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</si>
  <si>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</si>
  <si>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</si>
  <si>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</si>
  <si>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</si>
  <si>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</si>
  <si>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</si>
  <si>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</si>
  <si>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</si>
  <si>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</si>
  <si>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</si>
  <si>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</si>
  <si>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</si>
  <si>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</si>
  <si>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</si>
  <si>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</si>
  <si>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</si>
  <si>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</si>
  <si>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</si>
  <si>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</si>
  <si>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</si>
  <si>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</si>
  <si>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</si>
  <si>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</si>
  <si>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</si>
  <si>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</si>
  <si>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</si>
  <si>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</si>
  <si>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</si>
  <si>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</si>
  <si>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</si>
  <si>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</si>
  <si>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</si>
  <si>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</si>
  <si>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</si>
  <si>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</si>
  <si>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</si>
  <si>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</si>
  <si>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</si>
  <si>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</si>
  <si>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</si>
  <si>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</si>
  <si>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</si>
  <si>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</si>
  <si>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</si>
  <si>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</si>
  <si>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</si>
  <si>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</si>
  <si>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</si>
  <si>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</si>
  <si>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</si>
  <si>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</si>
  <si>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</si>
  <si>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</si>
  <si>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</si>
  <si>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</si>
  <si>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</si>
  <si>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</si>
  <si>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</si>
  <si>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</si>
  <si>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</si>
  <si>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</si>
  <si>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</si>
  <si>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</si>
  <si>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</si>
  <si>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</si>
  <si>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</si>
  <si>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</si>
  <si>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</si>
  <si>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</si>
  <si>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</si>
  <si>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</si>
  <si>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</si>
  <si>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</si>
  <si>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</si>
  <si>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</si>
  <si>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</si>
  <si>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</si>
  <si>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</si>
  <si>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</si>
  <si>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</si>
  <si>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</si>
  <si>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</si>
  <si>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</si>
  <si>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</si>
  <si>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</si>
  <si>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</si>
  <si>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</si>
  <si>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</si>
  <si>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</si>
  <si>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</si>
  <si>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</si>
  <si>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</si>
  <si>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</si>
  <si>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</si>
  <si>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</si>
  <si>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</si>
  <si>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</si>
  <si>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</si>
  <si>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</si>
  <si>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</si>
  <si>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</si>
  <si>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</si>
  <si>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</si>
  <si>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</si>
  <si>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</si>
  <si>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</si>
  <si>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</si>
  <si>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</si>
  <si>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</si>
  <si>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</si>
  <si>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</si>
  <si>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</si>
  <si>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</si>
  <si>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</si>
  <si>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</si>
  <si>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</si>
  <si>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</si>
  <si>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</si>
  <si>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</si>
  <si>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</si>
  <si>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</si>
  <si>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</si>
  <si>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</si>
  <si>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</si>
  <si>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</si>
  <si>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</si>
  <si>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</si>
  <si>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</si>
  <si>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</si>
  <si>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</si>
  <si>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</si>
  <si>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</si>
  <si>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</si>
  <si>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</si>
  <si>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</si>
  <si>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</si>
  <si>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</si>
  <si>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</si>
  <si>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</si>
  <si>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</si>
  <si>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</si>
  <si>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</si>
  <si>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</si>
  <si>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</si>
  <si>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</si>
  <si>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</si>
  <si>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</si>
  <si>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</si>
  <si>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</si>
  <si>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</si>
  <si>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</si>
  <si>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</si>
  <si>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</si>
  <si>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</si>
  <si>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</si>
  <si>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</si>
  <si>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</si>
  <si>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</si>
  <si>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</si>
  <si>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</si>
  <si>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</si>
  <si>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</si>
  <si>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</si>
  <si>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</si>
  <si>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</si>
  <si>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</si>
  <si>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</si>
  <si>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</si>
  <si>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</si>
  <si>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</si>
  <si>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Vardhman Developers</t>
  </si>
  <si>
    <t>Omkaar Pride</t>
  </si>
  <si>
    <t>P51800032084</t>
  </si>
  <si>
    <t>Mr.Akshay - 9870355844</t>
  </si>
  <si>
    <t>Approved Plans, CC, Sale Plans, Cost Sheet</t>
  </si>
  <si>
    <t>CTS No</t>
  </si>
  <si>
    <t>193 (PT), S.No. 236 (A), Redevlopement of " Pant Nagar Shree Sai Prasad CHSL (Building No.3) "</t>
  </si>
  <si>
    <t>Pant Nagar Shree Sai Prasad CHSL (Building No.3)</t>
  </si>
  <si>
    <t>Name / No of the Existing Building</t>
  </si>
  <si>
    <t>https://goo.gl/maps/FqTe9D7TJf2GsxA26</t>
  </si>
  <si>
    <t>2.1 KM from Ghatkopar Railway Station</t>
  </si>
  <si>
    <t>Ghatkopar (East)</t>
  </si>
  <si>
    <t>Pant Nagar</t>
  </si>
  <si>
    <t>Mumbai</t>
  </si>
  <si>
    <t>Kurla</t>
  </si>
  <si>
    <t>90 Feet Rd</t>
  </si>
  <si>
    <t>Vibha Anthurium</t>
  </si>
  <si>
    <t>Slum</t>
  </si>
  <si>
    <t>Trikal 310</t>
  </si>
  <si>
    <t>Namrata Torc 4A</t>
  </si>
  <si>
    <t>Maharashtra Housing and Area Development Authority (MHADA)</t>
  </si>
  <si>
    <t>Mhada-1/810/2022</t>
  </si>
  <si>
    <t>MH/EE/(BP)/GM/MHADA-1/810/2022
/FCC/1/New</t>
  </si>
  <si>
    <t>Ghatkopar</t>
  </si>
  <si>
    <t>Grand entrance AC lobby, Luxurious AC terrace lobby, Open to sky terrace garden, Jogging track, Air-conditioned society office, Childrens play area, Open to sky gymnasium, Sky deck meditation area, Informal seating area, 3 high speed elavators, Automated car parking tower, Fire protection system etc.</t>
  </si>
  <si>
    <t>Car parking tower is beside the project.</t>
  </si>
  <si>
    <t>Ground Floor For Entrance Lobby, Pump Room, Society Office &amp; Meter Room</t>
  </si>
  <si>
    <t>Ground Floor + 1st For Commercial</t>
  </si>
  <si>
    <t>Shop Duplex With 1st Floor</t>
  </si>
  <si>
    <t>Service Floor Between 1st &amp; 2nd Floor</t>
  </si>
  <si>
    <t>G + 1st + Service Floor + 2nd to 20th Floor</t>
  </si>
  <si>
    <t>G + 1st + Service Floor + 2nd to 15th Floor</t>
  </si>
  <si>
    <t>2nd to 6th Floor For Residential</t>
  </si>
  <si>
    <t>2BHK</t>
  </si>
  <si>
    <t>1BHK</t>
  </si>
  <si>
    <t>8th to 13th &amp; 15th Floor</t>
  </si>
  <si>
    <t>7th Floor (Part Refuge Area)</t>
  </si>
  <si>
    <t>Refuge Area</t>
  </si>
  <si>
    <t>14th Floor (Part Refuge Area)</t>
  </si>
  <si>
    <t>We considered Gross carpet area = Net carpet.</t>
  </si>
  <si>
    <t>Flats</t>
  </si>
  <si>
    <t>Shop</t>
  </si>
  <si>
    <t>Flats - 94, Shops - 07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</si>
  <si>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</si>
  <si>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https://www.magicbricks.com/omkar-pride-ghatkopar-east-mumbai-pdpid-4d4235333235323335 </t>
  </si>
  <si>
    <t>Official</t>
  </si>
  <si>
    <t xml:space="preserve">https://housing.com/in/buy/projects/page/270010-vardhman-omkaar-pride-by-vardhman-developers-in-ghatkopar-east </t>
  </si>
  <si>
    <t xml:space="preserve">http://www.omkaargroup.com/ </t>
  </si>
  <si>
    <t>Housing</t>
  </si>
  <si>
    <t>Square</t>
  </si>
  <si>
    <t>cost sheet</t>
  </si>
  <si>
    <t>Other Charges</t>
  </si>
  <si>
    <t>19.082325,72.913085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</si>
  <si>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</si>
  <si>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Akash Kadam</t>
  </si>
  <si>
    <t>MH/EE/(BP)/GM/MHADA-1/810/2024/FCC/1/Amend</t>
  </si>
  <si>
    <t>This C.C. is further extended upto 15th floor i.e. building comprising of Ground Floor for shops+1st Floor (Shops)+
2nd Floor to 15th upper residential floors (Including LMR + OHT) as per approved amended plans dated06.09.2022</t>
  </si>
  <si>
    <t>As per RERA, completion period of project Omkaar Pride is expired on 31/12/2024 but still project is under construction.</t>
  </si>
  <si>
    <t xml:space="preserve">Validity of CC is expired on 11/11/2023. &amp; Construction work goes beyond CC permission,  Please provide latest CC &amp; Plans 
</t>
  </si>
  <si>
    <t>This C.C. further extended form Ground Floor for shops+1st Floor (Shops)+ 2nd Floor to 13th upper residential floors with height 44.00 mt {i.e. for building comprising of Ground Floor for shops + Pump Room +Society Office+ Meter Room + Servant Toilet +1st Floor (Shops)+ 2nd Floor to 15th upper residential Floor with total building ht.49.80mt. from AGL as per last approved Amended plans issued by MHADA on dated- 06/09/2022 vide u/no.MH/EE/B.P.Cell/ GM/MHADA-01/810/2022}.</t>
  </si>
  <si>
    <t>Shruti Tathare</t>
  </si>
  <si>
    <t>As per RERA - 31/12/2025</t>
  </si>
  <si>
    <t>Mr.Akshay 9870355844</t>
  </si>
  <si>
    <t>09/07/2025.</t>
  </si>
  <si>
    <t>06/09/2022.</t>
  </si>
  <si>
    <t>07/12/2022.</t>
  </si>
  <si>
    <t>11/11/2025.</t>
  </si>
  <si>
    <t>Construction work is in process at the time of Visit (Slow Speed).</t>
  </si>
  <si>
    <t>Please provide revised approved plans &amp;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</si>
</sst>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26" fillId="0" borderId="0" xfId="10"/>
    <xf numFmtId="1" fontId="7" fillId="0" borderId="0" xfId="0" applyNumberFormat="1" applyFont="1" applyAlignment="1">
      <alignment horizontal="center" vertical="center"/>
    </xf>
    <xf numFmtId="167" fontId="7" fillId="0" borderId="0" xfId="9" applyNumberFormat="1" applyFont="1" applyAlignment="1">
      <alignment horizontal="right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10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27" fillId="0" borderId="21" xfId="0" applyNumberFormat="1" applyFont="1" applyBorder="1" applyAlignment="1" applyProtection="1">
      <alignment vertical="top" wrapText="1"/>
      <protection locked="0"/>
    </xf>
    <xf numFmtId="1" fontId="27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337705</xdr:colOff>
      <xdr:row>283</xdr:row>
      <xdr:rowOff>66362</xdr:rowOff>
    </xdr:from>
    <xdr:to>
      <xdr:col>6</xdr:col>
      <xdr:colOff>558813</xdr:colOff>
      <xdr:row>297</xdr:row>
      <xdr:rowOff>158136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705" y="65624339"/>
          <a:ext cx="436881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337705</xdr:colOff>
      <xdr:row>268</xdr:row>
      <xdr:rowOff>0</xdr:rowOff>
    </xdr:from>
    <xdr:to>
      <xdr:col>6</xdr:col>
      <xdr:colOff>540638</xdr:colOff>
      <xdr:row>282</xdr:row>
      <xdr:rowOff>91773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705" y="62570591"/>
          <a:ext cx="435063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662772</xdr:colOff>
      <xdr:row>289</xdr:row>
      <xdr:rowOff>88039</xdr:rowOff>
    </xdr:from>
    <xdr:to>
      <xdr:col>4</xdr:col>
      <xdr:colOff>134568</xdr:colOff>
      <xdr:row>292</xdr:row>
      <xdr:rowOff>183126</xdr:rowOff>
    </xdr:to>
    <xdr:sp macro="" textlink="">
      <xdr:nvSpPr>
        <xdr:cNvPr id="6" name="Rectangle 5"/>
        <xdr:cNvSpPr/>
      </xdr:nvSpPr>
      <xdr:spPr>
        <a:xfrm rot="18756218">
          <a:off x="2931536" y="66979434"/>
          <a:ext cx="692564" cy="41563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177551</xdr:colOff>
      <xdr:row>239</xdr:row>
      <xdr:rowOff>93265</xdr:rowOff>
    </xdr:from>
    <xdr:to>
      <xdr:col>5</xdr:col>
      <xdr:colOff>531037</xdr:colOff>
      <xdr:row>253</xdr:row>
      <xdr:rowOff>185039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6187" y="53242765"/>
          <a:ext cx="292523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329045</xdr:colOff>
      <xdr:row>224</xdr:row>
      <xdr:rowOff>8659</xdr:rowOff>
    </xdr:from>
    <xdr:to>
      <xdr:col>6</xdr:col>
      <xdr:colOff>396861</xdr:colOff>
      <xdr:row>238</xdr:row>
      <xdr:rowOff>100432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1045" y="50170773"/>
          <a:ext cx="421552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337705</xdr:colOff>
      <xdr:row>243</xdr:row>
      <xdr:rowOff>129887</xdr:rowOff>
    </xdr:from>
    <xdr:to>
      <xdr:col>4</xdr:col>
      <xdr:colOff>632114</xdr:colOff>
      <xdr:row>244</xdr:row>
      <xdr:rowOff>129887</xdr:rowOff>
    </xdr:to>
    <xdr:sp macro="" textlink="">
      <xdr:nvSpPr>
        <xdr:cNvPr id="21" name="Rectangle 20"/>
        <xdr:cNvSpPr/>
      </xdr:nvSpPr>
      <xdr:spPr>
        <a:xfrm rot="479367">
          <a:off x="3688773" y="54076023"/>
          <a:ext cx="294409" cy="199159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1009650</xdr:colOff>
      <xdr:row>50</xdr:row>
      <xdr:rowOff>19050</xdr:rowOff>
    </xdr:from>
    <xdr:to>
      <xdr:col>19</xdr:col>
      <xdr:colOff>56240</xdr:colOff>
      <xdr:row>56</xdr:row>
      <xdr:rowOff>75759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34275" y="11515725"/>
          <a:ext cx="7276190" cy="3523809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179</xdr:row>
      <xdr:rowOff>57149</xdr:rowOff>
    </xdr:from>
    <xdr:to>
      <xdr:col>7</xdr:col>
      <xdr:colOff>352425</xdr:colOff>
      <xdr:row>220</xdr:row>
      <xdr:rowOff>197850</xdr:rowOff>
    </xdr:to>
    <xdr:grpSp>
      <xdr:nvGrpSpPr>
        <xdr:cNvPr id="7" name="Group 6"/>
        <xdr:cNvGrpSpPr/>
      </xdr:nvGrpSpPr>
      <xdr:grpSpPr>
        <a:xfrm>
          <a:off x="438150" y="43081574"/>
          <a:ext cx="5610225" cy="8332201"/>
          <a:chOff x="266700" y="42862499"/>
          <a:chExt cx="5610225" cy="8332201"/>
        </a:xfrm>
      </xdr:grpSpPr>
      <xdr:pic>
        <xdr:nvPicPr>
          <xdr:cNvPr id="17" name="Picture 16" descr="https://vsjcllp.vsjadon.com/upload/insp-23988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81200" y="49034700"/>
            <a:ext cx="384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988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95525" y="467391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988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81025" y="467487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988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42872024"/>
            <a:ext cx="2850356" cy="3800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9886-85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09924" y="42862499"/>
            <a:ext cx="2667001" cy="38004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9886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19550" y="4675822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9886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576" y="49034700"/>
            <a:ext cx="147637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179294</xdr:colOff>
      <xdr:row>0</xdr:row>
      <xdr:rowOff>100853</xdr:rowOff>
    </xdr:from>
    <xdr:to>
      <xdr:col>17</xdr:col>
      <xdr:colOff>182560</xdr:colOff>
      <xdr:row>19</xdr:row>
      <xdr:rowOff>60623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2235" y="100853"/>
          <a:ext cx="5247619" cy="3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5</xdr:col>
      <xdr:colOff>568649</xdr:colOff>
      <xdr:row>28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6" y="2678206"/>
          <a:ext cx="6037119" cy="2743200"/>
        </a:xfrm>
        <a:prstGeom prst="rect">
          <a:avLst/>
        </a:prstGeom>
      </xdr:spPr>
    </xdr:pic>
    <xdr:clientData/>
  </xdr:twoCellAnchor>
  <xdr:twoCellAnchor editAs="oneCell">
    <xdr:from>
      <xdr:col>5</xdr:col>
      <xdr:colOff>907678</xdr:colOff>
      <xdr:row>19</xdr:row>
      <xdr:rowOff>123265</xdr:rowOff>
    </xdr:from>
    <xdr:to>
      <xdr:col>15</xdr:col>
      <xdr:colOff>133639</xdr:colOff>
      <xdr:row>38</xdr:row>
      <xdr:rowOff>151384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8854" y="3753971"/>
          <a:ext cx="6666667" cy="3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using.com/in/buy/projects/page/270010-vardhman-omkaar-pride-by-vardhman-developers-in-ghatkopar-east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magicbricks.com/omkar-pride-ghatkopar-east-mumbai-pdpid-4d4235333235323335" TargetMode="External"/><Relationship Id="rId1" Type="http://schemas.openxmlformats.org/officeDocument/2006/relationships/hyperlink" Target="https://goo.gl/maps/FqTe9D7TJf2GsxA2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mkaargroup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1"/>
  <sheetViews>
    <sheetView tabSelected="1" view="pageBreakPreview" zoomScaleNormal="100" zoomScaleSheetLayoutView="100" zoomScalePageLayoutView="70" workbookViewId="0">
      <selection activeCell="J16" sqref="J1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34" t="s">
        <v>230</v>
      </c>
      <c r="B1" s="134"/>
      <c r="C1" s="134"/>
      <c r="D1" s="134"/>
      <c r="E1" s="134"/>
      <c r="F1" s="134"/>
      <c r="G1" s="134"/>
      <c r="H1" s="134"/>
    </row>
    <row r="2" spans="1:12" ht="16.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</row>
    <row r="3" spans="1:12" x14ac:dyDescent="0.25">
      <c r="A3" s="75" t="s">
        <v>1</v>
      </c>
      <c r="B3" s="75"/>
      <c r="C3" s="75"/>
      <c r="D3" s="75"/>
      <c r="E3" s="75" t="str">
        <f ca="1">TEXT(TODAY(),"DD/MM/YYYY")</f>
        <v>10/07/2025</v>
      </c>
      <c r="F3" s="75"/>
      <c r="G3" s="75"/>
      <c r="H3" s="75"/>
    </row>
    <row r="4" spans="1:12" x14ac:dyDescent="0.25">
      <c r="A4" s="75" t="s">
        <v>2</v>
      </c>
      <c r="B4" s="75"/>
      <c r="C4" s="75"/>
      <c r="D4" s="75"/>
      <c r="E4" s="75" t="s">
        <v>176</v>
      </c>
      <c r="F4" s="75"/>
      <c r="G4" s="75"/>
      <c r="H4" s="75"/>
    </row>
    <row r="5" spans="1:12" x14ac:dyDescent="0.25">
      <c r="A5" s="75" t="s">
        <v>3</v>
      </c>
      <c r="B5" s="75"/>
      <c r="C5" s="75"/>
      <c r="D5" s="75"/>
      <c r="E5" s="139" t="s">
        <v>240</v>
      </c>
      <c r="F5" s="75"/>
      <c r="G5" s="75"/>
      <c r="H5" s="75"/>
    </row>
    <row r="6" spans="1:12" ht="16.5" customHeight="1" x14ac:dyDescent="0.25">
      <c r="A6" s="75" t="s">
        <v>4</v>
      </c>
      <c r="B6" s="75"/>
      <c r="C6" s="75"/>
      <c r="D6" s="75"/>
      <c r="E6" s="75" t="s">
        <v>177</v>
      </c>
      <c r="F6" s="75"/>
      <c r="G6" s="75"/>
      <c r="H6" s="75"/>
    </row>
    <row r="7" spans="1:12" ht="15" customHeight="1" x14ac:dyDescent="0.25">
      <c r="A7" s="75" t="s">
        <v>5</v>
      </c>
      <c r="B7" s="75"/>
      <c r="C7" s="75"/>
      <c r="D7" s="75"/>
      <c r="E7" s="75" t="str">
        <f>E6</f>
        <v>Vardhman Developers</v>
      </c>
      <c r="F7" s="75"/>
      <c r="G7" s="75"/>
      <c r="H7" s="75"/>
    </row>
    <row r="8" spans="1:12" x14ac:dyDescent="0.25">
      <c r="A8" s="75" t="s">
        <v>6</v>
      </c>
      <c r="B8" s="75"/>
      <c r="C8" s="75"/>
      <c r="D8" s="75"/>
      <c r="E8" s="136" t="s">
        <v>178</v>
      </c>
      <c r="F8" s="137"/>
      <c r="G8" s="137"/>
      <c r="H8" s="138"/>
    </row>
    <row r="9" spans="1:12" x14ac:dyDescent="0.25">
      <c r="A9" s="75" t="s">
        <v>174</v>
      </c>
      <c r="B9" s="75"/>
      <c r="C9" s="75"/>
      <c r="D9" s="75"/>
      <c r="E9" s="75" t="s">
        <v>239</v>
      </c>
      <c r="F9" s="75"/>
      <c r="G9" s="75"/>
      <c r="H9" s="75"/>
    </row>
    <row r="10" spans="1:12" x14ac:dyDescent="0.25">
      <c r="A10" s="75" t="s">
        <v>175</v>
      </c>
      <c r="B10" s="75"/>
      <c r="C10" s="75"/>
      <c r="D10" s="75"/>
      <c r="E10" s="75" t="s">
        <v>30</v>
      </c>
      <c r="F10" s="75"/>
      <c r="G10" s="75"/>
      <c r="H10" s="75"/>
      <c r="I10" s="75" t="s">
        <v>180</v>
      </c>
      <c r="J10" s="75"/>
      <c r="K10" s="75"/>
      <c r="L10" s="75"/>
    </row>
    <row r="11" spans="1:12" x14ac:dyDescent="0.25">
      <c r="A11" s="75" t="s">
        <v>7</v>
      </c>
      <c r="B11" s="75"/>
      <c r="C11" s="75"/>
      <c r="D11" s="75"/>
      <c r="E11" s="75" t="s">
        <v>126</v>
      </c>
      <c r="F11" s="75"/>
      <c r="G11" s="75"/>
      <c r="H11" s="75"/>
    </row>
    <row r="12" spans="1:12" x14ac:dyDescent="0.25">
      <c r="A12" s="75" t="s">
        <v>185</v>
      </c>
      <c r="B12" s="75"/>
      <c r="C12" s="75"/>
      <c r="D12" s="75"/>
      <c r="E12" s="140" t="s">
        <v>184</v>
      </c>
      <c r="F12" s="140"/>
      <c r="G12" s="140"/>
      <c r="H12" s="140"/>
    </row>
    <row r="13" spans="1:12" x14ac:dyDescent="0.25">
      <c r="A13" s="97" t="s">
        <v>8</v>
      </c>
      <c r="B13" s="97"/>
      <c r="C13" s="97"/>
      <c r="D13" s="97"/>
      <c r="E13" s="140" t="s">
        <v>181</v>
      </c>
      <c r="F13" s="140"/>
      <c r="G13" s="140"/>
      <c r="H13" s="140"/>
    </row>
    <row r="14" spans="1:12" x14ac:dyDescent="0.25">
      <c r="A14" s="97" t="s">
        <v>9</v>
      </c>
      <c r="B14" s="97"/>
      <c r="C14" s="97"/>
      <c r="D14" s="97"/>
      <c r="E14" s="140" t="s">
        <v>179</v>
      </c>
      <c r="F14" s="75"/>
      <c r="G14" s="75"/>
      <c r="H14" s="75"/>
    </row>
    <row r="15" spans="1:12" ht="48.75" customHeight="1" x14ac:dyDescent="0.25">
      <c r="A15" s="132" t="s">
        <v>10</v>
      </c>
      <c r="B15" s="132"/>
      <c r="C15" s="13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Omkaar Pride, CTS No.193 (PT), S.No. 236 (A), Redevlopement of " Pant Nagar Shree Sai Prasad CHSL (Building No.3) ", near Vibha Anthurium, 90 Feet Rd, Pant Nagar, Ghatkopar, Ghatkopar (East), Kurla, Mumbai - 400075.</v>
      </c>
      <c r="D15" s="132"/>
      <c r="E15" s="132"/>
      <c r="F15" s="132"/>
      <c r="G15" s="132"/>
      <c r="H15" s="132"/>
    </row>
    <row r="16" spans="1:12" ht="34.5" customHeight="1" x14ac:dyDescent="0.25">
      <c r="A16" s="140" t="s">
        <v>182</v>
      </c>
      <c r="B16" s="140"/>
      <c r="C16" s="140" t="s">
        <v>183</v>
      </c>
      <c r="D16" s="140"/>
      <c r="E16" s="140"/>
      <c r="F16" s="140"/>
      <c r="G16" s="140"/>
      <c r="H16" s="140"/>
    </row>
    <row r="17" spans="1:8" ht="15.75" customHeight="1" x14ac:dyDescent="0.25">
      <c r="A17" s="140" t="s">
        <v>170</v>
      </c>
      <c r="B17" s="140"/>
      <c r="C17" s="140" t="s">
        <v>189</v>
      </c>
      <c r="D17" s="140"/>
      <c r="E17" s="140"/>
      <c r="F17" s="140"/>
      <c r="G17" s="140"/>
      <c r="H17" s="140"/>
    </row>
    <row r="18" spans="1:8" ht="15.75" customHeight="1" x14ac:dyDescent="0.25">
      <c r="A18" s="132" t="s">
        <v>11</v>
      </c>
      <c r="B18" s="132"/>
      <c r="C18" s="75" t="s">
        <v>192</v>
      </c>
      <c r="D18" s="75"/>
      <c r="E18" s="132" t="s">
        <v>75</v>
      </c>
      <c r="F18" s="132"/>
      <c r="G18" s="140" t="s">
        <v>200</v>
      </c>
      <c r="H18" s="140"/>
    </row>
    <row r="19" spans="1:8" x14ac:dyDescent="0.25">
      <c r="A19" s="97" t="s">
        <v>13</v>
      </c>
      <c r="B19" s="97"/>
      <c r="C19" s="140" t="s">
        <v>188</v>
      </c>
      <c r="D19" s="140"/>
      <c r="E19" s="132" t="s">
        <v>12</v>
      </c>
      <c r="F19" s="132"/>
      <c r="G19" s="141" t="s">
        <v>190</v>
      </c>
      <c r="H19" s="141"/>
    </row>
    <row r="20" spans="1:8" x14ac:dyDescent="0.25">
      <c r="A20" s="97" t="s">
        <v>76</v>
      </c>
      <c r="B20" s="97"/>
      <c r="C20" s="140" t="s">
        <v>191</v>
      </c>
      <c r="D20" s="140"/>
      <c r="E20" s="132" t="s">
        <v>14</v>
      </c>
      <c r="F20" s="132"/>
      <c r="G20" s="140">
        <v>400075</v>
      </c>
      <c r="H20" s="140"/>
    </row>
    <row r="21" spans="1:8" ht="32.25" customHeight="1" x14ac:dyDescent="0.25">
      <c r="A21" s="97" t="s">
        <v>128</v>
      </c>
      <c r="B21" s="97"/>
      <c r="C21" s="140" t="s">
        <v>193</v>
      </c>
      <c r="D21" s="140"/>
      <c r="E21" s="132" t="s">
        <v>15</v>
      </c>
      <c r="F21" s="132"/>
      <c r="G21" s="140" t="s">
        <v>187</v>
      </c>
      <c r="H21" s="140"/>
    </row>
    <row r="22" spans="1:8" ht="15" customHeight="1" x14ac:dyDescent="0.25">
      <c r="A22" s="132" t="s">
        <v>78</v>
      </c>
      <c r="B22" s="132"/>
      <c r="C22" s="132"/>
      <c r="D22" s="132"/>
      <c r="E22" s="75" t="s">
        <v>16</v>
      </c>
      <c r="F22" s="75"/>
      <c r="G22" s="75"/>
      <c r="H22" s="75"/>
    </row>
    <row r="23" spans="1:8" ht="18.75" customHeight="1" x14ac:dyDescent="0.25">
      <c r="A23" s="132"/>
      <c r="B23" s="132"/>
      <c r="C23" s="132"/>
      <c r="D23" s="132"/>
      <c r="E23" s="75"/>
      <c r="F23" s="75"/>
      <c r="G23" s="75"/>
      <c r="H23" s="75"/>
    </row>
    <row r="24" spans="1:8" ht="15" customHeight="1" x14ac:dyDescent="0.25">
      <c r="A24" s="132" t="s">
        <v>17</v>
      </c>
      <c r="B24" s="132"/>
      <c r="C24" s="132"/>
      <c r="D24" s="132"/>
      <c r="E24" s="140" t="s">
        <v>18</v>
      </c>
      <c r="F24" s="140"/>
      <c r="G24" s="140"/>
      <c r="H24" s="140"/>
    </row>
    <row r="25" spans="1:8" ht="15" customHeight="1" x14ac:dyDescent="0.25">
      <c r="A25" s="97" t="s">
        <v>19</v>
      </c>
      <c r="B25" s="97"/>
      <c r="C25" s="97"/>
      <c r="D25" s="97"/>
      <c r="E25" s="142" t="str">
        <f>IF(AND(G19="Mumbai"),"Upper Class","Middle Class")</f>
        <v>Upper Class</v>
      </c>
      <c r="F25" s="142"/>
      <c r="G25" s="142"/>
      <c r="H25" s="142"/>
    </row>
    <row r="26" spans="1:8" x14ac:dyDescent="0.25">
      <c r="A26" s="97" t="s">
        <v>20</v>
      </c>
      <c r="B26" s="97"/>
      <c r="C26" s="97"/>
      <c r="D26" s="97"/>
      <c r="E26" s="140" t="s">
        <v>21</v>
      </c>
      <c r="F26" s="140"/>
      <c r="G26" s="140"/>
      <c r="H26" s="140"/>
    </row>
    <row r="27" spans="1:8" ht="15.75" customHeight="1" x14ac:dyDescent="0.25">
      <c r="A27" s="97" t="s">
        <v>22</v>
      </c>
      <c r="B27" s="97"/>
      <c r="C27" s="97"/>
      <c r="D27" s="97"/>
      <c r="E27" s="142" t="str">
        <f>IF(AND(G19="Mumbai"),"Developed","Developing")</f>
        <v>Developed</v>
      </c>
      <c r="F27" s="142"/>
      <c r="G27" s="142"/>
      <c r="H27" s="142"/>
    </row>
    <row r="28" spans="1:8" x14ac:dyDescent="0.25">
      <c r="A28" s="97" t="s">
        <v>23</v>
      </c>
      <c r="B28" s="97"/>
      <c r="C28" s="97"/>
      <c r="D28" s="97"/>
      <c r="E28" s="140" t="s">
        <v>24</v>
      </c>
      <c r="F28" s="140"/>
      <c r="G28" s="140"/>
      <c r="H28" s="140"/>
    </row>
    <row r="29" spans="1:8" ht="15.75" customHeight="1" x14ac:dyDescent="0.25">
      <c r="A29" s="97" t="s">
        <v>83</v>
      </c>
      <c r="B29" s="97"/>
      <c r="C29" s="97"/>
      <c r="D29" s="97"/>
      <c r="E29" s="140" t="s">
        <v>84</v>
      </c>
      <c r="F29" s="140"/>
      <c r="G29" s="140"/>
      <c r="H29" s="140"/>
    </row>
    <row r="30" spans="1:8" ht="15" customHeight="1" x14ac:dyDescent="0.25">
      <c r="A30" s="97" t="s">
        <v>33</v>
      </c>
      <c r="B30" s="97"/>
      <c r="C30" s="97"/>
      <c r="D30" s="97"/>
      <c r="E30" s="142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142"/>
      <c r="G30" s="142"/>
      <c r="H30" s="142"/>
    </row>
    <row r="31" spans="1:8" ht="15.75" customHeight="1" x14ac:dyDescent="0.25">
      <c r="A31" s="97" t="s">
        <v>95</v>
      </c>
      <c r="B31" s="97"/>
      <c r="C31" s="97"/>
      <c r="D31" s="97"/>
      <c r="E31" s="140" t="s">
        <v>34</v>
      </c>
      <c r="F31" s="140"/>
      <c r="G31" s="140"/>
      <c r="H31" s="140"/>
    </row>
    <row r="32" spans="1:8" s="22" customFormat="1" x14ac:dyDescent="0.25">
      <c r="A32" s="146" t="s">
        <v>96</v>
      </c>
      <c r="B32" s="146"/>
      <c r="C32" s="145" t="s">
        <v>29</v>
      </c>
      <c r="D32" s="145"/>
      <c r="E32" s="145"/>
      <c r="F32" s="145" t="s">
        <v>31</v>
      </c>
      <c r="G32" s="145"/>
      <c r="H32" s="145"/>
    </row>
    <row r="33" spans="1:8" s="22" customFormat="1" x14ac:dyDescent="0.25">
      <c r="A33" s="143" t="s">
        <v>25</v>
      </c>
      <c r="B33" s="143" t="s">
        <v>30</v>
      </c>
      <c r="C33" s="144" t="s">
        <v>30</v>
      </c>
      <c r="D33" s="144"/>
      <c r="E33" s="144"/>
      <c r="F33" s="144" t="s">
        <v>194</v>
      </c>
      <c r="G33" s="144"/>
      <c r="H33" s="144"/>
    </row>
    <row r="34" spans="1:8" x14ac:dyDescent="0.25">
      <c r="A34" s="143" t="s">
        <v>26</v>
      </c>
      <c r="B34" s="143" t="s">
        <v>30</v>
      </c>
      <c r="C34" s="144" t="s">
        <v>30</v>
      </c>
      <c r="D34" s="144"/>
      <c r="E34" s="144"/>
      <c r="F34" s="144" t="s">
        <v>192</v>
      </c>
      <c r="G34" s="144"/>
      <c r="H34" s="144"/>
    </row>
    <row r="35" spans="1:8" s="22" customFormat="1" x14ac:dyDescent="0.25">
      <c r="A35" s="143" t="s">
        <v>28</v>
      </c>
      <c r="B35" s="143" t="s">
        <v>30</v>
      </c>
      <c r="C35" s="144" t="s">
        <v>30</v>
      </c>
      <c r="D35" s="144"/>
      <c r="E35" s="144"/>
      <c r="F35" s="144" t="s">
        <v>195</v>
      </c>
      <c r="G35" s="144"/>
      <c r="H35" s="144"/>
    </row>
    <row r="36" spans="1:8" x14ac:dyDescent="0.25">
      <c r="A36" s="143" t="s">
        <v>27</v>
      </c>
      <c r="B36" s="143" t="s">
        <v>30</v>
      </c>
      <c r="C36" s="144" t="s">
        <v>30</v>
      </c>
      <c r="D36" s="144"/>
      <c r="E36" s="144"/>
      <c r="F36" s="144" t="s">
        <v>196</v>
      </c>
      <c r="G36" s="144"/>
      <c r="H36" s="144"/>
    </row>
    <row r="37" spans="1:8" x14ac:dyDescent="0.25">
      <c r="A37" s="97" t="s">
        <v>32</v>
      </c>
      <c r="B37" s="97"/>
      <c r="C37" s="97"/>
      <c r="D37" s="97"/>
      <c r="E37" s="97"/>
      <c r="F37" s="97"/>
      <c r="G37" s="97"/>
      <c r="H37" s="97"/>
    </row>
    <row r="38" spans="1:8" ht="15.75" customHeight="1" x14ac:dyDescent="0.25">
      <c r="A38" s="119" t="s">
        <v>172</v>
      </c>
      <c r="B38" s="119"/>
      <c r="C38" s="97" t="s">
        <v>229</v>
      </c>
      <c r="D38" s="97"/>
      <c r="E38" s="97"/>
      <c r="F38" s="97"/>
      <c r="G38" s="97"/>
      <c r="H38" s="97"/>
    </row>
    <row r="39" spans="1:8" x14ac:dyDescent="0.25">
      <c r="A39" s="119" t="s">
        <v>169</v>
      </c>
      <c r="B39" s="119"/>
      <c r="C39" s="147" t="s">
        <v>186</v>
      </c>
      <c r="D39" s="140"/>
      <c r="E39" s="140"/>
      <c r="F39" s="140"/>
      <c r="G39" s="140"/>
      <c r="H39" s="140"/>
    </row>
    <row r="40" spans="1:8" x14ac:dyDescent="0.25">
      <c r="A40" s="119" t="s">
        <v>35</v>
      </c>
      <c r="B40" s="119"/>
      <c r="C40" s="119"/>
      <c r="D40" s="119"/>
      <c r="E40" s="119"/>
      <c r="F40" s="119"/>
      <c r="G40" s="119"/>
      <c r="H40" s="119"/>
    </row>
    <row r="41" spans="1:8" x14ac:dyDescent="0.25">
      <c r="A41" s="97" t="s">
        <v>36</v>
      </c>
      <c r="B41" s="97"/>
      <c r="C41" s="97"/>
      <c r="D41" s="97"/>
      <c r="E41" s="165">
        <v>1044.23</v>
      </c>
      <c r="F41" s="165"/>
      <c r="G41" s="165"/>
      <c r="H41" s="165"/>
    </row>
    <row r="42" spans="1:8" x14ac:dyDescent="0.25">
      <c r="A42" s="97" t="s">
        <v>37</v>
      </c>
      <c r="B42" s="97"/>
      <c r="C42" s="97"/>
      <c r="D42" s="97"/>
      <c r="E42" s="169">
        <v>3</v>
      </c>
      <c r="F42" s="169"/>
      <c r="G42" s="169"/>
      <c r="H42" s="169"/>
    </row>
    <row r="43" spans="1:8" x14ac:dyDescent="0.25">
      <c r="A43" s="97" t="s">
        <v>38</v>
      </c>
      <c r="B43" s="97"/>
      <c r="C43" s="97"/>
      <c r="D43" s="97"/>
      <c r="E43" s="169">
        <f>E45/E41-E42</f>
        <v>3.203652452046005</v>
      </c>
      <c r="F43" s="169"/>
      <c r="G43" s="169"/>
      <c r="H43" s="169"/>
    </row>
    <row r="44" spans="1:8" x14ac:dyDescent="0.25">
      <c r="A44" s="97" t="s">
        <v>39</v>
      </c>
      <c r="B44" s="97"/>
      <c r="C44" s="97"/>
      <c r="D44" s="97"/>
      <c r="E44" s="169">
        <f>E42+E43</f>
        <v>6.203652452046005</v>
      </c>
      <c r="F44" s="169"/>
      <c r="G44" s="169"/>
      <c r="H44" s="169"/>
    </row>
    <row r="45" spans="1:8" x14ac:dyDescent="0.25">
      <c r="A45" s="97" t="s">
        <v>94</v>
      </c>
      <c r="B45" s="97"/>
      <c r="C45" s="97"/>
      <c r="D45" s="97"/>
      <c r="E45" s="171">
        <v>6478.04</v>
      </c>
      <c r="F45" s="171"/>
      <c r="G45" s="171"/>
      <c r="H45" s="171"/>
    </row>
    <row r="46" spans="1:8" x14ac:dyDescent="0.25">
      <c r="A46" s="75" t="s">
        <v>40</v>
      </c>
      <c r="B46" s="75"/>
      <c r="C46" s="75"/>
      <c r="D46" s="75"/>
      <c r="E46" s="75" t="s">
        <v>126</v>
      </c>
      <c r="F46" s="75"/>
      <c r="G46" s="75"/>
      <c r="H46" s="75"/>
    </row>
    <row r="47" spans="1:8" x14ac:dyDescent="0.25">
      <c r="A47" s="119" t="s">
        <v>41</v>
      </c>
      <c r="B47" s="119"/>
      <c r="C47" s="119"/>
      <c r="D47" s="119"/>
      <c r="E47" s="119"/>
      <c r="F47" s="119"/>
      <c r="G47" s="119"/>
      <c r="H47" s="119"/>
    </row>
    <row r="48" spans="1:8" ht="33.75" customHeight="1" x14ac:dyDescent="0.25">
      <c r="A48" s="88" t="s">
        <v>156</v>
      </c>
      <c r="B48" s="90"/>
      <c r="C48" s="136" t="s">
        <v>197</v>
      </c>
      <c r="D48" s="137"/>
      <c r="E48" s="137"/>
      <c r="F48" s="137"/>
      <c r="G48" s="137"/>
      <c r="H48" s="138"/>
    </row>
    <row r="49" spans="1:14" ht="15.75" customHeight="1" x14ac:dyDescent="0.25">
      <c r="A49" s="88" t="s">
        <v>42</v>
      </c>
      <c r="B49" s="90"/>
      <c r="C49" s="88" t="s">
        <v>198</v>
      </c>
      <c r="D49" s="89"/>
      <c r="E49" s="90"/>
      <c r="F49" s="18" t="s">
        <v>43</v>
      </c>
      <c r="G49" s="153" t="s">
        <v>241</v>
      </c>
      <c r="H49" s="90"/>
    </row>
    <row r="50" spans="1:14" x14ac:dyDescent="0.25">
      <c r="A50" s="88" t="s">
        <v>44</v>
      </c>
      <c r="B50" s="90"/>
      <c r="C50" s="88" t="str">
        <f>C49</f>
        <v>Mhada-1/810/2022</v>
      </c>
      <c r="D50" s="89"/>
      <c r="E50" s="90"/>
      <c r="F50" s="18" t="s">
        <v>43</v>
      </c>
      <c r="G50" s="153" t="s">
        <v>241</v>
      </c>
      <c r="H50" s="90"/>
    </row>
    <row r="51" spans="1:14" s="23" customFormat="1" ht="33" customHeight="1" x14ac:dyDescent="0.25">
      <c r="A51" s="154" t="s">
        <v>160</v>
      </c>
      <c r="B51" s="155"/>
      <c r="C51" s="88" t="s">
        <v>199</v>
      </c>
      <c r="D51" s="89"/>
      <c r="E51" s="90"/>
      <c r="F51" s="18" t="s">
        <v>43</v>
      </c>
      <c r="G51" s="153" t="s">
        <v>242</v>
      </c>
      <c r="H51" s="90"/>
    </row>
    <row r="52" spans="1:14" s="23" customFormat="1" ht="208.5" customHeight="1" x14ac:dyDescent="0.25">
      <c r="A52" s="156"/>
      <c r="B52" s="157"/>
      <c r="C52" s="88" t="s">
        <v>236</v>
      </c>
      <c r="D52" s="89"/>
      <c r="E52" s="90"/>
      <c r="F52" s="18" t="s">
        <v>127</v>
      </c>
      <c r="G52" s="153" t="s">
        <v>243</v>
      </c>
      <c r="H52" s="90"/>
    </row>
    <row r="53" spans="1:14" s="23" customFormat="1" ht="33" hidden="1" customHeight="1" x14ac:dyDescent="0.25">
      <c r="A53" s="154" t="s">
        <v>160</v>
      </c>
      <c r="B53" s="155"/>
      <c r="C53" s="88" t="s">
        <v>232</v>
      </c>
      <c r="D53" s="89"/>
      <c r="E53" s="90"/>
      <c r="F53" s="18" t="s">
        <v>43</v>
      </c>
      <c r="G53" s="153">
        <v>45335</v>
      </c>
      <c r="H53" s="90"/>
    </row>
    <row r="54" spans="1:14" s="23" customFormat="1" ht="204.95" hidden="1" customHeight="1" x14ac:dyDescent="0.25">
      <c r="A54" s="156"/>
      <c r="B54" s="157"/>
      <c r="C54" s="88" t="s">
        <v>233</v>
      </c>
      <c r="D54" s="89"/>
      <c r="E54" s="90"/>
      <c r="F54" s="18" t="s">
        <v>127</v>
      </c>
      <c r="G54" s="153">
        <v>45241</v>
      </c>
      <c r="H54" s="90"/>
    </row>
    <row r="55" spans="1:14" x14ac:dyDescent="0.25">
      <c r="A55" s="158" t="s">
        <v>45</v>
      </c>
      <c r="B55" s="159"/>
      <c r="C55" s="158" t="s">
        <v>108</v>
      </c>
      <c r="D55" s="160"/>
      <c r="E55" s="159"/>
      <c r="F55" s="46" t="s">
        <v>43</v>
      </c>
      <c r="G55" s="166" t="s">
        <v>30</v>
      </c>
      <c r="H55" s="167"/>
    </row>
    <row r="56" spans="1:14" x14ac:dyDescent="0.25">
      <c r="A56" s="164" t="s">
        <v>47</v>
      </c>
      <c r="B56" s="164"/>
      <c r="C56" s="164"/>
      <c r="D56" s="164"/>
      <c r="E56" s="164"/>
      <c r="F56" s="164"/>
      <c r="G56" s="164"/>
      <c r="H56" s="164"/>
    </row>
    <row r="57" spans="1:14" x14ac:dyDescent="0.25">
      <c r="A57" s="140" t="s">
        <v>93</v>
      </c>
      <c r="B57" s="140"/>
      <c r="C57" s="140"/>
      <c r="D57" s="75">
        <f>E45</f>
        <v>6478.04</v>
      </c>
      <c r="E57" s="75"/>
      <c r="F57" s="75"/>
      <c r="G57" s="75"/>
      <c r="H57" s="75"/>
    </row>
    <row r="58" spans="1:14" x14ac:dyDescent="0.25">
      <c r="A58" s="140" t="s">
        <v>48</v>
      </c>
      <c r="B58" s="75"/>
      <c r="C58" s="75"/>
      <c r="D58" s="75" t="s">
        <v>219</v>
      </c>
      <c r="E58" s="75"/>
      <c r="F58" s="75"/>
      <c r="G58" s="75"/>
      <c r="H58" s="75"/>
      <c r="I58" s="24"/>
    </row>
    <row r="59" spans="1:14" x14ac:dyDescent="0.25">
      <c r="A59" s="150" t="s">
        <v>49</v>
      </c>
      <c r="B59" s="151"/>
      <c r="C59" s="152"/>
      <c r="D59" s="148" t="s">
        <v>208</v>
      </c>
      <c r="E59" s="149"/>
      <c r="F59" s="149"/>
      <c r="G59" s="149"/>
      <c r="H59" s="149"/>
    </row>
    <row r="60" spans="1:14" ht="15.75" customHeight="1" x14ac:dyDescent="0.25">
      <c r="A60" s="150" t="s">
        <v>91</v>
      </c>
      <c r="B60" s="151"/>
      <c r="C60" s="151"/>
      <c r="D60" s="161" t="s">
        <v>207</v>
      </c>
      <c r="E60" s="162"/>
      <c r="F60" s="162"/>
      <c r="G60" s="162"/>
      <c r="H60" s="163"/>
    </row>
    <row r="61" spans="1:14" ht="15.75" customHeight="1" x14ac:dyDescent="0.25">
      <c r="A61" s="75" t="s">
        <v>46</v>
      </c>
      <c r="B61" s="75"/>
      <c r="C61" s="75"/>
      <c r="D61" s="168" t="s">
        <v>238</v>
      </c>
      <c r="E61" s="168"/>
      <c r="F61" s="168"/>
      <c r="G61" s="168"/>
      <c r="H61" s="168"/>
      <c r="J61" s="25"/>
      <c r="K61" s="24"/>
      <c r="N61" s="24"/>
    </row>
    <row r="62" spans="1:14" ht="15.75" customHeight="1" x14ac:dyDescent="0.25">
      <c r="A62" s="75" t="s">
        <v>89</v>
      </c>
      <c r="B62" s="75"/>
      <c r="C62" s="75"/>
      <c r="D62" s="183" t="str">
        <f>(IF(G55="NA","60 Years After Completion",IF(G55&lt;&gt;"NA",""&amp;60-ROUNDDOWN((E3-G55)/360,0)&amp;" Years"," ")))</f>
        <v>60 Years After Completion</v>
      </c>
      <c r="E62" s="183"/>
      <c r="F62" s="183"/>
      <c r="G62" s="183"/>
      <c r="H62" s="183"/>
      <c r="N62" s="24"/>
    </row>
    <row r="63" spans="1:14" ht="15.75" customHeight="1" x14ac:dyDescent="0.25">
      <c r="A63" s="75" t="s">
        <v>90</v>
      </c>
      <c r="B63" s="75"/>
      <c r="C63" s="75"/>
      <c r="D63" s="140" t="s">
        <v>24</v>
      </c>
      <c r="E63" s="140"/>
      <c r="F63" s="140"/>
      <c r="G63" s="140"/>
      <c r="H63" s="140"/>
      <c r="J63" s="26"/>
      <c r="K63" s="26"/>
    </row>
    <row r="64" spans="1:14" ht="80.25" customHeight="1" x14ac:dyDescent="0.25">
      <c r="A64" s="75" t="s">
        <v>220</v>
      </c>
      <c r="B64" s="75"/>
      <c r="C64" s="75"/>
      <c r="D64" s="140" t="s">
        <v>201</v>
      </c>
      <c r="E64" s="140"/>
      <c r="F64" s="140"/>
      <c r="G64" s="140"/>
      <c r="H64" s="140"/>
    </row>
    <row r="65" spans="1:14" x14ac:dyDescent="0.25">
      <c r="A65" s="140" t="s">
        <v>154</v>
      </c>
      <c r="B65" s="140"/>
      <c r="C65" s="140"/>
      <c r="D65" s="140" t="s">
        <v>30</v>
      </c>
      <c r="E65" s="140"/>
      <c r="F65" s="140"/>
      <c r="G65" s="140"/>
      <c r="H65" s="140"/>
      <c r="I65" s="27"/>
      <c r="J65" s="27"/>
      <c r="K65" s="27"/>
      <c r="L65" s="27"/>
      <c r="M65" s="27"/>
      <c r="N65" s="27"/>
    </row>
    <row r="66" spans="1:14" ht="15.75" customHeight="1" x14ac:dyDescent="0.25">
      <c r="A66" s="149" t="s">
        <v>88</v>
      </c>
      <c r="B66" s="149"/>
      <c r="C66" s="149"/>
      <c r="D66" s="148" t="str">
        <f ca="1">(IF(G72&gt;95%,"Nothing",IF(G72&gt;0%,"Cement, Aggregate, Steel, etc",IF(G72=0%,"Work not yet Started"))))</f>
        <v>Cement, Aggregate, Steel, etc</v>
      </c>
      <c r="E66" s="148"/>
      <c r="F66" s="148"/>
      <c r="G66" s="148"/>
      <c r="H66" s="148"/>
      <c r="J66" s="26"/>
    </row>
    <row r="67" spans="1:14" ht="33.75" customHeight="1" thickBot="1" x14ac:dyDescent="0.3">
      <c r="A67" s="148" t="s">
        <v>121</v>
      </c>
      <c r="B67" s="148"/>
      <c r="C67" s="148"/>
      <c r="D67" s="148" t="str">
        <f ca="1">(IF(D66="Nothing","Yes",IF(D66="Cement, Aggregate, Steel, etc","Under Construction",IF(D66="Work not yet Started","Work not yet Started"))))</f>
        <v>Under Construction</v>
      </c>
      <c r="E67" s="148"/>
      <c r="F67" s="148" t="str">
        <f ca="1">(IF(D66="Nothing","Yes",IF(D66="Cement, Aggregate, Steel, etc","Under Construction",IF(D66="Work not yet Started","Work not yet Started"))))</f>
        <v>Under Construction</v>
      </c>
      <c r="G67" s="148"/>
      <c r="H67" s="148"/>
    </row>
    <row r="68" spans="1:14" ht="15.75" customHeight="1" x14ac:dyDescent="0.25">
      <c r="A68" s="174" t="s">
        <v>146</v>
      </c>
      <c r="B68" s="175"/>
      <c r="C68" s="176" t="str">
        <f>D60</f>
        <v>G + 1st + Service Floor + 2nd to 20th Floor</v>
      </c>
      <c r="D68" s="177"/>
      <c r="E68" s="177"/>
      <c r="F68" s="177"/>
      <c r="G68" s="177"/>
      <c r="H68" s="178"/>
      <c r="I68" s="50" t="str">
        <f ca="1">IF(D81=100%,"All work Completed. Possession granted to the Building.",IF(D80=100%,"All work Completed, Waiting for OC",I69&amp;""&amp;I70&amp;""&amp;J69&amp;""&amp;J68&amp;" "&amp;J70))</f>
        <v>Excavation, Plinth Completed, RCC upto 18 Slab, Brickwork upto 15 Floor, Internal Plaster upto 13 Floor, External Plaster upto 12 Floor, Flooring upto 5 Floor Completed</v>
      </c>
      <c r="J68" s="5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18 Slab, Brickwork upto 15 Floor, Internal Plaster upto 13 Floor, External Plaster upto 12 Floor, Flooring upto 5 Floor</v>
      </c>
    </row>
    <row r="69" spans="1:14" x14ac:dyDescent="0.25">
      <c r="A69" s="16" t="s">
        <v>148</v>
      </c>
      <c r="B69" s="54">
        <f>IF(AND(ISNUMBER(SEARCH("1B",C68))),1,IF(AND(ISNUMBER(SEARCH("2B",C68))),2,IF(AND(ISNUMBER(SEARCH("3B",C68))),3,IF(AND(ISNUMBER(SEARCH("4B",C68))),4,IF(ISNUMBER(SEARCH("5B",C68)),5,0)))))</f>
        <v>0</v>
      </c>
      <c r="C69" s="48" t="s">
        <v>74</v>
      </c>
      <c r="D69" s="48">
        <v>1</v>
      </c>
      <c r="E69" s="48" t="s">
        <v>73</v>
      </c>
      <c r="F69" s="57">
        <v>0</v>
      </c>
      <c r="G69" s="49" t="s">
        <v>82</v>
      </c>
      <c r="H69" s="17">
        <f ca="1">--TRIM(RIGHT(SUBSTITUTE(LEFT(C68,_xlfn.AGGREGATE(16,6,FIND({0,1,2,3,4,5,6,7,8,9},C68,ROW(INDIRECT("1:"&amp;LEN(C68)))),1))," ",REPT(" ",LEN(C68))),LEN(C68)))</f>
        <v>20</v>
      </c>
      <c r="I69" s="5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3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8.75" customHeight="1" x14ac:dyDescent="0.25">
      <c r="A70" s="172" t="s">
        <v>92</v>
      </c>
      <c r="B70" s="173"/>
      <c r="C70" s="179" t="str">
        <f ca="1">I68</f>
        <v>Excavation, Plinth Completed, RCC upto 18 Slab, Brickwork upto 15 Floor, Internal Plaster upto 13 Floor, External Plaster upto 12 Floor, Flooring upto 5 Floor Completed</v>
      </c>
      <c r="D70" s="179"/>
      <c r="E70" s="179"/>
      <c r="F70" s="179"/>
      <c r="G70" s="179"/>
      <c r="H70" s="180"/>
      <c r="I70" s="52" t="str">
        <f ca="1">IF(I69&lt;&gt;""," Completed","")</f>
        <v xml:space="preserve"> Completed</v>
      </c>
      <c r="J70" s="53" t="str">
        <f ca="1">IF(J68&lt;&gt;"","Completed","")</f>
        <v>Completed</v>
      </c>
    </row>
    <row r="71" spans="1:14" ht="15.75" customHeight="1" x14ac:dyDescent="0.25">
      <c r="A71" s="108" t="s">
        <v>50</v>
      </c>
      <c r="B71" s="109"/>
      <c r="C71" s="44" t="s">
        <v>145</v>
      </c>
      <c r="D71" s="44" t="s">
        <v>85</v>
      </c>
      <c r="E71" s="109" t="s">
        <v>87</v>
      </c>
      <c r="F71" s="109"/>
      <c r="G71" s="109" t="s">
        <v>86</v>
      </c>
      <c r="H71" s="184"/>
      <c r="I71" s="14" t="s">
        <v>147</v>
      </c>
      <c r="J71" s="28">
        <f ca="1">H69*25%</f>
        <v>5</v>
      </c>
    </row>
    <row r="72" spans="1:14" x14ac:dyDescent="0.25">
      <c r="A72" s="108" t="s">
        <v>134</v>
      </c>
      <c r="B72" s="109"/>
      <c r="C72" s="44">
        <f ca="1">J73</f>
        <v>20</v>
      </c>
      <c r="D72" s="19">
        <f ca="1">((100/H69)*C72)/100</f>
        <v>1</v>
      </c>
      <c r="E72" s="185">
        <f ca="1">(((C73/H69*10)+(40/(D69+F69+H69)*C74)+(7.5/(H69)*C75)+(7.5/(H69)*C76)+(10/H69*C77)+(10/H69*C78)+(5/H69*C79)+(5/H69*C80)+(5/H69*C81))/100)</f>
        <v>0.6328571428571429</v>
      </c>
      <c r="F72" s="186"/>
      <c r="G72" s="185">
        <f ca="1">((((C72/H69)*20)+((C73/H69)*25)+(30/(H69+F69+D69)*C74)+(5/H69*C75)+(5/H69*C76)+(5/H69*C77)+(5/H69*C78)+(0/H69*C79)+(0/H69*C80)+(5/H69*C81))/100)</f>
        <v>0.81964285714285723</v>
      </c>
      <c r="H72" s="191"/>
      <c r="I72" s="14" t="s">
        <v>103</v>
      </c>
      <c r="J72" s="29">
        <f ca="1">H69*50%</f>
        <v>10</v>
      </c>
    </row>
    <row r="73" spans="1:14" x14ac:dyDescent="0.25">
      <c r="A73" s="108" t="s">
        <v>51</v>
      </c>
      <c r="B73" s="109"/>
      <c r="C73" s="44">
        <f ca="1">J81</f>
        <v>20</v>
      </c>
      <c r="D73" s="19">
        <f ca="1">((100/H69)*C73)/100</f>
        <v>1</v>
      </c>
      <c r="E73" s="187"/>
      <c r="F73" s="188"/>
      <c r="G73" s="187"/>
      <c r="H73" s="192"/>
      <c r="I73" s="14" t="s">
        <v>104</v>
      </c>
      <c r="J73" s="29">
        <f ca="1">H69</f>
        <v>20</v>
      </c>
    </row>
    <row r="74" spans="1:14" ht="15.75" customHeight="1" x14ac:dyDescent="0.25">
      <c r="A74" s="108" t="s">
        <v>135</v>
      </c>
      <c r="B74" s="109"/>
      <c r="C74" s="44">
        <v>18</v>
      </c>
      <c r="D74" s="19">
        <f ca="1">((100/(D69+F69+H69))*C74)/100</f>
        <v>0.8571428571428571</v>
      </c>
      <c r="E74" s="187"/>
      <c r="F74" s="188"/>
      <c r="G74" s="187"/>
      <c r="H74" s="192"/>
      <c r="I74" s="14" t="s">
        <v>105</v>
      </c>
      <c r="J74" s="30">
        <f ca="1">(IF(B69&gt;1,(H69/(B69+2)),H69/4))</f>
        <v>5</v>
      </c>
    </row>
    <row r="75" spans="1:14" ht="15.75" customHeight="1" x14ac:dyDescent="0.25">
      <c r="A75" s="108" t="s">
        <v>142</v>
      </c>
      <c r="B75" s="109" t="s">
        <v>136</v>
      </c>
      <c r="C75" s="44">
        <v>15</v>
      </c>
      <c r="D75" s="19">
        <f ca="1">((100/H69)*C75)/100</f>
        <v>0.75</v>
      </c>
      <c r="E75" s="187"/>
      <c r="F75" s="188"/>
      <c r="G75" s="187"/>
      <c r="H75" s="192"/>
      <c r="I75" s="14" t="s">
        <v>106</v>
      </c>
      <c r="J75" s="30">
        <f ca="1">(IF(B69&gt;1,(H69/(B69+2)+J74),H69/4+J74))</f>
        <v>10</v>
      </c>
    </row>
    <row r="76" spans="1:14" ht="15.75" customHeight="1" x14ac:dyDescent="0.25">
      <c r="A76" s="108" t="s">
        <v>143</v>
      </c>
      <c r="B76" s="109" t="s">
        <v>136</v>
      </c>
      <c r="C76" s="44">
        <v>13</v>
      </c>
      <c r="D76" s="19">
        <f ca="1">((100/H69)*C76)/100</f>
        <v>0.65</v>
      </c>
      <c r="E76" s="187"/>
      <c r="F76" s="188"/>
      <c r="G76" s="187"/>
      <c r="H76" s="192"/>
      <c r="I76" s="14" t="s">
        <v>152</v>
      </c>
      <c r="J76" s="30">
        <f>(IF(B69&gt;1,(H69/(B69+2)+J75),0))</f>
        <v>0</v>
      </c>
    </row>
    <row r="77" spans="1:14" ht="15" customHeight="1" x14ac:dyDescent="0.25">
      <c r="A77" s="108" t="s">
        <v>141</v>
      </c>
      <c r="B77" s="109" t="s">
        <v>138</v>
      </c>
      <c r="C77" s="44">
        <v>12</v>
      </c>
      <c r="D77" s="19">
        <f ca="1">((100/(H69))*C77)/100</f>
        <v>0.6</v>
      </c>
      <c r="E77" s="187"/>
      <c r="F77" s="188"/>
      <c r="G77" s="187"/>
      <c r="H77" s="192"/>
      <c r="I77" s="14" t="s">
        <v>149</v>
      </c>
      <c r="J77" s="30">
        <f>(IF(B69&gt;2,(H69/(B69+2)+J76),0))</f>
        <v>0</v>
      </c>
    </row>
    <row r="78" spans="1:14" ht="15.75" customHeight="1" x14ac:dyDescent="0.25">
      <c r="A78" s="108" t="s">
        <v>137</v>
      </c>
      <c r="B78" s="109" t="s">
        <v>137</v>
      </c>
      <c r="C78" s="44">
        <v>5</v>
      </c>
      <c r="D78" s="19">
        <f ca="1">((100/H69)*C78)/100</f>
        <v>0.25</v>
      </c>
      <c r="E78" s="187"/>
      <c r="F78" s="188"/>
      <c r="G78" s="187"/>
      <c r="H78" s="192"/>
      <c r="I78" s="14" t="s">
        <v>150</v>
      </c>
      <c r="J78" s="31">
        <f>(IF(B69&gt;3,(H69/(B69+2)+J77),0))</f>
        <v>0</v>
      </c>
    </row>
    <row r="79" spans="1:14" ht="15.75" customHeight="1" x14ac:dyDescent="0.25">
      <c r="A79" s="108" t="s">
        <v>144</v>
      </c>
      <c r="B79" s="109"/>
      <c r="C79" s="44">
        <v>0</v>
      </c>
      <c r="D79" s="19">
        <f ca="1">((100/H69)*C79)/100</f>
        <v>0</v>
      </c>
      <c r="E79" s="187"/>
      <c r="F79" s="188"/>
      <c r="G79" s="187"/>
      <c r="H79" s="192"/>
      <c r="I79" s="14" t="s">
        <v>151</v>
      </c>
      <c r="J79" s="30">
        <f>(IF(B69&gt;4,(H69/(B69+2)+J78),0))</f>
        <v>0</v>
      </c>
    </row>
    <row r="80" spans="1:14" ht="15.75" customHeight="1" x14ac:dyDescent="0.25">
      <c r="A80" s="108" t="s">
        <v>139</v>
      </c>
      <c r="B80" s="109" t="s">
        <v>139</v>
      </c>
      <c r="C80" s="44">
        <v>0</v>
      </c>
      <c r="D80" s="19">
        <f ca="1">((100/(H69))*C80)/100</f>
        <v>0</v>
      </c>
      <c r="E80" s="187"/>
      <c r="F80" s="188"/>
      <c r="G80" s="187"/>
      <c r="H80" s="192"/>
      <c r="I80" s="14" t="s">
        <v>153</v>
      </c>
      <c r="J80" s="30">
        <f ca="1">(IF(B69=1,(H69/(B69+3)+J75),IF(B69=0,(H69/4+J75),IF(B69&gt;1,0))))</f>
        <v>15</v>
      </c>
    </row>
    <row r="81" spans="1:10" ht="16.5" thickBot="1" x14ac:dyDescent="0.3">
      <c r="A81" s="194" t="s">
        <v>140</v>
      </c>
      <c r="B81" s="195"/>
      <c r="C81" s="45">
        <v>0</v>
      </c>
      <c r="D81" s="20">
        <f ca="1">((100/(H69))*C81)/100</f>
        <v>0</v>
      </c>
      <c r="E81" s="189"/>
      <c r="F81" s="190"/>
      <c r="G81" s="189"/>
      <c r="H81" s="193"/>
      <c r="I81" s="15" t="s">
        <v>107</v>
      </c>
      <c r="J81" s="32">
        <f ca="1">(IF(B69&gt;1.5,(H69/(B69+2)+J75+MAX(0,J76-J75)+MAX(0,J77-J76)+MAX(0,J78-J77)+MAX(0,J79-J78)+MAX(0,J80-J79)),IF(B69=1,(H69/(B69+3)+J80),IF(B69=0,H69/4+J80))))</f>
        <v>20</v>
      </c>
    </row>
    <row r="82" spans="1:10" x14ac:dyDescent="0.25">
      <c r="A82" s="182" t="s">
        <v>162</v>
      </c>
      <c r="B82" s="182"/>
      <c r="C82" s="182"/>
      <c r="D82" s="182"/>
      <c r="E82" s="182"/>
      <c r="F82" s="125" t="s">
        <v>167</v>
      </c>
      <c r="G82" s="125"/>
      <c r="H82" s="125"/>
    </row>
    <row r="83" spans="1:10" x14ac:dyDescent="0.25">
      <c r="A83" s="97" t="s">
        <v>165</v>
      </c>
      <c r="B83" s="97"/>
      <c r="C83" s="97"/>
      <c r="D83" s="97"/>
      <c r="E83" s="97"/>
      <c r="F83" s="110">
        <v>16000</v>
      </c>
      <c r="G83" s="110"/>
      <c r="H83" s="110"/>
    </row>
    <row r="84" spans="1:10" x14ac:dyDescent="0.25">
      <c r="A84" s="97" t="s">
        <v>164</v>
      </c>
      <c r="B84" s="97"/>
      <c r="C84" s="97"/>
      <c r="D84" s="97"/>
      <c r="E84" s="97"/>
      <c r="F84" s="117">
        <v>30000</v>
      </c>
      <c r="G84" s="117"/>
      <c r="H84" s="117"/>
    </row>
    <row r="85" spans="1:10" hidden="1" x14ac:dyDescent="0.25">
      <c r="A85" s="97" t="s">
        <v>166</v>
      </c>
      <c r="B85" s="97"/>
      <c r="C85" s="97"/>
      <c r="D85" s="97"/>
      <c r="E85" s="97"/>
      <c r="F85" s="117"/>
      <c r="G85" s="117"/>
      <c r="H85" s="117"/>
    </row>
    <row r="86" spans="1:10" s="33" customFormat="1" hidden="1" x14ac:dyDescent="0.25">
      <c r="A86" s="97" t="s">
        <v>163</v>
      </c>
      <c r="B86" s="97"/>
      <c r="C86" s="97"/>
      <c r="D86" s="97"/>
      <c r="E86" s="97"/>
      <c r="F86" s="117"/>
      <c r="G86" s="117"/>
      <c r="H86" s="117"/>
    </row>
    <row r="87" spans="1:10" s="33" customFormat="1" hidden="1" x14ac:dyDescent="0.25">
      <c r="A87" s="97" t="s">
        <v>97</v>
      </c>
      <c r="B87" s="97"/>
      <c r="C87" s="97"/>
      <c r="D87" s="97"/>
      <c r="E87" s="97"/>
      <c r="F87" s="117"/>
      <c r="G87" s="117"/>
      <c r="H87" s="117"/>
    </row>
    <row r="88" spans="1:10" s="33" customFormat="1" hidden="1" x14ac:dyDescent="0.25">
      <c r="A88" s="97" t="s">
        <v>98</v>
      </c>
      <c r="B88" s="97"/>
      <c r="C88" s="97"/>
      <c r="D88" s="97"/>
      <c r="E88" s="97"/>
      <c r="F88" s="117"/>
      <c r="G88" s="117"/>
      <c r="H88" s="117"/>
    </row>
    <row r="89" spans="1:10" s="33" customFormat="1" hidden="1" x14ac:dyDescent="0.25">
      <c r="A89" s="97" t="s">
        <v>168</v>
      </c>
      <c r="B89" s="97"/>
      <c r="C89" s="97"/>
      <c r="D89" s="97"/>
      <c r="E89" s="97"/>
      <c r="F89" s="117"/>
      <c r="G89" s="117"/>
      <c r="H89" s="117"/>
    </row>
    <row r="90" spans="1:10" s="33" customFormat="1" hidden="1" x14ac:dyDescent="0.25">
      <c r="A90" s="97" t="s">
        <v>99</v>
      </c>
      <c r="B90" s="97"/>
      <c r="C90" s="97"/>
      <c r="D90" s="97"/>
      <c r="E90" s="97"/>
      <c r="F90" s="117"/>
      <c r="G90" s="117"/>
      <c r="H90" s="117"/>
    </row>
    <row r="91" spans="1:10" s="33" customFormat="1" hidden="1" x14ac:dyDescent="0.25">
      <c r="A91" s="97" t="s">
        <v>100</v>
      </c>
      <c r="B91" s="97"/>
      <c r="C91" s="97"/>
      <c r="D91" s="97"/>
      <c r="E91" s="97"/>
      <c r="F91" s="117"/>
      <c r="G91" s="117"/>
      <c r="H91" s="117"/>
    </row>
    <row r="92" spans="1:10" s="33" customFormat="1" hidden="1" x14ac:dyDescent="0.25">
      <c r="A92" s="97" t="s">
        <v>101</v>
      </c>
      <c r="B92" s="97"/>
      <c r="C92" s="97"/>
      <c r="D92" s="97"/>
      <c r="E92" s="97"/>
      <c r="F92" s="117"/>
      <c r="G92" s="117"/>
      <c r="H92" s="117"/>
    </row>
    <row r="93" spans="1:10" s="33" customFormat="1" hidden="1" x14ac:dyDescent="0.25">
      <c r="A93" s="97" t="s">
        <v>102</v>
      </c>
      <c r="B93" s="97"/>
      <c r="C93" s="97"/>
      <c r="D93" s="97"/>
      <c r="E93" s="97"/>
      <c r="F93" s="117"/>
      <c r="G93" s="117"/>
      <c r="H93" s="117"/>
    </row>
    <row r="94" spans="1:10" x14ac:dyDescent="0.25">
      <c r="A94" s="97" t="s">
        <v>228</v>
      </c>
      <c r="B94" s="97"/>
      <c r="C94" s="97"/>
      <c r="D94" s="97"/>
      <c r="E94" s="97"/>
      <c r="F94" s="117">
        <v>50000</v>
      </c>
      <c r="G94" s="117"/>
      <c r="H94" s="117"/>
    </row>
    <row r="95" spans="1:10" x14ac:dyDescent="0.25">
      <c r="A95" s="97" t="s">
        <v>52</v>
      </c>
      <c r="B95" s="97"/>
      <c r="C95" s="97"/>
      <c r="D95" s="97"/>
      <c r="E95" s="97"/>
      <c r="F95" s="117">
        <v>700000</v>
      </c>
      <c r="G95" s="117"/>
      <c r="H95" s="117"/>
    </row>
    <row r="96" spans="1:10" s="34" customFormat="1" x14ac:dyDescent="0.25">
      <c r="A96" s="119" t="s">
        <v>53</v>
      </c>
      <c r="B96" s="119"/>
      <c r="C96" s="119"/>
      <c r="D96" s="119"/>
      <c r="E96" s="119"/>
      <c r="F96" s="117">
        <f>F83*0.8</f>
        <v>12800</v>
      </c>
      <c r="G96" s="117"/>
      <c r="H96" s="117"/>
    </row>
    <row r="97" spans="1:14" s="35" customFormat="1" ht="15.75" customHeight="1" x14ac:dyDescent="0.25">
      <c r="A97" s="118" t="s">
        <v>77</v>
      </c>
      <c r="B97" s="118"/>
      <c r="C97" s="118"/>
      <c r="D97" s="118"/>
      <c r="E97" s="118"/>
      <c r="F97" s="118"/>
      <c r="G97" s="118"/>
      <c r="H97" s="118"/>
    </row>
    <row r="98" spans="1:14" s="35" customFormat="1" ht="15.75" customHeight="1" x14ac:dyDescent="0.25">
      <c r="A98" s="99" t="s">
        <v>54</v>
      </c>
      <c r="B98" s="99"/>
      <c r="C98" s="116" t="s">
        <v>80</v>
      </c>
      <c r="D98" s="116"/>
      <c r="E98" s="121" t="s">
        <v>55</v>
      </c>
      <c r="F98" s="121"/>
      <c r="G98" s="99" t="s">
        <v>56</v>
      </c>
      <c r="H98" s="99"/>
      <c r="I98" s="64" t="s">
        <v>115</v>
      </c>
      <c r="J98" s="66" t="s">
        <v>222</v>
      </c>
      <c r="K98" s="66" t="s">
        <v>225</v>
      </c>
      <c r="L98" s="66" t="s">
        <v>226</v>
      </c>
    </row>
    <row r="99" spans="1:14" s="35" customFormat="1" x14ac:dyDescent="0.25">
      <c r="A99" s="120" t="s">
        <v>218</v>
      </c>
      <c r="B99" s="120"/>
      <c r="C99" s="126">
        <f>COUNT(D110:D116)</f>
        <v>7</v>
      </c>
      <c r="D99" s="181"/>
      <c r="E99" s="111">
        <f>SUM(D110:D116)</f>
        <v>8091.0835200000001</v>
      </c>
      <c r="F99" s="112"/>
      <c r="G99" s="111">
        <f>SUM(F110:F116)</f>
        <v>12945.733631999999</v>
      </c>
      <c r="H99" s="112"/>
      <c r="I99" s="62">
        <f>11800000/F136</f>
        <v>16602.252739976699</v>
      </c>
      <c r="J99" s="61">
        <f>11500000/F136</f>
        <v>16180.161568621359</v>
      </c>
      <c r="K99" s="61">
        <f>10400000/F144</f>
        <v>14632.493940318445</v>
      </c>
      <c r="L99" s="61">
        <f>11700000/F136</f>
        <v>16461.555682858252</v>
      </c>
    </row>
    <row r="100" spans="1:14" s="35" customFormat="1" x14ac:dyDescent="0.25">
      <c r="A100" s="118" t="s">
        <v>72</v>
      </c>
      <c r="B100" s="118"/>
      <c r="C100" s="118"/>
      <c r="D100" s="118"/>
      <c r="E100" s="118"/>
      <c r="F100" s="118"/>
      <c r="G100" s="118"/>
      <c r="H100" s="118"/>
      <c r="I100" s="62">
        <f>15500000/F133</f>
        <v>16588.734930445364</v>
      </c>
      <c r="J100" s="61">
        <f>15500000/F133</f>
        <v>16588.734930445364</v>
      </c>
      <c r="K100" s="61">
        <f>13700000/F126</f>
        <v>14662.301196587192</v>
      </c>
      <c r="L100" s="61">
        <f>15400000/F130</f>
        <v>16521.68033900085</v>
      </c>
    </row>
    <row r="101" spans="1:14" s="35" customFormat="1" ht="15.75" customHeight="1" x14ac:dyDescent="0.25">
      <c r="A101" s="99" t="s">
        <v>54</v>
      </c>
      <c r="B101" s="99"/>
      <c r="C101" s="116" t="s">
        <v>80</v>
      </c>
      <c r="D101" s="116"/>
      <c r="E101" s="121" t="s">
        <v>55</v>
      </c>
      <c r="F101" s="121"/>
      <c r="G101" s="99" t="s">
        <v>56</v>
      </c>
      <c r="H101" s="99"/>
      <c r="I101" s="62">
        <f>15000000/F123</f>
        <v>15859.041791620057</v>
      </c>
      <c r="J101" s="61">
        <f>15700000/F139</f>
        <v>16599.130408562327</v>
      </c>
      <c r="K101" s="61">
        <f>13900000/F131</f>
        <v>14696.04539356792</v>
      </c>
      <c r="L101" s="65">
        <f>AVERAGE(L99:L100)</f>
        <v>16491.618010929553</v>
      </c>
    </row>
    <row r="102" spans="1:14" s="35" customFormat="1" ht="16.5" thickBot="1" x14ac:dyDescent="0.3">
      <c r="A102" s="120" t="s">
        <v>217</v>
      </c>
      <c r="B102" s="120"/>
      <c r="C102" s="126">
        <f>COUNT(D122:D128)*5+COUNT(D130:D136)*7+COUNT(D138:D141,D144)+COUNT(D146:D149,D152)</f>
        <v>94</v>
      </c>
      <c r="D102" s="126"/>
      <c r="E102" s="111">
        <f>SUM(D122:D128)*5+SUM(D130:D136)*7+SUM(D138:D141,D144)+SUM(D146:D149,D152)</f>
        <v>54811.794959999992</v>
      </c>
      <c r="F102" s="111"/>
      <c r="G102" s="111">
        <f>SUM(F122:F128)*5+SUM(F130:F136)*6+SUM(F138:F141,F144)+SUM(F146:F149,F152)</f>
        <v>76110.467940000002</v>
      </c>
      <c r="H102" s="111"/>
      <c r="I102" s="63">
        <f>AVERAGE(I99:I101)</f>
        <v>16350.009820680707</v>
      </c>
      <c r="J102" s="65">
        <f>AVERAGE(J99:J101)</f>
        <v>16456.008969209684</v>
      </c>
      <c r="K102" s="65">
        <f>AVERAGE(K99:K101)</f>
        <v>14663.613510157853</v>
      </c>
    </row>
    <row r="103" spans="1:14" s="35" customFormat="1" ht="16.5" thickBot="1" x14ac:dyDescent="0.3">
      <c r="A103" s="128" t="s">
        <v>173</v>
      </c>
      <c r="B103" s="129"/>
      <c r="C103" s="114">
        <f>C99+C102</f>
        <v>101</v>
      </c>
      <c r="D103" s="115"/>
      <c r="E103" s="114">
        <f>E99+E102</f>
        <v>62902.878479999992</v>
      </c>
      <c r="F103" s="115"/>
      <c r="G103" s="114">
        <f>G99+G102</f>
        <v>89056.201572000005</v>
      </c>
      <c r="H103" s="115"/>
      <c r="I103" s="67" t="s">
        <v>224</v>
      </c>
    </row>
    <row r="104" spans="1:14" s="34" customFormat="1" x14ac:dyDescent="0.25">
      <c r="A104" s="125" t="s">
        <v>57</v>
      </c>
      <c r="B104" s="125"/>
      <c r="C104" s="125"/>
      <c r="D104" s="125"/>
      <c r="E104" s="125"/>
      <c r="F104" s="125"/>
      <c r="G104" s="125"/>
      <c r="H104" s="125"/>
      <c r="I104" s="60" t="s">
        <v>223</v>
      </c>
    </row>
    <row r="105" spans="1:14" x14ac:dyDescent="0.25">
      <c r="A105" s="135" t="s">
        <v>58</v>
      </c>
      <c r="B105" s="135"/>
      <c r="C105" s="135"/>
      <c r="D105" s="135"/>
      <c r="E105" s="135"/>
      <c r="F105" s="135"/>
      <c r="G105" s="135"/>
      <c r="H105" s="135"/>
      <c r="I105" s="60" t="s">
        <v>221</v>
      </c>
    </row>
    <row r="106" spans="1:14" ht="47.25" customHeight="1" x14ac:dyDescent="0.25">
      <c r="A106" s="100" t="s">
        <v>123</v>
      </c>
      <c r="B106" s="100" t="s">
        <v>122</v>
      </c>
      <c r="C106" s="100" t="s">
        <v>59</v>
      </c>
      <c r="D106" s="100" t="s">
        <v>60</v>
      </c>
      <c r="E106" s="102" t="s">
        <v>161</v>
      </c>
      <c r="F106" s="43" t="s">
        <v>155</v>
      </c>
      <c r="G106" s="104" t="s">
        <v>62</v>
      </c>
      <c r="H106" s="105"/>
    </row>
    <row r="107" spans="1:14" s="37" customFormat="1" x14ac:dyDescent="0.25">
      <c r="A107" s="101"/>
      <c r="B107" s="101"/>
      <c r="C107" s="101"/>
      <c r="D107" s="101"/>
      <c r="E107" s="103"/>
      <c r="F107" s="13">
        <v>0.6</v>
      </c>
      <c r="G107" s="106"/>
      <c r="H107" s="107"/>
    </row>
    <row r="108" spans="1:14" s="37" customFormat="1" x14ac:dyDescent="0.25">
      <c r="A108" s="94" t="s">
        <v>203</v>
      </c>
      <c r="B108" s="95"/>
      <c r="C108" s="95"/>
      <c r="D108" s="95"/>
      <c r="E108" s="95"/>
      <c r="F108" s="95"/>
      <c r="G108" s="95"/>
      <c r="H108" s="96"/>
      <c r="J108" s="36"/>
    </row>
    <row r="109" spans="1:14" s="58" customFormat="1" x14ac:dyDescent="0.25">
      <c r="A109" s="94" t="s">
        <v>204</v>
      </c>
      <c r="B109" s="95"/>
      <c r="C109" s="95"/>
      <c r="D109" s="95"/>
      <c r="E109" s="95"/>
      <c r="F109" s="95"/>
      <c r="G109" s="95"/>
      <c r="H109" s="96"/>
      <c r="J109" s="36"/>
    </row>
    <row r="110" spans="1:14" s="37" customFormat="1" ht="48.75" customHeight="1" x14ac:dyDescent="0.25">
      <c r="A110" s="73">
        <v>1</v>
      </c>
      <c r="B110" s="74"/>
      <c r="C110" s="55" t="s">
        <v>205</v>
      </c>
      <c r="D110" s="59">
        <f>(31.61+31.09)*(10.764)</f>
        <v>674.90279999999996</v>
      </c>
      <c r="E110" s="42">
        <v>0</v>
      </c>
      <c r="F110" s="42">
        <f>(D110+E110)*(($F$107)+1)</f>
        <v>1079.84448</v>
      </c>
      <c r="G110" s="80" t="str">
        <f>A108</f>
        <v>Ground Floor For Entrance Lobby, Pump Room, Society Office &amp; Meter Room</v>
      </c>
      <c r="H110" s="81"/>
      <c r="I110" s="36">
        <f>3.39*9.31</f>
        <v>31.560900000000004</v>
      </c>
      <c r="J110" s="36">
        <f>3.39*9.16</f>
        <v>31.052400000000002</v>
      </c>
      <c r="K110" s="36"/>
      <c r="L110" s="72"/>
      <c r="M110" s="72"/>
      <c r="N110" s="36"/>
    </row>
    <row r="111" spans="1:14" s="37" customFormat="1" ht="48" customHeight="1" x14ac:dyDescent="0.25">
      <c r="A111" s="73">
        <f t="shared" ref="A111:A116" si="0">A110+1</f>
        <v>2</v>
      </c>
      <c r="B111" s="74"/>
      <c r="C111" s="55" t="s">
        <v>205</v>
      </c>
      <c r="D111" s="59">
        <f>(90.06+106.44)*(10.764)</f>
        <v>2115.1259999999997</v>
      </c>
      <c r="E111" s="42">
        <v>0</v>
      </c>
      <c r="F111" s="42">
        <f t="shared" ref="F111:F113" si="1">(D111+E111)*(($F$107)+1)</f>
        <v>3384.2015999999999</v>
      </c>
      <c r="G111" s="82"/>
      <c r="H111" s="83"/>
      <c r="I111" s="36"/>
      <c r="J111" s="37">
        <f>5.57*9.16+2.15*1.13+6.8*6.65+1.2*2.03+1.68*1.55+1.45*1.83</f>
        <v>106.36419999999998</v>
      </c>
      <c r="L111" s="72"/>
      <c r="M111" s="72"/>
      <c r="N111" s="36"/>
    </row>
    <row r="112" spans="1:14" s="37" customFormat="1" ht="50.25" customHeight="1" x14ac:dyDescent="0.25">
      <c r="A112" s="73">
        <f t="shared" si="0"/>
        <v>3</v>
      </c>
      <c r="B112" s="74"/>
      <c r="C112" s="55" t="s">
        <v>205</v>
      </c>
      <c r="D112" s="59">
        <f>(30.86+30.12)*(10.764)</f>
        <v>656.38872000000003</v>
      </c>
      <c r="E112" s="42">
        <v>0</v>
      </c>
      <c r="F112" s="42">
        <f t="shared" si="1"/>
        <v>1050.2219520000001</v>
      </c>
      <c r="G112" s="82"/>
      <c r="H112" s="83"/>
      <c r="I112" s="36"/>
      <c r="L112" s="72"/>
      <c r="M112" s="72"/>
      <c r="N112" s="36"/>
    </row>
    <row r="113" spans="1:14" s="37" customFormat="1" ht="52.5" customHeight="1" x14ac:dyDescent="0.25">
      <c r="A113" s="73">
        <f t="shared" si="0"/>
        <v>4</v>
      </c>
      <c r="B113" s="74"/>
      <c r="C113" s="55" t="s">
        <v>205</v>
      </c>
      <c r="D113" s="59">
        <f>(30.36+29.63)*(10.764)</f>
        <v>645.73235999999986</v>
      </c>
      <c r="E113" s="42">
        <v>0</v>
      </c>
      <c r="F113" s="42">
        <f t="shared" si="1"/>
        <v>1033.1717759999999</v>
      </c>
      <c r="G113" s="82"/>
      <c r="H113" s="83"/>
      <c r="I113" s="36"/>
      <c r="L113" s="72"/>
      <c r="M113" s="72"/>
      <c r="N113" s="36"/>
    </row>
    <row r="114" spans="1:14" s="58" customFormat="1" ht="53.25" customHeight="1" x14ac:dyDescent="0.25">
      <c r="A114" s="73">
        <f t="shared" si="0"/>
        <v>5</v>
      </c>
      <c r="B114" s="74"/>
      <c r="C114" s="55" t="s">
        <v>205</v>
      </c>
      <c r="D114" s="59">
        <f>(35.37+34.52)*(10.764)</f>
        <v>752.29595999999992</v>
      </c>
      <c r="E114" s="55">
        <v>0</v>
      </c>
      <c r="F114" s="55">
        <f t="shared" ref="F114:F116" si="2">(D114+E114)*(($F$107)+1)</f>
        <v>1203.673536</v>
      </c>
      <c r="G114" s="82"/>
      <c r="H114" s="83"/>
      <c r="I114" s="36"/>
      <c r="L114" s="72"/>
      <c r="M114" s="72"/>
      <c r="N114" s="36"/>
    </row>
    <row r="115" spans="1:14" s="58" customFormat="1" ht="53.25" customHeight="1" x14ac:dyDescent="0.25">
      <c r="A115" s="73">
        <f t="shared" si="0"/>
        <v>6</v>
      </c>
      <c r="B115" s="74"/>
      <c r="C115" s="55" t="s">
        <v>205</v>
      </c>
      <c r="D115" s="59">
        <f>(30.38+29.63)*(10.764)</f>
        <v>645.94763999999998</v>
      </c>
      <c r="E115" s="55">
        <v>0</v>
      </c>
      <c r="F115" s="55">
        <f t="shared" si="2"/>
        <v>1033.516224</v>
      </c>
      <c r="G115" s="82"/>
      <c r="H115" s="83"/>
      <c r="I115" s="36"/>
      <c r="L115" s="72"/>
      <c r="M115" s="72"/>
      <c r="N115" s="36"/>
    </row>
    <row r="116" spans="1:14" s="58" customFormat="1" ht="51" customHeight="1" x14ac:dyDescent="0.25">
      <c r="A116" s="73">
        <f t="shared" si="0"/>
        <v>7</v>
      </c>
      <c r="B116" s="74"/>
      <c r="C116" s="55" t="s">
        <v>205</v>
      </c>
      <c r="D116" s="59">
        <f>(74.39+167.22)*(10.764)</f>
        <v>2600.69004</v>
      </c>
      <c r="E116" s="55">
        <v>0</v>
      </c>
      <c r="F116" s="55">
        <f t="shared" si="2"/>
        <v>4161.1040640000001</v>
      </c>
      <c r="G116" s="85"/>
      <c r="H116" s="87"/>
      <c r="I116" s="36"/>
      <c r="L116" s="72"/>
      <c r="M116" s="72"/>
      <c r="N116" s="36"/>
    </row>
    <row r="117" spans="1:14" s="37" customFormat="1" x14ac:dyDescent="0.25">
      <c r="A117" s="73"/>
      <c r="B117" s="170"/>
      <c r="C117" s="170"/>
      <c r="D117" s="170"/>
      <c r="E117" s="170"/>
      <c r="F117" s="170"/>
      <c r="G117" s="170"/>
      <c r="H117" s="74"/>
      <c r="I117" s="36"/>
      <c r="N117" s="36"/>
    </row>
    <row r="118" spans="1:14" ht="47.25" customHeight="1" x14ac:dyDescent="0.25">
      <c r="A118" s="104" t="s">
        <v>124</v>
      </c>
      <c r="B118" s="104" t="s">
        <v>125</v>
      </c>
      <c r="C118" s="100" t="s">
        <v>59</v>
      </c>
      <c r="D118" s="100" t="s">
        <v>60</v>
      </c>
      <c r="E118" s="102" t="s">
        <v>61</v>
      </c>
      <c r="F118" s="43" t="s">
        <v>155</v>
      </c>
      <c r="G118" s="104" t="s">
        <v>62</v>
      </c>
      <c r="H118" s="105"/>
      <c r="I118" s="36"/>
    </row>
    <row r="119" spans="1:14" s="37" customFormat="1" x14ac:dyDescent="0.25">
      <c r="A119" s="106"/>
      <c r="B119" s="106"/>
      <c r="C119" s="101"/>
      <c r="D119" s="101"/>
      <c r="E119" s="103"/>
      <c r="F119" s="13">
        <v>0.5</v>
      </c>
      <c r="G119" s="106"/>
      <c r="H119" s="107"/>
      <c r="I119" s="36"/>
    </row>
    <row r="120" spans="1:14" s="58" customFormat="1" x14ac:dyDescent="0.25">
      <c r="A120" s="94" t="s">
        <v>206</v>
      </c>
      <c r="B120" s="95"/>
      <c r="C120" s="95"/>
      <c r="D120" s="95"/>
      <c r="E120" s="95"/>
      <c r="F120" s="95"/>
      <c r="G120" s="95"/>
      <c r="H120" s="96"/>
      <c r="J120" s="36"/>
    </row>
    <row r="121" spans="1:14" s="37" customFormat="1" x14ac:dyDescent="0.25">
      <c r="A121" s="94" t="s">
        <v>209</v>
      </c>
      <c r="B121" s="95"/>
      <c r="C121" s="95"/>
      <c r="D121" s="95"/>
      <c r="E121" s="95"/>
      <c r="F121" s="95"/>
      <c r="G121" s="95"/>
      <c r="H121" s="96"/>
      <c r="J121" s="68" t="s">
        <v>227</v>
      </c>
    </row>
    <row r="122" spans="1:14" s="37" customFormat="1" ht="15.75" customHeight="1" x14ac:dyDescent="0.25">
      <c r="A122" s="73">
        <v>1</v>
      </c>
      <c r="B122" s="74"/>
      <c r="C122" s="42" t="s">
        <v>210</v>
      </c>
      <c r="D122" s="59">
        <f>(57.73)*(10.764)</f>
        <v>621.40571999999997</v>
      </c>
      <c r="E122" s="42">
        <v>0</v>
      </c>
      <c r="F122" s="42">
        <f t="shared" ref="F122:F128" si="3">D122*(($F$119)+1)+(IF(E122&lt;101,E122,IF(E122&lt;201,E122/2,IF(E122&lt;=301,E122/3,E122/4))))</f>
        <v>932.10857999999996</v>
      </c>
      <c r="G122" s="80" t="str">
        <f>A121</f>
        <v>2nd to 6th Floor For Residential</v>
      </c>
      <c r="H122" s="81"/>
      <c r="I122" s="36">
        <f>2.9*6.98+1.1*2.35+1.95*0.9+2*1.1+1.8*3.25+2.75*4.15+2.72*4.06</f>
        <v>55.087699999999998</v>
      </c>
      <c r="J122" s="36">
        <f>14928000/F122</f>
        <v>16015.30156497433</v>
      </c>
      <c r="L122" s="72"/>
      <c r="M122" s="72"/>
      <c r="N122" s="36"/>
    </row>
    <row r="123" spans="1:14" s="37" customFormat="1" ht="15.75" customHeight="1" x14ac:dyDescent="0.25">
      <c r="A123" s="73">
        <f t="shared" ref="A123:A128" si="4">A122+1</f>
        <v>2</v>
      </c>
      <c r="B123" s="74"/>
      <c r="C123" s="55" t="s">
        <v>210</v>
      </c>
      <c r="D123" s="59">
        <f>(58.58)*(10.764)</f>
        <v>630.55511999999999</v>
      </c>
      <c r="E123" s="42">
        <v>0</v>
      </c>
      <c r="F123" s="42">
        <f t="shared" si="3"/>
        <v>945.83267999999998</v>
      </c>
      <c r="G123" s="82"/>
      <c r="H123" s="83"/>
      <c r="I123" s="36"/>
      <c r="J123" s="36">
        <f>15144000/F123</f>
        <v>16011.28859281961</v>
      </c>
      <c r="L123" s="72"/>
      <c r="M123" s="72"/>
      <c r="N123" s="36"/>
    </row>
    <row r="124" spans="1:14" s="37" customFormat="1" ht="15.75" customHeight="1" x14ac:dyDescent="0.25">
      <c r="A124" s="73">
        <f t="shared" si="4"/>
        <v>3</v>
      </c>
      <c r="B124" s="74"/>
      <c r="C124" s="55" t="s">
        <v>210</v>
      </c>
      <c r="D124" s="59">
        <f>(58.37)*(10.764)</f>
        <v>628.29467999999997</v>
      </c>
      <c r="E124" s="42">
        <v>0</v>
      </c>
      <c r="F124" s="42">
        <f t="shared" si="3"/>
        <v>942.44201999999996</v>
      </c>
      <c r="G124" s="82"/>
      <c r="H124" s="83"/>
      <c r="I124" s="59">
        <f>10.764</f>
        <v>10.763999999999999</v>
      </c>
      <c r="J124" s="36">
        <f>15072000/F124</f>
        <v>15992.495750560867</v>
      </c>
      <c r="L124" s="72"/>
      <c r="M124" s="72"/>
      <c r="N124" s="36"/>
    </row>
    <row r="125" spans="1:14" s="37" customFormat="1" ht="15.75" customHeight="1" x14ac:dyDescent="0.25">
      <c r="A125" s="73">
        <f t="shared" si="4"/>
        <v>4</v>
      </c>
      <c r="B125" s="74"/>
      <c r="C125" s="55" t="s">
        <v>210</v>
      </c>
      <c r="D125" s="59">
        <f>(57.87)*(10.764)</f>
        <v>622.91267999999991</v>
      </c>
      <c r="E125" s="42">
        <v>0</v>
      </c>
      <c r="F125" s="42">
        <f t="shared" si="3"/>
        <v>934.36901999999986</v>
      </c>
      <c r="G125" s="82"/>
      <c r="H125" s="83"/>
      <c r="I125" s="36"/>
      <c r="J125" s="36">
        <f>14952000/F125</f>
        <v>16002.242882581875</v>
      </c>
      <c r="L125" s="72"/>
      <c r="M125" s="72"/>
      <c r="N125" s="36"/>
    </row>
    <row r="126" spans="1:14" s="58" customFormat="1" ht="15.75" customHeight="1" x14ac:dyDescent="0.25">
      <c r="A126" s="73">
        <f t="shared" si="4"/>
        <v>5</v>
      </c>
      <c r="B126" s="74"/>
      <c r="C126" s="55" t="s">
        <v>210</v>
      </c>
      <c r="D126" s="59">
        <f>(57.87)*(10.764)</f>
        <v>622.91267999999991</v>
      </c>
      <c r="E126" s="55">
        <v>0</v>
      </c>
      <c r="F126" s="55">
        <f t="shared" si="3"/>
        <v>934.36901999999986</v>
      </c>
      <c r="G126" s="82"/>
      <c r="H126" s="83"/>
      <c r="I126" s="36"/>
      <c r="J126" s="36">
        <f>14952000/F126</f>
        <v>16002.242882581875</v>
      </c>
      <c r="L126" s="72"/>
      <c r="M126" s="72"/>
      <c r="N126" s="36"/>
    </row>
    <row r="127" spans="1:14" s="58" customFormat="1" ht="15.75" customHeight="1" x14ac:dyDescent="0.25">
      <c r="A127" s="73">
        <f t="shared" si="4"/>
        <v>6</v>
      </c>
      <c r="B127" s="74"/>
      <c r="C127" s="55" t="s">
        <v>211</v>
      </c>
      <c r="D127" s="59">
        <f>(43.81)*(10.764)</f>
        <v>471.57083999999998</v>
      </c>
      <c r="E127" s="55">
        <v>0</v>
      </c>
      <c r="F127" s="55">
        <f t="shared" si="3"/>
        <v>707.35626000000002</v>
      </c>
      <c r="G127" s="82"/>
      <c r="H127" s="83"/>
      <c r="I127" s="36"/>
      <c r="J127" s="36">
        <f>11328000/F127</f>
        <v>16014.561036047096</v>
      </c>
      <c r="L127" s="72"/>
      <c r="M127" s="72"/>
      <c r="N127" s="36"/>
    </row>
    <row r="128" spans="1:14" s="58" customFormat="1" ht="15.75" customHeight="1" x14ac:dyDescent="0.25">
      <c r="A128" s="73">
        <f t="shared" si="4"/>
        <v>7</v>
      </c>
      <c r="B128" s="74"/>
      <c r="C128" s="55" t="s">
        <v>211</v>
      </c>
      <c r="D128" s="59">
        <f>(44.02)*(10.764)</f>
        <v>473.83127999999999</v>
      </c>
      <c r="E128" s="55">
        <v>0</v>
      </c>
      <c r="F128" s="55">
        <f t="shared" si="3"/>
        <v>710.74692000000005</v>
      </c>
      <c r="G128" s="85"/>
      <c r="H128" s="87"/>
      <c r="I128" s="36"/>
      <c r="J128" s="36">
        <f>11376000/F128</f>
        <v>16005.697217794484</v>
      </c>
      <c r="L128" s="72"/>
      <c r="M128" s="72"/>
      <c r="N128" s="36"/>
    </row>
    <row r="129" spans="1:14" s="37" customFormat="1" x14ac:dyDescent="0.25">
      <c r="A129" s="113" t="s">
        <v>212</v>
      </c>
      <c r="B129" s="113"/>
      <c r="C129" s="113"/>
      <c r="D129" s="113"/>
      <c r="E129" s="113"/>
      <c r="F129" s="113"/>
      <c r="G129" s="113"/>
      <c r="H129" s="113"/>
      <c r="I129" s="36"/>
      <c r="J129" s="68">
        <f>AVERAGE(J122:J128)</f>
        <v>16006.261418194306</v>
      </c>
      <c r="L129" s="72"/>
      <c r="M129" s="72"/>
    </row>
    <row r="130" spans="1:14" s="37" customFormat="1" ht="15.75" customHeight="1" x14ac:dyDescent="0.25">
      <c r="A130" s="79">
        <v>1</v>
      </c>
      <c r="B130" s="79"/>
      <c r="C130" s="55" t="s">
        <v>210</v>
      </c>
      <c r="D130" s="59">
        <f>(57.73)*(10.764)</f>
        <v>621.40571999999997</v>
      </c>
      <c r="E130" s="42">
        <v>0</v>
      </c>
      <c r="F130" s="42">
        <f t="shared" ref="F130:F131" si="5">D130*(($F$119)+1)+(IF(E130&lt;101,E130,IF(E130&lt;201,E130/2,IF(E130&lt;=301,E130/3,E130/4))))</f>
        <v>932.10857999999996</v>
      </c>
      <c r="G130" s="80" t="str">
        <f>A129</f>
        <v>8th to 13th &amp; 15th Floor</v>
      </c>
      <c r="H130" s="81"/>
      <c r="I130" s="36"/>
      <c r="N130" s="36"/>
    </row>
    <row r="131" spans="1:14" s="37" customFormat="1" ht="15.75" customHeight="1" x14ac:dyDescent="0.25">
      <c r="A131" s="79">
        <f t="shared" ref="A131:A136" si="6">A130+1</f>
        <v>2</v>
      </c>
      <c r="B131" s="79"/>
      <c r="C131" s="55" t="s">
        <v>210</v>
      </c>
      <c r="D131" s="59">
        <f>(58.58)*(10.764)</f>
        <v>630.55511999999999</v>
      </c>
      <c r="E131" s="42">
        <v>0</v>
      </c>
      <c r="F131" s="42">
        <f t="shared" si="5"/>
        <v>945.83267999999998</v>
      </c>
      <c r="G131" s="82"/>
      <c r="H131" s="83"/>
      <c r="I131" s="36"/>
      <c r="N131" s="36"/>
    </row>
    <row r="132" spans="1:14" s="37" customFormat="1" ht="15.75" customHeight="1" x14ac:dyDescent="0.25">
      <c r="A132" s="79">
        <f t="shared" si="6"/>
        <v>3</v>
      </c>
      <c r="B132" s="79"/>
      <c r="C132" s="55" t="s">
        <v>210</v>
      </c>
      <c r="D132" s="59">
        <f>(58.37)*(10.764)</f>
        <v>628.29467999999997</v>
      </c>
      <c r="E132" s="42">
        <v>0</v>
      </c>
      <c r="F132" s="42">
        <f>D132*(($F$119)+1)+(IF(E132&lt;101,E132,IF(E132&lt;201,E132/2,IF(E132&lt;=301,E132/3,E132/4))))</f>
        <v>942.44201999999996</v>
      </c>
      <c r="G132" s="82"/>
      <c r="H132" s="83"/>
      <c r="I132" s="36"/>
      <c r="N132" s="36"/>
    </row>
    <row r="133" spans="1:14" s="37" customFormat="1" ht="15.75" customHeight="1" x14ac:dyDescent="0.25">
      <c r="A133" s="79">
        <f t="shared" si="6"/>
        <v>4</v>
      </c>
      <c r="B133" s="79"/>
      <c r="C133" s="55" t="s">
        <v>210</v>
      </c>
      <c r="D133" s="59">
        <f>(57.87)*(10.764)</f>
        <v>622.91267999999991</v>
      </c>
      <c r="E133" s="42">
        <v>0</v>
      </c>
      <c r="F133" s="42">
        <f>D133*(($F$119)+1)+(IF(E133&lt;101,E133,IF(E133&lt;201,E133/2,IF(E133&lt;=301,E133/3,E133/4))))</f>
        <v>934.36901999999986</v>
      </c>
      <c r="G133" s="82"/>
      <c r="H133" s="83"/>
      <c r="I133" s="36"/>
      <c r="N133" s="36"/>
    </row>
    <row r="134" spans="1:14" s="37" customFormat="1" ht="15.75" customHeight="1" x14ac:dyDescent="0.25">
      <c r="A134" s="79">
        <f t="shared" si="6"/>
        <v>5</v>
      </c>
      <c r="B134" s="79"/>
      <c r="C134" s="55" t="s">
        <v>210</v>
      </c>
      <c r="D134" s="59">
        <f>(57.87)*(10.764)</f>
        <v>622.91267999999991</v>
      </c>
      <c r="E134" s="42">
        <v>0</v>
      </c>
      <c r="F134" s="42">
        <f>D134*(($F$119)+1)+(IF(E134&lt;101,E134,IF(E134&lt;201,E134/2,IF(E134&lt;=301,E134/3,E134/4))))</f>
        <v>934.36901999999986</v>
      </c>
      <c r="G134" s="82"/>
      <c r="H134" s="83"/>
      <c r="I134" s="36"/>
      <c r="N134" s="36"/>
    </row>
    <row r="135" spans="1:14" s="58" customFormat="1" ht="15.75" customHeight="1" x14ac:dyDescent="0.25">
      <c r="A135" s="79">
        <f t="shared" si="6"/>
        <v>6</v>
      </c>
      <c r="B135" s="79"/>
      <c r="C135" s="55" t="s">
        <v>211</v>
      </c>
      <c r="D135" s="59">
        <f>(43.81)*(10.764)</f>
        <v>471.57083999999998</v>
      </c>
      <c r="E135" s="55">
        <v>0</v>
      </c>
      <c r="F135" s="55">
        <f>D135*(($F$119)+1)+(IF(E135&lt;101,E135,IF(E135&lt;201,E135/2,IF(E135&lt;=301,E135/3,E135/4))))</f>
        <v>707.35626000000002</v>
      </c>
      <c r="G135" s="82"/>
      <c r="H135" s="83"/>
      <c r="I135" s="36"/>
      <c r="N135" s="36"/>
    </row>
    <row r="136" spans="1:14" s="58" customFormat="1" ht="15.75" customHeight="1" x14ac:dyDescent="0.25">
      <c r="A136" s="79">
        <f t="shared" si="6"/>
        <v>7</v>
      </c>
      <c r="B136" s="79"/>
      <c r="C136" s="55" t="s">
        <v>211</v>
      </c>
      <c r="D136" s="59">
        <f>(44.02)*(10.764)</f>
        <v>473.83127999999999</v>
      </c>
      <c r="E136" s="55">
        <v>0</v>
      </c>
      <c r="F136" s="55">
        <f>D136*(($F$119)+1)+(IF(E136&lt;101,E136,IF(E136&lt;201,E136/2,IF(E136&lt;=301,E136/3,E136/4))))</f>
        <v>710.74692000000005</v>
      </c>
      <c r="G136" s="82"/>
      <c r="H136" s="83"/>
      <c r="I136" s="36"/>
      <c r="N136" s="36"/>
    </row>
    <row r="137" spans="1:14" s="58" customFormat="1" x14ac:dyDescent="0.25">
      <c r="A137" s="113" t="s">
        <v>213</v>
      </c>
      <c r="B137" s="113"/>
      <c r="C137" s="113"/>
      <c r="D137" s="113"/>
      <c r="E137" s="113"/>
      <c r="F137" s="113"/>
      <c r="G137" s="113"/>
      <c r="H137" s="113"/>
      <c r="I137" s="36"/>
      <c r="L137" s="72"/>
      <c r="M137" s="72"/>
    </row>
    <row r="138" spans="1:14" s="58" customFormat="1" ht="15.75" customHeight="1" x14ac:dyDescent="0.25">
      <c r="A138" s="79">
        <v>1</v>
      </c>
      <c r="B138" s="79"/>
      <c r="C138" s="55" t="s">
        <v>210</v>
      </c>
      <c r="D138" s="59">
        <f>(57.73)*(10.764)</f>
        <v>621.40571999999997</v>
      </c>
      <c r="E138" s="55">
        <v>0</v>
      </c>
      <c r="F138" s="55">
        <f t="shared" ref="F138:F139" si="7">D138*(($F$119)+1)+(IF(E138&lt;101,E138,IF(E138&lt;201,E138/2,IF(E138&lt;=301,E138/3,E138/4))))</f>
        <v>932.10857999999996</v>
      </c>
      <c r="G138" s="80" t="str">
        <f>A137</f>
        <v>7th Floor (Part Refuge Area)</v>
      </c>
      <c r="H138" s="81"/>
      <c r="I138" s="36"/>
      <c r="N138" s="36"/>
    </row>
    <row r="139" spans="1:14" s="58" customFormat="1" ht="15.75" customHeight="1" x14ac:dyDescent="0.25">
      <c r="A139" s="79">
        <f t="shared" ref="A139:A144" si="8">A138+1</f>
        <v>2</v>
      </c>
      <c r="B139" s="79"/>
      <c r="C139" s="55" t="s">
        <v>210</v>
      </c>
      <c r="D139" s="59">
        <f>(58.58)*(10.764)</f>
        <v>630.55511999999999</v>
      </c>
      <c r="E139" s="55">
        <v>0</v>
      </c>
      <c r="F139" s="55">
        <f t="shared" si="7"/>
        <v>945.83267999999998</v>
      </c>
      <c r="G139" s="82"/>
      <c r="H139" s="83"/>
      <c r="I139" s="36"/>
      <c r="N139" s="36"/>
    </row>
    <row r="140" spans="1:14" s="58" customFormat="1" ht="15.75" customHeight="1" x14ac:dyDescent="0.25">
      <c r="A140" s="79">
        <f t="shared" si="8"/>
        <v>3</v>
      </c>
      <c r="B140" s="79"/>
      <c r="C140" s="55" t="s">
        <v>210</v>
      </c>
      <c r="D140" s="59">
        <f>(58.37)*(10.764)</f>
        <v>628.29467999999997</v>
      </c>
      <c r="E140" s="55">
        <v>0</v>
      </c>
      <c r="F140" s="55">
        <f>D140*(($F$119)+1)+(IF(E140&lt;101,E140,IF(E140&lt;201,E140/2,IF(E140&lt;=301,E140/3,E140/4))))</f>
        <v>942.44201999999996</v>
      </c>
      <c r="G140" s="82"/>
      <c r="H140" s="83"/>
      <c r="I140" s="36"/>
      <c r="N140" s="36"/>
    </row>
    <row r="141" spans="1:14" s="58" customFormat="1" ht="15.75" customHeight="1" x14ac:dyDescent="0.25">
      <c r="A141" s="79">
        <f t="shared" si="8"/>
        <v>4</v>
      </c>
      <c r="B141" s="79"/>
      <c r="C141" s="55" t="s">
        <v>210</v>
      </c>
      <c r="D141" s="59">
        <f>(57.87)*(10.764)</f>
        <v>622.91267999999991</v>
      </c>
      <c r="E141" s="55">
        <v>0</v>
      </c>
      <c r="F141" s="55">
        <f>D141*(($F$119)+1)+(IF(E141&lt;101,E141,IF(E141&lt;201,E141/2,IF(E141&lt;=301,E141/3,E141/4))))</f>
        <v>934.36901999999986</v>
      </c>
      <c r="G141" s="82"/>
      <c r="H141" s="83"/>
      <c r="I141" s="36"/>
      <c r="N141" s="36"/>
    </row>
    <row r="142" spans="1:14" s="58" customFormat="1" ht="15.75" customHeight="1" x14ac:dyDescent="0.25">
      <c r="A142" s="79">
        <f t="shared" si="8"/>
        <v>5</v>
      </c>
      <c r="B142" s="79"/>
      <c r="C142" s="80" t="s">
        <v>214</v>
      </c>
      <c r="D142" s="84"/>
      <c r="E142" s="84"/>
      <c r="F142" s="81"/>
      <c r="G142" s="82"/>
      <c r="H142" s="83"/>
      <c r="I142" s="36"/>
      <c r="N142" s="36"/>
    </row>
    <row r="143" spans="1:14" s="58" customFormat="1" ht="15.75" customHeight="1" x14ac:dyDescent="0.25">
      <c r="A143" s="79">
        <f t="shared" si="8"/>
        <v>6</v>
      </c>
      <c r="B143" s="79"/>
      <c r="C143" s="85"/>
      <c r="D143" s="86"/>
      <c r="E143" s="86"/>
      <c r="F143" s="87"/>
      <c r="G143" s="82"/>
      <c r="H143" s="83"/>
      <c r="I143" s="36"/>
      <c r="N143" s="36"/>
    </row>
    <row r="144" spans="1:14" s="58" customFormat="1" ht="15.75" customHeight="1" x14ac:dyDescent="0.25">
      <c r="A144" s="79">
        <f t="shared" si="8"/>
        <v>7</v>
      </c>
      <c r="B144" s="79"/>
      <c r="C144" s="55" t="s">
        <v>211</v>
      </c>
      <c r="D144" s="59">
        <f>(44.02)*(10.764)</f>
        <v>473.83127999999999</v>
      </c>
      <c r="E144" s="55">
        <v>0</v>
      </c>
      <c r="F144" s="55">
        <f>D144*(($F$119)+1)+(IF(E144&lt;101,E144,IF(E144&lt;201,E144/2,IF(E144&lt;=301,E144/3,E144/4))))</f>
        <v>710.74692000000005</v>
      </c>
      <c r="G144" s="82"/>
      <c r="H144" s="83"/>
      <c r="I144" s="36"/>
      <c r="N144" s="36"/>
    </row>
    <row r="145" spans="1:14" s="58" customFormat="1" x14ac:dyDescent="0.25">
      <c r="A145" s="113" t="s">
        <v>215</v>
      </c>
      <c r="B145" s="113"/>
      <c r="C145" s="113"/>
      <c r="D145" s="113"/>
      <c r="E145" s="113"/>
      <c r="F145" s="113"/>
      <c r="G145" s="113"/>
      <c r="H145" s="113"/>
      <c r="I145" s="36"/>
      <c r="L145" s="72"/>
      <c r="M145" s="72"/>
    </row>
    <row r="146" spans="1:14" s="58" customFormat="1" ht="15.75" customHeight="1" x14ac:dyDescent="0.25">
      <c r="A146" s="79">
        <v>1</v>
      </c>
      <c r="B146" s="79"/>
      <c r="C146" s="55" t="s">
        <v>210</v>
      </c>
      <c r="D146" s="59">
        <f>(57.73)*(10.764)</f>
        <v>621.40571999999997</v>
      </c>
      <c r="E146" s="55">
        <v>0</v>
      </c>
      <c r="F146" s="55">
        <f t="shared" ref="F146:F147" si="9">D146*(($F$119)+1)+(IF(E146&lt;101,E146,IF(E146&lt;201,E146/2,IF(E146&lt;=301,E146/3,E146/4))))</f>
        <v>932.10857999999996</v>
      </c>
      <c r="G146" s="80" t="str">
        <f>A145</f>
        <v>14th Floor (Part Refuge Area)</v>
      </c>
      <c r="H146" s="81"/>
      <c r="I146" s="36"/>
      <c r="N146" s="36"/>
    </row>
    <row r="147" spans="1:14" s="58" customFormat="1" ht="15.75" customHeight="1" x14ac:dyDescent="0.25">
      <c r="A147" s="79">
        <f t="shared" ref="A147:A152" si="10">A146+1</f>
        <v>2</v>
      </c>
      <c r="B147" s="79"/>
      <c r="C147" s="55" t="s">
        <v>210</v>
      </c>
      <c r="D147" s="59">
        <f>(58.58)*(10.764)</f>
        <v>630.55511999999999</v>
      </c>
      <c r="E147" s="55">
        <v>0</v>
      </c>
      <c r="F147" s="55">
        <f t="shared" si="9"/>
        <v>945.83267999999998</v>
      </c>
      <c r="G147" s="82"/>
      <c r="H147" s="83"/>
      <c r="I147" s="36"/>
      <c r="N147" s="36"/>
    </row>
    <row r="148" spans="1:14" s="58" customFormat="1" ht="15.75" customHeight="1" x14ac:dyDescent="0.25">
      <c r="A148" s="79">
        <f t="shared" si="10"/>
        <v>3</v>
      </c>
      <c r="B148" s="79"/>
      <c r="C148" s="55" t="s">
        <v>210</v>
      </c>
      <c r="D148" s="59">
        <f>(58.37)*(10.764)</f>
        <v>628.29467999999997</v>
      </c>
      <c r="E148" s="55">
        <v>0</v>
      </c>
      <c r="F148" s="55">
        <f>D148*(($F$119)+1)+(IF(E148&lt;101,E148,IF(E148&lt;201,E148/2,IF(E148&lt;=301,E148/3,E148/4))))</f>
        <v>942.44201999999996</v>
      </c>
      <c r="G148" s="82"/>
      <c r="H148" s="83"/>
      <c r="I148" s="36"/>
      <c r="N148" s="36"/>
    </row>
    <row r="149" spans="1:14" s="58" customFormat="1" ht="15.75" customHeight="1" x14ac:dyDescent="0.25">
      <c r="A149" s="79">
        <f t="shared" si="10"/>
        <v>4</v>
      </c>
      <c r="B149" s="79"/>
      <c r="C149" s="55" t="s">
        <v>210</v>
      </c>
      <c r="D149" s="59">
        <f>(57.87)*(10.764)</f>
        <v>622.91267999999991</v>
      </c>
      <c r="E149" s="55">
        <v>0</v>
      </c>
      <c r="F149" s="55">
        <f>D149*(($F$119)+1)+(IF(E149&lt;101,E149,IF(E149&lt;201,E149/2,IF(E149&lt;=301,E149/3,E149/4))))</f>
        <v>934.36901999999986</v>
      </c>
      <c r="G149" s="82"/>
      <c r="H149" s="83"/>
      <c r="I149" s="36"/>
      <c r="N149" s="36"/>
    </row>
    <row r="150" spans="1:14" s="58" customFormat="1" ht="15.75" customHeight="1" x14ac:dyDescent="0.25">
      <c r="A150" s="79">
        <f t="shared" si="10"/>
        <v>5</v>
      </c>
      <c r="B150" s="79"/>
      <c r="C150" s="80" t="s">
        <v>214</v>
      </c>
      <c r="D150" s="84"/>
      <c r="E150" s="84"/>
      <c r="F150" s="81"/>
      <c r="G150" s="82"/>
      <c r="H150" s="83"/>
      <c r="I150" s="36"/>
      <c r="N150" s="36"/>
    </row>
    <row r="151" spans="1:14" s="58" customFormat="1" ht="15.75" customHeight="1" x14ac:dyDescent="0.25">
      <c r="A151" s="79">
        <f t="shared" si="10"/>
        <v>6</v>
      </c>
      <c r="B151" s="79"/>
      <c r="C151" s="85"/>
      <c r="D151" s="86"/>
      <c r="E151" s="86"/>
      <c r="F151" s="87"/>
      <c r="G151" s="82"/>
      <c r="H151" s="83"/>
      <c r="I151" s="36"/>
      <c r="N151" s="36"/>
    </row>
    <row r="152" spans="1:14" s="58" customFormat="1" ht="15.75" customHeight="1" x14ac:dyDescent="0.25">
      <c r="A152" s="79">
        <f t="shared" si="10"/>
        <v>7</v>
      </c>
      <c r="B152" s="79"/>
      <c r="C152" s="55" t="s">
        <v>211</v>
      </c>
      <c r="D152" s="59">
        <f>(44.02)*(10.764)</f>
        <v>473.83127999999999</v>
      </c>
      <c r="E152" s="55">
        <v>0</v>
      </c>
      <c r="F152" s="55">
        <f>D152*(($F$119)+1)+(IF(E152&lt;101,E152,IF(E152&lt;201,E152/2,IF(E152&lt;=301,E152/3,E152/4))))</f>
        <v>710.74692000000005</v>
      </c>
      <c r="G152" s="82"/>
      <c r="H152" s="83"/>
      <c r="I152" s="36"/>
      <c r="N152" s="36"/>
    </row>
    <row r="153" spans="1:14" s="35" customFormat="1" x14ac:dyDescent="0.25">
      <c r="A153" s="127" t="s">
        <v>70</v>
      </c>
      <c r="B153" s="127"/>
      <c r="C153" s="127"/>
      <c r="D153" s="127"/>
      <c r="E153" s="127"/>
      <c r="F153" s="127"/>
      <c r="G153" s="127"/>
      <c r="H153" s="127"/>
    </row>
    <row r="154" spans="1:14" s="35" customFormat="1" x14ac:dyDescent="0.25">
      <c r="A154" s="47" t="s">
        <v>158</v>
      </c>
      <c r="B154" s="122" t="s">
        <v>244</v>
      </c>
      <c r="C154" s="123"/>
      <c r="D154" s="123"/>
      <c r="E154" s="123"/>
      <c r="F154" s="123"/>
      <c r="G154" s="123"/>
      <c r="H154" s="124"/>
    </row>
    <row r="155" spans="1:14" s="35" customFormat="1" x14ac:dyDescent="0.25">
      <c r="A155" s="47" t="s">
        <v>158</v>
      </c>
      <c r="B155" s="122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155" s="123"/>
      <c r="D155" s="123"/>
      <c r="E155" s="123"/>
      <c r="F155" s="123"/>
      <c r="G155" s="123"/>
      <c r="H155" s="124"/>
    </row>
    <row r="156" spans="1:14" s="35" customFormat="1" x14ac:dyDescent="0.25">
      <c r="A156" s="47" t="s">
        <v>158</v>
      </c>
      <c r="B156" s="122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6" s="123"/>
      <c r="D156" s="123"/>
      <c r="E156" s="123"/>
      <c r="F156" s="123"/>
      <c r="G156" s="123"/>
      <c r="H156" s="124"/>
    </row>
    <row r="157" spans="1:14" s="35" customFormat="1" x14ac:dyDescent="0.25">
      <c r="A157" s="47" t="s">
        <v>158</v>
      </c>
      <c r="B157" s="91" t="s">
        <v>129</v>
      </c>
      <c r="C157" s="92"/>
      <c r="D157" s="92"/>
      <c r="E157" s="92"/>
      <c r="F157" s="92"/>
      <c r="G157" s="92"/>
      <c r="H157" s="93"/>
    </row>
    <row r="158" spans="1:14" s="35" customFormat="1" x14ac:dyDescent="0.25">
      <c r="A158" s="47" t="s">
        <v>158</v>
      </c>
      <c r="B158" s="91" t="s">
        <v>216</v>
      </c>
      <c r="C158" s="92"/>
      <c r="D158" s="92"/>
      <c r="E158" s="92"/>
      <c r="F158" s="92"/>
      <c r="G158" s="92"/>
      <c r="H158" s="93"/>
    </row>
    <row r="159" spans="1:14" s="35" customFormat="1" x14ac:dyDescent="0.25">
      <c r="A159" s="47" t="s">
        <v>158</v>
      </c>
      <c r="B159" s="91" t="s">
        <v>157</v>
      </c>
      <c r="C159" s="92"/>
      <c r="D159" s="92"/>
      <c r="E159" s="92"/>
      <c r="F159" s="92"/>
      <c r="G159" s="92"/>
      <c r="H159" s="93"/>
    </row>
    <row r="160" spans="1:14" s="35" customFormat="1" x14ac:dyDescent="0.25">
      <c r="A160" s="47" t="s">
        <v>158</v>
      </c>
      <c r="B160" s="91" t="s">
        <v>130</v>
      </c>
      <c r="C160" s="92"/>
      <c r="D160" s="92"/>
      <c r="E160" s="92"/>
      <c r="F160" s="92"/>
      <c r="G160" s="92"/>
      <c r="H160" s="93"/>
    </row>
    <row r="161" spans="1:8" s="35" customFormat="1" ht="34.5" customHeight="1" x14ac:dyDescent="0.25">
      <c r="A161" s="47" t="s">
        <v>158</v>
      </c>
      <c r="B161" s="91" t="s">
        <v>159</v>
      </c>
      <c r="C161" s="92"/>
      <c r="D161" s="92"/>
      <c r="E161" s="92"/>
      <c r="F161" s="92"/>
      <c r="G161" s="92"/>
      <c r="H161" s="93"/>
    </row>
    <row r="162" spans="1:8" s="35" customFormat="1" x14ac:dyDescent="0.25">
      <c r="A162" s="47" t="s">
        <v>158</v>
      </c>
      <c r="B162" s="91" t="s">
        <v>131</v>
      </c>
      <c r="C162" s="92"/>
      <c r="D162" s="92"/>
      <c r="E162" s="92"/>
      <c r="F162" s="92"/>
      <c r="G162" s="92"/>
      <c r="H162" s="93"/>
    </row>
    <row r="163" spans="1:8" s="35" customFormat="1" x14ac:dyDescent="0.25">
      <c r="A163" s="71" t="s">
        <v>158</v>
      </c>
      <c r="B163" s="91" t="s">
        <v>202</v>
      </c>
      <c r="C163" s="92"/>
      <c r="D163" s="92"/>
      <c r="E163" s="92"/>
      <c r="F163" s="92"/>
      <c r="G163" s="92"/>
      <c r="H163" s="93"/>
    </row>
    <row r="164" spans="1:8" s="35" customFormat="1" x14ac:dyDescent="0.25">
      <c r="A164" s="56" t="s">
        <v>158</v>
      </c>
      <c r="B164" s="91" t="s">
        <v>245</v>
      </c>
      <c r="C164" s="92"/>
      <c r="D164" s="92"/>
      <c r="E164" s="92"/>
      <c r="F164" s="92"/>
      <c r="G164" s="92"/>
      <c r="H164" s="93"/>
    </row>
    <row r="165" spans="1:8" s="35" customFormat="1" ht="32.25" hidden="1" customHeight="1" x14ac:dyDescent="0.25">
      <c r="A165" s="70" t="s">
        <v>158</v>
      </c>
      <c r="B165" s="76" t="s">
        <v>234</v>
      </c>
      <c r="C165" s="77"/>
      <c r="D165" s="77"/>
      <c r="E165" s="77"/>
      <c r="F165" s="77"/>
      <c r="G165" s="77"/>
      <c r="H165" s="78"/>
    </row>
    <row r="166" spans="1:8" s="35" customFormat="1" ht="30.75" hidden="1" customHeight="1" x14ac:dyDescent="0.25">
      <c r="A166" s="69" t="s">
        <v>158</v>
      </c>
      <c r="B166" s="91" t="s">
        <v>235</v>
      </c>
      <c r="C166" s="92"/>
      <c r="D166" s="92"/>
      <c r="E166" s="92"/>
      <c r="F166" s="92"/>
      <c r="G166" s="92"/>
      <c r="H166" s="93"/>
    </row>
    <row r="167" spans="1:8" x14ac:dyDescent="0.25">
      <c r="A167" s="133" t="s">
        <v>63</v>
      </c>
      <c r="B167" s="133"/>
      <c r="C167" s="133"/>
      <c r="D167" s="133"/>
      <c r="E167" s="133"/>
      <c r="F167" s="133"/>
      <c r="G167" s="133"/>
      <c r="H167" s="133"/>
    </row>
    <row r="168" spans="1:8" x14ac:dyDescent="0.25">
      <c r="A168" s="97" t="s">
        <v>64</v>
      </c>
      <c r="B168" s="97"/>
      <c r="C168" s="97"/>
      <c r="D168" s="97"/>
      <c r="E168" s="97"/>
      <c r="F168" s="97"/>
      <c r="G168" s="97"/>
      <c r="H168" s="97"/>
    </row>
    <row r="169" spans="1:8" ht="15.75" customHeight="1" x14ac:dyDescent="0.25">
      <c r="A169" s="98" t="s">
        <v>65</v>
      </c>
      <c r="B169" s="98"/>
      <c r="C169" s="98"/>
      <c r="D169" s="98"/>
      <c r="E169" s="98"/>
      <c r="F169" s="98"/>
      <c r="G169" s="98"/>
      <c r="H169" s="98"/>
    </row>
    <row r="170" spans="1:8" x14ac:dyDescent="0.25">
      <c r="A170" s="97" t="s">
        <v>66</v>
      </c>
      <c r="B170" s="97"/>
      <c r="C170" s="97"/>
      <c r="D170" s="97"/>
      <c r="E170" s="97"/>
      <c r="F170" s="97"/>
      <c r="G170" s="97"/>
      <c r="H170" s="97"/>
    </row>
    <row r="171" spans="1:8" x14ac:dyDescent="0.25">
      <c r="A171" s="97" t="s">
        <v>67</v>
      </c>
      <c r="B171" s="97"/>
      <c r="C171" s="97"/>
      <c r="D171" s="97"/>
      <c r="E171" s="97"/>
      <c r="F171" s="97"/>
      <c r="G171" s="97"/>
      <c r="H171" s="97"/>
    </row>
    <row r="172" spans="1:8" x14ac:dyDescent="0.25">
      <c r="A172" s="97" t="s">
        <v>132</v>
      </c>
      <c r="B172" s="97"/>
      <c r="C172" s="97"/>
      <c r="D172" s="97"/>
      <c r="E172" s="97"/>
      <c r="F172" s="97"/>
      <c r="G172" s="97"/>
      <c r="H172" s="97"/>
    </row>
    <row r="173" spans="1:8" x14ac:dyDescent="0.25">
      <c r="A173" s="132" t="s">
        <v>133</v>
      </c>
      <c r="B173" s="132"/>
      <c r="C173" s="132"/>
      <c r="D173" s="132"/>
      <c r="E173" s="132"/>
      <c r="F173" s="132"/>
      <c r="G173" s="132"/>
      <c r="H173" s="132"/>
    </row>
    <row r="174" spans="1:8" x14ac:dyDescent="0.25">
      <c r="A174" s="131" t="s">
        <v>79</v>
      </c>
      <c r="B174" s="131"/>
      <c r="C174" s="131" t="s">
        <v>231</v>
      </c>
      <c r="D174" s="131"/>
      <c r="E174" s="131" t="s">
        <v>109</v>
      </c>
      <c r="F174" s="131"/>
      <c r="G174" s="131" t="s">
        <v>237</v>
      </c>
      <c r="H174" s="131"/>
    </row>
    <row r="175" spans="1:8" x14ac:dyDescent="0.25">
      <c r="A175" s="130" t="s">
        <v>81</v>
      </c>
      <c r="B175" s="130"/>
      <c r="C175" s="130"/>
      <c r="D175" s="130"/>
      <c r="E175" s="130"/>
      <c r="F175" s="130"/>
      <c r="G175" s="130"/>
      <c r="H175" s="130"/>
    </row>
    <row r="176" spans="1:8" x14ac:dyDescent="0.25">
      <c r="A176" s="130"/>
      <c r="B176" s="130"/>
      <c r="C176" s="130"/>
      <c r="D176" s="130"/>
      <c r="E176" s="130"/>
      <c r="F176" s="130"/>
      <c r="G176" s="130"/>
      <c r="H176" s="130"/>
    </row>
    <row r="177" spans="1:8" x14ac:dyDescent="0.25">
      <c r="A177" s="130"/>
      <c r="B177" s="130"/>
      <c r="C177" s="130"/>
      <c r="D177" s="130"/>
      <c r="E177" s="130"/>
      <c r="F177" s="130"/>
      <c r="G177" s="130"/>
      <c r="H177" s="130"/>
    </row>
    <row r="178" spans="1:8" x14ac:dyDescent="0.25">
      <c r="A178" s="130"/>
      <c r="B178" s="130"/>
      <c r="C178" s="130"/>
      <c r="D178" s="130"/>
      <c r="E178" s="130"/>
      <c r="F178" s="130"/>
      <c r="G178" s="130"/>
      <c r="H178" s="130"/>
    </row>
    <row r="179" spans="1:8" x14ac:dyDescent="0.25">
      <c r="A179" s="38" t="s">
        <v>68</v>
      </c>
      <c r="B179" s="39"/>
      <c r="C179" s="39"/>
      <c r="D179" s="38" t="str">
        <f>E8</f>
        <v>Omkaar Pride</v>
      </c>
      <c r="F179" s="39"/>
      <c r="G179" s="39"/>
      <c r="H179" s="39"/>
    </row>
    <row r="180" spans="1:8" x14ac:dyDescent="0.25">
      <c r="A180" s="39"/>
      <c r="B180" s="39"/>
      <c r="C180" s="39"/>
      <c r="D180" s="39"/>
      <c r="E180" s="39"/>
      <c r="F180" s="39"/>
      <c r="G180" s="39"/>
      <c r="H180" s="39"/>
    </row>
    <row r="181" spans="1:8" x14ac:dyDescent="0.25">
      <c r="A181" s="39"/>
      <c r="B181" s="39"/>
      <c r="C181" s="39"/>
      <c r="D181" s="39"/>
      <c r="E181" s="39"/>
      <c r="F181" s="39"/>
      <c r="G181" s="39"/>
      <c r="H181" s="39"/>
    </row>
    <row r="182" spans="1:8" ht="15" customHeight="1" x14ac:dyDescent="0.25"/>
    <row r="223" spans="1:1" x14ac:dyDescent="0.25">
      <c r="A223" s="41" t="s">
        <v>171</v>
      </c>
    </row>
    <row r="257" spans="1:1" hidden="1" x14ac:dyDescent="0.25"/>
    <row r="258" spans="1:1" hidden="1" x14ac:dyDescent="0.25"/>
    <row r="259" spans="1:1" hidden="1" x14ac:dyDescent="0.25"/>
    <row r="260" spans="1:1" hidden="1" x14ac:dyDescent="0.25"/>
    <row r="261" spans="1:1" hidden="1" x14ac:dyDescent="0.25"/>
    <row r="262" spans="1:1" hidden="1" x14ac:dyDescent="0.25"/>
    <row r="263" spans="1:1" hidden="1" x14ac:dyDescent="0.25"/>
    <row r="264" spans="1:1" hidden="1" x14ac:dyDescent="0.25"/>
    <row r="265" spans="1:1" hidden="1" x14ac:dyDescent="0.25"/>
    <row r="266" spans="1:1" hidden="1" x14ac:dyDescent="0.25"/>
    <row r="267" spans="1:1" x14ac:dyDescent="0.25">
      <c r="A267" s="41" t="s">
        <v>69</v>
      </c>
    </row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</sheetData>
  <mergeCells count="323">
    <mergeCell ref="A82:E82"/>
    <mergeCell ref="F86:H86"/>
    <mergeCell ref="A87:E87"/>
    <mergeCell ref="F89:H89"/>
    <mergeCell ref="A83:E83"/>
    <mergeCell ref="A86:E86"/>
    <mergeCell ref="D62:H62"/>
    <mergeCell ref="A67:C67"/>
    <mergeCell ref="D67:H67"/>
    <mergeCell ref="A65:C65"/>
    <mergeCell ref="D65:H65"/>
    <mergeCell ref="A66:C66"/>
    <mergeCell ref="D66:H66"/>
    <mergeCell ref="A72:B72"/>
    <mergeCell ref="G71:H71"/>
    <mergeCell ref="E72:F81"/>
    <mergeCell ref="G72:H81"/>
    <mergeCell ref="A80:B80"/>
    <mergeCell ref="A81:B81"/>
    <mergeCell ref="A94:E94"/>
    <mergeCell ref="F94:H94"/>
    <mergeCell ref="F88:H88"/>
    <mergeCell ref="A89:E89"/>
    <mergeCell ref="A91:E91"/>
    <mergeCell ref="B106:B107"/>
    <mergeCell ref="A106:A107"/>
    <mergeCell ref="C118:C119"/>
    <mergeCell ref="A121:H121"/>
    <mergeCell ref="E106:E107"/>
    <mergeCell ref="G106:H107"/>
    <mergeCell ref="A43:D43"/>
    <mergeCell ref="E43:H43"/>
    <mergeCell ref="E44:H44"/>
    <mergeCell ref="E45:H45"/>
    <mergeCell ref="E46:H46"/>
    <mergeCell ref="A45:D45"/>
    <mergeCell ref="A79:B79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48:B48"/>
    <mergeCell ref="A53:B54"/>
    <mergeCell ref="C53:E53"/>
    <mergeCell ref="G53:H53"/>
    <mergeCell ref="C54:E54"/>
    <mergeCell ref="G54:H54"/>
    <mergeCell ref="C48:H48"/>
    <mergeCell ref="A73:B73"/>
    <mergeCell ref="A75:B75"/>
    <mergeCell ref="E71:F71"/>
    <mergeCell ref="A64:C64"/>
    <mergeCell ref="D64:H64"/>
    <mergeCell ref="A37:H37"/>
    <mergeCell ref="A36:B36"/>
    <mergeCell ref="C36:E36"/>
    <mergeCell ref="A41:D41"/>
    <mergeCell ref="E41:H41"/>
    <mergeCell ref="A58:C58"/>
    <mergeCell ref="D58:H58"/>
    <mergeCell ref="G55:H55"/>
    <mergeCell ref="A62:C62"/>
    <mergeCell ref="D61:H61"/>
    <mergeCell ref="E42:H42"/>
    <mergeCell ref="A42:D42"/>
    <mergeCell ref="A49:B49"/>
    <mergeCell ref="C49:E49"/>
    <mergeCell ref="C52:E52"/>
    <mergeCell ref="G52:H52"/>
    <mergeCell ref="G49:H49"/>
    <mergeCell ref="G51:H51"/>
    <mergeCell ref="F33:H33"/>
    <mergeCell ref="F34:H34"/>
    <mergeCell ref="A40:H40"/>
    <mergeCell ref="A61:C61"/>
    <mergeCell ref="A38:B38"/>
    <mergeCell ref="C38:H38"/>
    <mergeCell ref="A39:B39"/>
    <mergeCell ref="C39:H39"/>
    <mergeCell ref="A44:D44"/>
    <mergeCell ref="F36:H36"/>
    <mergeCell ref="A46:D46"/>
    <mergeCell ref="A47:H47"/>
    <mergeCell ref="D59:H59"/>
    <mergeCell ref="A59:C59"/>
    <mergeCell ref="G50:H50"/>
    <mergeCell ref="A51:B52"/>
    <mergeCell ref="C50:E50"/>
    <mergeCell ref="A55:B55"/>
    <mergeCell ref="C55:E55"/>
    <mergeCell ref="A60:C60"/>
    <mergeCell ref="D60:H60"/>
    <mergeCell ref="A50:B50"/>
    <mergeCell ref="A56:H56"/>
    <mergeCell ref="A57:C57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B166:H166"/>
    <mergeCell ref="B159:H159"/>
    <mergeCell ref="A124:B124"/>
    <mergeCell ref="C106:C107"/>
    <mergeCell ref="B118:B119"/>
    <mergeCell ref="A125:B125"/>
    <mergeCell ref="A122:B122"/>
    <mergeCell ref="A113:B113"/>
    <mergeCell ref="A112:B112"/>
    <mergeCell ref="A110:B110"/>
    <mergeCell ref="A111:B111"/>
    <mergeCell ref="A108:H108"/>
    <mergeCell ref="D106:D107"/>
    <mergeCell ref="A117:H117"/>
    <mergeCell ref="A118:A119"/>
    <mergeCell ref="A123:B123"/>
    <mergeCell ref="B163:H163"/>
    <mergeCell ref="A175:H178"/>
    <mergeCell ref="A174:B174"/>
    <mergeCell ref="E174:F174"/>
    <mergeCell ref="C174:D174"/>
    <mergeCell ref="G174:H174"/>
    <mergeCell ref="A170:H170"/>
    <mergeCell ref="A173:H173"/>
    <mergeCell ref="A171:H171"/>
    <mergeCell ref="A167:H167"/>
    <mergeCell ref="A136:B136"/>
    <mergeCell ref="A137:H137"/>
    <mergeCell ref="A145:H145"/>
    <mergeCell ref="B161:H161"/>
    <mergeCell ref="A103:B103"/>
    <mergeCell ref="C103:D103"/>
    <mergeCell ref="F82:H82"/>
    <mergeCell ref="F87:H87"/>
    <mergeCell ref="A88:E88"/>
    <mergeCell ref="F92:H92"/>
    <mergeCell ref="F90:H90"/>
    <mergeCell ref="F84:H84"/>
    <mergeCell ref="A93:E93"/>
    <mergeCell ref="A98:B98"/>
    <mergeCell ref="E98:F98"/>
    <mergeCell ref="A84:E84"/>
    <mergeCell ref="A105:H105"/>
    <mergeCell ref="G98:H98"/>
    <mergeCell ref="A92:E92"/>
    <mergeCell ref="C99:D99"/>
    <mergeCell ref="E99:F99"/>
    <mergeCell ref="F85:H85"/>
    <mergeCell ref="A90:E90"/>
    <mergeCell ref="A85:E85"/>
    <mergeCell ref="A77:B77"/>
    <mergeCell ref="F83:H83"/>
    <mergeCell ref="G99:H99"/>
    <mergeCell ref="A129:H129"/>
    <mergeCell ref="A143:B143"/>
    <mergeCell ref="A144:B144"/>
    <mergeCell ref="C142:F143"/>
    <mergeCell ref="E103:F103"/>
    <mergeCell ref="G103:H103"/>
    <mergeCell ref="C98:D98"/>
    <mergeCell ref="F93:H93"/>
    <mergeCell ref="F91:H91"/>
    <mergeCell ref="A97:H97"/>
    <mergeCell ref="A95:E95"/>
    <mergeCell ref="F95:H95"/>
    <mergeCell ref="A96:E96"/>
    <mergeCell ref="F96:H96"/>
    <mergeCell ref="A102:B102"/>
    <mergeCell ref="A99:B99"/>
    <mergeCell ref="A100:H100"/>
    <mergeCell ref="C101:D101"/>
    <mergeCell ref="E101:F101"/>
    <mergeCell ref="A104:H104"/>
    <mergeCell ref="G101:H101"/>
    <mergeCell ref="A126:B126"/>
    <mergeCell ref="L126:M126"/>
    <mergeCell ref="A172:H172"/>
    <mergeCell ref="A169:H169"/>
    <mergeCell ref="A130:B130"/>
    <mergeCell ref="A101:B101"/>
    <mergeCell ref="D118:D119"/>
    <mergeCell ref="E118:E119"/>
    <mergeCell ref="G118:H119"/>
    <mergeCell ref="A168:H168"/>
    <mergeCell ref="B162:H162"/>
    <mergeCell ref="B160:H160"/>
    <mergeCell ref="B156:H156"/>
    <mergeCell ref="B154:H154"/>
    <mergeCell ref="B155:H155"/>
    <mergeCell ref="C102:D102"/>
    <mergeCell ref="E102:F102"/>
    <mergeCell ref="G102:H102"/>
    <mergeCell ref="A134:B134"/>
    <mergeCell ref="A131:B131"/>
    <mergeCell ref="A132:B132"/>
    <mergeCell ref="B157:H157"/>
    <mergeCell ref="B158:H158"/>
    <mergeCell ref="A153:H153"/>
    <mergeCell ref="A141:B141"/>
    <mergeCell ref="A142:B142"/>
    <mergeCell ref="D57:H57"/>
    <mergeCell ref="C51:E51"/>
    <mergeCell ref="B164:H164"/>
    <mergeCell ref="A109:H109"/>
    <mergeCell ref="A114:B114"/>
    <mergeCell ref="A127:B127"/>
    <mergeCell ref="L128:M128"/>
    <mergeCell ref="G122:H128"/>
    <mergeCell ref="A135:B135"/>
    <mergeCell ref="L113:M113"/>
    <mergeCell ref="L112:M112"/>
    <mergeCell ref="L111:M111"/>
    <mergeCell ref="L110:M110"/>
    <mergeCell ref="A133:B133"/>
    <mergeCell ref="G130:H136"/>
    <mergeCell ref="L114:M114"/>
    <mergeCell ref="A115:B115"/>
    <mergeCell ref="L115:M115"/>
    <mergeCell ref="A116:B116"/>
    <mergeCell ref="L116:M116"/>
    <mergeCell ref="G110:H116"/>
    <mergeCell ref="A120:H120"/>
    <mergeCell ref="L127:M127"/>
    <mergeCell ref="A128:B128"/>
    <mergeCell ref="L129:M129"/>
    <mergeCell ref="L125:M125"/>
    <mergeCell ref="L122:M122"/>
    <mergeCell ref="L123:M123"/>
    <mergeCell ref="L124:M124"/>
    <mergeCell ref="I10:L10"/>
    <mergeCell ref="B165:H165"/>
    <mergeCell ref="L145:M145"/>
    <mergeCell ref="A146:B146"/>
    <mergeCell ref="G146:H152"/>
    <mergeCell ref="A147:B147"/>
    <mergeCell ref="A148:B148"/>
    <mergeCell ref="A149:B149"/>
    <mergeCell ref="A150:B150"/>
    <mergeCell ref="C150:F151"/>
    <mergeCell ref="A151:B151"/>
    <mergeCell ref="A152:B152"/>
    <mergeCell ref="L137:M137"/>
    <mergeCell ref="A138:B138"/>
    <mergeCell ref="G138:H144"/>
    <mergeCell ref="A139:B139"/>
    <mergeCell ref="A140:B140"/>
  </mergeCells>
  <hyperlinks>
    <hyperlink ref="C39" r:id="rId1"/>
    <hyperlink ref="I105" r:id="rId2"/>
    <hyperlink ref="I104" r:id="rId3"/>
    <hyperlink ref="I103" r:id="rId4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5"/>
  <headerFooter>
    <oddHeader>&amp;C&amp;G</oddHeader>
    <oddFooter>&amp;L&amp;"Times New Roman,Bold"&amp;12Ref No: &amp;F&amp;C&amp;G&amp;R&amp;"Times New Roman,Bold"&amp;12&amp;P</oddFooter>
  </headerFooter>
  <rowBreaks count="3" manualBreakCount="3">
    <brk id="178" max="16383" man="1"/>
    <brk id="222" max="16383" man="1"/>
    <brk id="266" max="16383" man="1"/>
  </row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G24" sqref="G24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6" t="s">
        <v>110</v>
      </c>
      <c r="C3" s="196"/>
      <c r="D3" s="196"/>
      <c r="E3" s="196"/>
      <c r="F3" s="196"/>
      <c r="G3" s="196"/>
      <c r="H3" s="196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2025-04-11T10:59:22Z</cp:lastPrinted>
  <dcterms:created xsi:type="dcterms:W3CDTF">2019-07-16T09:29:46Z</dcterms:created>
  <dcterms:modified xsi:type="dcterms:W3CDTF">2025-07-10T14:43:07Z</dcterms:modified>
</cp:coreProperties>
</file>