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Report (2)" sheetId="1" r:id="rId1"/>
    <sheet name="B1%" sheetId="2" r:id="rId2"/>
    <sheet name="B2%" sheetId="4" r:id="rId3"/>
    <sheet name="Note" sheetId="5" r:id="rId4"/>
    <sheet name="Valuation" sheetId="6" r:id="rId5"/>
    <sheet name="Flat detail" sheetId="3" r:id="rId6"/>
  </sheets>
  <definedNames>
    <definedName name="_xlnm.Print_Area" localSheetId="0">'Report (2)'!$A$1:$J$287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D187" i="1"/>
  <c r="G187" i="1" s="1"/>
  <c r="D181" i="1"/>
  <c r="G181" i="1" s="1"/>
  <c r="D120" i="1" l="1"/>
  <c r="D193" i="1" l="1"/>
  <c r="D192" i="1"/>
  <c r="D191" i="1"/>
  <c r="D190" i="1"/>
  <c r="D189" i="1"/>
  <c r="D186" i="1"/>
  <c r="G186" i="1" s="1"/>
  <c r="D185" i="1"/>
  <c r="G185" i="1" s="1"/>
  <c r="D184" i="1"/>
  <c r="G184" i="1" s="1"/>
  <c r="D183" i="1"/>
  <c r="G183" i="1" s="1"/>
  <c r="I183" i="1"/>
  <c r="D180" i="1"/>
  <c r="D179" i="1"/>
  <c r="D178" i="1"/>
  <c r="D177" i="1"/>
  <c r="D174" i="1"/>
  <c r="D173" i="1"/>
  <c r="D175" i="1"/>
  <c r="D172" i="1"/>
  <c r="D171" i="1"/>
  <c r="D169" i="1"/>
  <c r="D166" i="1"/>
  <c r="D165" i="1"/>
  <c r="C109" i="1" l="1"/>
  <c r="D109" i="1"/>
  <c r="C110" i="1"/>
  <c r="D110" i="1"/>
  <c r="I165" i="1"/>
  <c r="D159" i="1"/>
  <c r="D158" i="1"/>
  <c r="D157" i="1"/>
  <c r="D156" i="1"/>
  <c r="D155" i="1"/>
  <c r="D152" i="1"/>
  <c r="G152" i="1" s="1"/>
  <c r="D151" i="1"/>
  <c r="G151" i="1" s="1"/>
  <c r="D150" i="1"/>
  <c r="G150" i="1" s="1"/>
  <c r="D149" i="1"/>
  <c r="G149" i="1" s="1"/>
  <c r="D146" i="1"/>
  <c r="D145" i="1"/>
  <c r="D144" i="1"/>
  <c r="D143" i="1"/>
  <c r="I149" i="1"/>
  <c r="D141" i="1"/>
  <c r="D140" i="1"/>
  <c r="D139" i="1"/>
  <c r="D138" i="1"/>
  <c r="D137" i="1"/>
  <c r="D108" i="1" l="1"/>
  <c r="C108" i="1"/>
  <c r="D135" i="1"/>
  <c r="D134" i="1"/>
  <c r="D133" i="1"/>
  <c r="D132" i="1"/>
  <c r="D131" i="1"/>
  <c r="G141" i="1"/>
  <c r="G140" i="1"/>
  <c r="G139" i="1"/>
  <c r="G138" i="1"/>
  <c r="I137" i="1"/>
  <c r="G137" i="1"/>
  <c r="I117" i="1"/>
  <c r="D128" i="1"/>
  <c r="D126" i="1"/>
  <c r="C107" i="1" l="1"/>
  <c r="C111" i="1" s="1"/>
  <c r="D107" i="1"/>
  <c r="D111" i="1" s="1"/>
  <c r="C65" i="1"/>
  <c r="L83" i="1" l="1"/>
  <c r="L82" i="1"/>
  <c r="L81" i="1"/>
  <c r="L80" i="1"/>
  <c r="L69" i="1"/>
  <c r="L68" i="1"/>
  <c r="L67" i="1"/>
  <c r="L66" i="1"/>
  <c r="I59" i="1"/>
  <c r="I73" i="1"/>
  <c r="D78" i="1" l="1"/>
  <c r="D81" i="1"/>
  <c r="D83" i="1"/>
  <c r="L77" i="1"/>
  <c r="C76" i="1" s="1"/>
  <c r="D76" i="1" s="1"/>
  <c r="D82" i="1"/>
  <c r="L76" i="1"/>
  <c r="L78" i="1"/>
  <c r="L79" i="1" s="1"/>
  <c r="L84" i="1" s="1"/>
  <c r="L85" i="1" s="1"/>
  <c r="C77" i="1" s="1"/>
  <c r="D84" i="1"/>
  <c r="D80" i="1"/>
  <c r="D85" i="1"/>
  <c r="D79" i="1"/>
  <c r="L75" i="1"/>
  <c r="D71" i="1"/>
  <c r="D65" i="1"/>
  <c r="L61" i="1"/>
  <c r="L64" i="1"/>
  <c r="L65" i="1" s="1"/>
  <c r="L70" i="1" s="1"/>
  <c r="L71" i="1" s="1"/>
  <c r="C63" i="1" s="1"/>
  <c r="D70" i="1"/>
  <c r="D69" i="1"/>
  <c r="L63" i="1"/>
  <c r="C62" i="1" s="1"/>
  <c r="D68" i="1"/>
  <c r="D64" i="1"/>
  <c r="L62" i="1"/>
  <c r="D67" i="1"/>
  <c r="D66" i="1"/>
  <c r="G11" i="6"/>
  <c r="G10" i="6"/>
  <c r="G9" i="6"/>
  <c r="G8" i="6"/>
  <c r="G7" i="6"/>
  <c r="G6" i="6"/>
  <c r="G5" i="6"/>
  <c r="G12" i="6" s="1"/>
  <c r="F76" i="1" l="1"/>
  <c r="K72" i="1" s="1"/>
  <c r="C74" i="1" s="1"/>
  <c r="D77" i="1"/>
  <c r="H76" i="1"/>
  <c r="F62" i="1"/>
  <c r="D63" i="1"/>
  <c r="H62" i="1"/>
  <c r="D62" i="1"/>
  <c r="G15" i="4"/>
  <c r="G16" i="4" s="1"/>
  <c r="C15" i="4" s="1"/>
  <c r="B7" i="4"/>
  <c r="H15" i="4" s="1"/>
  <c r="B16" i="4" s="1"/>
  <c r="D6" i="4"/>
  <c r="C5" i="4"/>
  <c r="B12" i="4" s="1"/>
  <c r="K58" i="1" l="1"/>
  <c r="C60" i="1" s="1"/>
  <c r="B9" i="4"/>
  <c r="J16" i="4" s="1"/>
  <c r="C18" i="4" s="1"/>
  <c r="B15" i="4"/>
  <c r="B11" i="4"/>
  <c r="L15" i="4" s="1"/>
  <c r="B20" i="4" s="1"/>
  <c r="D12" i="4"/>
  <c r="M16" i="4"/>
  <c r="C21" i="4" s="1"/>
  <c r="M15" i="4"/>
  <c r="B21" i="4" s="1"/>
  <c r="H16" i="4"/>
  <c r="C16" i="4" s="1"/>
  <c r="L16" i="4"/>
  <c r="C20" i="4" s="1"/>
  <c r="D7" i="4"/>
  <c r="D9" i="4"/>
  <c r="D11" i="4"/>
  <c r="J15" i="4"/>
  <c r="B18" i="4" s="1"/>
  <c r="B8" i="4"/>
  <c r="B10" i="4"/>
  <c r="K175" i="1"/>
  <c r="K174" i="1"/>
  <c r="K173" i="1"/>
  <c r="K172" i="1"/>
  <c r="K171" i="1"/>
  <c r="K159" i="1"/>
  <c r="K158" i="1"/>
  <c r="K157" i="1"/>
  <c r="K156" i="1"/>
  <c r="K155" i="1"/>
  <c r="K16" i="4" l="1"/>
  <c r="C19" i="4" s="1"/>
  <c r="D10" i="4"/>
  <c r="K15" i="4"/>
  <c r="B19" i="4" s="1"/>
  <c r="D8" i="4"/>
  <c r="I16" i="4"/>
  <c r="C17" i="4" s="1"/>
  <c r="I15" i="4"/>
  <c r="B17" i="4" s="1"/>
  <c r="D122" i="1"/>
  <c r="D118" i="1"/>
  <c r="D117" i="1"/>
  <c r="C13" i="1"/>
  <c r="C22" i="4" l="1"/>
  <c r="B22" i="4"/>
  <c r="G180" i="1"/>
  <c r="G179" i="1"/>
  <c r="G178" i="1"/>
  <c r="G177" i="1"/>
  <c r="A176" i="1"/>
  <c r="I177" i="1" s="1"/>
  <c r="I189" i="1"/>
  <c r="G193" i="1"/>
  <c r="G192" i="1"/>
  <c r="G191" i="1"/>
  <c r="G190" i="1"/>
  <c r="G189" i="1"/>
  <c r="I171" i="1"/>
  <c r="L171" i="1"/>
  <c r="G135" i="1"/>
  <c r="G166" i="1"/>
  <c r="G165" i="1"/>
  <c r="I143" i="1"/>
  <c r="G146" i="1"/>
  <c r="G145" i="1"/>
  <c r="G144" i="1"/>
  <c r="G143" i="1"/>
  <c r="G132" i="1"/>
  <c r="I155" i="1"/>
  <c r="I131" i="1"/>
  <c r="G134" i="1"/>
  <c r="G133" i="1"/>
  <c r="G131" i="1"/>
  <c r="G128" i="1"/>
  <c r="G126" i="1"/>
  <c r="D125" i="1"/>
  <c r="G125" i="1" s="1"/>
  <c r="D124" i="1"/>
  <c r="G124" i="1" s="1"/>
  <c r="G122" i="1"/>
  <c r="G120" i="1"/>
  <c r="G118" i="1"/>
  <c r="G117" i="1"/>
  <c r="F40" i="1"/>
  <c r="B7" i="2"/>
  <c r="G108" i="1" l="1"/>
  <c r="D104" i="1"/>
  <c r="G169" i="1"/>
  <c r="G172" i="1"/>
  <c r="L172" i="1"/>
  <c r="G155" i="1"/>
  <c r="L155" i="1"/>
  <c r="G173" i="1"/>
  <c r="L173" i="1"/>
  <c r="G157" i="1"/>
  <c r="L157" i="1"/>
  <c r="G156" i="1"/>
  <c r="L156" i="1"/>
  <c r="G174" i="1"/>
  <c r="L174" i="1"/>
  <c r="G158" i="1"/>
  <c r="L158" i="1"/>
  <c r="G159" i="1"/>
  <c r="L159" i="1"/>
  <c r="G171" i="1"/>
  <c r="G110" i="1" s="1"/>
  <c r="G175" i="1"/>
  <c r="L175" i="1"/>
  <c r="G104" i="1"/>
  <c r="C104" i="1"/>
  <c r="G15" i="2"/>
  <c r="G16" i="2" s="1"/>
  <c r="C15" i="2" s="1"/>
  <c r="H15" i="2"/>
  <c r="B16" i="2" s="1"/>
  <c r="D6" i="2"/>
  <c r="C5" i="2"/>
  <c r="B12" i="2" s="1"/>
  <c r="D208" i="1"/>
  <c r="G101" i="1"/>
  <c r="F41" i="1"/>
  <c r="D54" i="1" s="1"/>
  <c r="F7" i="1"/>
  <c r="B15" i="2" l="1"/>
  <c r="G109" i="1"/>
  <c r="G107" i="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G111" i="1" l="1"/>
  <c r="D11" i="2"/>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<sst xmlns="http://schemas.openxmlformats.org/spreadsheetml/2006/main" count="630" uniqueCount="298">
  <si>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</si>
  <si>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</si>
  <si>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</si>
  <si>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</si>
  <si>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</si>
  <si>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</si>
  <si>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</si>
  <si>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</si>
  <si>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</si>
  <si>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</si>
  <si>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</si>
  <si>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</si>
  <si>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</si>
  <si>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</si>
  <si>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</si>
  <si>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</si>
  <si>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</si>
  <si>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</si>
  <si>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</si>
  <si>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</si>
  <si>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</si>
  <si>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</si>
  <si>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</si>
  <si>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</si>
  <si>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</si>
  <si>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</si>
  <si>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</si>
  <si>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</si>
  <si>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</si>
  <si>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</si>
  <si>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</si>
  <si>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</si>
  <si>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</si>
  <si>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</si>
  <si>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</si>
  <si>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</si>
  <si>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</si>
  <si>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</si>
  <si>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</si>
  <si>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</si>
  <si>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</si>
  <si>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</si>
  <si>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</si>
  <si>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</si>
  <si>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</si>
  <si>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</si>
  <si>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</si>
  <si>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</si>
  <si>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</si>
  <si>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</si>
  <si>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</si>
  <si>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</si>
  <si>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</si>
  <si>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</si>
  <si>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</si>
  <si>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</si>
  <si>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</si>
  <si>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</si>
  <si>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</si>
  <si>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</si>
  <si>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</si>
  <si>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</si>
  <si>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</si>
  <si>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</si>
  <si>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</si>
  <si>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</si>
  <si>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Type of Work</t>
  </si>
  <si>
    <t>Plinth</t>
  </si>
  <si>
    <t>RCC</t>
  </si>
  <si>
    <t>Plaster</t>
  </si>
  <si>
    <t>Flooring</t>
  </si>
  <si>
    <t>Finishing</t>
  </si>
  <si>
    <t>Violations Observed if any : NA</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</si>
  <si>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</si>
  <si>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</si>
  <si>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</si>
  <si>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</si>
  <si>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</si>
  <si>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</si>
  <si>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</si>
  <si>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</si>
  <si>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</si>
  <si>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</si>
  <si>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</si>
  <si>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</si>
  <si>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</si>
  <si>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</si>
  <si>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</si>
  <si>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</si>
  <si>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</si>
  <si>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</si>
  <si>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</si>
  <si>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</si>
  <si>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</si>
  <si>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</si>
  <si>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</si>
  <si>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</si>
  <si>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</si>
  <si>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</si>
  <si>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</si>
  <si>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</si>
  <si>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</si>
  <si>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</si>
  <si>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</si>
  <si>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</si>
  <si>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</si>
  <si>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</si>
  <si>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</si>
  <si>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</si>
  <si>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</si>
  <si>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</si>
  <si>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</si>
  <si>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</si>
  <si>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</si>
  <si>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</si>
  <si>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</si>
  <si>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</si>
  <si>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</si>
  <si>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</si>
  <si>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</si>
  <si>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</si>
  <si>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</si>
  <si>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</si>
  <si>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</si>
  <si>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</si>
  <si>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</si>
  <si>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</si>
  <si>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</si>
  <si>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</si>
  <si>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</si>
  <si>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</si>
  <si>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</si>
  <si>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</si>
  <si>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</si>
  <si>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</si>
  <si>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</si>
  <si>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</si>
  <si>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</si>
  <si>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</si>
  <si>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</si>
  <si>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</si>
  <si>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</si>
  <si>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</si>
  <si>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</si>
  <si>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</si>
  <si>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</si>
  <si>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</si>
  <si>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</si>
  <si>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</si>
  <si>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</si>
  <si>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</si>
  <si>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</si>
  <si>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</si>
  <si>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</si>
  <si>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</si>
  <si>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</si>
  <si>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</si>
  <si>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</si>
  <si>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</si>
  <si>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</si>
  <si>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</si>
  <si>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</si>
  <si>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</si>
  <si>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</si>
  <si>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</si>
  <si>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</si>
  <si>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</si>
  <si>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</si>
  <si>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</si>
  <si>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</si>
  <si>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</si>
  <si>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</si>
  <si>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</si>
  <si>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</si>
  <si>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</si>
  <si>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</si>
  <si>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</si>
  <si>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</si>
  <si>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M/s.Metro Dream Homes</t>
  </si>
  <si>
    <t>Paramount</t>
  </si>
  <si>
    <t>P51700021343</t>
  </si>
  <si>
    <t>Survey No</t>
  </si>
  <si>
    <t>Kalyan - Shilphata Road</t>
  </si>
  <si>
    <t>Village</t>
  </si>
  <si>
    <t>Dighar</t>
  </si>
  <si>
    <t>Nilaje</t>
  </si>
  <si>
    <t>Thane</t>
  </si>
  <si>
    <t>Bhoomi Lawns</t>
  </si>
  <si>
    <t>Open Space</t>
  </si>
  <si>
    <t>Building No.1</t>
  </si>
  <si>
    <t>Shop</t>
  </si>
  <si>
    <t>MHADA</t>
  </si>
  <si>
    <t>Sale</t>
  </si>
  <si>
    <t>1 BHK</t>
  </si>
  <si>
    <t>2 BHK</t>
  </si>
  <si>
    <t>Refuge Area</t>
  </si>
  <si>
    <t>Building No. 2</t>
  </si>
  <si>
    <t>3rd to 6th Floor</t>
  </si>
  <si>
    <t>Building No. 1</t>
  </si>
  <si>
    <t>No. of Shops</t>
  </si>
  <si>
    <t>No. of Flats</t>
  </si>
  <si>
    <t>Residential + Commercial</t>
  </si>
  <si>
    <t>Material laying at Site: Bricks, Cement &amp; Steel etc.</t>
  </si>
  <si>
    <t>Wheather the construction is as per approved Building plan : Under Construction</t>
  </si>
  <si>
    <t>Shop (Duplex)</t>
  </si>
  <si>
    <t>Ground &amp; 1st/Mezzanine Floor is for Parking &amp; Commercial.</t>
  </si>
  <si>
    <t xml:space="preserve"> </t>
  </si>
  <si>
    <t>Development charges</t>
  </si>
  <si>
    <t>Any Other amenity Charges</t>
  </si>
  <si>
    <t>Legal Charges</t>
  </si>
  <si>
    <t>Water &amp; Electricity Meter Connection Charges</t>
  </si>
  <si>
    <t>Club House Corpus</t>
  </si>
  <si>
    <r>
      <t xml:space="preserve">Proposed Amenities:                                                                                                                                                                                                                      </t>
    </r>
    <r>
      <rPr>
        <sz val="12"/>
        <rFont val="Times New Roman"/>
        <family val="1"/>
      </rPr>
      <t xml:space="preserve">   </t>
    </r>
    <r>
      <rPr>
        <b/>
        <sz val="12"/>
        <rFont val="Times New Roman"/>
        <family val="1"/>
      </rPr>
      <t xml:space="preserve">                                               </t>
    </r>
  </si>
  <si>
    <t>Pratiksha</t>
  </si>
  <si>
    <t>Market Research Data</t>
  </si>
  <si>
    <t>Source</t>
  </si>
  <si>
    <t>Distance from proposed property</t>
  </si>
  <si>
    <t>Net Carpet</t>
  </si>
  <si>
    <t>Saleable Area</t>
  </si>
  <si>
    <t>Rate on Saleable</t>
  </si>
  <si>
    <t>Market Value</t>
  </si>
  <si>
    <t>Housing</t>
  </si>
  <si>
    <t>Proptiger</t>
  </si>
  <si>
    <t>Magic Brick</t>
  </si>
  <si>
    <t>99 Acres</t>
  </si>
  <si>
    <t>Average</t>
  </si>
  <si>
    <t xml:space="preserve">Valuation Adopted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</si>
  <si>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</si>
  <si>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</si>
  <si>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</si>
  <si>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</si>
  <si>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</si>
  <si>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</si>
  <si>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</si>
  <si>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</si>
  <si>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</si>
  <si>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</si>
  <si>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</si>
  <si>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</si>
  <si>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</si>
  <si>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</si>
  <si>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</si>
  <si>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</si>
  <si>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</si>
  <si>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</si>
  <si>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</si>
  <si>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</si>
  <si>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</si>
  <si>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</si>
  <si>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</si>
  <si>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</si>
  <si>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</si>
  <si>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PLC charges for 13th and above Floors</t>
  </si>
  <si>
    <t>6 Km from Nilaje Railway Station</t>
  </si>
  <si>
    <t>19, at Village shil and Survey no. 91/1, 91/2, 93 at village Diaghar</t>
  </si>
  <si>
    <t>2 Buidings</t>
  </si>
  <si>
    <t>Buiding No.1 &amp; 2</t>
  </si>
  <si>
    <t>V.P.No.S11/0186/18</t>
  </si>
  <si>
    <t>V.P.No.S11/0186/18
Revised/TMC/TDD/3816/21</t>
  </si>
  <si>
    <t xml:space="preserve">Approved Floor plan No.
(Building No.1)  </t>
  </si>
  <si>
    <t>V.P.No.S11/0186/18 Revised/TMC/TDD/3816/21
Gr/Stilt + 1st Floor/Mezzanine + 2nd to 35th Floor</t>
  </si>
  <si>
    <t>Commencement Certificate No. (Building No.1)
Valid Upto</t>
  </si>
  <si>
    <t>Approved Floor plan No. (Building No.2)</t>
  </si>
  <si>
    <t>V.P.No.S11/0186/18 Revised/TMC/TDD/4109/22</t>
  </si>
  <si>
    <t xml:space="preserve">Commencement Certificate No. 
(Building No.2)
</t>
  </si>
  <si>
    <t>V.P.No.S11/0186/18/TMC/TDD/4109/22
Building No.2 = Gr/Stilt + 1st to 12th Floor</t>
  </si>
  <si>
    <t>Building No. 1 - G + 1st Floor/Mezzanine + 2nd to 35th Floor
Building No. 2 - G + 1st &amp; 2nd Floor + 3rd to 35th Floor</t>
  </si>
  <si>
    <t>2nd Floor</t>
  </si>
  <si>
    <t>7th Floor (Part Refuge Area)</t>
  </si>
  <si>
    <t>11th, 16th, 21st, 26th &amp; 31st Floor (Part Refuge Area)</t>
  </si>
  <si>
    <t>8th to 10th, 12th to 15th, 17th to 20th, 22nd to 25th, 27th to 30th &amp; 32nd to 35th Floor</t>
  </si>
  <si>
    <t>1st &amp; 2nd Basement Floor is for Parking</t>
  </si>
  <si>
    <t>Upper Basement Floor is for Parking</t>
  </si>
  <si>
    <t>Ground Floor for Parking</t>
  </si>
  <si>
    <t>1st &amp; 2nd Floor for Residential &amp; Amenties</t>
  </si>
  <si>
    <t>Amenties</t>
  </si>
  <si>
    <t>-</t>
  </si>
  <si>
    <t>3rd to 6th, 8th &amp; 9th Floor</t>
  </si>
  <si>
    <t>10th, 12th to 15th, 17th to 20th, 22nd to 25th, 27th to 30th &amp; 32nd to 35th Floor</t>
  </si>
  <si>
    <t>Mhada</t>
  </si>
  <si>
    <t>Sale Flats = 307 
Mhada Flats = 28 &amp;
Shop = 08</t>
  </si>
  <si>
    <t>Projected life : 60 Years After Completion</t>
  </si>
  <si>
    <t>Location Link</t>
  </si>
  <si>
    <t>https://goo.gl/maps/B78Ytms3Ghj1z4AA7</t>
  </si>
  <si>
    <t>5500 to 5700</t>
  </si>
  <si>
    <t>smith</t>
  </si>
  <si>
    <t>Floor Rise Per Sq. Ft. ( on Saleable area) from 11th Floor</t>
  </si>
  <si>
    <t>added by smith 06/01/2024</t>
  </si>
  <si>
    <t>5700 to 6000</t>
  </si>
  <si>
    <t xml:space="preserve">viraj </t>
  </si>
  <si>
    <t xml:space="preserve">added by smith 06/01/2024 &amp; 27/03/2024 </t>
  </si>
  <si>
    <t>V.P.No.S11/0186/18/TMC/TDD/4310/23
Building No.2 = 13th to 35th Floor</t>
  </si>
  <si>
    <t>Building No. 1 - G + 1st Floor/Mezzanine + 2nd to 35th Floor</t>
  </si>
  <si>
    <t>Building No. 2 - G + 1st &amp; 2nd Floor + 3rd to 35th Floors</t>
  </si>
  <si>
    <t>Shruti Tathare</t>
  </si>
  <si>
    <t>1. Building No. 1 = Finishing work is in Process.
    Building No. 2 = Construction work was in process at the time of visit. Internal visit was not allowed. (Slow Speed)
2. We considered Saleable area as per our calculation.
3. We considered Carpet area as per Approved Plan.
4. We considered Gross carpet area = Net carpet + Enclose balcony + C.B Area + Chajja.
5. We have considered rate by verifying it from market inquire.
6. We have considered Other charges from cost sheet.
7. Car parking is subjected to authentic documentation.
8. On site, we meet Mr. Pravin : 8425887712.
9. We have updated revised approved Floor plans &amp; CC of Building No. 1 &amp; 2 (on 29/10/2022)
10. Recommended Rates/Other Charges of the Property have been revised on 31/12/2023 &amp; 23/03/2024.
11. We have updated latest CC from Rera for Building No.2 (dtd.25/04/2024).</t>
  </si>
  <si>
    <t>Mangesh Bapardekar</t>
  </si>
  <si>
    <t>Office No. 1031, Wing J, Akshar Business Park, Plot No. 03 Sector 25, Near APMC Market, Vashi,
Navi Mumbai, Maharashtra 400703 TEL: 022-46090378/79/80
E mail : vsjcapf@gmail.com. Web site : www.vsjadon.com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</si>
</sst>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sz val="11"/>
      <color theme="1"/>
      <name val="Times New Roman"/>
      <family val="1"/>
    </font>
    <font>
      <b/>
      <sz val="11"/>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4" fillId="0" borderId="0" applyNumberFormat="0" applyFill="0" applyBorder="0" applyAlignment="0" applyProtection="0"/>
  </cellStyleXfs>
  <cellXfs count="250">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8" fillId="0" borderId="0" xfId="1" applyFont="1"/>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2" borderId="4" xfId="0" applyFont="1" applyFill="1" applyBorder="1"/>
    <xf numFmtId="0" fontId="17" fillId="0" borderId="4" xfId="0" applyFont="1" applyBorder="1" applyAlignment="1">
      <alignment horizontal="center"/>
    </xf>
    <xf numFmtId="0" fontId="17" fillId="2"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 fontId="8" fillId="0" borderId="0" xfId="1" applyNumberFormat="1" applyFont="1" applyAlignment="1">
      <alignment horizontal="center" vertical="center"/>
    </xf>
    <xf numFmtId="0" fontId="7" fillId="0" borderId="4" xfId="1" applyFont="1" applyBorder="1" applyAlignment="1">
      <alignment horizontal="center" vertical="center"/>
    </xf>
    <xf numFmtId="14" fontId="6" fillId="0" borderId="0" xfId="5" applyNumberFormat="1"/>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 fillId="0" borderId="4" xfId="6" applyBorder="1" applyAlignment="1">
      <alignment horizontal="left" vertical="center" wrapText="1"/>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0" fontId="8" fillId="0" borderId="0" xfId="1" applyFont="1" applyProtection="1">
      <protection hidden="1"/>
    </xf>
    <xf numFmtId="0" fontId="17" fillId="0" borderId="0" xfId="0" applyFont="1" applyProtection="1">
      <protection hidden="1"/>
    </xf>
    <xf numFmtId="1" fontId="0" fillId="0" borderId="0" xfId="0" applyNumberFormat="1"/>
    <xf numFmtId="1" fontId="0" fillId="0" borderId="0" xfId="0" applyNumberFormat="1" applyAlignment="1">
      <alignment horizontal="right"/>
    </xf>
    <xf numFmtId="0" fontId="7" fillId="0" borderId="4" xfId="1" applyFont="1" applyBorder="1" applyAlignment="1">
      <alignment horizontal="left" vertical="top"/>
    </xf>
    <xf numFmtId="0" fontId="7" fillId="0" borderId="4" xfId="1" applyFont="1" applyBorder="1" applyAlignment="1">
      <alignment horizontal="center" vertical="top"/>
    </xf>
    <xf numFmtId="0" fontId="14" fillId="0" borderId="4" xfId="1" applyFont="1" applyBorder="1" applyAlignment="1" applyProtection="1">
      <alignment horizontal="center" vertical="top"/>
      <protection locked="0"/>
    </xf>
    <xf numFmtId="1" fontId="7" fillId="0" borderId="1" xfId="1" applyNumberFormat="1" applyFont="1" applyBorder="1" applyAlignment="1">
      <alignment horizontal="center" vertical="center" wrapText="1"/>
    </xf>
    <xf numFmtId="0" fontId="14" fillId="0" borderId="19"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7" fillId="0" borderId="4" xfId="1" applyFont="1" applyBorder="1" applyAlignment="1">
      <alignment vertical="top"/>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4" xfId="1" applyFont="1" applyBorder="1" applyAlignment="1" applyProtection="1">
      <alignment horizontal="center" wrapText="1"/>
      <protection locked="0"/>
    </xf>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22" fillId="0" borderId="0" xfId="0" applyFont="1"/>
    <xf numFmtId="1" fontId="7" fillId="0" borderId="4" xfId="0" applyNumberFormat="1" applyFont="1" applyBorder="1" applyAlignment="1">
      <alignment horizontal="center" vertical="center" wrapText="1"/>
    </xf>
    <xf numFmtId="14" fontId="8" fillId="0" borderId="0" xfId="1" applyNumberFormat="1" applyFont="1"/>
    <xf numFmtId="0" fontId="7" fillId="0" borderId="8" xfId="1" applyFont="1" applyBorder="1" applyAlignment="1">
      <alignment horizontal="left" vertical="top" wrapText="1"/>
    </xf>
    <xf numFmtId="0" fontId="7" fillId="0" borderId="10" xfId="1" applyFont="1" applyBorder="1" applyAlignment="1">
      <alignment horizontal="left" vertical="top" wrapText="1"/>
    </xf>
    <xf numFmtId="0" fontId="7" fillId="0" borderId="1" xfId="1" applyFont="1" applyBorder="1" applyAlignment="1">
      <alignment horizontal="left" vertical="top"/>
    </xf>
    <xf numFmtId="0" fontId="7" fillId="0" borderId="3" xfId="1" applyFont="1" applyBorder="1" applyAlignment="1">
      <alignment horizontal="left" vertical="top"/>
    </xf>
    <xf numFmtId="0" fontId="24" fillId="0" borderId="1" xfId="8" applyBorder="1" applyAlignment="1">
      <alignment horizontal="left" vertical="top"/>
    </xf>
    <xf numFmtId="0" fontId="7" fillId="0" borderId="2" xfId="1" applyFont="1" applyBorder="1" applyAlignment="1">
      <alignment horizontal="left" vertical="top"/>
    </xf>
    <xf numFmtId="1" fontId="7" fillId="0" borderId="5"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0" fontId="7" fillId="0" borderId="1" xfId="1" applyFont="1" applyBorder="1" applyAlignment="1">
      <alignment horizontal="center" vertical="top"/>
    </xf>
    <xf numFmtId="0" fontId="7" fillId="0" borderId="3" xfId="1" applyFont="1" applyBorder="1" applyAlignment="1">
      <alignment horizontal="center" vertical="top"/>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7" fillId="0" borderId="1" xfId="1" applyFont="1" applyBorder="1" applyAlignment="1">
      <alignment horizontal="left" vertical="top" wrapText="1"/>
    </xf>
    <xf numFmtId="0" fontId="7" fillId="0" borderId="3" xfId="1" applyFont="1" applyBorder="1" applyAlignment="1">
      <alignment horizontal="left" vertical="top" wrapText="1"/>
    </xf>
    <xf numFmtId="14" fontId="7" fillId="0" borderId="1" xfId="1" applyNumberFormat="1" applyFont="1" applyBorder="1" applyAlignment="1">
      <alignment horizontal="left" vertical="top"/>
    </xf>
    <xf numFmtId="0" fontId="7" fillId="0" borderId="2" xfId="1" applyFont="1" applyBorder="1" applyAlignment="1">
      <alignment horizontal="left" vertical="top" wrapText="1"/>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9" fontId="14" fillId="0" borderId="4" xfId="1" applyNumberFormat="1" applyFont="1" applyBorder="1" applyAlignment="1" applyProtection="1">
      <alignment horizontal="center" vertical="center" wrapText="1"/>
      <protection hidden="1"/>
    </xf>
    <xf numFmtId="0" fontId="14" fillId="0" borderId="19"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19" fillId="0" borderId="4" xfId="1" applyFont="1" applyFill="1" applyBorder="1" applyAlignment="1">
      <alignment horizontal="center" vertical="top" wrapText="1"/>
    </xf>
    <xf numFmtId="0" fontId="7"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8"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6" xfId="1" applyFont="1" applyBorder="1" applyAlignment="1">
      <alignment horizontal="left" vertical="top" wrapText="1"/>
    </xf>
    <xf numFmtId="0" fontId="7" fillId="0" borderId="9"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14" fontId="7" fillId="0" borderId="4" xfId="1" applyNumberFormat="1" applyFont="1" applyBorder="1" applyAlignment="1">
      <alignment horizontal="center" vertical="top"/>
    </xf>
    <xf numFmtId="0" fontId="7" fillId="0" borderId="4" xfId="1" applyFont="1" applyBorder="1" applyAlignment="1">
      <alignment horizontal="center" vertical="top"/>
    </xf>
    <xf numFmtId="0" fontId="8" fillId="0" borderId="3" xfId="1" applyFont="1" applyBorder="1" applyAlignment="1">
      <alignment horizontal="left"/>
    </xf>
    <xf numFmtId="14" fontId="14" fillId="0" borderId="1" xfId="1" applyNumberFormat="1" applyFont="1" applyBorder="1" applyAlignment="1">
      <alignment horizontal="left" vertical="top"/>
    </xf>
    <xf numFmtId="165" fontId="7" fillId="0" borderId="1" xfId="1" applyNumberFormat="1" applyFont="1" applyBorder="1" applyAlignment="1">
      <alignment horizontal="left" vertical="top" wrapText="1"/>
    </xf>
    <xf numFmtId="165" fontId="7" fillId="0" borderId="2" xfId="1" applyNumberFormat="1" applyFont="1" applyBorder="1" applyAlignment="1">
      <alignment horizontal="left" vertical="top" wrapText="1"/>
    </xf>
    <xf numFmtId="165" fontId="7" fillId="0" borderId="3" xfId="1" applyNumberFormat="1" applyFont="1" applyBorder="1" applyAlignment="1">
      <alignment horizontal="left" vertical="top" wrapText="1"/>
    </xf>
    <xf numFmtId="14" fontId="7" fillId="0" borderId="1" xfId="1" applyNumberFormat="1" applyFont="1" applyBorder="1" applyAlignment="1">
      <alignment horizontal="left" vertical="top" wrapText="1"/>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center"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4" fillId="0" borderId="4" xfId="1" applyFont="1" applyBorder="1" applyAlignment="1" applyProtection="1">
      <alignment horizontal="center" vertical="top"/>
      <protection locked="0"/>
    </xf>
    <xf numFmtId="0" fontId="14" fillId="0" borderId="20" xfId="1" applyFont="1" applyBorder="1" applyAlignment="1" applyProtection="1">
      <alignment horizontal="center" vertical="top"/>
      <protection locked="0"/>
    </xf>
    <xf numFmtId="0" fontId="15" fillId="0" borderId="19"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4" fillId="0" borderId="21"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20"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14" fillId="0" borderId="23" xfId="1" applyFont="1" applyBorder="1" applyAlignment="1" applyProtection="1">
      <alignment horizontal="center" vertical="top" wrapText="1"/>
      <protection locked="0"/>
    </xf>
    <xf numFmtId="9" fontId="14" fillId="0" borderId="24" xfId="1" applyNumberFormat="1" applyFont="1" applyBorder="1" applyAlignment="1" applyProtection="1">
      <alignment horizontal="center" vertical="center" wrapText="1"/>
      <protection hidden="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7" fillId="0" borderId="13" xfId="1" applyNumberFormat="1" applyFont="1" applyBorder="1" applyAlignment="1">
      <alignment horizontal="center" vertical="center" wrapText="1"/>
    </xf>
    <xf numFmtId="1" fontId="7" fillId="0" borderId="14" xfId="1"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4" fillId="0" borderId="4" xfId="1" applyNumberFormat="1" applyFont="1" applyBorder="1" applyAlignment="1" applyProtection="1">
      <alignment horizontal="center" vertical="center" wrapText="1"/>
      <protection locked="0"/>
    </xf>
    <xf numFmtId="1" fontId="4" fillId="0" borderId="14" xfId="1" applyNumberFormat="1" applyFont="1" applyBorder="1" applyAlignment="1" applyProtection="1">
      <alignment horizontal="center" vertical="center" wrapText="1"/>
      <protection locked="0"/>
    </xf>
    <xf numFmtId="1" fontId="23" fillId="0" borderId="4" xfId="1" applyNumberFormat="1" applyFont="1" applyBorder="1" applyAlignment="1" applyProtection="1">
      <alignment horizontal="center" vertical="center" wrapText="1"/>
      <protection locked="0"/>
    </xf>
    <xf numFmtId="1" fontId="23" fillId="0" borderId="14" xfId="1" applyNumberFormat="1" applyFont="1" applyBorder="1" applyAlignment="1" applyProtection="1">
      <alignment horizontal="center" vertical="center" wrapText="1"/>
      <protection locked="0"/>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1" fontId="5" fillId="0" borderId="5" xfId="1" applyNumberFormat="1" applyFont="1" applyBorder="1" applyAlignment="1">
      <alignment horizontal="center" vertical="center" wrapText="1"/>
    </xf>
    <xf numFmtId="1" fontId="5" fillId="0" borderId="7" xfId="1" applyNumberFormat="1" applyFont="1" applyBorder="1" applyAlignment="1">
      <alignment horizontal="center" vertical="center" wrapText="1"/>
    </xf>
    <xf numFmtId="1" fontId="5" fillId="0" borderId="11" xfId="1" applyNumberFormat="1" applyFont="1" applyBorder="1" applyAlignment="1">
      <alignment horizontal="center" vertical="center" wrapText="1"/>
    </xf>
    <xf numFmtId="1" fontId="5" fillId="0" borderId="12" xfId="1" applyNumberFormat="1" applyFont="1" applyBorder="1" applyAlignment="1">
      <alignment horizontal="center" vertical="center" wrapText="1"/>
    </xf>
    <xf numFmtId="1" fontId="5" fillId="0" borderId="8" xfId="1" applyNumberFormat="1" applyFont="1" applyBorder="1" applyAlignment="1">
      <alignment horizontal="center" vertical="center" wrapText="1"/>
    </xf>
    <xf numFmtId="1" fontId="5" fillId="0" borderId="10" xfId="1" applyNumberFormat="1" applyFont="1" applyBorder="1" applyAlignment="1">
      <alignment horizontal="center" vertical="center" wrapText="1"/>
    </xf>
    <xf numFmtId="1" fontId="15" fillId="0" borderId="1" xfId="1" applyNumberFormat="1" applyFont="1" applyBorder="1" applyAlignment="1">
      <alignment horizontal="center" vertical="center" wrapText="1"/>
    </xf>
    <xf numFmtId="1" fontId="15" fillId="0" borderId="2" xfId="1" applyNumberFormat="1" applyFont="1" applyBorder="1" applyAlignment="1">
      <alignment horizontal="center" vertical="center" wrapText="1"/>
    </xf>
    <xf numFmtId="1" fontId="15" fillId="0" borderId="3" xfId="1" applyNumberFormat="1" applyFont="1" applyBorder="1" applyAlignment="1">
      <alignment horizontal="center" vertical="center"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1" fontId="7" fillId="0" borderId="5" xfId="1" applyNumberFormat="1" applyFont="1" applyBorder="1" applyAlignment="1">
      <alignment horizontal="center" vertical="top" wrapText="1"/>
    </xf>
    <xf numFmtId="1" fontId="7" fillId="0" borderId="7" xfId="1" applyNumberFormat="1" applyFont="1" applyBorder="1" applyAlignment="1">
      <alignment horizontal="center" vertical="top" wrapText="1"/>
    </xf>
    <xf numFmtId="1" fontId="7" fillId="0" borderId="11" xfId="1" applyNumberFormat="1" applyFont="1" applyBorder="1" applyAlignment="1">
      <alignment horizontal="center" vertical="top" wrapText="1"/>
    </xf>
    <xf numFmtId="1" fontId="7" fillId="0" borderId="12" xfId="1" applyNumberFormat="1" applyFont="1" applyBorder="1" applyAlignment="1">
      <alignment horizontal="center" vertical="top" wrapText="1"/>
    </xf>
    <xf numFmtId="1" fontId="7" fillId="0" borderId="8" xfId="1" applyNumberFormat="1" applyFont="1" applyBorder="1" applyAlignment="1">
      <alignment horizontal="center" vertical="top" wrapText="1"/>
    </xf>
    <xf numFmtId="1" fontId="7" fillId="0" borderId="10" xfId="1" applyNumberFormat="1" applyFont="1" applyBorder="1" applyAlignment="1">
      <alignment horizontal="center" vertical="top" wrapText="1"/>
    </xf>
    <xf numFmtId="9" fontId="14" fillId="0" borderId="20" xfId="1" applyNumberFormat="1" applyFont="1" applyBorder="1" applyAlignment="1" applyProtection="1">
      <alignment horizontal="center" vertical="center" wrapText="1"/>
      <protection hidden="1"/>
    </xf>
    <xf numFmtId="9" fontId="14" fillId="0" borderId="25" xfId="1" applyNumberFormat="1" applyFont="1" applyBorder="1" applyAlignment="1" applyProtection="1">
      <alignment horizontal="center" vertical="center" wrapText="1"/>
      <protection hidden="1"/>
    </xf>
    <xf numFmtId="0" fontId="14" fillId="0" borderId="19"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7" fillId="0" borderId="4" xfId="0" applyFont="1" applyBorder="1" applyAlignment="1">
      <alignment horizontal="center"/>
    </xf>
    <xf numFmtId="0" fontId="17" fillId="0" borderId="4" xfId="0" applyFont="1" applyBorder="1" applyAlignment="1">
      <alignment horizontal="left"/>
    </xf>
    <xf numFmtId="0" fontId="17" fillId="2" borderId="4" xfId="0" applyFont="1" applyFill="1" applyBorder="1" applyAlignment="1">
      <alignment horizontal="center"/>
    </xf>
    <xf numFmtId="0" fontId="16" fillId="0" borderId="4" xfId="0" applyFont="1" applyBorder="1" applyAlignment="1">
      <alignment horizontal="center"/>
    </xf>
    <xf numFmtId="0" fontId="10" fillId="0" borderId="4" xfId="6" applyFont="1" applyBorder="1" applyAlignment="1">
      <alignment horizontal="left"/>
    </xf>
    <xf numFmtId="0" fontId="0" fillId="2" borderId="4" xfId="0" applyFill="1" applyBorder="1" applyAlignment="1">
      <alignment horizontal="center" wrapText="1"/>
    </xf>
    <xf numFmtId="0" fontId="10"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508801</xdr:colOff>
      <xdr:row>251</xdr:row>
      <xdr:rowOff>81396</xdr:rowOff>
    </xdr:from>
    <xdr:to>
      <xdr:col>8</xdr:col>
      <xdr:colOff>308263</xdr:colOff>
      <xdr:row>267</xdr:row>
      <xdr:rowOff>134848</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08801" y="57964821"/>
          <a:ext cx="5238237" cy="3253854"/>
        </a:xfrm>
        <a:prstGeom prst="rect">
          <a:avLst/>
        </a:prstGeom>
        <a:ln>
          <a:solidFill>
            <a:schemeClr val="tx1"/>
          </a:solidFill>
        </a:ln>
      </xdr:spPr>
    </xdr:pic>
    <xdr:clientData/>
  </xdr:twoCellAnchor>
  <xdr:twoCellAnchor editAs="oneCell">
    <xdr:from>
      <xdr:col>0</xdr:col>
      <xdr:colOff>508801</xdr:colOff>
      <xdr:row>268</xdr:row>
      <xdr:rowOff>31443</xdr:rowOff>
    </xdr:from>
    <xdr:to>
      <xdr:col>8</xdr:col>
      <xdr:colOff>312359</xdr:colOff>
      <xdr:row>284</xdr:row>
      <xdr:rowOff>85763</xdr:rowOff>
    </xdr:to>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508801" y="61315293"/>
          <a:ext cx="5242333" cy="3254721"/>
        </a:xfrm>
        <a:prstGeom prst="rect">
          <a:avLst/>
        </a:prstGeom>
        <a:ln>
          <a:solidFill>
            <a:schemeClr val="tx1"/>
          </a:solidFill>
        </a:ln>
      </xdr:spPr>
    </xdr:pic>
    <xdr:clientData/>
  </xdr:twoCellAnchor>
  <xdr:twoCellAnchor>
    <xdr:from>
      <xdr:col>10</xdr:col>
      <xdr:colOff>425450</xdr:colOff>
      <xdr:row>208</xdr:row>
      <xdr:rowOff>63500</xdr:rowOff>
    </xdr:from>
    <xdr:to>
      <xdr:col>11</xdr:col>
      <xdr:colOff>171847</xdr:colOff>
      <xdr:row>209</xdr:row>
      <xdr:rowOff>105569</xdr:rowOff>
    </xdr:to>
    <xdr:sp macro="" textlink="">
      <xdr:nvSpPr>
        <xdr:cNvPr id="30" name="TextBox 29"/>
        <xdr:cNvSpPr txBox="1"/>
      </xdr:nvSpPr>
      <xdr:spPr>
        <a:xfrm>
          <a:off x="6616700" y="50384075"/>
          <a:ext cx="355997" cy="242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T1</a:t>
          </a:r>
        </a:p>
      </xdr:txBody>
    </xdr:sp>
    <xdr:clientData/>
  </xdr:twoCellAnchor>
  <xdr:twoCellAnchor>
    <xdr:from>
      <xdr:col>15</xdr:col>
      <xdr:colOff>3076</xdr:colOff>
      <xdr:row>208</xdr:row>
      <xdr:rowOff>63500</xdr:rowOff>
    </xdr:from>
    <xdr:to>
      <xdr:col>15</xdr:col>
      <xdr:colOff>343198</xdr:colOff>
      <xdr:row>209</xdr:row>
      <xdr:rowOff>105569</xdr:rowOff>
    </xdr:to>
    <xdr:sp macro="" textlink="">
      <xdr:nvSpPr>
        <xdr:cNvPr id="31" name="TextBox 30"/>
        <xdr:cNvSpPr txBox="1"/>
      </xdr:nvSpPr>
      <xdr:spPr>
        <a:xfrm>
          <a:off x="9585226" y="50384075"/>
          <a:ext cx="340122" cy="242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T2</a:t>
          </a:r>
        </a:p>
      </xdr:txBody>
    </xdr:sp>
    <xdr:clientData/>
  </xdr:twoCellAnchor>
  <xdr:twoCellAnchor>
    <xdr:from>
      <xdr:col>1</xdr:col>
      <xdr:colOff>200025</xdr:colOff>
      <xdr:row>208</xdr:row>
      <xdr:rowOff>66675</xdr:rowOff>
    </xdr:from>
    <xdr:to>
      <xdr:col>9</xdr:col>
      <xdr:colOff>551513</xdr:colOff>
      <xdr:row>249</xdr:row>
      <xdr:rowOff>35924</xdr:rowOff>
    </xdr:to>
    <xdr:grpSp>
      <xdr:nvGrpSpPr>
        <xdr:cNvPr id="3" name="Group 2"/>
        <xdr:cNvGrpSpPr/>
      </xdr:nvGrpSpPr>
      <xdr:grpSpPr>
        <a:xfrm>
          <a:off x="819150" y="50330100"/>
          <a:ext cx="5685488" cy="8160749"/>
          <a:chOff x="819150" y="50330100"/>
          <a:chExt cx="5685488" cy="8160749"/>
        </a:xfrm>
      </xdr:grpSpPr>
      <xdr:pic>
        <xdr:nvPicPr>
          <xdr:cNvPr id="26" name="Picture 25" descr="https://vsjcllp.vsjadon.com/upload/insp-23988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048250" y="56578499"/>
            <a:ext cx="1425633"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9887-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885825" y="50330100"/>
            <a:ext cx="2723213" cy="36347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9887-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885825" y="56586436"/>
            <a:ext cx="2535086"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9887-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514725" y="56588024"/>
            <a:ext cx="1425633"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9887-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695700" y="50330100"/>
            <a:ext cx="2723213" cy="36347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887-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676775" y="54063899"/>
            <a:ext cx="1827863" cy="24396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887-85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743200" y="54063899"/>
            <a:ext cx="1827863" cy="24396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9887-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819150" y="54063899"/>
            <a:ext cx="1827863" cy="24396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7</xdr:col>
      <xdr:colOff>293775</xdr:colOff>
      <xdr:row>36</xdr:row>
      <xdr:rowOff>64500</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048125" y="3048000"/>
          <a:ext cx="1617750"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353238</xdr:colOff>
      <xdr:row>1</xdr:row>
      <xdr:rowOff>0</xdr:rowOff>
    </xdr:from>
    <xdr:to>
      <xdr:col>12</xdr:col>
      <xdr:colOff>540738</xdr:colOff>
      <xdr:row>24</xdr:row>
      <xdr:rowOff>113760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19498" y="182880"/>
          <a:ext cx="3235500" cy="4320000"/>
        </a:xfrm>
        <a:prstGeom prst="rect">
          <a:avLst/>
        </a:prstGeom>
      </xdr:spPr>
    </xdr:pic>
    <xdr:clientData/>
  </xdr:twoCellAnchor>
  <xdr:twoCellAnchor editAs="oneCell">
    <xdr:from>
      <xdr:col>2</xdr:col>
      <xdr:colOff>0</xdr:colOff>
      <xdr:row>1</xdr:row>
      <xdr:rowOff>0</xdr:rowOff>
    </xdr:from>
    <xdr:to>
      <xdr:col>7</xdr:col>
      <xdr:colOff>187500</xdr:colOff>
      <xdr:row>24</xdr:row>
      <xdr:rowOff>113760</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8260" y="182880"/>
          <a:ext cx="3235500"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78Ytms3Ghj1z4AA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1"/>
  <sheetViews>
    <sheetView tabSelected="1" view="pageBreakPreview" topLeftCell="A198" zoomScaleNormal="100" zoomScaleSheetLayoutView="100" workbookViewId="0">
      <selection activeCell="L195" sqref="L195"/>
    </sheetView>
  </sheetViews>
  <sheetFormatPr defaultRowHeight="15.75" x14ac:dyDescent="0.25"/>
  <cols>
    <col min="1" max="1" width="9.28515625" style="10" customWidth="1"/>
    <col min="2" max="3" width="14.7109375" style="10" customWidth="1"/>
    <col min="4" max="4" width="7.28515625" style="10" customWidth="1"/>
    <col min="5" max="5" width="5.5703125" style="10" customWidth="1"/>
    <col min="6" max="6" width="9.85546875" style="10" customWidth="1"/>
    <col min="7" max="7" width="9.5703125" style="10" customWidth="1"/>
    <col min="8" max="8" width="10.5703125" style="10" customWidth="1"/>
    <col min="9" max="9" width="7.7109375" style="10" customWidth="1"/>
    <col min="10" max="10" width="15" style="10" customWidth="1"/>
    <col min="11" max="12" width="9.140625" style="10"/>
    <col min="13" max="13" width="11.5703125" style="10" bestFit="1" customWidth="1"/>
    <col min="14" max="14" width="11.85546875" style="10" bestFit="1" customWidth="1"/>
    <col min="15" max="252" width="9.140625" style="10"/>
    <col min="253" max="253" width="8.7109375" style="10" customWidth="1"/>
    <col min="254" max="254" width="9.85546875" style="10" customWidth="1"/>
    <col min="255" max="255" width="14.42578125" style="10" customWidth="1"/>
    <col min="256" max="256" width="7.28515625" style="10" customWidth="1"/>
    <col min="257" max="257" width="5.5703125" style="10" customWidth="1"/>
    <col min="258" max="258" width="9" style="10" customWidth="1"/>
    <col min="259" max="260" width="9.85546875" style="10" customWidth="1"/>
    <col min="261" max="261" width="11.140625" style="10" customWidth="1"/>
    <col min="262" max="262" width="2.85546875" style="10" customWidth="1"/>
    <col min="263" max="263" width="3.5703125" style="10" customWidth="1"/>
    <col min="264" max="508" width="9.140625" style="10"/>
    <col min="509" max="509" width="8.7109375" style="10" customWidth="1"/>
    <col min="510" max="510" width="9.85546875" style="10" customWidth="1"/>
    <col min="511" max="511" width="14.42578125" style="10" customWidth="1"/>
    <col min="512" max="512" width="7.28515625" style="10" customWidth="1"/>
    <col min="513" max="513" width="5.5703125" style="10" customWidth="1"/>
    <col min="514" max="514" width="9" style="10" customWidth="1"/>
    <col min="515" max="516" width="9.85546875" style="10" customWidth="1"/>
    <col min="517" max="517" width="11.140625" style="10" customWidth="1"/>
    <col min="518" max="518" width="2.85546875" style="10" customWidth="1"/>
    <col min="519" max="519" width="3.5703125" style="10" customWidth="1"/>
    <col min="520" max="764" width="9.140625" style="10"/>
    <col min="765" max="765" width="8.7109375" style="10" customWidth="1"/>
    <col min="766" max="766" width="9.85546875" style="10" customWidth="1"/>
    <col min="767" max="767" width="14.42578125" style="10" customWidth="1"/>
    <col min="768" max="768" width="7.28515625" style="10" customWidth="1"/>
    <col min="769" max="769" width="5.5703125" style="10" customWidth="1"/>
    <col min="770" max="770" width="9" style="10" customWidth="1"/>
    <col min="771" max="772" width="9.85546875" style="10" customWidth="1"/>
    <col min="773" max="773" width="11.140625" style="10" customWidth="1"/>
    <col min="774" max="774" width="2.85546875" style="10" customWidth="1"/>
    <col min="775" max="775" width="3.5703125" style="10" customWidth="1"/>
    <col min="776" max="1020" width="9.140625" style="10"/>
    <col min="1021" max="1021" width="8.7109375" style="10" customWidth="1"/>
    <col min="1022" max="1022" width="9.85546875" style="10" customWidth="1"/>
    <col min="1023" max="1023" width="14.42578125" style="10" customWidth="1"/>
    <col min="1024" max="1024" width="7.28515625" style="10" customWidth="1"/>
    <col min="1025" max="1025" width="5.5703125" style="10" customWidth="1"/>
    <col min="1026" max="1026" width="9" style="10" customWidth="1"/>
    <col min="1027" max="1028" width="9.85546875" style="10" customWidth="1"/>
    <col min="1029" max="1029" width="11.140625" style="10" customWidth="1"/>
    <col min="1030" max="1030" width="2.85546875" style="10" customWidth="1"/>
    <col min="1031" max="1031" width="3.5703125" style="10" customWidth="1"/>
    <col min="1032" max="1276" width="9.140625" style="10"/>
    <col min="1277" max="1277" width="8.7109375" style="10" customWidth="1"/>
    <col min="1278" max="1278" width="9.85546875" style="10" customWidth="1"/>
    <col min="1279" max="1279" width="14.42578125" style="10" customWidth="1"/>
    <col min="1280" max="1280" width="7.28515625" style="10" customWidth="1"/>
    <col min="1281" max="1281" width="5.5703125" style="10" customWidth="1"/>
    <col min="1282" max="1282" width="9" style="10" customWidth="1"/>
    <col min="1283" max="1284" width="9.85546875" style="10" customWidth="1"/>
    <col min="1285" max="1285" width="11.140625" style="10" customWidth="1"/>
    <col min="1286" max="1286" width="2.85546875" style="10" customWidth="1"/>
    <col min="1287" max="1287" width="3.5703125" style="10" customWidth="1"/>
    <col min="1288" max="1532" width="9.140625" style="10"/>
    <col min="1533" max="1533" width="8.7109375" style="10" customWidth="1"/>
    <col min="1534" max="1534" width="9.85546875" style="10" customWidth="1"/>
    <col min="1535" max="1535" width="14.42578125" style="10" customWidth="1"/>
    <col min="1536" max="1536" width="7.28515625" style="10" customWidth="1"/>
    <col min="1537" max="1537" width="5.5703125" style="10" customWidth="1"/>
    <col min="1538" max="1538" width="9" style="10" customWidth="1"/>
    <col min="1539" max="1540" width="9.85546875" style="10" customWidth="1"/>
    <col min="1541" max="1541" width="11.140625" style="10" customWidth="1"/>
    <col min="1542" max="1542" width="2.85546875" style="10" customWidth="1"/>
    <col min="1543" max="1543" width="3.5703125" style="10" customWidth="1"/>
    <col min="1544" max="1788" width="9.140625" style="10"/>
    <col min="1789" max="1789" width="8.7109375" style="10" customWidth="1"/>
    <col min="1790" max="1790" width="9.85546875" style="10" customWidth="1"/>
    <col min="1791" max="1791" width="14.42578125" style="10" customWidth="1"/>
    <col min="1792" max="1792" width="7.28515625" style="10" customWidth="1"/>
    <col min="1793" max="1793" width="5.5703125" style="10" customWidth="1"/>
    <col min="1794" max="1794" width="9" style="10" customWidth="1"/>
    <col min="1795" max="1796" width="9.85546875" style="10" customWidth="1"/>
    <col min="1797" max="1797" width="11.140625" style="10" customWidth="1"/>
    <col min="1798" max="1798" width="2.85546875" style="10" customWidth="1"/>
    <col min="1799" max="1799" width="3.5703125" style="10" customWidth="1"/>
    <col min="1800" max="2044" width="9.140625" style="10"/>
    <col min="2045" max="2045" width="8.7109375" style="10" customWidth="1"/>
    <col min="2046" max="2046" width="9.85546875" style="10" customWidth="1"/>
    <col min="2047" max="2047" width="14.42578125" style="10" customWidth="1"/>
    <col min="2048" max="2048" width="7.28515625" style="10" customWidth="1"/>
    <col min="2049" max="2049" width="5.5703125" style="10" customWidth="1"/>
    <col min="2050" max="2050" width="9" style="10" customWidth="1"/>
    <col min="2051" max="2052" width="9.85546875" style="10" customWidth="1"/>
    <col min="2053" max="2053" width="11.140625" style="10" customWidth="1"/>
    <col min="2054" max="2054" width="2.85546875" style="10" customWidth="1"/>
    <col min="2055" max="2055" width="3.5703125" style="10" customWidth="1"/>
    <col min="2056" max="2300" width="9.140625" style="10"/>
    <col min="2301" max="2301" width="8.7109375" style="10" customWidth="1"/>
    <col min="2302" max="2302" width="9.85546875" style="10" customWidth="1"/>
    <col min="2303" max="2303" width="14.42578125" style="10" customWidth="1"/>
    <col min="2304" max="2304" width="7.28515625" style="10" customWidth="1"/>
    <col min="2305" max="2305" width="5.5703125" style="10" customWidth="1"/>
    <col min="2306" max="2306" width="9" style="10" customWidth="1"/>
    <col min="2307" max="2308" width="9.85546875" style="10" customWidth="1"/>
    <col min="2309" max="2309" width="11.140625" style="10" customWidth="1"/>
    <col min="2310" max="2310" width="2.85546875" style="10" customWidth="1"/>
    <col min="2311" max="2311" width="3.5703125" style="10" customWidth="1"/>
    <col min="2312" max="2556" width="9.140625" style="10"/>
    <col min="2557" max="2557" width="8.7109375" style="10" customWidth="1"/>
    <col min="2558" max="2558" width="9.85546875" style="10" customWidth="1"/>
    <col min="2559" max="2559" width="14.42578125" style="10" customWidth="1"/>
    <col min="2560" max="2560" width="7.28515625" style="10" customWidth="1"/>
    <col min="2561" max="2561" width="5.5703125" style="10" customWidth="1"/>
    <col min="2562" max="2562" width="9" style="10" customWidth="1"/>
    <col min="2563" max="2564" width="9.85546875" style="10" customWidth="1"/>
    <col min="2565" max="2565" width="11.140625" style="10" customWidth="1"/>
    <col min="2566" max="2566" width="2.85546875" style="10" customWidth="1"/>
    <col min="2567" max="2567" width="3.5703125" style="10" customWidth="1"/>
    <col min="2568" max="2812" width="9.140625" style="10"/>
    <col min="2813" max="2813" width="8.7109375" style="10" customWidth="1"/>
    <col min="2814" max="2814" width="9.85546875" style="10" customWidth="1"/>
    <col min="2815" max="2815" width="14.42578125" style="10" customWidth="1"/>
    <col min="2816" max="2816" width="7.28515625" style="10" customWidth="1"/>
    <col min="2817" max="2817" width="5.5703125" style="10" customWidth="1"/>
    <col min="2818" max="2818" width="9" style="10" customWidth="1"/>
    <col min="2819" max="2820" width="9.85546875" style="10" customWidth="1"/>
    <col min="2821" max="2821" width="11.140625" style="10" customWidth="1"/>
    <col min="2822" max="2822" width="2.85546875" style="10" customWidth="1"/>
    <col min="2823" max="2823" width="3.5703125" style="10" customWidth="1"/>
    <col min="2824" max="3068" width="9.140625" style="10"/>
    <col min="3069" max="3069" width="8.7109375" style="10" customWidth="1"/>
    <col min="3070" max="3070" width="9.85546875" style="10" customWidth="1"/>
    <col min="3071" max="3071" width="14.42578125" style="10" customWidth="1"/>
    <col min="3072" max="3072" width="7.28515625" style="10" customWidth="1"/>
    <col min="3073" max="3073" width="5.5703125" style="10" customWidth="1"/>
    <col min="3074" max="3074" width="9" style="10" customWidth="1"/>
    <col min="3075" max="3076" width="9.85546875" style="10" customWidth="1"/>
    <col min="3077" max="3077" width="11.140625" style="10" customWidth="1"/>
    <col min="3078" max="3078" width="2.85546875" style="10" customWidth="1"/>
    <col min="3079" max="3079" width="3.5703125" style="10" customWidth="1"/>
    <col min="3080" max="3324" width="9.140625" style="10"/>
    <col min="3325" max="3325" width="8.7109375" style="10" customWidth="1"/>
    <col min="3326" max="3326" width="9.85546875" style="10" customWidth="1"/>
    <col min="3327" max="3327" width="14.42578125" style="10" customWidth="1"/>
    <col min="3328" max="3328" width="7.28515625" style="10" customWidth="1"/>
    <col min="3329" max="3329" width="5.5703125" style="10" customWidth="1"/>
    <col min="3330" max="3330" width="9" style="10" customWidth="1"/>
    <col min="3331" max="3332" width="9.85546875" style="10" customWidth="1"/>
    <col min="3333" max="3333" width="11.140625" style="10" customWidth="1"/>
    <col min="3334" max="3334" width="2.85546875" style="10" customWidth="1"/>
    <col min="3335" max="3335" width="3.5703125" style="10" customWidth="1"/>
    <col min="3336" max="3580" width="9.140625" style="10"/>
    <col min="3581" max="3581" width="8.7109375" style="10" customWidth="1"/>
    <col min="3582" max="3582" width="9.85546875" style="10" customWidth="1"/>
    <col min="3583" max="3583" width="14.42578125" style="10" customWidth="1"/>
    <col min="3584" max="3584" width="7.28515625" style="10" customWidth="1"/>
    <col min="3585" max="3585" width="5.5703125" style="10" customWidth="1"/>
    <col min="3586" max="3586" width="9" style="10" customWidth="1"/>
    <col min="3587" max="3588" width="9.85546875" style="10" customWidth="1"/>
    <col min="3589" max="3589" width="11.140625" style="10" customWidth="1"/>
    <col min="3590" max="3590" width="2.85546875" style="10" customWidth="1"/>
    <col min="3591" max="3591" width="3.5703125" style="10" customWidth="1"/>
    <col min="3592" max="3836" width="9.140625" style="10"/>
    <col min="3837" max="3837" width="8.7109375" style="10" customWidth="1"/>
    <col min="3838" max="3838" width="9.85546875" style="10" customWidth="1"/>
    <col min="3839" max="3839" width="14.42578125" style="10" customWidth="1"/>
    <col min="3840" max="3840" width="7.28515625" style="10" customWidth="1"/>
    <col min="3841" max="3841" width="5.5703125" style="10" customWidth="1"/>
    <col min="3842" max="3842" width="9" style="10" customWidth="1"/>
    <col min="3843" max="3844" width="9.85546875" style="10" customWidth="1"/>
    <col min="3845" max="3845" width="11.140625" style="10" customWidth="1"/>
    <col min="3846" max="3846" width="2.85546875" style="10" customWidth="1"/>
    <col min="3847" max="3847" width="3.5703125" style="10" customWidth="1"/>
    <col min="3848" max="4092" width="9.140625" style="10"/>
    <col min="4093" max="4093" width="8.7109375" style="10" customWidth="1"/>
    <col min="4094" max="4094" width="9.85546875" style="10" customWidth="1"/>
    <col min="4095" max="4095" width="14.42578125" style="10" customWidth="1"/>
    <col min="4096" max="4096" width="7.28515625" style="10" customWidth="1"/>
    <col min="4097" max="4097" width="5.5703125" style="10" customWidth="1"/>
    <col min="4098" max="4098" width="9" style="10" customWidth="1"/>
    <col min="4099" max="4100" width="9.85546875" style="10" customWidth="1"/>
    <col min="4101" max="4101" width="11.140625" style="10" customWidth="1"/>
    <col min="4102" max="4102" width="2.85546875" style="10" customWidth="1"/>
    <col min="4103" max="4103" width="3.5703125" style="10" customWidth="1"/>
    <col min="4104" max="4348" width="9.140625" style="10"/>
    <col min="4349" max="4349" width="8.7109375" style="10" customWidth="1"/>
    <col min="4350" max="4350" width="9.85546875" style="10" customWidth="1"/>
    <col min="4351" max="4351" width="14.42578125" style="10" customWidth="1"/>
    <col min="4352" max="4352" width="7.28515625" style="10" customWidth="1"/>
    <col min="4353" max="4353" width="5.5703125" style="10" customWidth="1"/>
    <col min="4354" max="4354" width="9" style="10" customWidth="1"/>
    <col min="4355" max="4356" width="9.85546875" style="10" customWidth="1"/>
    <col min="4357" max="4357" width="11.140625" style="10" customWidth="1"/>
    <col min="4358" max="4358" width="2.85546875" style="10" customWidth="1"/>
    <col min="4359" max="4359" width="3.5703125" style="10" customWidth="1"/>
    <col min="4360" max="4604" width="9.140625" style="10"/>
    <col min="4605" max="4605" width="8.7109375" style="10" customWidth="1"/>
    <col min="4606" max="4606" width="9.85546875" style="10" customWidth="1"/>
    <col min="4607" max="4607" width="14.42578125" style="10" customWidth="1"/>
    <col min="4608" max="4608" width="7.28515625" style="10" customWidth="1"/>
    <col min="4609" max="4609" width="5.5703125" style="10" customWidth="1"/>
    <col min="4610" max="4610" width="9" style="10" customWidth="1"/>
    <col min="4611" max="4612" width="9.85546875" style="10" customWidth="1"/>
    <col min="4613" max="4613" width="11.140625" style="10" customWidth="1"/>
    <col min="4614" max="4614" width="2.85546875" style="10" customWidth="1"/>
    <col min="4615" max="4615" width="3.5703125" style="10" customWidth="1"/>
    <col min="4616" max="4860" width="9.140625" style="10"/>
    <col min="4861" max="4861" width="8.7109375" style="10" customWidth="1"/>
    <col min="4862" max="4862" width="9.85546875" style="10" customWidth="1"/>
    <col min="4863" max="4863" width="14.42578125" style="10" customWidth="1"/>
    <col min="4864" max="4864" width="7.28515625" style="10" customWidth="1"/>
    <col min="4865" max="4865" width="5.5703125" style="10" customWidth="1"/>
    <col min="4866" max="4866" width="9" style="10" customWidth="1"/>
    <col min="4867" max="4868" width="9.85546875" style="10" customWidth="1"/>
    <col min="4869" max="4869" width="11.140625" style="10" customWidth="1"/>
    <col min="4870" max="4870" width="2.85546875" style="10" customWidth="1"/>
    <col min="4871" max="4871" width="3.5703125" style="10" customWidth="1"/>
    <col min="4872" max="5116" width="9.140625" style="10"/>
    <col min="5117" max="5117" width="8.7109375" style="10" customWidth="1"/>
    <col min="5118" max="5118" width="9.85546875" style="10" customWidth="1"/>
    <col min="5119" max="5119" width="14.42578125" style="10" customWidth="1"/>
    <col min="5120" max="5120" width="7.28515625" style="10" customWidth="1"/>
    <col min="5121" max="5121" width="5.5703125" style="10" customWidth="1"/>
    <col min="5122" max="5122" width="9" style="10" customWidth="1"/>
    <col min="5123" max="5124" width="9.85546875" style="10" customWidth="1"/>
    <col min="5125" max="5125" width="11.140625" style="10" customWidth="1"/>
    <col min="5126" max="5126" width="2.85546875" style="10" customWidth="1"/>
    <col min="5127" max="5127" width="3.5703125" style="10" customWidth="1"/>
    <col min="5128" max="5372" width="9.140625" style="10"/>
    <col min="5373" max="5373" width="8.7109375" style="10" customWidth="1"/>
    <col min="5374" max="5374" width="9.85546875" style="10" customWidth="1"/>
    <col min="5375" max="5375" width="14.42578125" style="10" customWidth="1"/>
    <col min="5376" max="5376" width="7.28515625" style="10" customWidth="1"/>
    <col min="5377" max="5377" width="5.5703125" style="10" customWidth="1"/>
    <col min="5378" max="5378" width="9" style="10" customWidth="1"/>
    <col min="5379" max="5380" width="9.85546875" style="10" customWidth="1"/>
    <col min="5381" max="5381" width="11.140625" style="10" customWidth="1"/>
    <col min="5382" max="5382" width="2.85546875" style="10" customWidth="1"/>
    <col min="5383" max="5383" width="3.5703125" style="10" customWidth="1"/>
    <col min="5384" max="5628" width="9.140625" style="10"/>
    <col min="5629" max="5629" width="8.7109375" style="10" customWidth="1"/>
    <col min="5630" max="5630" width="9.85546875" style="10" customWidth="1"/>
    <col min="5631" max="5631" width="14.42578125" style="10" customWidth="1"/>
    <col min="5632" max="5632" width="7.28515625" style="10" customWidth="1"/>
    <col min="5633" max="5633" width="5.5703125" style="10" customWidth="1"/>
    <col min="5634" max="5634" width="9" style="10" customWidth="1"/>
    <col min="5635" max="5636" width="9.85546875" style="10" customWidth="1"/>
    <col min="5637" max="5637" width="11.140625" style="10" customWidth="1"/>
    <col min="5638" max="5638" width="2.85546875" style="10" customWidth="1"/>
    <col min="5639" max="5639" width="3.5703125" style="10" customWidth="1"/>
    <col min="5640" max="5884" width="9.140625" style="10"/>
    <col min="5885" max="5885" width="8.7109375" style="10" customWidth="1"/>
    <col min="5886" max="5886" width="9.85546875" style="10" customWidth="1"/>
    <col min="5887" max="5887" width="14.42578125" style="10" customWidth="1"/>
    <col min="5888" max="5888" width="7.28515625" style="10" customWidth="1"/>
    <col min="5889" max="5889" width="5.5703125" style="10" customWidth="1"/>
    <col min="5890" max="5890" width="9" style="10" customWidth="1"/>
    <col min="5891" max="5892" width="9.85546875" style="10" customWidth="1"/>
    <col min="5893" max="5893" width="11.140625" style="10" customWidth="1"/>
    <col min="5894" max="5894" width="2.85546875" style="10" customWidth="1"/>
    <col min="5895" max="5895" width="3.5703125" style="10" customWidth="1"/>
    <col min="5896" max="6140" width="9.140625" style="10"/>
    <col min="6141" max="6141" width="8.7109375" style="10" customWidth="1"/>
    <col min="6142" max="6142" width="9.85546875" style="10" customWidth="1"/>
    <col min="6143" max="6143" width="14.42578125" style="10" customWidth="1"/>
    <col min="6144" max="6144" width="7.28515625" style="10" customWidth="1"/>
    <col min="6145" max="6145" width="5.5703125" style="10" customWidth="1"/>
    <col min="6146" max="6146" width="9" style="10" customWidth="1"/>
    <col min="6147" max="6148" width="9.85546875" style="10" customWidth="1"/>
    <col min="6149" max="6149" width="11.140625" style="10" customWidth="1"/>
    <col min="6150" max="6150" width="2.85546875" style="10" customWidth="1"/>
    <col min="6151" max="6151" width="3.5703125" style="10" customWidth="1"/>
    <col min="6152" max="6396" width="9.140625" style="10"/>
    <col min="6397" max="6397" width="8.7109375" style="10" customWidth="1"/>
    <col min="6398" max="6398" width="9.85546875" style="10" customWidth="1"/>
    <col min="6399" max="6399" width="14.42578125" style="10" customWidth="1"/>
    <col min="6400" max="6400" width="7.28515625" style="10" customWidth="1"/>
    <col min="6401" max="6401" width="5.5703125" style="10" customWidth="1"/>
    <col min="6402" max="6402" width="9" style="10" customWidth="1"/>
    <col min="6403" max="6404" width="9.85546875" style="10" customWidth="1"/>
    <col min="6405" max="6405" width="11.140625" style="10" customWidth="1"/>
    <col min="6406" max="6406" width="2.85546875" style="10" customWidth="1"/>
    <col min="6407" max="6407" width="3.5703125" style="10" customWidth="1"/>
    <col min="6408" max="6652" width="9.140625" style="10"/>
    <col min="6653" max="6653" width="8.7109375" style="10" customWidth="1"/>
    <col min="6654" max="6654" width="9.85546875" style="10" customWidth="1"/>
    <col min="6655" max="6655" width="14.42578125" style="10" customWidth="1"/>
    <col min="6656" max="6656" width="7.28515625" style="10" customWidth="1"/>
    <col min="6657" max="6657" width="5.5703125" style="10" customWidth="1"/>
    <col min="6658" max="6658" width="9" style="10" customWidth="1"/>
    <col min="6659" max="6660" width="9.85546875" style="10" customWidth="1"/>
    <col min="6661" max="6661" width="11.140625" style="10" customWidth="1"/>
    <col min="6662" max="6662" width="2.85546875" style="10" customWidth="1"/>
    <col min="6663" max="6663" width="3.5703125" style="10" customWidth="1"/>
    <col min="6664" max="6908" width="9.140625" style="10"/>
    <col min="6909" max="6909" width="8.7109375" style="10" customWidth="1"/>
    <col min="6910" max="6910" width="9.85546875" style="10" customWidth="1"/>
    <col min="6911" max="6911" width="14.42578125" style="10" customWidth="1"/>
    <col min="6912" max="6912" width="7.28515625" style="10" customWidth="1"/>
    <col min="6913" max="6913" width="5.5703125" style="10" customWidth="1"/>
    <col min="6914" max="6914" width="9" style="10" customWidth="1"/>
    <col min="6915" max="6916" width="9.85546875" style="10" customWidth="1"/>
    <col min="6917" max="6917" width="11.140625" style="10" customWidth="1"/>
    <col min="6918" max="6918" width="2.85546875" style="10" customWidth="1"/>
    <col min="6919" max="6919" width="3.5703125" style="10" customWidth="1"/>
    <col min="6920" max="7164" width="9.140625" style="10"/>
    <col min="7165" max="7165" width="8.7109375" style="10" customWidth="1"/>
    <col min="7166" max="7166" width="9.85546875" style="10" customWidth="1"/>
    <col min="7167" max="7167" width="14.42578125" style="10" customWidth="1"/>
    <col min="7168" max="7168" width="7.28515625" style="10" customWidth="1"/>
    <col min="7169" max="7169" width="5.5703125" style="10" customWidth="1"/>
    <col min="7170" max="7170" width="9" style="10" customWidth="1"/>
    <col min="7171" max="7172" width="9.85546875" style="10" customWidth="1"/>
    <col min="7173" max="7173" width="11.140625" style="10" customWidth="1"/>
    <col min="7174" max="7174" width="2.85546875" style="10" customWidth="1"/>
    <col min="7175" max="7175" width="3.5703125" style="10" customWidth="1"/>
    <col min="7176" max="7420" width="9.140625" style="10"/>
    <col min="7421" max="7421" width="8.7109375" style="10" customWidth="1"/>
    <col min="7422" max="7422" width="9.85546875" style="10" customWidth="1"/>
    <col min="7423" max="7423" width="14.42578125" style="10" customWidth="1"/>
    <col min="7424" max="7424" width="7.28515625" style="10" customWidth="1"/>
    <col min="7425" max="7425" width="5.5703125" style="10" customWidth="1"/>
    <col min="7426" max="7426" width="9" style="10" customWidth="1"/>
    <col min="7427" max="7428" width="9.85546875" style="10" customWidth="1"/>
    <col min="7429" max="7429" width="11.140625" style="10" customWidth="1"/>
    <col min="7430" max="7430" width="2.85546875" style="10" customWidth="1"/>
    <col min="7431" max="7431" width="3.5703125" style="10" customWidth="1"/>
    <col min="7432" max="7676" width="9.140625" style="10"/>
    <col min="7677" max="7677" width="8.7109375" style="10" customWidth="1"/>
    <col min="7678" max="7678" width="9.85546875" style="10" customWidth="1"/>
    <col min="7679" max="7679" width="14.42578125" style="10" customWidth="1"/>
    <col min="7680" max="7680" width="7.28515625" style="10" customWidth="1"/>
    <col min="7681" max="7681" width="5.5703125" style="10" customWidth="1"/>
    <col min="7682" max="7682" width="9" style="10" customWidth="1"/>
    <col min="7683" max="7684" width="9.85546875" style="10" customWidth="1"/>
    <col min="7685" max="7685" width="11.140625" style="10" customWidth="1"/>
    <col min="7686" max="7686" width="2.85546875" style="10" customWidth="1"/>
    <col min="7687" max="7687" width="3.5703125" style="10" customWidth="1"/>
    <col min="7688" max="7932" width="9.140625" style="10"/>
    <col min="7933" max="7933" width="8.7109375" style="10" customWidth="1"/>
    <col min="7934" max="7934" width="9.85546875" style="10" customWidth="1"/>
    <col min="7935" max="7935" width="14.42578125" style="10" customWidth="1"/>
    <col min="7936" max="7936" width="7.28515625" style="10" customWidth="1"/>
    <col min="7937" max="7937" width="5.5703125" style="10" customWidth="1"/>
    <col min="7938" max="7938" width="9" style="10" customWidth="1"/>
    <col min="7939" max="7940" width="9.85546875" style="10" customWidth="1"/>
    <col min="7941" max="7941" width="11.140625" style="10" customWidth="1"/>
    <col min="7942" max="7942" width="2.85546875" style="10" customWidth="1"/>
    <col min="7943" max="7943" width="3.5703125" style="10" customWidth="1"/>
    <col min="7944" max="8188" width="9.140625" style="10"/>
    <col min="8189" max="8189" width="8.7109375" style="10" customWidth="1"/>
    <col min="8190" max="8190" width="9.85546875" style="10" customWidth="1"/>
    <col min="8191" max="8191" width="14.42578125" style="10" customWidth="1"/>
    <col min="8192" max="8192" width="7.28515625" style="10" customWidth="1"/>
    <col min="8193" max="8193" width="5.5703125" style="10" customWidth="1"/>
    <col min="8194" max="8194" width="9" style="10" customWidth="1"/>
    <col min="8195" max="8196" width="9.85546875" style="10" customWidth="1"/>
    <col min="8197" max="8197" width="11.140625" style="10" customWidth="1"/>
    <col min="8198" max="8198" width="2.85546875" style="10" customWidth="1"/>
    <col min="8199" max="8199" width="3.5703125" style="10" customWidth="1"/>
    <col min="8200" max="8444" width="9.140625" style="10"/>
    <col min="8445" max="8445" width="8.7109375" style="10" customWidth="1"/>
    <col min="8446" max="8446" width="9.85546875" style="10" customWidth="1"/>
    <col min="8447" max="8447" width="14.42578125" style="10" customWidth="1"/>
    <col min="8448" max="8448" width="7.28515625" style="10" customWidth="1"/>
    <col min="8449" max="8449" width="5.5703125" style="10" customWidth="1"/>
    <col min="8450" max="8450" width="9" style="10" customWidth="1"/>
    <col min="8451" max="8452" width="9.85546875" style="10" customWidth="1"/>
    <col min="8453" max="8453" width="11.140625" style="10" customWidth="1"/>
    <col min="8454" max="8454" width="2.85546875" style="10" customWidth="1"/>
    <col min="8455" max="8455" width="3.5703125" style="10" customWidth="1"/>
    <col min="8456" max="8700" width="9.140625" style="10"/>
    <col min="8701" max="8701" width="8.7109375" style="10" customWidth="1"/>
    <col min="8702" max="8702" width="9.85546875" style="10" customWidth="1"/>
    <col min="8703" max="8703" width="14.42578125" style="10" customWidth="1"/>
    <col min="8704" max="8704" width="7.28515625" style="10" customWidth="1"/>
    <col min="8705" max="8705" width="5.5703125" style="10" customWidth="1"/>
    <col min="8706" max="8706" width="9" style="10" customWidth="1"/>
    <col min="8707" max="8708" width="9.85546875" style="10" customWidth="1"/>
    <col min="8709" max="8709" width="11.140625" style="10" customWidth="1"/>
    <col min="8710" max="8710" width="2.85546875" style="10" customWidth="1"/>
    <col min="8711" max="8711" width="3.5703125" style="10" customWidth="1"/>
    <col min="8712" max="8956" width="9.140625" style="10"/>
    <col min="8957" max="8957" width="8.7109375" style="10" customWidth="1"/>
    <col min="8958" max="8958" width="9.85546875" style="10" customWidth="1"/>
    <col min="8959" max="8959" width="14.42578125" style="10" customWidth="1"/>
    <col min="8960" max="8960" width="7.28515625" style="10" customWidth="1"/>
    <col min="8961" max="8961" width="5.5703125" style="10" customWidth="1"/>
    <col min="8962" max="8962" width="9" style="10" customWidth="1"/>
    <col min="8963" max="8964" width="9.85546875" style="10" customWidth="1"/>
    <col min="8965" max="8965" width="11.140625" style="10" customWidth="1"/>
    <col min="8966" max="8966" width="2.85546875" style="10" customWidth="1"/>
    <col min="8967" max="8967" width="3.5703125" style="10" customWidth="1"/>
    <col min="8968" max="9212" width="9.140625" style="10"/>
    <col min="9213" max="9213" width="8.7109375" style="10" customWidth="1"/>
    <col min="9214" max="9214" width="9.85546875" style="10" customWidth="1"/>
    <col min="9215" max="9215" width="14.42578125" style="10" customWidth="1"/>
    <col min="9216" max="9216" width="7.28515625" style="10" customWidth="1"/>
    <col min="9217" max="9217" width="5.5703125" style="10" customWidth="1"/>
    <col min="9218" max="9218" width="9" style="10" customWidth="1"/>
    <col min="9219" max="9220" width="9.85546875" style="10" customWidth="1"/>
    <col min="9221" max="9221" width="11.140625" style="10" customWidth="1"/>
    <col min="9222" max="9222" width="2.85546875" style="10" customWidth="1"/>
    <col min="9223" max="9223" width="3.5703125" style="10" customWidth="1"/>
    <col min="9224" max="9468" width="9.140625" style="10"/>
    <col min="9469" max="9469" width="8.7109375" style="10" customWidth="1"/>
    <col min="9470" max="9470" width="9.85546875" style="10" customWidth="1"/>
    <col min="9471" max="9471" width="14.42578125" style="10" customWidth="1"/>
    <col min="9472" max="9472" width="7.28515625" style="10" customWidth="1"/>
    <col min="9473" max="9473" width="5.5703125" style="10" customWidth="1"/>
    <col min="9474" max="9474" width="9" style="10" customWidth="1"/>
    <col min="9475" max="9476" width="9.85546875" style="10" customWidth="1"/>
    <col min="9477" max="9477" width="11.140625" style="10" customWidth="1"/>
    <col min="9478" max="9478" width="2.85546875" style="10" customWidth="1"/>
    <col min="9479" max="9479" width="3.5703125" style="10" customWidth="1"/>
    <col min="9480" max="9724" width="9.140625" style="10"/>
    <col min="9725" max="9725" width="8.7109375" style="10" customWidth="1"/>
    <col min="9726" max="9726" width="9.85546875" style="10" customWidth="1"/>
    <col min="9727" max="9727" width="14.42578125" style="10" customWidth="1"/>
    <col min="9728" max="9728" width="7.28515625" style="10" customWidth="1"/>
    <col min="9729" max="9729" width="5.5703125" style="10" customWidth="1"/>
    <col min="9730" max="9730" width="9" style="10" customWidth="1"/>
    <col min="9731" max="9732" width="9.85546875" style="10" customWidth="1"/>
    <col min="9733" max="9733" width="11.140625" style="10" customWidth="1"/>
    <col min="9734" max="9734" width="2.85546875" style="10" customWidth="1"/>
    <col min="9735" max="9735" width="3.5703125" style="10" customWidth="1"/>
    <col min="9736" max="9980" width="9.140625" style="10"/>
    <col min="9981" max="9981" width="8.7109375" style="10" customWidth="1"/>
    <col min="9982" max="9982" width="9.85546875" style="10" customWidth="1"/>
    <col min="9983" max="9983" width="14.42578125" style="10" customWidth="1"/>
    <col min="9984" max="9984" width="7.28515625" style="10" customWidth="1"/>
    <col min="9985" max="9985" width="5.5703125" style="10" customWidth="1"/>
    <col min="9986" max="9986" width="9" style="10" customWidth="1"/>
    <col min="9987" max="9988" width="9.85546875" style="10" customWidth="1"/>
    <col min="9989" max="9989" width="11.140625" style="10" customWidth="1"/>
    <col min="9990" max="9990" width="2.85546875" style="10" customWidth="1"/>
    <col min="9991" max="9991" width="3.5703125" style="10" customWidth="1"/>
    <col min="9992" max="10236" width="9.140625" style="10"/>
    <col min="10237" max="10237" width="8.7109375" style="10" customWidth="1"/>
    <col min="10238" max="10238" width="9.85546875" style="10" customWidth="1"/>
    <col min="10239" max="10239" width="14.42578125" style="10" customWidth="1"/>
    <col min="10240" max="10240" width="7.28515625" style="10" customWidth="1"/>
    <col min="10241" max="10241" width="5.5703125" style="10" customWidth="1"/>
    <col min="10242" max="10242" width="9" style="10" customWidth="1"/>
    <col min="10243" max="10244" width="9.85546875" style="10" customWidth="1"/>
    <col min="10245" max="10245" width="11.140625" style="10" customWidth="1"/>
    <col min="10246" max="10246" width="2.85546875" style="10" customWidth="1"/>
    <col min="10247" max="10247" width="3.5703125" style="10" customWidth="1"/>
    <col min="10248" max="10492" width="9.140625" style="10"/>
    <col min="10493" max="10493" width="8.7109375" style="10" customWidth="1"/>
    <col min="10494" max="10494" width="9.85546875" style="10" customWidth="1"/>
    <col min="10495" max="10495" width="14.42578125" style="10" customWidth="1"/>
    <col min="10496" max="10496" width="7.28515625" style="10" customWidth="1"/>
    <col min="10497" max="10497" width="5.5703125" style="10" customWidth="1"/>
    <col min="10498" max="10498" width="9" style="10" customWidth="1"/>
    <col min="10499" max="10500" width="9.85546875" style="10" customWidth="1"/>
    <col min="10501" max="10501" width="11.140625" style="10" customWidth="1"/>
    <col min="10502" max="10502" width="2.85546875" style="10" customWidth="1"/>
    <col min="10503" max="10503" width="3.5703125" style="10" customWidth="1"/>
    <col min="10504" max="10748" width="9.140625" style="10"/>
    <col min="10749" max="10749" width="8.7109375" style="10" customWidth="1"/>
    <col min="10750" max="10750" width="9.85546875" style="10" customWidth="1"/>
    <col min="10751" max="10751" width="14.42578125" style="10" customWidth="1"/>
    <col min="10752" max="10752" width="7.28515625" style="10" customWidth="1"/>
    <col min="10753" max="10753" width="5.5703125" style="10" customWidth="1"/>
    <col min="10754" max="10754" width="9" style="10" customWidth="1"/>
    <col min="10755" max="10756" width="9.85546875" style="10" customWidth="1"/>
    <col min="10757" max="10757" width="11.140625" style="10" customWidth="1"/>
    <col min="10758" max="10758" width="2.85546875" style="10" customWidth="1"/>
    <col min="10759" max="10759" width="3.5703125" style="10" customWidth="1"/>
    <col min="10760" max="11004" width="9.140625" style="10"/>
    <col min="11005" max="11005" width="8.7109375" style="10" customWidth="1"/>
    <col min="11006" max="11006" width="9.85546875" style="10" customWidth="1"/>
    <col min="11007" max="11007" width="14.42578125" style="10" customWidth="1"/>
    <col min="11008" max="11008" width="7.28515625" style="10" customWidth="1"/>
    <col min="11009" max="11009" width="5.5703125" style="10" customWidth="1"/>
    <col min="11010" max="11010" width="9" style="10" customWidth="1"/>
    <col min="11011" max="11012" width="9.85546875" style="10" customWidth="1"/>
    <col min="11013" max="11013" width="11.140625" style="10" customWidth="1"/>
    <col min="11014" max="11014" width="2.85546875" style="10" customWidth="1"/>
    <col min="11015" max="11015" width="3.5703125" style="10" customWidth="1"/>
    <col min="11016" max="11260" width="9.140625" style="10"/>
    <col min="11261" max="11261" width="8.7109375" style="10" customWidth="1"/>
    <col min="11262" max="11262" width="9.85546875" style="10" customWidth="1"/>
    <col min="11263" max="11263" width="14.42578125" style="10" customWidth="1"/>
    <col min="11264" max="11264" width="7.28515625" style="10" customWidth="1"/>
    <col min="11265" max="11265" width="5.5703125" style="10" customWidth="1"/>
    <col min="11266" max="11266" width="9" style="10" customWidth="1"/>
    <col min="11267" max="11268" width="9.85546875" style="10" customWidth="1"/>
    <col min="11269" max="11269" width="11.140625" style="10" customWidth="1"/>
    <col min="11270" max="11270" width="2.85546875" style="10" customWidth="1"/>
    <col min="11271" max="11271" width="3.5703125" style="10" customWidth="1"/>
    <col min="11272" max="11516" width="9.140625" style="10"/>
    <col min="11517" max="11517" width="8.7109375" style="10" customWidth="1"/>
    <col min="11518" max="11518" width="9.85546875" style="10" customWidth="1"/>
    <col min="11519" max="11519" width="14.42578125" style="10" customWidth="1"/>
    <col min="11520" max="11520" width="7.28515625" style="10" customWidth="1"/>
    <col min="11521" max="11521" width="5.5703125" style="10" customWidth="1"/>
    <col min="11522" max="11522" width="9" style="10" customWidth="1"/>
    <col min="11523" max="11524" width="9.85546875" style="10" customWidth="1"/>
    <col min="11525" max="11525" width="11.140625" style="10" customWidth="1"/>
    <col min="11526" max="11526" width="2.85546875" style="10" customWidth="1"/>
    <col min="11527" max="11527" width="3.5703125" style="10" customWidth="1"/>
    <col min="11528" max="11772" width="9.140625" style="10"/>
    <col min="11773" max="11773" width="8.7109375" style="10" customWidth="1"/>
    <col min="11774" max="11774" width="9.85546875" style="10" customWidth="1"/>
    <col min="11775" max="11775" width="14.42578125" style="10" customWidth="1"/>
    <col min="11776" max="11776" width="7.28515625" style="10" customWidth="1"/>
    <col min="11777" max="11777" width="5.5703125" style="10" customWidth="1"/>
    <col min="11778" max="11778" width="9" style="10" customWidth="1"/>
    <col min="11779" max="11780" width="9.85546875" style="10" customWidth="1"/>
    <col min="11781" max="11781" width="11.140625" style="10" customWidth="1"/>
    <col min="11782" max="11782" width="2.85546875" style="10" customWidth="1"/>
    <col min="11783" max="11783" width="3.5703125" style="10" customWidth="1"/>
    <col min="11784" max="12028" width="9.140625" style="10"/>
    <col min="12029" max="12029" width="8.7109375" style="10" customWidth="1"/>
    <col min="12030" max="12030" width="9.85546875" style="10" customWidth="1"/>
    <col min="12031" max="12031" width="14.42578125" style="10" customWidth="1"/>
    <col min="12032" max="12032" width="7.28515625" style="10" customWidth="1"/>
    <col min="12033" max="12033" width="5.5703125" style="10" customWidth="1"/>
    <col min="12034" max="12034" width="9" style="10" customWidth="1"/>
    <col min="12035" max="12036" width="9.85546875" style="10" customWidth="1"/>
    <col min="12037" max="12037" width="11.140625" style="10" customWidth="1"/>
    <col min="12038" max="12038" width="2.85546875" style="10" customWidth="1"/>
    <col min="12039" max="12039" width="3.5703125" style="10" customWidth="1"/>
    <col min="12040" max="12284" width="9.140625" style="10"/>
    <col min="12285" max="12285" width="8.7109375" style="10" customWidth="1"/>
    <col min="12286" max="12286" width="9.85546875" style="10" customWidth="1"/>
    <col min="12287" max="12287" width="14.42578125" style="10" customWidth="1"/>
    <col min="12288" max="12288" width="7.28515625" style="10" customWidth="1"/>
    <col min="12289" max="12289" width="5.5703125" style="10" customWidth="1"/>
    <col min="12290" max="12290" width="9" style="10" customWidth="1"/>
    <col min="12291" max="12292" width="9.85546875" style="10" customWidth="1"/>
    <col min="12293" max="12293" width="11.140625" style="10" customWidth="1"/>
    <col min="12294" max="12294" width="2.85546875" style="10" customWidth="1"/>
    <col min="12295" max="12295" width="3.5703125" style="10" customWidth="1"/>
    <col min="12296" max="12540" width="9.140625" style="10"/>
    <col min="12541" max="12541" width="8.7109375" style="10" customWidth="1"/>
    <col min="12542" max="12542" width="9.85546875" style="10" customWidth="1"/>
    <col min="12543" max="12543" width="14.42578125" style="10" customWidth="1"/>
    <col min="12544" max="12544" width="7.28515625" style="10" customWidth="1"/>
    <col min="12545" max="12545" width="5.5703125" style="10" customWidth="1"/>
    <col min="12546" max="12546" width="9" style="10" customWidth="1"/>
    <col min="12547" max="12548" width="9.85546875" style="10" customWidth="1"/>
    <col min="12549" max="12549" width="11.140625" style="10" customWidth="1"/>
    <col min="12550" max="12550" width="2.85546875" style="10" customWidth="1"/>
    <col min="12551" max="12551" width="3.5703125" style="10" customWidth="1"/>
    <col min="12552" max="12796" width="9.140625" style="10"/>
    <col min="12797" max="12797" width="8.7109375" style="10" customWidth="1"/>
    <col min="12798" max="12798" width="9.85546875" style="10" customWidth="1"/>
    <col min="12799" max="12799" width="14.42578125" style="10" customWidth="1"/>
    <col min="12800" max="12800" width="7.28515625" style="10" customWidth="1"/>
    <col min="12801" max="12801" width="5.5703125" style="10" customWidth="1"/>
    <col min="12802" max="12802" width="9" style="10" customWidth="1"/>
    <col min="12803" max="12804" width="9.85546875" style="10" customWidth="1"/>
    <col min="12805" max="12805" width="11.140625" style="10" customWidth="1"/>
    <col min="12806" max="12806" width="2.85546875" style="10" customWidth="1"/>
    <col min="12807" max="12807" width="3.5703125" style="10" customWidth="1"/>
    <col min="12808" max="13052" width="9.140625" style="10"/>
    <col min="13053" max="13053" width="8.7109375" style="10" customWidth="1"/>
    <col min="13054" max="13054" width="9.85546875" style="10" customWidth="1"/>
    <col min="13055" max="13055" width="14.42578125" style="10" customWidth="1"/>
    <col min="13056" max="13056" width="7.28515625" style="10" customWidth="1"/>
    <col min="13057" max="13057" width="5.5703125" style="10" customWidth="1"/>
    <col min="13058" max="13058" width="9" style="10" customWidth="1"/>
    <col min="13059" max="13060" width="9.85546875" style="10" customWidth="1"/>
    <col min="13061" max="13061" width="11.140625" style="10" customWidth="1"/>
    <col min="13062" max="13062" width="2.85546875" style="10" customWidth="1"/>
    <col min="13063" max="13063" width="3.5703125" style="10" customWidth="1"/>
    <col min="13064" max="13308" width="9.140625" style="10"/>
    <col min="13309" max="13309" width="8.7109375" style="10" customWidth="1"/>
    <col min="13310" max="13310" width="9.85546875" style="10" customWidth="1"/>
    <col min="13311" max="13311" width="14.42578125" style="10" customWidth="1"/>
    <col min="13312" max="13312" width="7.28515625" style="10" customWidth="1"/>
    <col min="13313" max="13313" width="5.5703125" style="10" customWidth="1"/>
    <col min="13314" max="13314" width="9" style="10" customWidth="1"/>
    <col min="13315" max="13316" width="9.85546875" style="10" customWidth="1"/>
    <col min="13317" max="13317" width="11.140625" style="10" customWidth="1"/>
    <col min="13318" max="13318" width="2.85546875" style="10" customWidth="1"/>
    <col min="13319" max="13319" width="3.5703125" style="10" customWidth="1"/>
    <col min="13320" max="13564" width="9.140625" style="10"/>
    <col min="13565" max="13565" width="8.7109375" style="10" customWidth="1"/>
    <col min="13566" max="13566" width="9.85546875" style="10" customWidth="1"/>
    <col min="13567" max="13567" width="14.42578125" style="10" customWidth="1"/>
    <col min="13568" max="13568" width="7.28515625" style="10" customWidth="1"/>
    <col min="13569" max="13569" width="5.5703125" style="10" customWidth="1"/>
    <col min="13570" max="13570" width="9" style="10" customWidth="1"/>
    <col min="13571" max="13572" width="9.85546875" style="10" customWidth="1"/>
    <col min="13573" max="13573" width="11.140625" style="10" customWidth="1"/>
    <col min="13574" max="13574" width="2.85546875" style="10" customWidth="1"/>
    <col min="13575" max="13575" width="3.5703125" style="10" customWidth="1"/>
    <col min="13576" max="13820" width="9.140625" style="10"/>
    <col min="13821" max="13821" width="8.7109375" style="10" customWidth="1"/>
    <col min="13822" max="13822" width="9.85546875" style="10" customWidth="1"/>
    <col min="13823" max="13823" width="14.42578125" style="10" customWidth="1"/>
    <col min="13824" max="13824" width="7.28515625" style="10" customWidth="1"/>
    <col min="13825" max="13825" width="5.5703125" style="10" customWidth="1"/>
    <col min="13826" max="13826" width="9" style="10" customWidth="1"/>
    <col min="13827" max="13828" width="9.85546875" style="10" customWidth="1"/>
    <col min="13829" max="13829" width="11.140625" style="10" customWidth="1"/>
    <col min="13830" max="13830" width="2.85546875" style="10" customWidth="1"/>
    <col min="13831" max="13831" width="3.5703125" style="10" customWidth="1"/>
    <col min="13832" max="14076" width="9.140625" style="10"/>
    <col min="14077" max="14077" width="8.7109375" style="10" customWidth="1"/>
    <col min="14078" max="14078" width="9.85546875" style="10" customWidth="1"/>
    <col min="14079" max="14079" width="14.42578125" style="10" customWidth="1"/>
    <col min="14080" max="14080" width="7.28515625" style="10" customWidth="1"/>
    <col min="14081" max="14081" width="5.5703125" style="10" customWidth="1"/>
    <col min="14082" max="14082" width="9" style="10" customWidth="1"/>
    <col min="14083" max="14084" width="9.85546875" style="10" customWidth="1"/>
    <col min="14085" max="14085" width="11.140625" style="10" customWidth="1"/>
    <col min="14086" max="14086" width="2.85546875" style="10" customWidth="1"/>
    <col min="14087" max="14087" width="3.5703125" style="10" customWidth="1"/>
    <col min="14088" max="14332" width="9.140625" style="10"/>
    <col min="14333" max="14333" width="8.7109375" style="10" customWidth="1"/>
    <col min="14334" max="14334" width="9.85546875" style="10" customWidth="1"/>
    <col min="14335" max="14335" width="14.42578125" style="10" customWidth="1"/>
    <col min="14336" max="14336" width="7.28515625" style="10" customWidth="1"/>
    <col min="14337" max="14337" width="5.5703125" style="10" customWidth="1"/>
    <col min="14338" max="14338" width="9" style="10" customWidth="1"/>
    <col min="14339" max="14340" width="9.85546875" style="10" customWidth="1"/>
    <col min="14341" max="14341" width="11.140625" style="10" customWidth="1"/>
    <col min="14342" max="14342" width="2.85546875" style="10" customWidth="1"/>
    <col min="14343" max="14343" width="3.5703125" style="10" customWidth="1"/>
    <col min="14344" max="14588" width="9.140625" style="10"/>
    <col min="14589" max="14589" width="8.7109375" style="10" customWidth="1"/>
    <col min="14590" max="14590" width="9.85546875" style="10" customWidth="1"/>
    <col min="14591" max="14591" width="14.42578125" style="10" customWidth="1"/>
    <col min="14592" max="14592" width="7.28515625" style="10" customWidth="1"/>
    <col min="14593" max="14593" width="5.5703125" style="10" customWidth="1"/>
    <col min="14594" max="14594" width="9" style="10" customWidth="1"/>
    <col min="14595" max="14596" width="9.85546875" style="10" customWidth="1"/>
    <col min="14597" max="14597" width="11.140625" style="10" customWidth="1"/>
    <col min="14598" max="14598" width="2.85546875" style="10" customWidth="1"/>
    <col min="14599" max="14599" width="3.5703125" style="10" customWidth="1"/>
    <col min="14600" max="14844" width="9.140625" style="10"/>
    <col min="14845" max="14845" width="8.7109375" style="10" customWidth="1"/>
    <col min="14846" max="14846" width="9.85546875" style="10" customWidth="1"/>
    <col min="14847" max="14847" width="14.42578125" style="10" customWidth="1"/>
    <col min="14848" max="14848" width="7.28515625" style="10" customWidth="1"/>
    <col min="14849" max="14849" width="5.5703125" style="10" customWidth="1"/>
    <col min="14850" max="14850" width="9" style="10" customWidth="1"/>
    <col min="14851" max="14852" width="9.85546875" style="10" customWidth="1"/>
    <col min="14853" max="14853" width="11.140625" style="10" customWidth="1"/>
    <col min="14854" max="14854" width="2.85546875" style="10" customWidth="1"/>
    <col min="14855" max="14855" width="3.5703125" style="10" customWidth="1"/>
    <col min="14856" max="15100" width="9.140625" style="10"/>
    <col min="15101" max="15101" width="8.7109375" style="10" customWidth="1"/>
    <col min="15102" max="15102" width="9.85546875" style="10" customWidth="1"/>
    <col min="15103" max="15103" width="14.42578125" style="10" customWidth="1"/>
    <col min="15104" max="15104" width="7.28515625" style="10" customWidth="1"/>
    <col min="15105" max="15105" width="5.5703125" style="10" customWidth="1"/>
    <col min="15106" max="15106" width="9" style="10" customWidth="1"/>
    <col min="15107" max="15108" width="9.85546875" style="10" customWidth="1"/>
    <col min="15109" max="15109" width="11.140625" style="10" customWidth="1"/>
    <col min="15110" max="15110" width="2.85546875" style="10" customWidth="1"/>
    <col min="15111" max="15111" width="3.5703125" style="10" customWidth="1"/>
    <col min="15112" max="15356" width="9.140625" style="10"/>
    <col min="15357" max="15357" width="8.7109375" style="10" customWidth="1"/>
    <col min="15358" max="15358" width="9.85546875" style="10" customWidth="1"/>
    <col min="15359" max="15359" width="14.42578125" style="10" customWidth="1"/>
    <col min="15360" max="15360" width="7.28515625" style="10" customWidth="1"/>
    <col min="15361" max="15361" width="5.5703125" style="10" customWidth="1"/>
    <col min="15362" max="15362" width="9" style="10" customWidth="1"/>
    <col min="15363" max="15364" width="9.85546875" style="10" customWidth="1"/>
    <col min="15365" max="15365" width="11.140625" style="10" customWidth="1"/>
    <col min="15366" max="15366" width="2.85546875" style="10" customWidth="1"/>
    <col min="15367" max="15367" width="3.5703125" style="10" customWidth="1"/>
    <col min="15368" max="15612" width="9.140625" style="10"/>
    <col min="15613" max="15613" width="8.7109375" style="10" customWidth="1"/>
    <col min="15614" max="15614" width="9.85546875" style="10" customWidth="1"/>
    <col min="15615" max="15615" width="14.42578125" style="10" customWidth="1"/>
    <col min="15616" max="15616" width="7.28515625" style="10" customWidth="1"/>
    <col min="15617" max="15617" width="5.5703125" style="10" customWidth="1"/>
    <col min="15618" max="15618" width="9" style="10" customWidth="1"/>
    <col min="15619" max="15620" width="9.85546875" style="10" customWidth="1"/>
    <col min="15621" max="15621" width="11.140625" style="10" customWidth="1"/>
    <col min="15622" max="15622" width="2.85546875" style="10" customWidth="1"/>
    <col min="15623" max="15623" width="3.5703125" style="10" customWidth="1"/>
    <col min="15624" max="15868" width="9.140625" style="10"/>
    <col min="15869" max="15869" width="8.7109375" style="10" customWidth="1"/>
    <col min="15870" max="15870" width="9.85546875" style="10" customWidth="1"/>
    <col min="15871" max="15871" width="14.42578125" style="10" customWidth="1"/>
    <col min="15872" max="15872" width="7.28515625" style="10" customWidth="1"/>
    <col min="15873" max="15873" width="5.5703125" style="10" customWidth="1"/>
    <col min="15874" max="15874" width="9" style="10" customWidth="1"/>
    <col min="15875" max="15876" width="9.85546875" style="10" customWidth="1"/>
    <col min="15877" max="15877" width="11.140625" style="10" customWidth="1"/>
    <col min="15878" max="15878" width="2.85546875" style="10" customWidth="1"/>
    <col min="15879" max="15879" width="3.5703125" style="10" customWidth="1"/>
    <col min="15880" max="16124" width="9.140625" style="10"/>
    <col min="16125" max="16125" width="8.7109375" style="10" customWidth="1"/>
    <col min="16126" max="16126" width="9.85546875" style="10" customWidth="1"/>
    <col min="16127" max="16127" width="14.42578125" style="10" customWidth="1"/>
    <col min="16128" max="16128" width="7.28515625" style="10" customWidth="1"/>
    <col min="16129" max="16129" width="5.5703125" style="10" customWidth="1"/>
    <col min="16130" max="16130" width="9" style="10" customWidth="1"/>
    <col min="16131" max="16132" width="9.85546875" style="10" customWidth="1"/>
    <col min="16133" max="16133" width="11.140625" style="10" customWidth="1"/>
    <col min="16134" max="16134" width="2.85546875" style="10" customWidth="1"/>
    <col min="16135" max="16135" width="3.5703125" style="10" customWidth="1"/>
    <col min="16136" max="16384" width="9.140625" style="10"/>
  </cols>
  <sheetData>
    <row r="1" spans="1:10" ht="46.5" customHeight="1" x14ac:dyDescent="0.25">
      <c r="A1" s="122" t="s">
        <v>297</v>
      </c>
      <c r="B1" s="123"/>
      <c r="C1" s="123"/>
      <c r="D1" s="123"/>
      <c r="E1" s="123"/>
      <c r="F1" s="123"/>
      <c r="G1" s="123"/>
      <c r="H1" s="123"/>
      <c r="I1" s="123"/>
      <c r="J1" s="124"/>
    </row>
    <row r="2" spans="1:10" ht="16.5" customHeight="1" x14ac:dyDescent="0.25">
      <c r="A2" s="125" t="s">
        <v>0</v>
      </c>
      <c r="B2" s="126"/>
      <c r="C2" s="126"/>
      <c r="D2" s="126"/>
      <c r="E2" s="126"/>
      <c r="F2" s="126"/>
      <c r="G2" s="126"/>
      <c r="H2" s="126"/>
      <c r="I2" s="126"/>
      <c r="J2" s="127"/>
    </row>
    <row r="3" spans="1:10" x14ac:dyDescent="0.25">
      <c r="A3" s="69" t="s">
        <v>1</v>
      </c>
      <c r="B3" s="72"/>
      <c r="C3" s="72"/>
      <c r="D3" s="72"/>
      <c r="E3" s="70"/>
      <c r="F3" s="82" t="str">
        <f ca="1">TEXT(TODAY(),"DD/MM/YYYY")</f>
        <v>14/07/2025</v>
      </c>
      <c r="G3" s="116"/>
      <c r="H3" s="116"/>
      <c r="I3" s="116"/>
      <c r="J3" s="117"/>
    </row>
    <row r="4" spans="1:10" ht="15" customHeight="1" x14ac:dyDescent="0.25">
      <c r="A4" s="69" t="s">
        <v>2</v>
      </c>
      <c r="B4" s="72"/>
      <c r="C4" s="72"/>
      <c r="D4" s="72"/>
      <c r="E4" s="70"/>
      <c r="F4" s="131" t="s">
        <v>177</v>
      </c>
      <c r="G4" s="132"/>
      <c r="H4" s="132"/>
      <c r="I4" s="132"/>
      <c r="J4" s="133"/>
    </row>
    <row r="5" spans="1:10" x14ac:dyDescent="0.25">
      <c r="A5" s="69" t="s">
        <v>3</v>
      </c>
      <c r="B5" s="72"/>
      <c r="C5" s="72"/>
      <c r="D5" s="72"/>
      <c r="E5" s="70"/>
      <c r="F5" s="82">
        <v>45850</v>
      </c>
      <c r="G5" s="116"/>
      <c r="H5" s="116"/>
      <c r="I5" s="116"/>
      <c r="J5" s="117"/>
    </row>
    <row r="6" spans="1:10" ht="16.5" customHeight="1" x14ac:dyDescent="0.25">
      <c r="A6" s="69" t="s">
        <v>4</v>
      </c>
      <c r="B6" s="72"/>
      <c r="C6" s="72"/>
      <c r="D6" s="72"/>
      <c r="E6" s="70"/>
      <c r="F6" s="80" t="s">
        <v>178</v>
      </c>
      <c r="G6" s="83"/>
      <c r="H6" s="83"/>
      <c r="I6" s="83"/>
      <c r="J6" s="81"/>
    </row>
    <row r="7" spans="1:10" ht="15" customHeight="1" x14ac:dyDescent="0.25">
      <c r="A7" s="69" t="s">
        <v>5</v>
      </c>
      <c r="B7" s="72"/>
      <c r="C7" s="72"/>
      <c r="D7" s="72"/>
      <c r="E7" s="70"/>
      <c r="F7" s="80" t="str">
        <f>F6</f>
        <v>M/s.Metro Dream Homes</v>
      </c>
      <c r="G7" s="83"/>
      <c r="H7" s="83"/>
      <c r="I7" s="83"/>
      <c r="J7" s="81"/>
    </row>
    <row r="8" spans="1:10" x14ac:dyDescent="0.25">
      <c r="A8" s="69" t="s">
        <v>6</v>
      </c>
      <c r="B8" s="72"/>
      <c r="C8" s="72"/>
      <c r="D8" s="72"/>
      <c r="E8" s="70"/>
      <c r="F8" s="128" t="s">
        <v>179</v>
      </c>
      <c r="G8" s="129"/>
      <c r="H8" s="129"/>
      <c r="I8" s="129"/>
      <c r="J8" s="130"/>
    </row>
    <row r="9" spans="1:10" x14ac:dyDescent="0.25">
      <c r="A9" s="69" t="s">
        <v>7</v>
      </c>
      <c r="B9" s="72"/>
      <c r="C9" s="72"/>
      <c r="D9" s="72"/>
      <c r="E9" s="70"/>
      <c r="F9" s="69">
        <v>2227839017</v>
      </c>
      <c r="G9" s="72"/>
      <c r="H9" s="72"/>
      <c r="I9" s="72"/>
      <c r="J9" s="70"/>
    </row>
    <row r="10" spans="1:10" x14ac:dyDescent="0.25">
      <c r="A10" s="69" t="s">
        <v>8</v>
      </c>
      <c r="B10" s="72"/>
      <c r="C10" s="72"/>
      <c r="D10" s="72"/>
      <c r="E10" s="70"/>
      <c r="F10" s="113" t="s">
        <v>256</v>
      </c>
      <c r="G10" s="114"/>
      <c r="H10" s="114"/>
      <c r="I10" s="114"/>
      <c r="J10" s="115"/>
    </row>
    <row r="11" spans="1:10" ht="16.5" customHeight="1" x14ac:dyDescent="0.25">
      <c r="A11" s="69" t="s">
        <v>9</v>
      </c>
      <c r="B11" s="72"/>
      <c r="C11" s="72"/>
      <c r="D11" s="72"/>
      <c r="E11" s="70"/>
      <c r="F11" s="118" t="s">
        <v>10</v>
      </c>
      <c r="G11" s="119"/>
      <c r="H11" s="119"/>
      <c r="I11" s="119"/>
      <c r="J11" s="120"/>
    </row>
    <row r="12" spans="1:10" x14ac:dyDescent="0.25">
      <c r="A12" s="69" t="s">
        <v>11</v>
      </c>
      <c r="B12" s="72"/>
      <c r="C12" s="72"/>
      <c r="D12" s="72"/>
      <c r="E12" s="70"/>
      <c r="F12" s="69" t="s">
        <v>180</v>
      </c>
      <c r="G12" s="72"/>
      <c r="H12" s="72"/>
      <c r="I12" s="72"/>
      <c r="J12" s="70"/>
    </row>
    <row r="13" spans="1:10" ht="33" customHeight="1" x14ac:dyDescent="0.25">
      <c r="A13" s="121" t="s">
        <v>12</v>
      </c>
      <c r="B13" s="121"/>
      <c r="C13" s="80" t="str">
        <f>CONCATENATE((IF(OR(F8="",F8="NA"),"",F8)),", ",(IF(OR(A14="",A14="NA"),"",A14)),".",(IF(OR(C14="",C14="NA"),"",C14)),", ",(IF(OR(C15="",C15="NA"),"",C15)),", ",(IF(OR(H15="",H15="NA"),"",H15)),", ",(IF(OR(C16="",C16="NA"),"",C16)),", ",(IF(OR(H16="",H16="NA"),"",H16)),".")</f>
        <v>Paramount, Survey No.19, at Village shil and Survey no. 91/1, 91/2, 93 at village Diaghar, Kalyan - Shilphata Road, Dighar, Nilaje, Thane.</v>
      </c>
      <c r="D13" s="83"/>
      <c r="E13" s="83"/>
      <c r="F13" s="83"/>
      <c r="G13" s="83"/>
      <c r="H13" s="83"/>
      <c r="I13" s="83"/>
      <c r="J13" s="81"/>
    </row>
    <row r="14" spans="1:10" ht="15.75" customHeight="1" x14ac:dyDescent="0.25">
      <c r="A14" s="80" t="s">
        <v>181</v>
      </c>
      <c r="B14" s="81"/>
      <c r="C14" s="80" t="s">
        <v>254</v>
      </c>
      <c r="D14" s="83"/>
      <c r="E14" s="83"/>
      <c r="F14" s="83"/>
      <c r="G14" s="83"/>
      <c r="H14" s="83"/>
      <c r="I14" s="83"/>
      <c r="J14" s="81"/>
    </row>
    <row r="15" spans="1:10" ht="15.75" customHeight="1" x14ac:dyDescent="0.25">
      <c r="A15" s="80" t="s">
        <v>13</v>
      </c>
      <c r="B15" s="81"/>
      <c r="C15" s="102" t="s">
        <v>182</v>
      </c>
      <c r="D15" s="102"/>
      <c r="E15" s="102"/>
      <c r="F15" s="103" t="s">
        <v>183</v>
      </c>
      <c r="G15" s="104"/>
      <c r="H15" s="80" t="s">
        <v>184</v>
      </c>
      <c r="I15" s="83"/>
      <c r="J15" s="81"/>
    </row>
    <row r="16" spans="1:10" x14ac:dyDescent="0.25">
      <c r="A16" s="102" t="s">
        <v>15</v>
      </c>
      <c r="B16" s="102"/>
      <c r="C16" s="102" t="s">
        <v>185</v>
      </c>
      <c r="D16" s="102"/>
      <c r="E16" s="102"/>
      <c r="F16" s="103" t="s">
        <v>14</v>
      </c>
      <c r="G16" s="104"/>
      <c r="H16" s="105" t="s">
        <v>186</v>
      </c>
      <c r="I16" s="105"/>
      <c r="J16" s="105"/>
    </row>
    <row r="17" spans="1:10" x14ac:dyDescent="0.25">
      <c r="A17" s="102" t="s">
        <v>140</v>
      </c>
      <c r="B17" s="102"/>
      <c r="C17" s="80" t="s">
        <v>186</v>
      </c>
      <c r="D17" s="83"/>
      <c r="E17" s="81"/>
      <c r="F17" s="103" t="s">
        <v>16</v>
      </c>
      <c r="G17" s="104"/>
      <c r="H17" s="80">
        <v>421601</v>
      </c>
      <c r="I17" s="83"/>
      <c r="J17" s="81"/>
    </row>
    <row r="18" spans="1:10" ht="32.25" customHeight="1" x14ac:dyDescent="0.25">
      <c r="A18" s="102" t="s">
        <v>17</v>
      </c>
      <c r="B18" s="102"/>
      <c r="C18" s="102" t="s">
        <v>187</v>
      </c>
      <c r="D18" s="102"/>
      <c r="E18" s="102"/>
      <c r="F18" s="121" t="s">
        <v>18</v>
      </c>
      <c r="G18" s="121"/>
      <c r="H18" s="119" t="s">
        <v>253</v>
      </c>
      <c r="I18" s="119"/>
      <c r="J18" s="120"/>
    </row>
    <row r="19" spans="1:10" ht="15" customHeight="1" x14ac:dyDescent="0.25">
      <c r="A19" s="103" t="s">
        <v>153</v>
      </c>
      <c r="B19" s="134"/>
      <c r="C19" s="134"/>
      <c r="D19" s="134"/>
      <c r="E19" s="104"/>
      <c r="F19" s="136" t="s">
        <v>19</v>
      </c>
      <c r="G19" s="137"/>
      <c r="H19" s="137"/>
      <c r="I19" s="137"/>
      <c r="J19" s="138"/>
    </row>
    <row r="20" spans="1:10" ht="18.75" customHeight="1" x14ac:dyDescent="0.25">
      <c r="A20" s="67"/>
      <c r="B20" s="135"/>
      <c r="C20" s="135"/>
      <c r="D20" s="135"/>
      <c r="E20" s="68"/>
      <c r="F20" s="139"/>
      <c r="G20" s="140"/>
      <c r="H20" s="140"/>
      <c r="I20" s="140"/>
      <c r="J20" s="141"/>
    </row>
    <row r="21" spans="1:10" ht="15" customHeight="1" x14ac:dyDescent="0.25">
      <c r="A21" s="103" t="s">
        <v>20</v>
      </c>
      <c r="B21" s="134"/>
      <c r="C21" s="134"/>
      <c r="D21" s="134"/>
      <c r="E21" s="104"/>
      <c r="F21" s="103" t="s">
        <v>21</v>
      </c>
      <c r="G21" s="134"/>
      <c r="H21" s="134"/>
      <c r="I21" s="134"/>
      <c r="J21" s="104"/>
    </row>
    <row r="22" spans="1:10" x14ac:dyDescent="0.25">
      <c r="A22" s="67"/>
      <c r="B22" s="135"/>
      <c r="C22" s="135"/>
      <c r="D22" s="135"/>
      <c r="E22" s="68"/>
      <c r="F22" s="67"/>
      <c r="G22" s="135"/>
      <c r="H22" s="135"/>
      <c r="I22" s="135"/>
      <c r="J22" s="68"/>
    </row>
    <row r="23" spans="1:10" ht="15" customHeight="1" x14ac:dyDescent="0.25">
      <c r="A23" s="69" t="s">
        <v>22</v>
      </c>
      <c r="B23" s="72"/>
      <c r="C23" s="72"/>
      <c r="D23" s="72"/>
      <c r="E23" s="70"/>
      <c r="F23" s="131" t="s">
        <v>23</v>
      </c>
      <c r="G23" s="132"/>
      <c r="H23" s="132"/>
      <c r="I23" s="132"/>
      <c r="J23" s="133"/>
    </row>
    <row r="24" spans="1:10" x14ac:dyDescent="0.25">
      <c r="A24" s="69" t="s">
        <v>24</v>
      </c>
      <c r="B24" s="72"/>
      <c r="C24" s="72"/>
      <c r="D24" s="72"/>
      <c r="E24" s="70"/>
      <c r="F24" s="131" t="s">
        <v>25</v>
      </c>
      <c r="G24" s="132"/>
      <c r="H24" s="132"/>
      <c r="I24" s="132"/>
      <c r="J24" s="133"/>
    </row>
    <row r="25" spans="1:10" ht="15" customHeight="1" x14ac:dyDescent="0.25">
      <c r="A25" s="69" t="s">
        <v>26</v>
      </c>
      <c r="B25" s="72"/>
      <c r="C25" s="72"/>
      <c r="D25" s="72"/>
      <c r="E25" s="70"/>
      <c r="F25" s="131" t="s">
        <v>27</v>
      </c>
      <c r="G25" s="132"/>
      <c r="H25" s="132"/>
      <c r="I25" s="132"/>
      <c r="J25" s="133"/>
    </row>
    <row r="26" spans="1:10" x14ac:dyDescent="0.25">
      <c r="A26" s="69" t="s">
        <v>28</v>
      </c>
      <c r="B26" s="72"/>
      <c r="C26" s="72"/>
      <c r="D26" s="72"/>
      <c r="E26" s="70"/>
      <c r="F26" s="131" t="s">
        <v>29</v>
      </c>
      <c r="G26" s="132"/>
      <c r="H26" s="132"/>
      <c r="I26" s="132"/>
      <c r="J26" s="133"/>
    </row>
    <row r="27" spans="1:10" x14ac:dyDescent="0.25">
      <c r="A27" s="106" t="s">
        <v>30</v>
      </c>
      <c r="B27" s="107"/>
      <c r="C27" s="106" t="s">
        <v>31</v>
      </c>
      <c r="D27" s="107"/>
      <c r="E27" s="106" t="s">
        <v>32</v>
      </c>
      <c r="F27" s="107"/>
      <c r="G27" s="106" t="s">
        <v>34</v>
      </c>
      <c r="H27" s="107"/>
      <c r="I27" s="106" t="s">
        <v>33</v>
      </c>
      <c r="J27" s="107"/>
    </row>
    <row r="28" spans="1:10" x14ac:dyDescent="0.25">
      <c r="A28" s="75" t="s">
        <v>35</v>
      </c>
      <c r="B28" s="76"/>
      <c r="C28" s="75" t="s">
        <v>36</v>
      </c>
      <c r="D28" s="76"/>
      <c r="E28" s="75" t="s">
        <v>36</v>
      </c>
      <c r="F28" s="76"/>
      <c r="G28" s="75" t="s">
        <v>36</v>
      </c>
      <c r="H28" s="76"/>
      <c r="I28" s="75" t="s">
        <v>36</v>
      </c>
      <c r="J28" s="76"/>
    </row>
    <row r="29" spans="1:10" ht="35.25" customHeight="1" x14ac:dyDescent="0.25">
      <c r="A29" s="75" t="s">
        <v>37</v>
      </c>
      <c r="B29" s="76"/>
      <c r="C29" s="75" t="s">
        <v>188</v>
      </c>
      <c r="D29" s="76"/>
      <c r="E29" s="75" t="s">
        <v>188</v>
      </c>
      <c r="F29" s="76"/>
      <c r="G29" s="75" t="s">
        <v>188</v>
      </c>
      <c r="H29" s="76"/>
      <c r="I29" s="111" t="s">
        <v>182</v>
      </c>
      <c r="J29" s="112"/>
    </row>
    <row r="30" spans="1:10" x14ac:dyDescent="0.25">
      <c r="A30" s="69" t="s">
        <v>38</v>
      </c>
      <c r="B30" s="72"/>
      <c r="C30" s="72"/>
      <c r="D30" s="72"/>
      <c r="E30" s="72"/>
      <c r="F30" s="72"/>
      <c r="G30" s="72"/>
      <c r="H30" s="72"/>
      <c r="I30" s="72"/>
      <c r="J30" s="70"/>
    </row>
    <row r="31" spans="1:10" x14ac:dyDescent="0.25">
      <c r="A31" s="69" t="s">
        <v>39</v>
      </c>
      <c r="B31" s="72"/>
      <c r="C31" s="72"/>
      <c r="D31" s="72"/>
      <c r="E31" s="72"/>
      <c r="F31" s="72"/>
      <c r="G31" s="72"/>
      <c r="H31" s="72"/>
      <c r="I31" s="72"/>
      <c r="J31" s="70"/>
    </row>
    <row r="32" spans="1:10" x14ac:dyDescent="0.25">
      <c r="A32" s="69" t="s">
        <v>40</v>
      </c>
      <c r="B32" s="70"/>
      <c r="C32" s="75" t="s">
        <v>41</v>
      </c>
      <c r="D32" s="76"/>
      <c r="E32" s="75">
        <v>19.1486105</v>
      </c>
      <c r="F32" s="76"/>
      <c r="G32" s="75" t="s">
        <v>42</v>
      </c>
      <c r="H32" s="76"/>
      <c r="I32" s="75">
        <v>73.052503999999999</v>
      </c>
      <c r="J32" s="76"/>
    </row>
    <row r="33" spans="1:10" x14ac:dyDescent="0.25">
      <c r="A33" s="69" t="s">
        <v>282</v>
      </c>
      <c r="B33" s="70"/>
      <c r="C33" s="71" t="s">
        <v>283</v>
      </c>
      <c r="D33" s="72"/>
      <c r="E33" s="72"/>
      <c r="F33" s="72"/>
      <c r="G33" s="72"/>
      <c r="H33" s="72"/>
      <c r="I33" s="72"/>
      <c r="J33" s="70"/>
    </row>
    <row r="34" spans="1:10" x14ac:dyDescent="0.25">
      <c r="A34" s="128" t="s">
        <v>43</v>
      </c>
      <c r="B34" s="129"/>
      <c r="C34" s="129"/>
      <c r="D34" s="129"/>
      <c r="E34" s="129"/>
      <c r="F34" s="129"/>
      <c r="G34" s="129"/>
      <c r="H34" s="129"/>
      <c r="I34" s="129"/>
      <c r="J34" s="130"/>
    </row>
    <row r="35" spans="1:10" ht="15" customHeight="1" x14ac:dyDescent="0.25">
      <c r="A35" s="80" t="s">
        <v>44</v>
      </c>
      <c r="B35" s="83"/>
      <c r="C35" s="83"/>
      <c r="D35" s="83"/>
      <c r="E35" s="81"/>
      <c r="F35" s="84" t="s">
        <v>201</v>
      </c>
      <c r="G35" s="85"/>
      <c r="H35" s="85"/>
      <c r="I35" s="85"/>
      <c r="J35" s="86"/>
    </row>
    <row r="36" spans="1:10" ht="15" customHeight="1" x14ac:dyDescent="0.25">
      <c r="A36" s="67" t="s">
        <v>45</v>
      </c>
      <c r="B36" s="135"/>
      <c r="C36" s="135"/>
      <c r="D36" s="135"/>
      <c r="E36" s="135"/>
      <c r="F36" s="80" t="s">
        <v>46</v>
      </c>
      <c r="G36" s="83"/>
      <c r="H36" s="83"/>
      <c r="I36" s="83"/>
      <c r="J36" s="81"/>
    </row>
    <row r="37" spans="1:10" x14ac:dyDescent="0.25">
      <c r="A37" s="128" t="s">
        <v>47</v>
      </c>
      <c r="B37" s="129"/>
      <c r="C37" s="129"/>
      <c r="D37" s="129"/>
      <c r="E37" s="129"/>
      <c r="F37" s="129"/>
      <c r="G37" s="129"/>
      <c r="H37" s="129"/>
      <c r="I37" s="129"/>
      <c r="J37" s="130"/>
    </row>
    <row r="38" spans="1:10" x14ac:dyDescent="0.25">
      <c r="A38" s="69" t="s">
        <v>48</v>
      </c>
      <c r="B38" s="72"/>
      <c r="C38" s="72"/>
      <c r="D38" s="72"/>
      <c r="E38" s="70"/>
      <c r="F38" s="146">
        <v>4866.25</v>
      </c>
      <c r="G38" s="147"/>
      <c r="H38" s="147"/>
      <c r="I38" s="147"/>
      <c r="J38" s="148"/>
    </row>
    <row r="39" spans="1:10" x14ac:dyDescent="0.25">
      <c r="A39" s="69" t="s">
        <v>49</v>
      </c>
      <c r="B39" s="72"/>
      <c r="C39" s="72"/>
      <c r="D39" s="72"/>
      <c r="E39" s="70"/>
      <c r="F39" s="77">
        <v>1</v>
      </c>
      <c r="G39" s="78"/>
      <c r="H39" s="78"/>
      <c r="I39" s="78"/>
      <c r="J39" s="79"/>
    </row>
    <row r="40" spans="1:10" x14ac:dyDescent="0.25">
      <c r="A40" s="69" t="s">
        <v>50</v>
      </c>
      <c r="B40" s="72"/>
      <c r="C40" s="72"/>
      <c r="D40" s="72"/>
      <c r="E40" s="70"/>
      <c r="F40" s="77">
        <f>F42/F38-F39</f>
        <v>2</v>
      </c>
      <c r="G40" s="78"/>
      <c r="H40" s="78"/>
      <c r="I40" s="78"/>
      <c r="J40" s="79"/>
    </row>
    <row r="41" spans="1:10" x14ac:dyDescent="0.25">
      <c r="A41" s="69" t="s">
        <v>51</v>
      </c>
      <c r="B41" s="72"/>
      <c r="C41" s="72"/>
      <c r="D41" s="72"/>
      <c r="E41" s="70"/>
      <c r="F41" s="77">
        <f>F39+F40</f>
        <v>3</v>
      </c>
      <c r="G41" s="78"/>
      <c r="H41" s="78"/>
      <c r="I41" s="78"/>
      <c r="J41" s="79"/>
    </row>
    <row r="42" spans="1:10" x14ac:dyDescent="0.25">
      <c r="A42" s="69" t="s">
        <v>52</v>
      </c>
      <c r="B42" s="72"/>
      <c r="C42" s="72"/>
      <c r="D42" s="72"/>
      <c r="E42" s="70"/>
      <c r="F42" s="77">
        <v>14598.75</v>
      </c>
      <c r="G42" s="78"/>
      <c r="H42" s="78"/>
      <c r="I42" s="78"/>
      <c r="J42" s="79"/>
    </row>
    <row r="43" spans="1:10" x14ac:dyDescent="0.25">
      <c r="A43" s="69" t="s">
        <v>53</v>
      </c>
      <c r="B43" s="72"/>
      <c r="C43" s="72"/>
      <c r="D43" s="72"/>
      <c r="E43" s="70"/>
      <c r="F43" s="113" t="s">
        <v>255</v>
      </c>
      <c r="G43" s="114"/>
      <c r="H43" s="114"/>
      <c r="I43" s="114"/>
      <c r="J43" s="115"/>
    </row>
    <row r="44" spans="1:10" x14ac:dyDescent="0.25">
      <c r="A44" s="128" t="s">
        <v>54</v>
      </c>
      <c r="B44" s="129"/>
      <c r="C44" s="129"/>
      <c r="D44" s="129"/>
      <c r="E44" s="129"/>
      <c r="F44" s="129"/>
      <c r="G44" s="129"/>
      <c r="H44" s="129"/>
      <c r="I44" s="129"/>
      <c r="J44" s="130"/>
    </row>
    <row r="45" spans="1:10" x14ac:dyDescent="0.25">
      <c r="A45" s="80" t="s">
        <v>55</v>
      </c>
      <c r="B45" s="81"/>
      <c r="C45" s="80" t="s">
        <v>257</v>
      </c>
      <c r="D45" s="83"/>
      <c r="E45" s="83"/>
      <c r="F45" s="81"/>
      <c r="G45" s="48" t="s">
        <v>56</v>
      </c>
      <c r="H45" s="149">
        <v>44742</v>
      </c>
      <c r="I45" s="83"/>
      <c r="J45" s="81"/>
    </row>
    <row r="46" spans="1:10" ht="35.450000000000003" customHeight="1" x14ac:dyDescent="0.25">
      <c r="A46" s="80" t="s">
        <v>259</v>
      </c>
      <c r="B46" s="81"/>
      <c r="C46" s="80" t="s">
        <v>258</v>
      </c>
      <c r="D46" s="83"/>
      <c r="E46" s="83"/>
      <c r="F46" s="81"/>
      <c r="G46" s="48" t="s">
        <v>56</v>
      </c>
      <c r="H46" s="149">
        <v>44551</v>
      </c>
      <c r="I46" s="83"/>
      <c r="J46" s="81"/>
    </row>
    <row r="47" spans="1:10" ht="67.5" customHeight="1" x14ac:dyDescent="0.25">
      <c r="A47" s="80" t="s">
        <v>261</v>
      </c>
      <c r="B47" s="81"/>
      <c r="C47" s="80" t="s">
        <v>260</v>
      </c>
      <c r="D47" s="72"/>
      <c r="E47" s="72"/>
      <c r="F47" s="70"/>
      <c r="G47" s="54" t="s">
        <v>56</v>
      </c>
      <c r="H47" s="82">
        <v>44551</v>
      </c>
      <c r="I47" s="72"/>
      <c r="J47" s="70"/>
    </row>
    <row r="48" spans="1:10" s="64" customFormat="1" ht="32.25" customHeight="1" x14ac:dyDescent="0.25">
      <c r="A48" s="80" t="s">
        <v>262</v>
      </c>
      <c r="B48" s="81"/>
      <c r="C48" s="80" t="s">
        <v>263</v>
      </c>
      <c r="D48" s="72"/>
      <c r="E48" s="72"/>
      <c r="F48" s="70"/>
      <c r="G48" s="54" t="s">
        <v>56</v>
      </c>
      <c r="H48" s="82">
        <v>44742</v>
      </c>
      <c r="I48" s="72"/>
      <c r="J48" s="70"/>
    </row>
    <row r="49" spans="1:12" s="64" customFormat="1" ht="48.75" customHeight="1" x14ac:dyDescent="0.25">
      <c r="A49" s="80" t="s">
        <v>264</v>
      </c>
      <c r="B49" s="81"/>
      <c r="C49" s="80" t="s">
        <v>265</v>
      </c>
      <c r="D49" s="72"/>
      <c r="E49" s="72"/>
      <c r="F49" s="70"/>
      <c r="G49" s="54" t="s">
        <v>56</v>
      </c>
      <c r="H49" s="82">
        <v>44742</v>
      </c>
      <c r="I49" s="72"/>
      <c r="J49" s="70"/>
    </row>
    <row r="50" spans="1:12" s="64" customFormat="1" ht="46.5" customHeight="1" x14ac:dyDescent="0.25">
      <c r="A50" s="67"/>
      <c r="B50" s="68"/>
      <c r="C50" s="80" t="s">
        <v>291</v>
      </c>
      <c r="D50" s="83"/>
      <c r="E50" s="83"/>
      <c r="F50" s="81"/>
      <c r="G50" s="54" t="s">
        <v>56</v>
      </c>
      <c r="H50" s="82">
        <v>44984</v>
      </c>
      <c r="I50" s="116"/>
      <c r="J50" s="117"/>
    </row>
    <row r="51" spans="1:12" ht="15" customHeight="1" x14ac:dyDescent="0.25">
      <c r="A51" s="80" t="s">
        <v>57</v>
      </c>
      <c r="B51" s="81"/>
      <c r="C51" s="80" t="s">
        <v>148</v>
      </c>
      <c r="D51" s="72"/>
      <c r="E51" s="72"/>
      <c r="F51" s="70" t="s">
        <v>58</v>
      </c>
      <c r="G51" s="48" t="s">
        <v>56</v>
      </c>
      <c r="H51" s="80" t="s">
        <v>36</v>
      </c>
      <c r="I51" s="83" t="s">
        <v>36</v>
      </c>
      <c r="J51" s="81"/>
    </row>
    <row r="52" spans="1:12" x14ac:dyDescent="0.25">
      <c r="A52" s="102" t="s">
        <v>59</v>
      </c>
      <c r="B52" s="102"/>
      <c r="C52" s="102"/>
      <c r="D52" s="142">
        <v>43691</v>
      </c>
      <c r="E52" s="143"/>
      <c r="F52" s="69" t="s">
        <v>60</v>
      </c>
      <c r="G52" s="144"/>
      <c r="H52" s="145">
        <v>46386</v>
      </c>
      <c r="I52" s="114"/>
      <c r="J52" s="115"/>
    </row>
    <row r="53" spans="1:12" x14ac:dyDescent="0.25">
      <c r="A53" s="155" t="s">
        <v>61</v>
      </c>
      <c r="B53" s="156"/>
      <c r="C53" s="156"/>
      <c r="D53" s="156"/>
      <c r="E53" s="156"/>
      <c r="F53" s="156"/>
      <c r="G53" s="156"/>
      <c r="H53" s="156"/>
      <c r="I53" s="156"/>
      <c r="J53" s="157"/>
    </row>
    <row r="54" spans="1:12" ht="48" customHeight="1" x14ac:dyDescent="0.25">
      <c r="A54" s="69" t="s">
        <v>62</v>
      </c>
      <c r="B54" s="72"/>
      <c r="C54" s="70"/>
      <c r="D54" s="75">
        <f>F42</f>
        <v>14598.75</v>
      </c>
      <c r="E54" s="76"/>
      <c r="F54" s="158" t="s">
        <v>63</v>
      </c>
      <c r="G54" s="159"/>
      <c r="H54" s="118" t="s">
        <v>280</v>
      </c>
      <c r="I54" s="119"/>
      <c r="J54" s="120"/>
    </row>
    <row r="55" spans="1:12" ht="36" customHeight="1" x14ac:dyDescent="0.25">
      <c r="A55" s="113" t="s">
        <v>64</v>
      </c>
      <c r="B55" s="114"/>
      <c r="C55" s="118" t="s">
        <v>266</v>
      </c>
      <c r="D55" s="119"/>
      <c r="E55" s="119"/>
      <c r="F55" s="119"/>
      <c r="G55" s="119"/>
      <c r="H55" s="119"/>
      <c r="I55" s="119"/>
      <c r="J55" s="120"/>
    </row>
    <row r="56" spans="1:12" ht="15.75" customHeight="1" x14ac:dyDescent="0.25">
      <c r="A56" s="69" t="s">
        <v>65</v>
      </c>
      <c r="B56" s="72"/>
      <c r="C56" s="72"/>
      <c r="D56" s="80" t="s">
        <v>281</v>
      </c>
      <c r="E56" s="83"/>
      <c r="F56" s="83"/>
      <c r="G56" s="83"/>
      <c r="H56" s="83"/>
      <c r="I56" s="83"/>
      <c r="J56" s="81"/>
    </row>
    <row r="57" spans="1:12" ht="16.5" thickBot="1" x14ac:dyDescent="0.3">
      <c r="A57" s="113" t="s">
        <v>202</v>
      </c>
      <c r="B57" s="114"/>
      <c r="C57" s="114"/>
      <c r="D57" s="114"/>
      <c r="E57" s="114"/>
      <c r="F57" s="114"/>
      <c r="G57" s="114"/>
      <c r="H57" s="114"/>
      <c r="I57" s="114"/>
      <c r="J57" s="115"/>
    </row>
    <row r="58" spans="1:12" x14ac:dyDescent="0.25">
      <c r="A58" s="160" t="s">
        <v>227</v>
      </c>
      <c r="B58" s="161"/>
      <c r="C58" s="162" t="s">
        <v>292</v>
      </c>
      <c r="D58" s="162"/>
      <c r="E58" s="162"/>
      <c r="F58" s="162"/>
      <c r="G58" s="162"/>
      <c r="H58" s="162"/>
      <c r="I58" s="162"/>
      <c r="J58" s="163"/>
      <c r="K58" s="44" t="str">
        <f ca="1">(IF(F62&gt;99%,"All work completed. Please provide OC.",IF(F62&gt;89.8%,"Plinth, RCC, Brick, Plaster, Flooring, Painting work Completed. Finishing work is in process.",IF(F62&lt;94%,(IF(C62=0,"Work not yet Started.",IF(D62=25%,"Piling work in process",IF(D62=50%,"Excavation work in process",IF(D62=100%,"Excavation work Completed. ","0")))&amp;(IF(C63=0%,"",IF(C63=L64,"Footing work is process",IF(C63=L65,"Footing work Completed",IF(C63=L66,"1st Basement Completed",IF(C63=L67,"1st &amp; 2nd Basement Completed",IF(C63=L68,"1st to 3rd Basement Completed",IF(C63=L69,"1st to 4th Basement Completed",IF(C63=L70,"Plinth work is process",IF(C63=L71,"Plinth work completed","0")))))))))))&amp;(IF(C64=(D59+G59+I59),", RCC Slab",IF(C64&gt;0,", RCC upto "&amp;C64&amp;" Slab",""))&amp;(IF(C65=I59,", Brickwork",IF(C65&gt;0,", Brickwork upto "&amp;C65&amp;" Floor",""))&amp;(IF(C66=I59,", Internal Plaster",IF(C66&gt;0,", Internal Plaster upto "&amp;C66&amp;" Floor",""))&amp;(IF(C67=I59,", External Plaster",IF(C67&gt;0,", External Plaster upto "&amp;C67&amp;" Floor",""))&amp;(IF(C68=I59,", Flooring",IF(C68&gt;0,", Flooring upto "&amp;C68&amp;" Floor",""))&amp;(IF(C69=I59,", Painting",IF(C69&gt;0,", Painting upto "&amp;C69&amp;" Floor",""))&amp;(IF(C70&gt;0,", Finishing upto "&amp;C70&amp;" Floor","")&amp;(IF(C64&gt;0.5," Completed",""))))))))))))))</f>
        <v>Plinth, RCC, Brick, Plaster, Flooring, Painting work Completed. Finishing work is in process.</v>
      </c>
      <c r="L58" s="44"/>
    </row>
    <row r="59" spans="1:12" x14ac:dyDescent="0.25">
      <c r="A59" s="52" t="s">
        <v>136</v>
      </c>
      <c r="B59" s="53">
        <v>0</v>
      </c>
      <c r="C59" s="50" t="s">
        <v>138</v>
      </c>
      <c r="D59" s="50">
        <v>1</v>
      </c>
      <c r="E59" s="164" t="s">
        <v>137</v>
      </c>
      <c r="F59" s="164"/>
      <c r="G59" s="50">
        <v>0</v>
      </c>
      <c r="H59" s="50" t="s">
        <v>228</v>
      </c>
      <c r="I59" s="164">
        <f ca="1">--TRIM(RIGHT(SUBSTITUTE(LEFT(C58,_xlfn.AGGREGATE(16,6,FIND({0,1,2,3,4,5,6,7,8,9},C58,ROW(INDIRECT("1:"&amp;LEN(C58)))),1))," ",REPT(" ",LEN(C58))),LEN(C58)))</f>
        <v>35</v>
      </c>
      <c r="J59" s="165"/>
      <c r="K59" s="44"/>
      <c r="L59" s="44"/>
    </row>
    <row r="60" spans="1:12" ht="33" customHeight="1" x14ac:dyDescent="0.25">
      <c r="A60" s="166" t="s">
        <v>229</v>
      </c>
      <c r="B60" s="167"/>
      <c r="C60" s="168" t="str">
        <f ca="1">K58</f>
        <v>Plinth, RCC, Brick, Plaster, Flooring, Painting work Completed. Finishing work is in process.</v>
      </c>
      <c r="D60" s="168"/>
      <c r="E60" s="168"/>
      <c r="F60" s="168"/>
      <c r="G60" s="168"/>
      <c r="H60" s="168"/>
      <c r="I60" s="168"/>
      <c r="J60" s="169"/>
      <c r="K60" s="44" t="s">
        <v>230</v>
      </c>
      <c r="L60" s="44"/>
    </row>
    <row r="61" spans="1:12" x14ac:dyDescent="0.25">
      <c r="A61" s="170" t="s">
        <v>66</v>
      </c>
      <c r="B61" s="171"/>
      <c r="C61" s="55" t="s">
        <v>231</v>
      </c>
      <c r="D61" s="172" t="s">
        <v>232</v>
      </c>
      <c r="E61" s="172"/>
      <c r="F61" s="172" t="s">
        <v>233</v>
      </c>
      <c r="G61" s="172"/>
      <c r="H61" s="172" t="s">
        <v>234</v>
      </c>
      <c r="I61" s="172"/>
      <c r="J61" s="173"/>
      <c r="K61" s="45" t="s">
        <v>235</v>
      </c>
      <c r="L61" s="10">
        <f ca="1">I59*25%</f>
        <v>8.75</v>
      </c>
    </row>
    <row r="62" spans="1:12" x14ac:dyDescent="0.25">
      <c r="A62" s="88" t="s">
        <v>236</v>
      </c>
      <c r="B62" s="89"/>
      <c r="C62" s="56">
        <f ca="1">L63</f>
        <v>35</v>
      </c>
      <c r="D62" s="87">
        <f ca="1">((100/I59)*C62)/100</f>
        <v>1</v>
      </c>
      <c r="E62" s="87"/>
      <c r="F62" s="87">
        <f ca="1">(((C63/I59*10)+(40/(D59+G59+I59)*C64)+(7.5/(I59)*C65)+(7.5/(I59)*C66)+(10/I59*C67)+(10/I59*C68)+(5/I59*C69)+(5/I59*C70)+(5/I59*C71))/100)</f>
        <v>0.93857142857142861</v>
      </c>
      <c r="G62" s="87"/>
      <c r="H62" s="87">
        <f ca="1">((((C62/I59)*20)+((C63/I59)*25)+(30/(I59+G59+D59)*C64)+(5/I59*C65)+(5/I59*C66)+(5/I59*C67)+(5/I59*C68)+(0/I59*C69)+(0/I59*C70)+(5/I59*C71))/100)</f>
        <v>0.95</v>
      </c>
      <c r="I62" s="87"/>
      <c r="J62" s="239"/>
      <c r="K62" s="45" t="s">
        <v>142</v>
      </c>
      <c r="L62" s="45">
        <f ca="1">I59*50%</f>
        <v>17.5</v>
      </c>
    </row>
    <row r="63" spans="1:12" x14ac:dyDescent="0.25">
      <c r="A63" s="88" t="s">
        <v>67</v>
      </c>
      <c r="B63" s="89"/>
      <c r="C63" s="57">
        <f ca="1">L71</f>
        <v>35</v>
      </c>
      <c r="D63" s="87">
        <f ca="1">((100/I59)*C63)/100</f>
        <v>1</v>
      </c>
      <c r="E63" s="87"/>
      <c r="F63" s="87"/>
      <c r="G63" s="87"/>
      <c r="H63" s="87"/>
      <c r="I63" s="87"/>
      <c r="J63" s="239"/>
      <c r="K63" s="45" t="s">
        <v>143</v>
      </c>
      <c r="L63" s="45">
        <f ca="1">I59</f>
        <v>35</v>
      </c>
    </row>
    <row r="64" spans="1:12" x14ac:dyDescent="0.25">
      <c r="A64" s="88" t="s">
        <v>251</v>
      </c>
      <c r="B64" s="89"/>
      <c r="C64" s="57">
        <v>36</v>
      </c>
      <c r="D64" s="87">
        <f ca="1">((100/(D59+G59+I59))*C64)/100</f>
        <v>1</v>
      </c>
      <c r="E64" s="87"/>
      <c r="F64" s="87"/>
      <c r="G64" s="87"/>
      <c r="H64" s="87"/>
      <c r="I64" s="87"/>
      <c r="J64" s="239"/>
      <c r="K64" s="45" t="s">
        <v>144</v>
      </c>
      <c r="L64" s="46">
        <f ca="1">(IF(B59&gt;1,(I59/(B59+2)),I59/4))</f>
        <v>8.75</v>
      </c>
    </row>
    <row r="65" spans="1:12" x14ac:dyDescent="0.25">
      <c r="A65" s="88" t="s">
        <v>238</v>
      </c>
      <c r="B65" s="89" t="s">
        <v>239</v>
      </c>
      <c r="C65" s="57">
        <f>C64-1</f>
        <v>35</v>
      </c>
      <c r="D65" s="87">
        <f ca="1">((100/I59)*C65)/100</f>
        <v>1</v>
      </c>
      <c r="E65" s="87"/>
      <c r="F65" s="87"/>
      <c r="G65" s="87"/>
      <c r="H65" s="87"/>
      <c r="I65" s="87"/>
      <c r="J65" s="239"/>
      <c r="K65" s="45" t="s">
        <v>145</v>
      </c>
      <c r="L65" s="46">
        <f ca="1">(IF(B59&gt;1,(I59/(B59+2)+L64),I59/4+L64))</f>
        <v>17.5</v>
      </c>
    </row>
    <row r="66" spans="1:12" x14ac:dyDescent="0.25">
      <c r="A66" s="88" t="s">
        <v>240</v>
      </c>
      <c r="B66" s="89" t="s">
        <v>239</v>
      </c>
      <c r="C66" s="57">
        <v>35</v>
      </c>
      <c r="D66" s="87">
        <f ca="1">((100/I59)*C66)/100</f>
        <v>1</v>
      </c>
      <c r="E66" s="87"/>
      <c r="F66" s="87"/>
      <c r="G66" s="87"/>
      <c r="H66" s="87"/>
      <c r="I66" s="87"/>
      <c r="J66" s="239"/>
      <c r="K66" s="45" t="s">
        <v>241</v>
      </c>
      <c r="L66" s="46">
        <f>(IF(B59&gt;1,(I59/(B59+2)+L65),0))</f>
        <v>0</v>
      </c>
    </row>
    <row r="67" spans="1:12" x14ac:dyDescent="0.25">
      <c r="A67" s="241" t="s">
        <v>242</v>
      </c>
      <c r="B67" s="242" t="s">
        <v>243</v>
      </c>
      <c r="C67" s="57">
        <v>35</v>
      </c>
      <c r="D67" s="87">
        <f ca="1">((100/(I59))*C67)/100</f>
        <v>1</v>
      </c>
      <c r="E67" s="87"/>
      <c r="F67" s="87"/>
      <c r="G67" s="87"/>
      <c r="H67" s="87"/>
      <c r="I67" s="87"/>
      <c r="J67" s="239"/>
      <c r="K67" s="45" t="s">
        <v>244</v>
      </c>
      <c r="L67" s="46">
        <f>(IF(B59&gt;2,(I59/(B59+2)+L66),0))</f>
        <v>0</v>
      </c>
    </row>
    <row r="68" spans="1:12" x14ac:dyDescent="0.25">
      <c r="A68" s="88" t="s">
        <v>245</v>
      </c>
      <c r="B68" s="89" t="s">
        <v>245</v>
      </c>
      <c r="C68" s="56">
        <v>35</v>
      </c>
      <c r="D68" s="87">
        <f ca="1">((100/I59)*C68)/100</f>
        <v>1</v>
      </c>
      <c r="E68" s="87"/>
      <c r="F68" s="87"/>
      <c r="G68" s="87"/>
      <c r="H68" s="87"/>
      <c r="I68" s="87"/>
      <c r="J68" s="239"/>
      <c r="K68" s="45" t="s">
        <v>246</v>
      </c>
      <c r="L68" s="47">
        <f>(IF(B59&gt;3,(I59/(B59+2)+L67),0))</f>
        <v>0</v>
      </c>
    </row>
    <row r="69" spans="1:12" x14ac:dyDescent="0.25">
      <c r="A69" s="88" t="s">
        <v>247</v>
      </c>
      <c r="B69" s="89"/>
      <c r="C69" s="56">
        <v>35</v>
      </c>
      <c r="D69" s="87">
        <f ca="1">((100/I59)*C69)/100</f>
        <v>1</v>
      </c>
      <c r="E69" s="87"/>
      <c r="F69" s="87"/>
      <c r="G69" s="87"/>
      <c r="H69" s="87"/>
      <c r="I69" s="87"/>
      <c r="J69" s="239"/>
      <c r="K69" s="45" t="s">
        <v>248</v>
      </c>
      <c r="L69" s="46">
        <f>(IF(B59&gt;4,(I59/(B59+2)+L68),0))</f>
        <v>0</v>
      </c>
    </row>
    <row r="70" spans="1:12" x14ac:dyDescent="0.25">
      <c r="A70" s="88" t="s">
        <v>249</v>
      </c>
      <c r="B70" s="89" t="s">
        <v>249</v>
      </c>
      <c r="C70" s="56">
        <v>27</v>
      </c>
      <c r="D70" s="87">
        <f ca="1">((100/(I59))*C70)/100</f>
        <v>0.77142857142857135</v>
      </c>
      <c r="E70" s="87"/>
      <c r="F70" s="87"/>
      <c r="G70" s="87"/>
      <c r="H70" s="87"/>
      <c r="I70" s="87"/>
      <c r="J70" s="239"/>
      <c r="K70" s="45" t="s">
        <v>146</v>
      </c>
      <c r="L70" s="46">
        <f ca="1">(IF(B59=1,(I59/(B59+3)+L65),IF(B59=0,(I59/4+L65),IF(B59&gt;1,0))))</f>
        <v>26.25</v>
      </c>
    </row>
    <row r="71" spans="1:12" ht="16.5" thickBot="1" x14ac:dyDescent="0.3">
      <c r="A71" s="174" t="s">
        <v>250</v>
      </c>
      <c r="B71" s="175"/>
      <c r="C71" s="58">
        <v>0</v>
      </c>
      <c r="D71" s="176">
        <f ca="1">((100/(I59))*C71)/100</f>
        <v>0</v>
      </c>
      <c r="E71" s="176"/>
      <c r="F71" s="176"/>
      <c r="G71" s="176"/>
      <c r="H71" s="176"/>
      <c r="I71" s="176"/>
      <c r="J71" s="240"/>
      <c r="K71" s="45" t="s">
        <v>147</v>
      </c>
      <c r="L71" s="46">
        <f ca="1">(IF(B59&gt;1.5,(I59/(B59+2)+L65+MAX(0,L66-L65)+MAX(0,L67-L66)+MAX(0,L68-L67)+MAX(0,L69-L68)+MAX(0,L70-L69)),IF(B59=1,(I59/(B59+3)+L70),IF(B59=0,I59/4+L70))))</f>
        <v>35</v>
      </c>
    </row>
    <row r="72" spans="1:12" x14ac:dyDescent="0.25">
      <c r="A72" s="160" t="s">
        <v>227</v>
      </c>
      <c r="B72" s="161"/>
      <c r="C72" s="162" t="s">
        <v>293</v>
      </c>
      <c r="D72" s="162"/>
      <c r="E72" s="162"/>
      <c r="F72" s="162"/>
      <c r="G72" s="162"/>
      <c r="H72" s="162"/>
      <c r="I72" s="162"/>
      <c r="J72" s="163"/>
      <c r="K72" s="44" t="str">
        <f ca="1">(IF(F76&gt;99%,"All work completed. Please provide OC.",IF(F76&gt;89.8%,"Plinth, RCC, Brick, Plaster, Flooring, Painting work Completed. Finishing work is in process.",IF(F76&lt;94%,(IF(C76=0,"Work not yet Started.",IF(D76=25%,"Piling work in process",IF(D76=50%,"Excavation work in process",IF(D76=100%,"Excavation work Completed. ","0")))&amp;(IF(C77=0%,"",IF(C77=L78,"Footing work is process",IF(C77=L79,"Footing work Completed",IF(C77=L80,"1st Basement Completed",IF(C77=L81,"1st &amp; 2nd Basement Completed",IF(C77=L82,"1st to 3rd Basement Completed",IF(C77=L83,"1st to 4th Basement Completed",IF(C77=L84,"Plinth work is process",IF(C77=L85,"Plinth work completed","0")))))))))))&amp;(IF(C78=(D73+G73+I73),", RCC Slab",IF(C78&gt;0,", RCC upto "&amp;C78&amp;" Slab",""))&amp;(IF(C79=I73,", Brickwork",IF(C79&gt;0,", Brickwork upto "&amp;C79&amp;" Floor",""))&amp;(IF(C80=I73,", Internal Plaster",IF(C80&gt;0,", Internal Plaster upto "&amp;C80&amp;" Floor",""))&amp;(IF(C81=I73,", External Plaster",IF(C81&gt;0,", External Plaster upto "&amp;C81&amp;" Floor",""))&amp;(IF(C82=I73,", Flooring",IF(C82&gt;0,", Flooring upto "&amp;C82&amp;" Floor",""))&amp;(IF(C83=I73,", Painting",IF(C83&gt;0,", Painting upto "&amp;C83&amp;" Floor",""))&amp;(IF(C84&gt;0,", Finishing upto "&amp;C84&amp;" Floor","")&amp;(IF(C78&gt;0.5," Completed",""))))))))))))))</f>
        <v>Excavation work Completed. Plinth work completed, RCC Slab, Brickwork, Internal Plaster, External Plaster upto 32 Floor, Flooring upto 15 Floor, Painting upto 5 Floor Completed</v>
      </c>
      <c r="L72" s="44"/>
    </row>
    <row r="73" spans="1:12" x14ac:dyDescent="0.25">
      <c r="A73" s="52" t="s">
        <v>136</v>
      </c>
      <c r="B73" s="53">
        <v>0</v>
      </c>
      <c r="C73" s="50" t="s">
        <v>138</v>
      </c>
      <c r="D73" s="50">
        <v>1</v>
      </c>
      <c r="E73" s="164" t="s">
        <v>137</v>
      </c>
      <c r="F73" s="164"/>
      <c r="G73" s="50">
        <v>0</v>
      </c>
      <c r="H73" s="50" t="s">
        <v>228</v>
      </c>
      <c r="I73" s="164">
        <f ca="1">--TRIM(RIGHT(SUBSTITUTE(LEFT(C72,_xlfn.AGGREGATE(16,6,FIND({0,1,2,3,4,5,6,7,8,9},C72,ROW(INDIRECT("1:"&amp;LEN(C72)))),1))," ",REPT(" ",LEN(C72))),LEN(C72)))</f>
        <v>35</v>
      </c>
      <c r="J73" s="165"/>
      <c r="K73" s="44"/>
      <c r="L73" s="44"/>
    </row>
    <row r="74" spans="1:12" ht="49.5" customHeight="1" x14ac:dyDescent="0.25">
      <c r="A74" s="166" t="s">
        <v>229</v>
      </c>
      <c r="B74" s="167"/>
      <c r="C74" s="168" t="str">
        <f ca="1">K72</f>
        <v>Excavation work Completed. Plinth work completed, RCC Slab, Brickwork, Internal Plaster, External Plaster upto 32 Floor, Flooring upto 15 Floor, Painting upto 5 Floor Completed</v>
      </c>
      <c r="D74" s="168"/>
      <c r="E74" s="168"/>
      <c r="F74" s="168"/>
      <c r="G74" s="168"/>
      <c r="H74" s="168"/>
      <c r="I74" s="168"/>
      <c r="J74" s="169"/>
      <c r="K74" s="44" t="s">
        <v>230</v>
      </c>
      <c r="L74" s="44"/>
    </row>
    <row r="75" spans="1:12" x14ac:dyDescent="0.25">
      <c r="A75" s="170" t="s">
        <v>66</v>
      </c>
      <c r="B75" s="171"/>
      <c r="C75" s="55" t="s">
        <v>231</v>
      </c>
      <c r="D75" s="172" t="s">
        <v>232</v>
      </c>
      <c r="E75" s="172"/>
      <c r="F75" s="172" t="s">
        <v>233</v>
      </c>
      <c r="G75" s="172"/>
      <c r="H75" s="172" t="s">
        <v>234</v>
      </c>
      <c r="I75" s="172"/>
      <c r="J75" s="173"/>
      <c r="K75" s="45" t="s">
        <v>235</v>
      </c>
      <c r="L75" s="10">
        <f ca="1">I73*25%</f>
        <v>8.75</v>
      </c>
    </row>
    <row r="76" spans="1:12" x14ac:dyDescent="0.25">
      <c r="A76" s="88" t="s">
        <v>236</v>
      </c>
      <c r="B76" s="89"/>
      <c r="C76" s="56">
        <f ca="1">L77</f>
        <v>35</v>
      </c>
      <c r="D76" s="87">
        <f ca="1">((100/I73)*C76)/100</f>
        <v>1</v>
      </c>
      <c r="E76" s="87"/>
      <c r="F76" s="87">
        <f ca="1">(((C77/I73*10)+(40/(D73+G73+I73)*C78)+(7.5/(I73)*C79)+(7.5/(I73)*C80)+(10/I73*C81)+(10/I73*C82)+(5/I73*C83)+(5/I73*C84)+(5/I73*C85))/100)</f>
        <v>0.79142857142857137</v>
      </c>
      <c r="G76" s="87"/>
      <c r="H76" s="87">
        <f ca="1">((((C76/I73)*20)+((C77/I73)*25)+(30/(I73+G73+D73)*C78)+(5/I73*C79)+(5/I73*C80)+(5/I73*C81)+(5/I73*C82)+(0/I73*C83)+(0/I73*C84)+(5/I73*C85))/100)</f>
        <v>0.91714285714285704</v>
      </c>
      <c r="I76" s="87"/>
      <c r="J76" s="239"/>
      <c r="K76" s="45" t="s">
        <v>142</v>
      </c>
      <c r="L76" s="45">
        <f ca="1">I73*50%</f>
        <v>17.5</v>
      </c>
    </row>
    <row r="77" spans="1:12" x14ac:dyDescent="0.25">
      <c r="A77" s="88" t="s">
        <v>67</v>
      </c>
      <c r="B77" s="89"/>
      <c r="C77" s="57">
        <f ca="1">L85</f>
        <v>35</v>
      </c>
      <c r="D77" s="87">
        <f ca="1">((100/I73)*C77)/100</f>
        <v>1</v>
      </c>
      <c r="E77" s="87"/>
      <c r="F77" s="87"/>
      <c r="G77" s="87"/>
      <c r="H77" s="87"/>
      <c r="I77" s="87"/>
      <c r="J77" s="239"/>
      <c r="K77" s="45" t="s">
        <v>143</v>
      </c>
      <c r="L77" s="45">
        <f ca="1">I73</f>
        <v>35</v>
      </c>
    </row>
    <row r="78" spans="1:12" x14ac:dyDescent="0.25">
      <c r="A78" s="241" t="s">
        <v>237</v>
      </c>
      <c r="B78" s="242"/>
      <c r="C78" s="57">
        <v>36</v>
      </c>
      <c r="D78" s="87">
        <f ca="1">((100/(D73+G73+I73))*C78)/100</f>
        <v>1</v>
      </c>
      <c r="E78" s="87"/>
      <c r="F78" s="87"/>
      <c r="G78" s="87"/>
      <c r="H78" s="87"/>
      <c r="I78" s="87"/>
      <c r="J78" s="239"/>
      <c r="K78" s="45" t="s">
        <v>144</v>
      </c>
      <c r="L78" s="46">
        <f ca="1">(IF(B73&gt;1,(I73/(B73+2)),I73/4))</f>
        <v>8.75</v>
      </c>
    </row>
    <row r="79" spans="1:12" x14ac:dyDescent="0.25">
      <c r="A79" s="88" t="s">
        <v>238</v>
      </c>
      <c r="B79" s="89" t="s">
        <v>239</v>
      </c>
      <c r="C79" s="57">
        <v>35</v>
      </c>
      <c r="D79" s="87">
        <f ca="1">((100/I73)*C79)/100</f>
        <v>1</v>
      </c>
      <c r="E79" s="87"/>
      <c r="F79" s="87"/>
      <c r="G79" s="87"/>
      <c r="H79" s="87"/>
      <c r="I79" s="87"/>
      <c r="J79" s="239"/>
      <c r="K79" s="45" t="s">
        <v>145</v>
      </c>
      <c r="L79" s="46">
        <f ca="1">(IF(B73&gt;1,(I73/(B73+2)+L78),I73/4+L78))</f>
        <v>17.5</v>
      </c>
    </row>
    <row r="80" spans="1:12" x14ac:dyDescent="0.25">
      <c r="A80" s="88" t="s">
        <v>240</v>
      </c>
      <c r="B80" s="89" t="s">
        <v>239</v>
      </c>
      <c r="C80" s="57">
        <v>35</v>
      </c>
      <c r="D80" s="87">
        <f ca="1">((100/I73)*C80)/100</f>
        <v>1</v>
      </c>
      <c r="E80" s="87"/>
      <c r="F80" s="87"/>
      <c r="G80" s="87"/>
      <c r="H80" s="87"/>
      <c r="I80" s="87"/>
      <c r="J80" s="239"/>
      <c r="K80" s="45" t="s">
        <v>241</v>
      </c>
      <c r="L80" s="46">
        <f>(IF(B73&gt;1,(I73/(B73+2)+L79),0))</f>
        <v>0</v>
      </c>
    </row>
    <row r="81" spans="1:14" x14ac:dyDescent="0.25">
      <c r="A81" s="88" t="s">
        <v>242</v>
      </c>
      <c r="B81" s="89" t="s">
        <v>243</v>
      </c>
      <c r="C81" s="57">
        <v>32</v>
      </c>
      <c r="D81" s="87">
        <f ca="1">((100/(I73))*C81)/100</f>
        <v>0.91428571428571426</v>
      </c>
      <c r="E81" s="87"/>
      <c r="F81" s="87"/>
      <c r="G81" s="87"/>
      <c r="H81" s="87"/>
      <c r="I81" s="87"/>
      <c r="J81" s="239"/>
      <c r="K81" s="45" t="s">
        <v>244</v>
      </c>
      <c r="L81" s="46">
        <f>(IF(B73&gt;2,(I73/(B73+2)+L80),0))</f>
        <v>0</v>
      </c>
    </row>
    <row r="82" spans="1:14" x14ac:dyDescent="0.25">
      <c r="A82" s="88" t="s">
        <v>245</v>
      </c>
      <c r="B82" s="89" t="s">
        <v>245</v>
      </c>
      <c r="C82" s="56">
        <v>15</v>
      </c>
      <c r="D82" s="87">
        <f ca="1">((100/I73)*C82)/100</f>
        <v>0.4285714285714286</v>
      </c>
      <c r="E82" s="87"/>
      <c r="F82" s="87"/>
      <c r="G82" s="87"/>
      <c r="H82" s="87"/>
      <c r="I82" s="87"/>
      <c r="J82" s="239"/>
      <c r="K82" s="45" t="s">
        <v>246</v>
      </c>
      <c r="L82" s="47">
        <f>(IF(B73&gt;3,(I73/(B73+2)+L81),0))</f>
        <v>0</v>
      </c>
    </row>
    <row r="83" spans="1:14" x14ac:dyDescent="0.25">
      <c r="A83" s="88" t="s">
        <v>247</v>
      </c>
      <c r="B83" s="89"/>
      <c r="C83" s="56">
        <v>5</v>
      </c>
      <c r="D83" s="87">
        <f ca="1">((100/I73)*C83)/100</f>
        <v>0.14285714285714288</v>
      </c>
      <c r="E83" s="87"/>
      <c r="F83" s="87"/>
      <c r="G83" s="87"/>
      <c r="H83" s="87"/>
      <c r="I83" s="87"/>
      <c r="J83" s="239"/>
      <c r="K83" s="45" t="s">
        <v>248</v>
      </c>
      <c r="L83" s="46">
        <f>(IF(B73&gt;4,(I73/(B73+2)+L82),0))</f>
        <v>0</v>
      </c>
    </row>
    <row r="84" spans="1:14" x14ac:dyDescent="0.25">
      <c r="A84" s="88" t="s">
        <v>249</v>
      </c>
      <c r="B84" s="89" t="s">
        <v>249</v>
      </c>
      <c r="C84" s="56">
        <v>0</v>
      </c>
      <c r="D84" s="87">
        <f ca="1">((100/(I73))*C84)/100</f>
        <v>0</v>
      </c>
      <c r="E84" s="87"/>
      <c r="F84" s="87"/>
      <c r="G84" s="87"/>
      <c r="H84" s="87"/>
      <c r="I84" s="87"/>
      <c r="J84" s="239"/>
      <c r="K84" s="45" t="s">
        <v>146</v>
      </c>
      <c r="L84" s="46">
        <f ca="1">(IF(B73=1,(I73/(B73+3)+L79),IF(B73=0,(I73/4+L79),IF(B73&gt;1,0))))</f>
        <v>26.25</v>
      </c>
    </row>
    <row r="85" spans="1:14" ht="16.5" thickBot="1" x14ac:dyDescent="0.3">
      <c r="A85" s="174" t="s">
        <v>250</v>
      </c>
      <c r="B85" s="175"/>
      <c r="C85" s="58">
        <v>0</v>
      </c>
      <c r="D85" s="176">
        <f ca="1">((100/(I73))*C85)/100</f>
        <v>0</v>
      </c>
      <c r="E85" s="176"/>
      <c r="F85" s="176"/>
      <c r="G85" s="176"/>
      <c r="H85" s="176"/>
      <c r="I85" s="176"/>
      <c r="J85" s="240"/>
      <c r="K85" s="45" t="s">
        <v>147</v>
      </c>
      <c r="L85" s="46">
        <f ca="1">(IF(B73&gt;1.5,(I73/(B73+2)+L79+MAX(0,L80-L79)+MAX(0,L81-L80)+MAX(0,L82-L81)+MAX(0,L83-L82)+MAX(0,L84-L83)),IF(B73=1,(I73/(B73+3)+L84),IF(B73=0,I73/4+L84))))</f>
        <v>35</v>
      </c>
    </row>
    <row r="86" spans="1:14" x14ac:dyDescent="0.25">
      <c r="A86" s="113" t="s">
        <v>203</v>
      </c>
      <c r="B86" s="114"/>
      <c r="C86" s="114"/>
      <c r="D86" s="114"/>
      <c r="E86" s="114"/>
      <c r="F86" s="114"/>
      <c r="G86" s="114"/>
      <c r="H86" s="114"/>
      <c r="I86" s="114"/>
      <c r="J86" s="115"/>
    </row>
    <row r="87" spans="1:14" x14ac:dyDescent="0.25">
      <c r="A87" s="69" t="s">
        <v>72</v>
      </c>
      <c r="B87" s="72"/>
      <c r="C87" s="72"/>
      <c r="D87" s="72"/>
      <c r="E87" s="72"/>
      <c r="F87" s="72"/>
      <c r="G87" s="72"/>
      <c r="H87" s="72"/>
      <c r="I87" s="72"/>
      <c r="J87" s="70"/>
    </row>
    <row r="88" spans="1:14" ht="16.5" customHeight="1" x14ac:dyDescent="0.25">
      <c r="A88" s="150" t="s">
        <v>212</v>
      </c>
      <c r="B88" s="151"/>
      <c r="C88" s="152" t="s">
        <v>141</v>
      </c>
      <c r="D88" s="153"/>
      <c r="E88" s="153"/>
      <c r="F88" s="153"/>
      <c r="G88" s="153"/>
      <c r="H88" s="153"/>
      <c r="I88" s="153"/>
      <c r="J88" s="154"/>
    </row>
    <row r="89" spans="1:14" x14ac:dyDescent="0.25">
      <c r="A89" s="128" t="s">
        <v>73</v>
      </c>
      <c r="B89" s="129"/>
      <c r="C89" s="129"/>
      <c r="D89" s="129"/>
      <c r="E89" s="129"/>
      <c r="F89" s="129"/>
      <c r="G89" s="129"/>
      <c r="H89" s="129"/>
      <c r="I89" s="129"/>
      <c r="J89" s="130"/>
    </row>
    <row r="90" spans="1:14" x14ac:dyDescent="0.25">
      <c r="A90" s="69" t="s">
        <v>149</v>
      </c>
      <c r="B90" s="72"/>
      <c r="C90" s="72"/>
      <c r="D90" s="72"/>
      <c r="E90" s="72"/>
      <c r="F90" s="70"/>
      <c r="G90" s="128">
        <v>6000</v>
      </c>
      <c r="H90" s="129"/>
      <c r="I90" s="129"/>
      <c r="J90" s="130"/>
      <c r="K90" s="10" t="s">
        <v>284</v>
      </c>
      <c r="M90" s="10" t="s">
        <v>285</v>
      </c>
      <c r="N90" s="66">
        <v>45291</v>
      </c>
    </row>
    <row r="91" spans="1:14" x14ac:dyDescent="0.25">
      <c r="A91" s="113" t="s">
        <v>150</v>
      </c>
      <c r="B91" s="114"/>
      <c r="C91" s="114"/>
      <c r="D91" s="114"/>
      <c r="E91" s="114"/>
      <c r="F91" s="115"/>
      <c r="G91" s="113">
        <v>20000</v>
      </c>
      <c r="H91" s="114"/>
      <c r="I91" s="114"/>
      <c r="J91" s="115"/>
      <c r="K91" s="10" t="s">
        <v>288</v>
      </c>
      <c r="M91" s="66">
        <v>45374</v>
      </c>
      <c r="N91" s="10" t="s">
        <v>289</v>
      </c>
    </row>
    <row r="92" spans="1:14" x14ac:dyDescent="0.25">
      <c r="A92" s="69" t="s">
        <v>286</v>
      </c>
      <c r="B92" s="72"/>
      <c r="C92" s="72"/>
      <c r="D92" s="72"/>
      <c r="E92" s="72"/>
      <c r="F92" s="70"/>
      <c r="G92" s="80">
        <v>25</v>
      </c>
      <c r="H92" s="83"/>
      <c r="I92" s="83"/>
      <c r="J92" s="81"/>
      <c r="K92" s="10" t="s">
        <v>290</v>
      </c>
    </row>
    <row r="93" spans="1:14" x14ac:dyDescent="0.25">
      <c r="A93" s="69" t="s">
        <v>210</v>
      </c>
      <c r="B93" s="72"/>
      <c r="C93" s="72"/>
      <c r="D93" s="72"/>
      <c r="E93" s="72"/>
      <c r="F93" s="70"/>
      <c r="G93" s="80">
        <v>15000</v>
      </c>
      <c r="H93" s="83"/>
      <c r="I93" s="83"/>
      <c r="J93" s="81"/>
    </row>
    <row r="94" spans="1:14" x14ac:dyDescent="0.25">
      <c r="A94" s="69" t="s">
        <v>211</v>
      </c>
      <c r="B94" s="72"/>
      <c r="C94" s="72"/>
      <c r="D94" s="72"/>
      <c r="E94" s="72"/>
      <c r="F94" s="70"/>
      <c r="G94" s="80">
        <v>51000</v>
      </c>
      <c r="H94" s="83"/>
      <c r="I94" s="83"/>
      <c r="J94" s="81"/>
    </row>
    <row r="95" spans="1:14" x14ac:dyDescent="0.25">
      <c r="A95" s="69" t="s">
        <v>252</v>
      </c>
      <c r="B95" s="72"/>
      <c r="C95" s="72"/>
      <c r="D95" s="72"/>
      <c r="E95" s="72"/>
      <c r="F95" s="70"/>
      <c r="G95" s="80">
        <v>100000</v>
      </c>
      <c r="H95" s="83"/>
      <c r="I95" s="83"/>
      <c r="J95" s="81"/>
    </row>
    <row r="96" spans="1:14" hidden="1" x14ac:dyDescent="0.25">
      <c r="A96" s="69" t="s">
        <v>209</v>
      </c>
      <c r="B96" s="72"/>
      <c r="C96" s="72"/>
      <c r="D96" s="72"/>
      <c r="E96" s="72"/>
      <c r="F96" s="70"/>
      <c r="G96" s="80">
        <v>15000</v>
      </c>
      <c r="H96" s="83"/>
      <c r="I96" s="83"/>
      <c r="J96" s="81"/>
    </row>
    <row r="97" spans="1:11" ht="15.75" customHeight="1" x14ac:dyDescent="0.25">
      <c r="A97" s="80" t="s">
        <v>208</v>
      </c>
      <c r="B97" s="83"/>
      <c r="C97" s="83"/>
      <c r="D97" s="83"/>
      <c r="E97" s="83"/>
      <c r="F97" s="81"/>
      <c r="G97" s="80">
        <v>51000</v>
      </c>
      <c r="H97" s="83"/>
      <c r="I97" s="83"/>
      <c r="J97" s="81"/>
    </row>
    <row r="98" spans="1:11" x14ac:dyDescent="0.25">
      <c r="A98" s="69" t="s">
        <v>74</v>
      </c>
      <c r="B98" s="72"/>
      <c r="C98" s="72"/>
      <c r="D98" s="72"/>
      <c r="E98" s="72"/>
      <c r="F98" s="70"/>
      <c r="G98" s="80">
        <v>10000</v>
      </c>
      <c r="H98" s="83"/>
      <c r="I98" s="83"/>
      <c r="J98" s="81"/>
    </row>
    <row r="99" spans="1:11" x14ac:dyDescent="0.25">
      <c r="A99" s="69" t="s">
        <v>207</v>
      </c>
      <c r="B99" s="72"/>
      <c r="C99" s="72"/>
      <c r="D99" s="72"/>
      <c r="E99" s="72"/>
      <c r="F99" s="70"/>
      <c r="G99" s="80">
        <v>300000</v>
      </c>
      <c r="H99" s="83"/>
      <c r="I99" s="83"/>
      <c r="J99" s="81"/>
    </row>
    <row r="100" spans="1:11" x14ac:dyDescent="0.25">
      <c r="A100" s="69" t="s">
        <v>75</v>
      </c>
      <c r="B100" s="72"/>
      <c r="C100" s="72"/>
      <c r="D100" s="72"/>
      <c r="E100" s="72"/>
      <c r="F100" s="70"/>
      <c r="G100" s="80">
        <v>400000</v>
      </c>
      <c r="H100" s="83"/>
      <c r="I100" s="83"/>
      <c r="J100" s="81"/>
      <c r="K100" s="10" t="s">
        <v>287</v>
      </c>
    </row>
    <row r="101" spans="1:11" s="11" customFormat="1" ht="14.45" customHeight="1" x14ac:dyDescent="0.25">
      <c r="A101" s="128" t="s">
        <v>76</v>
      </c>
      <c r="B101" s="129"/>
      <c r="C101" s="129"/>
      <c r="D101" s="129"/>
      <c r="E101" s="129"/>
      <c r="F101" s="130"/>
      <c r="G101" s="69">
        <f>G90*0.8</f>
        <v>4800</v>
      </c>
      <c r="H101" s="72"/>
      <c r="I101" s="72"/>
      <c r="J101" s="70"/>
    </row>
    <row r="102" spans="1:11" s="1" customFormat="1" ht="15.75" customHeight="1" x14ac:dyDescent="0.25">
      <c r="A102" s="177" t="s">
        <v>151</v>
      </c>
      <c r="B102" s="178"/>
      <c r="C102" s="178"/>
      <c r="D102" s="178"/>
      <c r="E102" s="178"/>
      <c r="F102" s="178"/>
      <c r="G102" s="178"/>
      <c r="H102" s="178"/>
      <c r="I102" s="178"/>
      <c r="J102" s="179"/>
    </row>
    <row r="103" spans="1:11" s="1" customFormat="1" ht="16.5" customHeight="1" x14ac:dyDescent="0.25">
      <c r="A103" s="180" t="s">
        <v>77</v>
      </c>
      <c r="B103" s="181"/>
      <c r="C103" s="59" t="s">
        <v>199</v>
      </c>
      <c r="D103" s="182" t="s">
        <v>78</v>
      </c>
      <c r="E103" s="183"/>
      <c r="F103" s="184"/>
      <c r="G103" s="180" t="s">
        <v>79</v>
      </c>
      <c r="H103" s="185"/>
      <c r="I103" s="185"/>
      <c r="J103" s="181"/>
    </row>
    <row r="104" spans="1:11" s="1" customFormat="1" x14ac:dyDescent="0.25">
      <c r="A104" s="186" t="s">
        <v>198</v>
      </c>
      <c r="B104" s="187"/>
      <c r="C104" s="60">
        <f>COUNT(D117:E129)</f>
        <v>8</v>
      </c>
      <c r="D104" s="108">
        <f>SUM(D117:E129)</f>
        <v>5027.8051979999991</v>
      </c>
      <c r="E104" s="109"/>
      <c r="F104" s="110"/>
      <c r="G104" s="188">
        <f>SUM(G117:G129)</f>
        <v>8044.4883167999988</v>
      </c>
      <c r="H104" s="189"/>
      <c r="I104" s="189"/>
      <c r="J104" s="190"/>
    </row>
    <row r="105" spans="1:11" s="1" customFormat="1" x14ac:dyDescent="0.25">
      <c r="A105" s="177" t="s">
        <v>135</v>
      </c>
      <c r="B105" s="178"/>
      <c r="C105" s="178"/>
      <c r="D105" s="178"/>
      <c r="E105" s="178"/>
      <c r="F105" s="178"/>
      <c r="G105" s="178"/>
      <c r="H105" s="178"/>
      <c r="I105" s="178"/>
      <c r="J105" s="179"/>
    </row>
    <row r="106" spans="1:11" s="1" customFormat="1" ht="16.5" customHeight="1" x14ac:dyDescent="0.25">
      <c r="A106" s="180" t="s">
        <v>77</v>
      </c>
      <c r="B106" s="181"/>
      <c r="C106" s="59" t="s">
        <v>200</v>
      </c>
      <c r="D106" s="182" t="s">
        <v>78</v>
      </c>
      <c r="E106" s="183"/>
      <c r="F106" s="184"/>
      <c r="G106" s="180" t="s">
        <v>79</v>
      </c>
      <c r="H106" s="185"/>
      <c r="I106" s="185"/>
      <c r="J106" s="181"/>
    </row>
    <row r="107" spans="1:11" s="1" customFormat="1" ht="15.75" customHeight="1" x14ac:dyDescent="0.25">
      <c r="A107" s="73" t="s">
        <v>198</v>
      </c>
      <c r="B107" s="65" t="s">
        <v>192</v>
      </c>
      <c r="C107" s="60">
        <f>COUNT(D131:E135)+COUNT(D139:E141)*4+COUNT(D155:E159)*23+COUNT(D145:E146)+COUNT(D149:E152)*5</f>
        <v>154</v>
      </c>
      <c r="D107" s="108">
        <f>SUM(D131:E135)+SUM(D139:E141)*4+SUM(D155:E159)*23+SUM(D145:E146)+SUM(D149:E152)*5</f>
        <v>96157.201607999974</v>
      </c>
      <c r="E107" s="109"/>
      <c r="F107" s="110"/>
      <c r="G107" s="108">
        <f>SUM(G131:H135)+SUM(G139:H141)*4+SUM(G155:H159)*23+SUM(G145:H146)+SUM(G149:H152)*5</f>
        <v>144235.80241199996</v>
      </c>
      <c r="H107" s="109"/>
      <c r="I107" s="109"/>
      <c r="J107" s="110"/>
    </row>
    <row r="108" spans="1:11" s="1" customFormat="1" ht="15.75" customHeight="1" x14ac:dyDescent="0.25">
      <c r="A108" s="74"/>
      <c r="B108" s="65" t="s">
        <v>279</v>
      </c>
      <c r="C108" s="60">
        <f>COUNT(D137:E138)*4+COUNT(D143:E144)</f>
        <v>10</v>
      </c>
      <c r="D108" s="108">
        <f>SUM(D137:E138)*4+SUM(D143:E144)</f>
        <v>4779.2159999999994</v>
      </c>
      <c r="E108" s="109"/>
      <c r="F108" s="110"/>
      <c r="G108" s="108">
        <f>SUM(G137:H138)*4+SUM(G143:H144)</f>
        <v>7168.8239999999996</v>
      </c>
      <c r="H108" s="109"/>
      <c r="I108" s="109"/>
      <c r="J108" s="110"/>
    </row>
    <row r="109" spans="1:11" s="1" customFormat="1" ht="15.75" customHeight="1" x14ac:dyDescent="0.25">
      <c r="A109" s="73" t="s">
        <v>196</v>
      </c>
      <c r="B109" s="65" t="s">
        <v>192</v>
      </c>
      <c r="C109" s="60">
        <f>COUNT(D169)*2+COUNT(D173:E175)*6+COUNT(D189:E193)*21+COUNT(D179:E181)+COUNT(D183:E187)*5</f>
        <v>153</v>
      </c>
      <c r="D109" s="108">
        <f>SUM(D169)*2+SUM(D173:E175)*6+SUM(D189:E193)*21+SUM(D179:E181)+SUM(D183:E187)*5</f>
        <v>95922.487205999976</v>
      </c>
      <c r="E109" s="109"/>
      <c r="F109" s="110"/>
      <c r="G109" s="108">
        <f>SUM(G169)*2+SUM(G173:H175)*6+SUM(G189:H193)*21+SUM(G179:H181)+SUM(G183:H187)*5</f>
        <v>143883.73080899997</v>
      </c>
      <c r="H109" s="109"/>
      <c r="I109" s="109"/>
      <c r="J109" s="110"/>
    </row>
    <row r="110" spans="1:11" s="1" customFormat="1" ht="15.75" customHeight="1" x14ac:dyDescent="0.25">
      <c r="A110" s="74"/>
      <c r="B110" s="65" t="s">
        <v>279</v>
      </c>
      <c r="C110" s="60">
        <f>COUNT(D165:E166)*2+COUNT(D171:E172)*6+COUNT(D177:E178)</f>
        <v>18</v>
      </c>
      <c r="D110" s="108">
        <f>SUM(D165:E166)*2+SUM(D171:E172)*6+SUM(D177:E178)</f>
        <v>8630.6828399999977</v>
      </c>
      <c r="E110" s="109"/>
      <c r="F110" s="110"/>
      <c r="G110" s="108">
        <f>SUM(G165:H166)*2+SUM(G171:H172)*6+SUM(G177:H178)</f>
        <v>12946.024259999998</v>
      </c>
      <c r="H110" s="109"/>
      <c r="I110" s="109"/>
      <c r="J110" s="110"/>
    </row>
    <row r="111" spans="1:11" s="1" customFormat="1" x14ac:dyDescent="0.25">
      <c r="A111" s="177" t="s">
        <v>81</v>
      </c>
      <c r="B111" s="178"/>
      <c r="C111" s="59">
        <f>SUM(C107:C110)</f>
        <v>335</v>
      </c>
      <c r="D111" s="193">
        <f>SUM(D107:D110)</f>
        <v>205489.58765399994</v>
      </c>
      <c r="E111" s="194"/>
      <c r="F111" s="195"/>
      <c r="G111" s="180">
        <f>SUM(G107:G110)</f>
        <v>308234.38148099987</v>
      </c>
      <c r="H111" s="185"/>
      <c r="I111" s="185"/>
      <c r="J111" s="181"/>
    </row>
    <row r="112" spans="1:11" s="11" customFormat="1" x14ac:dyDescent="0.25">
      <c r="A112" s="125" t="s">
        <v>82</v>
      </c>
      <c r="B112" s="126"/>
      <c r="C112" s="126"/>
      <c r="D112" s="126"/>
      <c r="E112" s="126"/>
      <c r="F112" s="126"/>
      <c r="G112" s="126"/>
      <c r="H112" s="126"/>
      <c r="I112" s="126"/>
      <c r="J112" s="127"/>
    </row>
    <row r="113" spans="1:10" x14ac:dyDescent="0.25">
      <c r="A113" s="125" t="s">
        <v>83</v>
      </c>
      <c r="B113" s="126"/>
      <c r="C113" s="126"/>
      <c r="D113" s="126"/>
      <c r="E113" s="126"/>
      <c r="F113" s="126"/>
      <c r="G113" s="126"/>
      <c r="H113" s="126"/>
      <c r="I113" s="126"/>
      <c r="J113" s="127"/>
    </row>
    <row r="114" spans="1:10" ht="52.5" customHeight="1" x14ac:dyDescent="0.25">
      <c r="A114" s="196" t="s">
        <v>152</v>
      </c>
      <c r="B114" s="197"/>
      <c r="C114" s="2" t="s">
        <v>84</v>
      </c>
      <c r="D114" s="196" t="s">
        <v>85</v>
      </c>
      <c r="E114" s="197"/>
      <c r="F114" s="12" t="s">
        <v>86</v>
      </c>
      <c r="G114" s="2" t="s">
        <v>87</v>
      </c>
      <c r="H114" s="2" t="s">
        <v>88</v>
      </c>
      <c r="I114" s="196" t="s">
        <v>89</v>
      </c>
      <c r="J114" s="197"/>
    </row>
    <row r="115" spans="1:10" s="3" customFormat="1" x14ac:dyDescent="0.25">
      <c r="A115" s="198" t="s">
        <v>189</v>
      </c>
      <c r="B115" s="199"/>
      <c r="C115" s="199"/>
      <c r="D115" s="199"/>
      <c r="E115" s="199"/>
      <c r="F115" s="199"/>
      <c r="G115" s="199"/>
      <c r="H115" s="199"/>
      <c r="I115" s="199"/>
      <c r="J115" s="200"/>
    </row>
    <row r="116" spans="1:10" s="3" customFormat="1" x14ac:dyDescent="0.25">
      <c r="A116" s="198" t="s">
        <v>205</v>
      </c>
      <c r="B116" s="199"/>
      <c r="C116" s="199"/>
      <c r="D116" s="199"/>
      <c r="E116" s="199"/>
      <c r="F116" s="199"/>
      <c r="G116" s="199"/>
      <c r="H116" s="199"/>
      <c r="I116" s="199"/>
      <c r="J116" s="200"/>
    </row>
    <row r="117" spans="1:10" s="3" customFormat="1" ht="15.75" customHeight="1" x14ac:dyDescent="0.25">
      <c r="A117" s="51" t="s">
        <v>192</v>
      </c>
      <c r="B117" s="51">
        <v>1</v>
      </c>
      <c r="C117" s="4" t="s">
        <v>190</v>
      </c>
      <c r="D117" s="207">
        <f>(1.33*1.35+1.5*1.2+2.98*4.6)*10.764</f>
        <v>186.25487399999997</v>
      </c>
      <c r="E117" s="208"/>
      <c r="F117" s="4">
        <v>0</v>
      </c>
      <c r="G117" s="4">
        <f>D117*1.6+F117</f>
        <v>298.00779839999996</v>
      </c>
      <c r="H117" s="4" t="s">
        <v>90</v>
      </c>
      <c r="I117" s="201" t="str">
        <f>A116</f>
        <v>Ground &amp; 1st/Mezzanine Floor is for Parking &amp; Commercial.</v>
      </c>
      <c r="J117" s="202"/>
    </row>
    <row r="118" spans="1:10" s="3" customFormat="1" ht="15.75" customHeight="1" x14ac:dyDescent="0.25">
      <c r="A118" s="191" t="s">
        <v>192</v>
      </c>
      <c r="B118" s="191">
        <v>2</v>
      </c>
      <c r="C118" s="191" t="s">
        <v>204</v>
      </c>
      <c r="D118" s="201">
        <f>(5.51*4.6+1.8*1.2+3.56*1.35+8.79*5.8)*10.764</f>
        <v>896.57661599999972</v>
      </c>
      <c r="E118" s="202"/>
      <c r="F118" s="191">
        <v>0</v>
      </c>
      <c r="G118" s="191">
        <f t="shared" ref="G118:G122" si="0">D118*1.6+F118</f>
        <v>1434.5225855999997</v>
      </c>
      <c r="H118" s="191" t="s">
        <v>90</v>
      </c>
      <c r="I118" s="203"/>
      <c r="J118" s="204"/>
    </row>
    <row r="119" spans="1:10" s="3" customFormat="1" x14ac:dyDescent="0.25">
      <c r="A119" s="192" t="s">
        <v>192</v>
      </c>
      <c r="B119" s="192"/>
      <c r="C119" s="192"/>
      <c r="D119" s="205"/>
      <c r="E119" s="206"/>
      <c r="F119" s="192"/>
      <c r="G119" s="192"/>
      <c r="H119" s="192"/>
      <c r="I119" s="203"/>
      <c r="J119" s="204"/>
    </row>
    <row r="120" spans="1:10" s="3" customFormat="1" x14ac:dyDescent="0.25">
      <c r="A120" s="191" t="s">
        <v>192</v>
      </c>
      <c r="B120" s="191">
        <v>3</v>
      </c>
      <c r="C120" s="191" t="s">
        <v>204</v>
      </c>
      <c r="D120" s="201">
        <f>(6.25*4.6+4.3*1.35+1.8*1.2+6.25*5.8)*10.764</f>
        <v>785.39525999999978</v>
      </c>
      <c r="E120" s="202"/>
      <c r="F120" s="191">
        <v>0</v>
      </c>
      <c r="G120" s="191">
        <f t="shared" si="0"/>
        <v>1256.6324159999997</v>
      </c>
      <c r="H120" s="191" t="s">
        <v>90</v>
      </c>
      <c r="I120" s="203"/>
      <c r="J120" s="204"/>
    </row>
    <row r="121" spans="1:10" s="3" customFormat="1" x14ac:dyDescent="0.25">
      <c r="A121" s="192" t="s">
        <v>192</v>
      </c>
      <c r="B121" s="192"/>
      <c r="C121" s="192"/>
      <c r="D121" s="205"/>
      <c r="E121" s="206"/>
      <c r="F121" s="192"/>
      <c r="G121" s="192"/>
      <c r="H121" s="192"/>
      <c r="I121" s="203"/>
      <c r="J121" s="204"/>
    </row>
    <row r="122" spans="1:10" s="3" customFormat="1" x14ac:dyDescent="0.25">
      <c r="A122" s="191" t="s">
        <v>192</v>
      </c>
      <c r="B122" s="191">
        <v>4</v>
      </c>
      <c r="C122" s="191" t="s">
        <v>204</v>
      </c>
      <c r="D122" s="201">
        <f>(5.51*4.6+3.56*1.35+1.8*1.2+12.58*5.8)*10.764</f>
        <v>1133.1908639999999</v>
      </c>
      <c r="E122" s="202"/>
      <c r="F122" s="191">
        <v>0</v>
      </c>
      <c r="G122" s="191">
        <f t="shared" si="0"/>
        <v>1813.1053824000001</v>
      </c>
      <c r="H122" s="191" t="s">
        <v>90</v>
      </c>
      <c r="I122" s="203"/>
      <c r="J122" s="204"/>
    </row>
    <row r="123" spans="1:10" s="3" customFormat="1" x14ac:dyDescent="0.25">
      <c r="A123" s="192" t="s">
        <v>192</v>
      </c>
      <c r="B123" s="192"/>
      <c r="C123" s="192"/>
      <c r="D123" s="205"/>
      <c r="E123" s="206"/>
      <c r="F123" s="192"/>
      <c r="G123" s="192"/>
      <c r="H123" s="192"/>
      <c r="I123" s="203"/>
      <c r="J123" s="204"/>
    </row>
    <row r="124" spans="1:10" s="3" customFormat="1" x14ac:dyDescent="0.25">
      <c r="A124" s="51" t="s">
        <v>192</v>
      </c>
      <c r="B124" s="51">
        <v>5</v>
      </c>
      <c r="C124" s="4" t="s">
        <v>190</v>
      </c>
      <c r="D124" s="207">
        <f>(1.48*1.35+1.5*1.2+3.13*4.6)*10.764</f>
        <v>195.86174399999996</v>
      </c>
      <c r="E124" s="208"/>
      <c r="F124" s="4">
        <v>0</v>
      </c>
      <c r="G124" s="4">
        <f>D124*1.6+F124</f>
        <v>313.37879039999996</v>
      </c>
      <c r="H124" s="4" t="s">
        <v>90</v>
      </c>
      <c r="I124" s="203"/>
      <c r="J124" s="204"/>
    </row>
    <row r="125" spans="1:10" s="3" customFormat="1" x14ac:dyDescent="0.25">
      <c r="A125" s="51" t="s">
        <v>192</v>
      </c>
      <c r="B125" s="51">
        <v>6</v>
      </c>
      <c r="C125" s="4" t="s">
        <v>190</v>
      </c>
      <c r="D125" s="207">
        <f>(1.7*1.35+1.8*1.2+3.65*4.6)*10.764</f>
        <v>228.68117999999996</v>
      </c>
      <c r="E125" s="208"/>
      <c r="F125" s="4">
        <v>0</v>
      </c>
      <c r="G125" s="4">
        <f>D125*1.6+F125</f>
        <v>365.88988799999993</v>
      </c>
      <c r="H125" s="4" t="s">
        <v>90</v>
      </c>
      <c r="I125" s="203"/>
      <c r="J125" s="204"/>
    </row>
    <row r="126" spans="1:10" s="3" customFormat="1" x14ac:dyDescent="0.25">
      <c r="A126" s="191" t="s">
        <v>192</v>
      </c>
      <c r="B126" s="191">
        <v>7</v>
      </c>
      <c r="C126" s="191" t="s">
        <v>204</v>
      </c>
      <c r="D126" s="201">
        <f>(5.35*6.95+1.95*1.2+3.4*1.35+5.35*6.5+1.2*1.5)*10.764</f>
        <v>868.52024999999981</v>
      </c>
      <c r="E126" s="202"/>
      <c r="F126" s="191">
        <v>0</v>
      </c>
      <c r="G126" s="191">
        <f>D126*1.6+F126</f>
        <v>1389.6323999999997</v>
      </c>
      <c r="H126" s="191" t="s">
        <v>90</v>
      </c>
      <c r="I126" s="203"/>
      <c r="J126" s="204"/>
    </row>
    <row r="127" spans="1:10" s="3" customFormat="1" x14ac:dyDescent="0.25">
      <c r="A127" s="192" t="s">
        <v>192</v>
      </c>
      <c r="B127" s="192"/>
      <c r="C127" s="192"/>
      <c r="D127" s="205"/>
      <c r="E127" s="206"/>
      <c r="F127" s="192"/>
      <c r="G127" s="192"/>
      <c r="H127" s="192"/>
      <c r="I127" s="203"/>
      <c r="J127" s="204"/>
    </row>
    <row r="128" spans="1:10" s="3" customFormat="1" ht="27" customHeight="1" x14ac:dyDescent="0.25">
      <c r="A128" s="191" t="s">
        <v>192</v>
      </c>
      <c r="B128" s="191">
        <v>8</v>
      </c>
      <c r="C128" s="191" t="s">
        <v>204</v>
      </c>
      <c r="D128" s="201">
        <f>(4.7*6.95+1*1.2+2.75*1.35+4.7*6.5)*10.764</f>
        <v>733.32440999999994</v>
      </c>
      <c r="E128" s="202"/>
      <c r="F128" s="191">
        <v>0</v>
      </c>
      <c r="G128" s="191">
        <f>D128*1.6+F128</f>
        <v>1173.319056</v>
      </c>
      <c r="H128" s="191" t="s">
        <v>90</v>
      </c>
      <c r="I128" s="203"/>
      <c r="J128" s="204"/>
    </row>
    <row r="129" spans="1:10" s="3" customFormat="1" x14ac:dyDescent="0.25">
      <c r="A129" s="192" t="s">
        <v>192</v>
      </c>
      <c r="B129" s="192"/>
      <c r="C129" s="192"/>
      <c r="D129" s="205"/>
      <c r="E129" s="206"/>
      <c r="F129" s="192"/>
      <c r="G129" s="192"/>
      <c r="H129" s="192"/>
      <c r="I129" s="205"/>
      <c r="J129" s="206"/>
    </row>
    <row r="130" spans="1:10" s="3" customFormat="1" x14ac:dyDescent="0.25">
      <c r="A130" s="198" t="s">
        <v>267</v>
      </c>
      <c r="B130" s="199"/>
      <c r="C130" s="199"/>
      <c r="D130" s="199"/>
      <c r="E130" s="199"/>
      <c r="F130" s="199"/>
      <c r="G130" s="199"/>
      <c r="H130" s="199"/>
      <c r="I130" s="199"/>
      <c r="J130" s="200"/>
    </row>
    <row r="131" spans="1:10" s="3" customFormat="1" x14ac:dyDescent="0.25">
      <c r="A131" s="49" t="s">
        <v>192</v>
      </c>
      <c r="B131" s="49">
        <v>1</v>
      </c>
      <c r="C131" s="4" t="s">
        <v>193</v>
      </c>
      <c r="D131" s="207">
        <f>(3.2*3.05+0.9*1.75+1.4*2.15+0.9*0.85+2.6*2.3+3.05*3.05+2.15*1.4+3.05*1.45+(3.05+2.3+3)*0.75)*10.764</f>
        <v>474.55784999999986</v>
      </c>
      <c r="E131" s="208"/>
      <c r="F131" s="4">
        <v>0</v>
      </c>
      <c r="G131" s="4">
        <f>D131*1.5+F131</f>
        <v>711.83677499999976</v>
      </c>
      <c r="H131" s="4" t="s">
        <v>90</v>
      </c>
      <c r="I131" s="201" t="str">
        <f>A130</f>
        <v>2nd Floor</v>
      </c>
      <c r="J131" s="202"/>
    </row>
    <row r="132" spans="1:10" s="3" customFormat="1" ht="15.75" customHeight="1" x14ac:dyDescent="0.25">
      <c r="A132" s="49" t="s">
        <v>192</v>
      </c>
      <c r="B132" s="49">
        <v>2</v>
      </c>
      <c r="C132" s="4" t="s">
        <v>193</v>
      </c>
      <c r="D132" s="207">
        <f>(3.2*3.05+0.9*1.75+1.4*2.15+0.9*0.85+2.6*2.3+3.05*3.05+2.15*1.3+1.4*0.6+3.05*1.45+(3.05+2.3+3)*0.75)*10.764</f>
        <v>481.28535000000005</v>
      </c>
      <c r="E132" s="208"/>
      <c r="F132" s="4">
        <v>0</v>
      </c>
      <c r="G132" s="4">
        <f t="shared" ref="G132:G135" si="1">D132*1.5+F132</f>
        <v>721.92802500000005</v>
      </c>
      <c r="H132" s="4" t="s">
        <v>90</v>
      </c>
      <c r="I132" s="203"/>
      <c r="J132" s="204"/>
    </row>
    <row r="133" spans="1:10" s="3" customFormat="1" x14ac:dyDescent="0.25">
      <c r="A133" s="49" t="s">
        <v>192</v>
      </c>
      <c r="B133" s="49">
        <v>3</v>
      </c>
      <c r="C133" s="4" t="s">
        <v>194</v>
      </c>
      <c r="D133" s="207">
        <f>(3.05*5.2+1.05*3.35+1.4*2.3+2.15*2.75+2.25*0.9+2.3*1.4+2.31*0.9+3.05*2.75+3.05*3.2+2.1*0.6+3*1.67+(3.05+2.15+3.05+3.05)*0.75)*10.764</f>
        <v>739.77204599999982</v>
      </c>
      <c r="E133" s="208"/>
      <c r="F133" s="4">
        <v>0</v>
      </c>
      <c r="G133" s="4">
        <f t="shared" si="1"/>
        <v>1109.6580689999996</v>
      </c>
      <c r="H133" s="4" t="s">
        <v>90</v>
      </c>
      <c r="I133" s="203"/>
      <c r="J133" s="204"/>
    </row>
    <row r="134" spans="1:10" s="3" customFormat="1" x14ac:dyDescent="0.25">
      <c r="A134" s="49" t="s">
        <v>192</v>
      </c>
      <c r="B134" s="49">
        <v>4</v>
      </c>
      <c r="C134" s="4" t="s">
        <v>194</v>
      </c>
      <c r="D134" s="207">
        <f>(3.05*5.2+1.05*3.35+1.4*2.3+2.15*2.75+2.25*0.9+2.3*1.4+2.31*0.9+3.05*2.75+3.05*3.2+2.1*0.6+3*1.67+(3.05+2.15+3.05+3.05)*0.75)*10.764</f>
        <v>739.77204599999982</v>
      </c>
      <c r="E134" s="208"/>
      <c r="F134" s="4">
        <v>0</v>
      </c>
      <c r="G134" s="4">
        <f t="shared" si="1"/>
        <v>1109.6580689999996</v>
      </c>
      <c r="H134" s="4" t="s">
        <v>90</v>
      </c>
      <c r="I134" s="203"/>
      <c r="J134" s="204"/>
    </row>
    <row r="135" spans="1:10" s="3" customFormat="1" x14ac:dyDescent="0.25">
      <c r="A135" s="49" t="s">
        <v>192</v>
      </c>
      <c r="B135" s="49">
        <v>5</v>
      </c>
      <c r="C135" s="4" t="s">
        <v>194</v>
      </c>
      <c r="D135" s="207">
        <f>(3.05*3.05+3.05*3.53+1.83*0.9+2.3*2.45+2.56*1.4+1*0.9+2.56*1.4+2.9*3.5+1.8*0.6+3.05*1.67+(3.05+2.3+3.05+2.83)*0.75)*10.764</f>
        <v>647.61605999999983</v>
      </c>
      <c r="E135" s="208"/>
      <c r="F135" s="4">
        <v>0</v>
      </c>
      <c r="G135" s="4">
        <f t="shared" si="1"/>
        <v>971.42408999999975</v>
      </c>
      <c r="H135" s="4" t="s">
        <v>90</v>
      </c>
      <c r="I135" s="205"/>
      <c r="J135" s="206"/>
    </row>
    <row r="136" spans="1:10" s="3" customFormat="1" x14ac:dyDescent="0.25">
      <c r="A136" s="198" t="s">
        <v>197</v>
      </c>
      <c r="B136" s="199"/>
      <c r="C136" s="199"/>
      <c r="D136" s="199"/>
      <c r="E136" s="199"/>
      <c r="F136" s="199"/>
      <c r="G136" s="199"/>
      <c r="H136" s="199"/>
      <c r="I136" s="199"/>
      <c r="J136" s="200"/>
    </row>
    <row r="137" spans="1:10" s="3" customFormat="1" x14ac:dyDescent="0.25">
      <c r="A137" s="49" t="s">
        <v>191</v>
      </c>
      <c r="B137" s="49">
        <v>1</v>
      </c>
      <c r="C137" s="4" t="s">
        <v>193</v>
      </c>
      <c r="D137" s="207">
        <f>(3.2*3.05+0.9*1.75+1.4*2.15+0.9*0.85+2.6*2.3+3.05*3.05+2.15*1.4+3.05*1.45+(3.05+2.3+3)*0.75)*10.764</f>
        <v>474.55784999999986</v>
      </c>
      <c r="E137" s="208"/>
      <c r="F137" s="4">
        <v>0</v>
      </c>
      <c r="G137" s="4">
        <f>D137*1.5+F137</f>
        <v>711.83677499999976</v>
      </c>
      <c r="H137" s="4" t="s">
        <v>90</v>
      </c>
      <c r="I137" s="201" t="str">
        <f>A136</f>
        <v>3rd to 6th Floor</v>
      </c>
      <c r="J137" s="202"/>
    </row>
    <row r="138" spans="1:10" s="3" customFormat="1" ht="15.75" customHeight="1" x14ac:dyDescent="0.25">
      <c r="A138" s="49" t="s">
        <v>191</v>
      </c>
      <c r="B138" s="49">
        <v>2</v>
      </c>
      <c r="C138" s="4" t="s">
        <v>193</v>
      </c>
      <c r="D138" s="207">
        <f>(3.2*3.05+0.9*1.75+1.4*2.15+0.9*0.85+2.6*2.3+3.05*3.05+2.15*1.3+1.4*0.6+3.05*1.45+(3.05+2.3+3)*0.75)*10.764</f>
        <v>481.28535000000005</v>
      </c>
      <c r="E138" s="208"/>
      <c r="F138" s="4">
        <v>0</v>
      </c>
      <c r="G138" s="4">
        <f t="shared" ref="G138:G141" si="2">D138*1.5+F138</f>
        <v>721.92802500000005</v>
      </c>
      <c r="H138" s="4" t="s">
        <v>90</v>
      </c>
      <c r="I138" s="203"/>
      <c r="J138" s="204"/>
    </row>
    <row r="139" spans="1:10" s="3" customFormat="1" x14ac:dyDescent="0.25">
      <c r="A139" s="49" t="s">
        <v>192</v>
      </c>
      <c r="B139" s="49">
        <v>3</v>
      </c>
      <c r="C139" s="4" t="s">
        <v>194</v>
      </c>
      <c r="D139" s="207">
        <f>(3.05*5.2+1.05*3.35+1.4*2.3+2.15*2.75+2.25*0.9+2.3*1.4+2.31*0.9+3.05*2.75+3.05*3.2+2.1*0.6+3*1.67+(3.05+2.15+3.05+3.05)*0.75)*10.764</f>
        <v>739.77204599999982</v>
      </c>
      <c r="E139" s="208"/>
      <c r="F139" s="4">
        <v>0</v>
      </c>
      <c r="G139" s="4">
        <f t="shared" si="2"/>
        <v>1109.6580689999996</v>
      </c>
      <c r="H139" s="4" t="s">
        <v>90</v>
      </c>
      <c r="I139" s="203"/>
      <c r="J139" s="204"/>
    </row>
    <row r="140" spans="1:10" s="3" customFormat="1" x14ac:dyDescent="0.25">
      <c r="A140" s="49" t="s">
        <v>192</v>
      </c>
      <c r="B140" s="49">
        <v>4</v>
      </c>
      <c r="C140" s="4" t="s">
        <v>194</v>
      </c>
      <c r="D140" s="207">
        <f>(3.05*5.2+1.05*3.35+1.4*2.3+2.15*2.75+2.25*0.9+2.3*1.4+2.31*0.9+3.05*2.75+3.05*3.2+2.1*0.6+3*1.67+(3.05+2.15+3.05+3.05)*0.75)*10.764</f>
        <v>739.77204599999982</v>
      </c>
      <c r="E140" s="208"/>
      <c r="F140" s="4">
        <v>0</v>
      </c>
      <c r="G140" s="4">
        <f t="shared" si="2"/>
        <v>1109.6580689999996</v>
      </c>
      <c r="H140" s="4" t="s">
        <v>90</v>
      </c>
      <c r="I140" s="203"/>
      <c r="J140" s="204"/>
    </row>
    <row r="141" spans="1:10" s="3" customFormat="1" x14ac:dyDescent="0.25">
      <c r="A141" s="49" t="s">
        <v>192</v>
      </c>
      <c r="B141" s="49">
        <v>5</v>
      </c>
      <c r="C141" s="4" t="s">
        <v>194</v>
      </c>
      <c r="D141" s="207">
        <f>(3.05*3.05+3.05*3.53+1.83*0.9+2.3*2.45+2.56*1.4+1*0.9+2.56*1.4+2.9*3.5+1.8*0.6+3.05*1.67+(3.05+2.3+3.05+2.83)*0.75)*10.764</f>
        <v>647.61605999999983</v>
      </c>
      <c r="E141" s="208"/>
      <c r="F141" s="4">
        <v>0</v>
      </c>
      <c r="G141" s="4">
        <f t="shared" si="2"/>
        <v>971.42408999999975</v>
      </c>
      <c r="H141" s="4" t="s">
        <v>90</v>
      </c>
      <c r="I141" s="205"/>
      <c r="J141" s="206"/>
    </row>
    <row r="142" spans="1:10" s="3" customFormat="1" x14ac:dyDescent="0.25">
      <c r="A142" s="198" t="s">
        <v>268</v>
      </c>
      <c r="B142" s="199"/>
      <c r="C142" s="199"/>
      <c r="D142" s="199"/>
      <c r="E142" s="199"/>
      <c r="F142" s="199"/>
      <c r="G142" s="199"/>
      <c r="H142" s="199"/>
      <c r="I142" s="199"/>
      <c r="J142" s="200"/>
    </row>
    <row r="143" spans="1:10" s="3" customFormat="1" x14ac:dyDescent="0.25">
      <c r="A143" s="49" t="s">
        <v>191</v>
      </c>
      <c r="B143" s="30">
        <v>1</v>
      </c>
      <c r="C143" s="4" t="s">
        <v>193</v>
      </c>
      <c r="D143" s="207">
        <f>(3.2*3.05+0.9*1.75+1.4*2.15+0.9*0.85+2.6*2.3+3.05*3.05+2.15*1.4+3.05*1.45+(3.05+2.3+3)*0.75)*10.764</f>
        <v>474.55784999999986</v>
      </c>
      <c r="E143" s="208"/>
      <c r="F143" s="4">
        <v>0</v>
      </c>
      <c r="G143" s="4">
        <f>D143*1.5+F143</f>
        <v>711.83677499999976</v>
      </c>
      <c r="H143" s="4" t="s">
        <v>90</v>
      </c>
      <c r="I143" s="201" t="str">
        <f>A142</f>
        <v>7th Floor (Part Refuge Area)</v>
      </c>
      <c r="J143" s="202"/>
    </row>
    <row r="144" spans="1:10" s="3" customFormat="1" x14ac:dyDescent="0.25">
      <c r="A144" s="49" t="s">
        <v>191</v>
      </c>
      <c r="B144" s="30">
        <v>2</v>
      </c>
      <c r="C144" s="4" t="s">
        <v>193</v>
      </c>
      <c r="D144" s="207">
        <f>(3.2*3.05+0.9*1.75+1.4*2.15+0.9*0.85+2.6*2.3+3.05*3.05+2.15*1.3+1.4*0.6+3.05*1.45+(3.05+2.3+3)*0.75)*10.764</f>
        <v>481.28535000000005</v>
      </c>
      <c r="E144" s="208"/>
      <c r="F144" s="4">
        <v>0</v>
      </c>
      <c r="G144" s="4">
        <f t="shared" ref="G144:G146" si="3">D144*1.5+F144</f>
        <v>721.92802500000005</v>
      </c>
      <c r="H144" s="4" t="s">
        <v>90</v>
      </c>
      <c r="I144" s="203"/>
      <c r="J144" s="204"/>
    </row>
    <row r="145" spans="1:12" s="3" customFormat="1" x14ac:dyDescent="0.25">
      <c r="A145" s="30" t="s">
        <v>192</v>
      </c>
      <c r="B145" s="30">
        <v>3</v>
      </c>
      <c r="C145" s="4" t="s">
        <v>194</v>
      </c>
      <c r="D145" s="207">
        <f>(3.05*5.2+1.05*3.35+1.4*2.3+2.15*2.75+2.25*0.9+2.3*1.4+2.31*0.9+3.05*2.75+3.05*3.2+2.1*0.6+3*1.67+(3.05+2.15+3.05+3.05)*0.75)*10.764</f>
        <v>739.77204599999982</v>
      </c>
      <c r="E145" s="208"/>
      <c r="F145" s="4">
        <v>0</v>
      </c>
      <c r="G145" s="4">
        <f t="shared" si="3"/>
        <v>1109.6580689999996</v>
      </c>
      <c r="H145" s="4" t="s">
        <v>90</v>
      </c>
      <c r="I145" s="203"/>
      <c r="J145" s="204"/>
    </row>
    <row r="146" spans="1:12" s="3" customFormat="1" x14ac:dyDescent="0.25">
      <c r="A146" s="30" t="s">
        <v>192</v>
      </c>
      <c r="B146" s="30">
        <v>4</v>
      </c>
      <c r="C146" s="4" t="s">
        <v>194</v>
      </c>
      <c r="D146" s="207">
        <f>(3.05*5.2+1.05*3.35+1.4*2.3+2.15*2.75+2.25*0.9+2.3*1.4+2.31*0.9+3.05*2.75+3.05*3.2+2.1*0.6+3*1.67+(3.05+2.15+3.05+3.05)*0.75)*10.764</f>
        <v>739.77204599999982</v>
      </c>
      <c r="E146" s="208"/>
      <c r="F146" s="4">
        <v>0</v>
      </c>
      <c r="G146" s="4">
        <f t="shared" si="3"/>
        <v>1109.6580689999996</v>
      </c>
      <c r="H146" s="4" t="s">
        <v>90</v>
      </c>
      <c r="I146" s="203"/>
      <c r="J146" s="204"/>
    </row>
    <row r="147" spans="1:12" s="3" customFormat="1" x14ac:dyDescent="0.25">
      <c r="A147" s="30" t="s">
        <v>192</v>
      </c>
      <c r="B147" s="30">
        <v>5</v>
      </c>
      <c r="C147" s="225" t="s">
        <v>195</v>
      </c>
      <c r="D147" s="226"/>
      <c r="E147" s="226"/>
      <c r="F147" s="226"/>
      <c r="G147" s="227"/>
      <c r="H147" s="4" t="s">
        <v>90</v>
      </c>
      <c r="I147" s="205"/>
      <c r="J147" s="206"/>
    </row>
    <row r="148" spans="1:12" s="3" customFormat="1" x14ac:dyDescent="0.25">
      <c r="A148" s="198" t="s">
        <v>269</v>
      </c>
      <c r="B148" s="199"/>
      <c r="C148" s="199"/>
      <c r="D148" s="199"/>
      <c r="E148" s="199"/>
      <c r="F148" s="199"/>
      <c r="G148" s="199"/>
      <c r="H148" s="199"/>
      <c r="I148" s="199"/>
      <c r="J148" s="200"/>
    </row>
    <row r="149" spans="1:12" s="3" customFormat="1" x14ac:dyDescent="0.25">
      <c r="A149" s="30" t="s">
        <v>192</v>
      </c>
      <c r="B149" s="30">
        <v>1</v>
      </c>
      <c r="C149" s="4" t="s">
        <v>193</v>
      </c>
      <c r="D149" s="207">
        <f>(3.2*3.05+0.9*1.75+1.4*2.15+0.9*0.85+2.6*2.3+3.05*3.05+2.15*1.4+3.05*1.45+(3.05+2.3+3)*0.75)*10.764</f>
        <v>474.55784999999986</v>
      </c>
      <c r="E149" s="208"/>
      <c r="F149" s="4">
        <v>0</v>
      </c>
      <c r="G149" s="4">
        <f>D149*1.5+F149</f>
        <v>711.83677499999976</v>
      </c>
      <c r="H149" s="4" t="s">
        <v>90</v>
      </c>
      <c r="I149" s="201" t="str">
        <f>A148</f>
        <v>11th, 16th, 21st, 26th &amp; 31st Floor (Part Refuge Area)</v>
      </c>
      <c r="J149" s="202"/>
    </row>
    <row r="150" spans="1:12" s="3" customFormat="1" x14ac:dyDescent="0.25">
      <c r="A150" s="30" t="s">
        <v>192</v>
      </c>
      <c r="B150" s="30">
        <v>2</v>
      </c>
      <c r="C150" s="4" t="s">
        <v>193</v>
      </c>
      <c r="D150" s="207">
        <f>(3.2*3.05+0.9*1.75+1.4*2.15+0.9*0.85+2.6*2.3+3.05*3.05+2.15*1.3+1.4*0.6+3.05*1.45+(3.05+2.3+3)*0.75)*10.764</f>
        <v>481.28535000000005</v>
      </c>
      <c r="E150" s="208"/>
      <c r="F150" s="4">
        <v>0</v>
      </c>
      <c r="G150" s="4">
        <f t="shared" ref="G150:G152" si="4">D150*1.5+F150</f>
        <v>721.92802500000005</v>
      </c>
      <c r="H150" s="4" t="s">
        <v>90</v>
      </c>
      <c r="I150" s="203"/>
      <c r="J150" s="204"/>
    </row>
    <row r="151" spans="1:12" s="3" customFormat="1" x14ac:dyDescent="0.25">
      <c r="A151" s="30" t="s">
        <v>192</v>
      </c>
      <c r="B151" s="30">
        <v>3</v>
      </c>
      <c r="C151" s="4" t="s">
        <v>194</v>
      </c>
      <c r="D151" s="207">
        <f>(3.05*5.2+1.05*3.35+1.4*2.3+2.15*2.75+2.25*0.9+2.3*1.4+2.31*0.9+3.05*2.75+3.05*3.2+2.1*0.6+3*1.67+(3.05+2.15+3.05+3.05)*0.75)*10.764</f>
        <v>739.77204599999982</v>
      </c>
      <c r="E151" s="208"/>
      <c r="F151" s="4">
        <v>0</v>
      </c>
      <c r="G151" s="4">
        <f t="shared" si="4"/>
        <v>1109.6580689999996</v>
      </c>
      <c r="H151" s="4" t="s">
        <v>90</v>
      </c>
      <c r="I151" s="203"/>
      <c r="J151" s="204"/>
    </row>
    <row r="152" spans="1:12" s="3" customFormat="1" x14ac:dyDescent="0.25">
      <c r="A152" s="30" t="s">
        <v>192</v>
      </c>
      <c r="B152" s="30">
        <v>4</v>
      </c>
      <c r="C152" s="4" t="s">
        <v>194</v>
      </c>
      <c r="D152" s="207">
        <f>(3.05*5.2+1.05*3.35+1.4*2.3+2.15*2.75+2.25*0.9+2.3*1.4+2.31*0.9+3.05*2.75+3.05*3.2+2.1*0.6+3*1.67+(3.05+2.15+3.05+3.05)*0.75)*10.764</f>
        <v>739.77204599999982</v>
      </c>
      <c r="E152" s="208"/>
      <c r="F152" s="4">
        <v>0</v>
      </c>
      <c r="G152" s="4">
        <f t="shared" si="4"/>
        <v>1109.6580689999996</v>
      </c>
      <c r="H152" s="4" t="s">
        <v>90</v>
      </c>
      <c r="I152" s="203"/>
      <c r="J152" s="204"/>
    </row>
    <row r="153" spans="1:12" s="3" customFormat="1" x14ac:dyDescent="0.25">
      <c r="A153" s="30" t="s">
        <v>192</v>
      </c>
      <c r="B153" s="30">
        <v>5</v>
      </c>
      <c r="C153" s="225" t="s">
        <v>195</v>
      </c>
      <c r="D153" s="226"/>
      <c r="E153" s="226"/>
      <c r="F153" s="226"/>
      <c r="G153" s="227"/>
      <c r="H153" s="4" t="s">
        <v>90</v>
      </c>
      <c r="I153" s="205"/>
      <c r="J153" s="206"/>
    </row>
    <row r="154" spans="1:12" s="3" customFormat="1" x14ac:dyDescent="0.25">
      <c r="A154" s="198" t="s">
        <v>270</v>
      </c>
      <c r="B154" s="199"/>
      <c r="C154" s="199"/>
      <c r="D154" s="199"/>
      <c r="E154" s="199"/>
      <c r="F154" s="199"/>
      <c r="G154" s="199"/>
      <c r="H154" s="199"/>
      <c r="I154" s="199"/>
      <c r="J154" s="200"/>
    </row>
    <row r="155" spans="1:12" s="3" customFormat="1" ht="20.25" customHeight="1" x14ac:dyDescent="0.25">
      <c r="A155" s="30" t="s">
        <v>192</v>
      </c>
      <c r="B155" s="30">
        <v>1</v>
      </c>
      <c r="C155" s="4" t="s">
        <v>193</v>
      </c>
      <c r="D155" s="207">
        <f>(3.2*3.05+0.9*1.75+1.4*2.15+0.9*0.85+2.6*2.3+3.05*3.05+2.15*1.4+3.05*1.45+(3.05+2.3+3)*0.75)*10.764</f>
        <v>474.55784999999986</v>
      </c>
      <c r="E155" s="208"/>
      <c r="F155" s="4">
        <v>0</v>
      </c>
      <c r="G155" s="4">
        <f>D155*1.5+F155</f>
        <v>711.83677499999976</v>
      </c>
      <c r="H155" s="4" t="s">
        <v>90</v>
      </c>
      <c r="I155" s="219" t="str">
        <f>A154</f>
        <v>8th to 10th, 12th to 15th, 17th to 20th, 22nd to 25th, 27th to 30th &amp; 32nd to 35th Floor</v>
      </c>
      <c r="J155" s="220"/>
      <c r="K155" s="3">
        <f>(35.78+3.96+0.84)*10.764</f>
        <v>436.80312000000004</v>
      </c>
      <c r="L155" s="29">
        <f>D155-K155</f>
        <v>37.754729999999824</v>
      </c>
    </row>
    <row r="156" spans="1:12" s="3" customFormat="1" ht="20.25" customHeight="1" x14ac:dyDescent="0.25">
      <c r="A156" s="30" t="s">
        <v>192</v>
      </c>
      <c r="B156" s="30">
        <v>2</v>
      </c>
      <c r="C156" s="4" t="s">
        <v>193</v>
      </c>
      <c r="D156" s="207">
        <f>(3.2*3.05+0.9*1.75+1.4*2.15+0.9*0.85+2.6*2.3+3.05*3.05+2.15*1.3+1.4*0.6+3.05*1.45+(3.05+2.3+3)*0.75)*10.764</f>
        <v>481.28535000000005</v>
      </c>
      <c r="E156" s="208"/>
      <c r="F156" s="4">
        <v>0</v>
      </c>
      <c r="G156" s="4">
        <f t="shared" ref="G156:G159" si="5">D156*1.5+F156</f>
        <v>721.92802500000005</v>
      </c>
      <c r="H156" s="4" t="s">
        <v>90</v>
      </c>
      <c r="I156" s="221"/>
      <c r="J156" s="222"/>
      <c r="K156" s="3">
        <f>(35.52+3.96+0.84)*10.764</f>
        <v>434.00448000000006</v>
      </c>
      <c r="L156" s="29">
        <f t="shared" ref="L156:L159" si="6">D156-K156</f>
        <v>47.280869999999993</v>
      </c>
    </row>
    <row r="157" spans="1:12" s="3" customFormat="1" ht="20.25" customHeight="1" x14ac:dyDescent="0.25">
      <c r="A157" s="30" t="s">
        <v>192</v>
      </c>
      <c r="B157" s="30">
        <v>3</v>
      </c>
      <c r="C157" s="4" t="s">
        <v>194</v>
      </c>
      <c r="D157" s="207">
        <f>(3.05*5.2+1.05*3.35+1.4*2.3+2.15*2.75+2.25*0.9+2.3*1.4+2.31*0.9+3.05*2.75+3.05*3.2+2.1*0.6+3*1.67+(3.05+2.15+3.05+3.05)*0.75)*10.764</f>
        <v>739.77204599999982</v>
      </c>
      <c r="E157" s="208"/>
      <c r="F157" s="4">
        <v>0</v>
      </c>
      <c r="G157" s="4">
        <f t="shared" si="5"/>
        <v>1109.6580689999996</v>
      </c>
      <c r="H157" s="4" t="s">
        <v>90</v>
      </c>
      <c r="I157" s="221"/>
      <c r="J157" s="222"/>
      <c r="K157" s="3">
        <f>(52.77+4.64+2.09)*10.764</f>
        <v>640.45799999999997</v>
      </c>
      <c r="L157" s="29">
        <f t="shared" si="6"/>
        <v>99.314045999999848</v>
      </c>
    </row>
    <row r="158" spans="1:12" s="3" customFormat="1" ht="20.25" customHeight="1" x14ac:dyDescent="0.25">
      <c r="A158" s="30" t="s">
        <v>192</v>
      </c>
      <c r="B158" s="30">
        <v>4</v>
      </c>
      <c r="C158" s="4" t="s">
        <v>194</v>
      </c>
      <c r="D158" s="207">
        <f>(3.05*5.2+1.05*3.35+1.4*2.3+2.15*2.75+2.25*0.9+2.3*1.4+2.31*0.9+3.05*2.75+3.05*3.2+2.1*0.6+3*1.67+(3.05+2.15+3.05+3.05)*0.75)*10.764</f>
        <v>739.77204599999982</v>
      </c>
      <c r="E158" s="208"/>
      <c r="F158" s="4">
        <v>0</v>
      </c>
      <c r="G158" s="4">
        <f t="shared" si="5"/>
        <v>1109.6580689999996</v>
      </c>
      <c r="H158" s="4" t="s">
        <v>90</v>
      </c>
      <c r="I158" s="221"/>
      <c r="J158" s="222"/>
      <c r="K158" s="3">
        <f>(52.77+4.64+2.09)*10.764</f>
        <v>640.45799999999997</v>
      </c>
      <c r="L158" s="29">
        <f t="shared" si="6"/>
        <v>99.314045999999848</v>
      </c>
    </row>
    <row r="159" spans="1:12" s="3" customFormat="1" ht="20.25" customHeight="1" x14ac:dyDescent="0.25">
      <c r="A159" s="30" t="s">
        <v>192</v>
      </c>
      <c r="B159" s="30">
        <v>5</v>
      </c>
      <c r="C159" s="4" t="s">
        <v>194</v>
      </c>
      <c r="D159" s="207">
        <f>(3.05*3.05+3.05*3.53+1.83*0.9+2.3*2.45+2.56*1.4+1*0.9+2.56*1.4+2.9*3.5+1.8*0.6+3.05*1.67+(3.05+2.3+3.05+2.83)*0.75)*10.764</f>
        <v>647.61605999999983</v>
      </c>
      <c r="E159" s="208"/>
      <c r="F159" s="4">
        <v>0</v>
      </c>
      <c r="G159" s="4">
        <f t="shared" si="5"/>
        <v>971.42408999999975</v>
      </c>
      <c r="H159" s="4" t="s">
        <v>90</v>
      </c>
      <c r="I159" s="223"/>
      <c r="J159" s="224"/>
      <c r="K159" s="3">
        <f>(48.76+4.64+1.92)*10.764</f>
        <v>595.46447999999998</v>
      </c>
      <c r="L159" s="29">
        <f t="shared" si="6"/>
        <v>52.151579999999853</v>
      </c>
    </row>
    <row r="160" spans="1:12" s="3" customFormat="1" ht="17.25" customHeight="1" x14ac:dyDescent="0.25">
      <c r="A160" s="198" t="s">
        <v>196</v>
      </c>
      <c r="B160" s="199"/>
      <c r="C160" s="199"/>
      <c r="D160" s="199"/>
      <c r="E160" s="199"/>
      <c r="F160" s="199"/>
      <c r="G160" s="199"/>
      <c r="H160" s="199"/>
      <c r="I160" s="199"/>
      <c r="J160" s="200"/>
    </row>
    <row r="161" spans="1:12" s="64" customFormat="1" ht="15" x14ac:dyDescent="0.25">
      <c r="A161" s="209" t="s">
        <v>271</v>
      </c>
      <c r="B161" s="209"/>
      <c r="C161" s="209"/>
      <c r="D161" s="209"/>
      <c r="E161" s="209"/>
      <c r="F161" s="209"/>
      <c r="G161" s="209"/>
      <c r="H161" s="210"/>
      <c r="I161" s="209"/>
      <c r="J161" s="209"/>
    </row>
    <row r="162" spans="1:12" s="64" customFormat="1" ht="15" x14ac:dyDescent="0.25">
      <c r="A162" s="209" t="s">
        <v>272</v>
      </c>
      <c r="B162" s="209"/>
      <c r="C162" s="209"/>
      <c r="D162" s="209"/>
      <c r="E162" s="209"/>
      <c r="F162" s="209"/>
      <c r="G162" s="209"/>
      <c r="H162" s="210"/>
      <c r="I162" s="209"/>
      <c r="J162" s="209"/>
    </row>
    <row r="163" spans="1:12" s="64" customFormat="1" ht="15" x14ac:dyDescent="0.25">
      <c r="A163" s="211" t="s">
        <v>273</v>
      </c>
      <c r="B163" s="211"/>
      <c r="C163" s="211"/>
      <c r="D163" s="211"/>
      <c r="E163" s="211"/>
      <c r="F163" s="211"/>
      <c r="G163" s="211"/>
      <c r="H163" s="212"/>
      <c r="I163" s="211"/>
      <c r="J163" s="211"/>
    </row>
    <row r="164" spans="1:12" s="64" customFormat="1" ht="15" x14ac:dyDescent="0.25">
      <c r="A164" s="211" t="s">
        <v>274</v>
      </c>
      <c r="B164" s="211"/>
      <c r="C164" s="211"/>
      <c r="D164" s="211"/>
      <c r="E164" s="211"/>
      <c r="F164" s="211"/>
      <c r="G164" s="211"/>
      <c r="H164" s="212"/>
      <c r="I164" s="211"/>
      <c r="J164" s="211"/>
    </row>
    <row r="165" spans="1:12" s="3" customFormat="1" x14ac:dyDescent="0.25">
      <c r="A165" s="49" t="s">
        <v>191</v>
      </c>
      <c r="B165" s="49">
        <v>1</v>
      </c>
      <c r="C165" s="4" t="s">
        <v>193</v>
      </c>
      <c r="D165" s="207">
        <f>(4.65*3.05+0.9*1.75+1.4*2.15+0.9*0.85+2.6*2.3+3.05*3.05+2.15*1.4+(3.05+2.3+3.05)*0.75)*10.764</f>
        <v>474.96149999999989</v>
      </c>
      <c r="E165" s="208"/>
      <c r="F165" s="4">
        <v>0</v>
      </c>
      <c r="G165" s="4">
        <f>D165*1.5+F165</f>
        <v>712.44224999999983</v>
      </c>
      <c r="H165" s="4" t="s">
        <v>90</v>
      </c>
      <c r="I165" s="201" t="str">
        <f>A164</f>
        <v>1st &amp; 2nd Floor for Residential &amp; Amenties</v>
      </c>
      <c r="J165" s="202"/>
    </row>
    <row r="166" spans="1:12" s="3" customFormat="1" x14ac:dyDescent="0.25">
      <c r="A166" s="49" t="s">
        <v>191</v>
      </c>
      <c r="B166" s="49">
        <v>2</v>
      </c>
      <c r="C166" s="4" t="s">
        <v>193</v>
      </c>
      <c r="D166" s="207">
        <f>(4.65*3.05+0.9*1.75+1.4*2.15+0.9*0.85+2.6*2.3+3.05*3.05+2.15*1.4+1.4*0.6+((3.05+2.3+3.05)*0.75))*10.764</f>
        <v>484.00325999999995</v>
      </c>
      <c r="E166" s="208"/>
      <c r="F166" s="4">
        <v>0</v>
      </c>
      <c r="G166" s="4">
        <f t="shared" ref="G166:G169" si="7">D166*1.5+F166</f>
        <v>726.00488999999993</v>
      </c>
      <c r="H166" s="4" t="s">
        <v>90</v>
      </c>
      <c r="I166" s="203"/>
      <c r="J166" s="204"/>
    </row>
    <row r="167" spans="1:12" s="3" customFormat="1" x14ac:dyDescent="0.25">
      <c r="A167" s="49" t="s">
        <v>276</v>
      </c>
      <c r="B167" s="213" t="s">
        <v>275</v>
      </c>
      <c r="C167" s="214"/>
      <c r="D167" s="214"/>
      <c r="E167" s="214"/>
      <c r="F167" s="214"/>
      <c r="G167" s="214"/>
      <c r="H167" s="215"/>
      <c r="I167" s="203"/>
      <c r="J167" s="204"/>
    </row>
    <row r="168" spans="1:12" s="3" customFormat="1" x14ac:dyDescent="0.25">
      <c r="A168" s="49" t="s">
        <v>276</v>
      </c>
      <c r="B168" s="216"/>
      <c r="C168" s="217"/>
      <c r="D168" s="217"/>
      <c r="E168" s="217"/>
      <c r="F168" s="217"/>
      <c r="G168" s="217"/>
      <c r="H168" s="218"/>
      <c r="I168" s="203"/>
      <c r="J168" s="204"/>
    </row>
    <row r="169" spans="1:12" s="3" customFormat="1" ht="16.5" customHeight="1" x14ac:dyDescent="0.25">
      <c r="A169" s="49" t="s">
        <v>192</v>
      </c>
      <c r="B169" s="49">
        <v>5</v>
      </c>
      <c r="C169" s="4" t="s">
        <v>194</v>
      </c>
      <c r="D169" s="207">
        <f>(3.05*3.05+3.05*5.2+1.83*0.9+2.3*2.45+2.56*1.4+0.9*0.9+2.56*1.4+2.9*3.5+1.8*0.6+3.05+2.3+2.9+3.05)*10.764</f>
        <v>677.6207099999998</v>
      </c>
      <c r="E169" s="208"/>
      <c r="F169" s="4">
        <v>0</v>
      </c>
      <c r="G169" s="4">
        <f t="shared" si="7"/>
        <v>1016.4310649999998</v>
      </c>
      <c r="H169" s="4" t="s">
        <v>90</v>
      </c>
      <c r="I169" s="205"/>
      <c r="J169" s="206"/>
    </row>
    <row r="170" spans="1:12" s="3" customFormat="1" x14ac:dyDescent="0.25">
      <c r="A170" s="198" t="s">
        <v>277</v>
      </c>
      <c r="B170" s="199"/>
      <c r="C170" s="199"/>
      <c r="D170" s="199"/>
      <c r="E170" s="199"/>
      <c r="F170" s="199"/>
      <c r="G170" s="199"/>
      <c r="H170" s="199"/>
      <c r="I170" s="199"/>
      <c r="J170" s="200"/>
    </row>
    <row r="171" spans="1:12" s="3" customFormat="1" x14ac:dyDescent="0.25">
      <c r="A171" s="49" t="s">
        <v>191</v>
      </c>
      <c r="B171" s="49">
        <v>1</v>
      </c>
      <c r="C171" s="4" t="s">
        <v>193</v>
      </c>
      <c r="D171" s="207">
        <f>(4.65*3.05+0.9*1.75+1.4*2.15+0.9*0.85+2.6*2.3+3.05*3.05+2.15*1.4+(3.05+2.3+3.05)*0.75)*10.764</f>
        <v>474.96149999999989</v>
      </c>
      <c r="E171" s="208"/>
      <c r="F171" s="4">
        <v>0</v>
      </c>
      <c r="G171" s="4">
        <f>D171*1.5+F171</f>
        <v>712.44224999999983</v>
      </c>
      <c r="H171" s="4" t="s">
        <v>90</v>
      </c>
      <c r="I171" s="201" t="str">
        <f>A170</f>
        <v>3rd to 6th, 8th &amp; 9th Floor</v>
      </c>
      <c r="J171" s="202"/>
      <c r="K171" s="3">
        <f>(35.78+3.96+0.84)*10.764</f>
        <v>436.80312000000004</v>
      </c>
      <c r="L171" s="29">
        <f>D171-K171</f>
        <v>38.158379999999852</v>
      </c>
    </row>
    <row r="172" spans="1:12" s="3" customFormat="1" x14ac:dyDescent="0.25">
      <c r="A172" s="49" t="s">
        <v>191</v>
      </c>
      <c r="B172" s="49">
        <v>2</v>
      </c>
      <c r="C172" s="4" t="s">
        <v>193</v>
      </c>
      <c r="D172" s="207">
        <f>(4.65*3.05+0.9*1.75+1.4*2.15+0.9*0.85+2.6*2.3+3.05*3.05+2.15*1.4+1.4*0.6+((3.05+2.3+3.05)*0.75))*10.764</f>
        <v>484.00325999999995</v>
      </c>
      <c r="E172" s="208"/>
      <c r="F172" s="4">
        <v>0</v>
      </c>
      <c r="G172" s="4">
        <f t="shared" ref="G172:G175" si="8">D172*1.5+F172</f>
        <v>726.00488999999993</v>
      </c>
      <c r="H172" s="4" t="s">
        <v>90</v>
      </c>
      <c r="I172" s="203"/>
      <c r="J172" s="204"/>
      <c r="K172" s="3">
        <f>(35.52+3.96+0.84)*10.764</f>
        <v>434.00448000000006</v>
      </c>
      <c r="L172" s="29">
        <f t="shared" ref="L172:L175" si="9">D172-K172</f>
        <v>49.998779999999897</v>
      </c>
    </row>
    <row r="173" spans="1:12" s="3" customFormat="1" x14ac:dyDescent="0.25">
      <c r="A173" s="49" t="s">
        <v>192</v>
      </c>
      <c r="B173" s="49">
        <v>3</v>
      </c>
      <c r="C173" s="4" t="s">
        <v>194</v>
      </c>
      <c r="D173" s="207">
        <f>(3.05*5.2+1.05*3.35+1.4*2.3+2.15*2.75+2.25*0.9+2.3*1.4+2.31*0.9+3.05*2.75+3.05*3.2+2.1*0.6+3.05+2.15+3.05+3.05)*10.764</f>
        <v>716.25270599999976</v>
      </c>
      <c r="E173" s="208"/>
      <c r="F173" s="4">
        <v>0</v>
      </c>
      <c r="G173" s="4">
        <f t="shared" si="8"/>
        <v>1074.3790589999996</v>
      </c>
      <c r="H173" s="4" t="s">
        <v>90</v>
      </c>
      <c r="I173" s="203"/>
      <c r="J173" s="204"/>
      <c r="K173" s="3">
        <f>(52.77+4.64+2.09)*10.764</f>
        <v>640.45799999999997</v>
      </c>
      <c r="L173" s="29">
        <f t="shared" si="9"/>
        <v>75.794705999999792</v>
      </c>
    </row>
    <row r="174" spans="1:12" s="3" customFormat="1" x14ac:dyDescent="0.25">
      <c r="A174" s="49" t="s">
        <v>192</v>
      </c>
      <c r="B174" s="49">
        <v>4</v>
      </c>
      <c r="C174" s="4" t="s">
        <v>194</v>
      </c>
      <c r="D174" s="207">
        <f>(3.05*5.2+1.05*3.35+1.4*2.3+2.15*2.75+2.25*0.9+2.3*1.4+2.31*0.9+3.05*2.75+3.05*3.2+2.1*0.6+3.05+2.15+3.05+3.05)*10.764</f>
        <v>716.25270599999976</v>
      </c>
      <c r="E174" s="208"/>
      <c r="F174" s="4">
        <v>0</v>
      </c>
      <c r="G174" s="4">
        <f t="shared" si="8"/>
        <v>1074.3790589999996</v>
      </c>
      <c r="H174" s="4" t="s">
        <v>90</v>
      </c>
      <c r="I174" s="203"/>
      <c r="J174" s="204"/>
      <c r="K174" s="3">
        <f>(52.77+4.64+2.09)*10.764</f>
        <v>640.45799999999997</v>
      </c>
      <c r="L174" s="29">
        <f t="shared" si="9"/>
        <v>75.794705999999792</v>
      </c>
    </row>
    <row r="175" spans="1:12" s="3" customFormat="1" x14ac:dyDescent="0.25">
      <c r="A175" s="49" t="s">
        <v>192</v>
      </c>
      <c r="B175" s="49">
        <v>5</v>
      </c>
      <c r="C175" s="4" t="s">
        <v>194</v>
      </c>
      <c r="D175" s="207">
        <f>(3.05*3.05+3.05*5.2+1.83*0.9+2.3*2.45+2.56*1.4+0.9*0.9+2.56*1.4+2.9*3.5+1.8*0.6+3.05+2.3+2.9+3.05)*10.764</f>
        <v>677.6207099999998</v>
      </c>
      <c r="E175" s="208"/>
      <c r="F175" s="4">
        <v>0</v>
      </c>
      <c r="G175" s="4">
        <f t="shared" si="8"/>
        <v>1016.4310649999998</v>
      </c>
      <c r="H175" s="4" t="s">
        <v>90</v>
      </c>
      <c r="I175" s="205"/>
      <c r="J175" s="206"/>
      <c r="K175" s="3">
        <f>(48.76+4.64+1.92)*10.764</f>
        <v>595.46447999999998</v>
      </c>
      <c r="L175" s="29">
        <f t="shared" si="9"/>
        <v>82.156229999999823</v>
      </c>
    </row>
    <row r="176" spans="1:12" s="3" customFormat="1" x14ac:dyDescent="0.25">
      <c r="A176" s="198" t="str">
        <f>A142</f>
        <v>7th Floor (Part Refuge Area)</v>
      </c>
      <c r="B176" s="199"/>
      <c r="C176" s="199"/>
      <c r="D176" s="199"/>
      <c r="E176" s="199"/>
      <c r="F176" s="199"/>
      <c r="G176" s="199"/>
      <c r="H176" s="199"/>
      <c r="I176" s="199"/>
      <c r="J176" s="200"/>
    </row>
    <row r="177" spans="1:10" s="3" customFormat="1" x14ac:dyDescent="0.25">
      <c r="A177" s="49" t="s">
        <v>191</v>
      </c>
      <c r="B177" s="30">
        <v>1</v>
      </c>
      <c r="C177" s="4" t="s">
        <v>193</v>
      </c>
      <c r="D177" s="207">
        <f>(4.65*3.05+0.9*1.75+1.4*2.15+0.9*0.85+2.6*2.3+3.05*3.05+2.15*1.4+(3.05+2.3+3.05)*0.75)*10.764</f>
        <v>474.96149999999989</v>
      </c>
      <c r="E177" s="208"/>
      <c r="F177" s="4">
        <v>0</v>
      </c>
      <c r="G177" s="4">
        <f>D177*1.5+F177</f>
        <v>712.44224999999983</v>
      </c>
      <c r="H177" s="4" t="s">
        <v>90</v>
      </c>
      <c r="I177" s="233" t="str">
        <f>A176</f>
        <v>7th Floor (Part Refuge Area)</v>
      </c>
      <c r="J177" s="234"/>
    </row>
    <row r="178" spans="1:10" s="3" customFormat="1" x14ac:dyDescent="0.25">
      <c r="A178" s="49" t="s">
        <v>191</v>
      </c>
      <c r="B178" s="30">
        <v>2</v>
      </c>
      <c r="C178" s="4" t="s">
        <v>193</v>
      </c>
      <c r="D178" s="207">
        <f>(4.65*3.05+0.9*1.75+1.4*2.15+0.9*0.85+2.6*2.3+3.05*3.05+2.15*1.4+1.4*0.6+((3.05+2.3+3.05)*0.75))*10.764</f>
        <v>484.00325999999995</v>
      </c>
      <c r="E178" s="208"/>
      <c r="F178" s="4">
        <v>0</v>
      </c>
      <c r="G178" s="4">
        <f t="shared" ref="G178:G181" si="10">D178*1.5+F178</f>
        <v>726.00488999999993</v>
      </c>
      <c r="H178" s="4" t="s">
        <v>90</v>
      </c>
      <c r="I178" s="235"/>
      <c r="J178" s="236"/>
    </row>
    <row r="179" spans="1:10" s="3" customFormat="1" x14ac:dyDescent="0.25">
      <c r="A179" s="30" t="s">
        <v>192</v>
      </c>
      <c r="B179" s="30">
        <v>3</v>
      </c>
      <c r="C179" s="4" t="s">
        <v>194</v>
      </c>
      <c r="D179" s="207">
        <f>(3.05*5.2+1.05*3.35+1.4*2.3+2.15*2.75+2.25*0.9+2.3*1.4+2.31*0.9+3.05*2.75+3.05*3.2+2.1*0.6+3.05+2.15+3.05+3.05)*10.764</f>
        <v>716.25270599999976</v>
      </c>
      <c r="E179" s="208"/>
      <c r="F179" s="4">
        <v>0</v>
      </c>
      <c r="G179" s="4">
        <f t="shared" si="10"/>
        <v>1074.3790589999996</v>
      </c>
      <c r="H179" s="4" t="s">
        <v>90</v>
      </c>
      <c r="I179" s="235"/>
      <c r="J179" s="236"/>
    </row>
    <row r="180" spans="1:10" s="3" customFormat="1" x14ac:dyDescent="0.25">
      <c r="A180" s="30" t="s">
        <v>192</v>
      </c>
      <c r="B180" s="30">
        <v>4</v>
      </c>
      <c r="C180" s="4" t="s">
        <v>194</v>
      </c>
      <c r="D180" s="207">
        <f>(3.05*5.2+1.05*3.35+1.4*2.3+2.15*2.75+2.25*0.9+2.3*1.4+2.31*0.9+3.05*2.75+3.05*3.2+2.1*0.6+3.05+2.15+3.05+3.05)*10.764</f>
        <v>716.25270599999976</v>
      </c>
      <c r="E180" s="208"/>
      <c r="F180" s="4">
        <v>0</v>
      </c>
      <c r="G180" s="4">
        <f t="shared" si="10"/>
        <v>1074.3790589999996</v>
      </c>
      <c r="H180" s="4" t="s">
        <v>90</v>
      </c>
      <c r="I180" s="235"/>
      <c r="J180" s="236"/>
    </row>
    <row r="181" spans="1:10" s="3" customFormat="1" ht="17.25" customHeight="1" x14ac:dyDescent="0.25">
      <c r="A181" s="30" t="s">
        <v>192</v>
      </c>
      <c r="B181" s="30">
        <v>5</v>
      </c>
      <c r="C181" s="4" t="s">
        <v>194</v>
      </c>
      <c r="D181" s="207">
        <f>(3.05*3.05+3.05*5.2+1.83*0.9+2.3*2.45+2.56*1.4+0.9*0.9+2.56*1.4+2.9*3.5+1.8*0.6+3.05+2.3+2.9+3.05)*10.764</f>
        <v>677.6207099999998</v>
      </c>
      <c r="E181" s="208"/>
      <c r="F181" s="4">
        <v>0</v>
      </c>
      <c r="G181" s="4">
        <f t="shared" si="10"/>
        <v>1016.4310649999998</v>
      </c>
      <c r="H181" s="4" t="s">
        <v>90</v>
      </c>
      <c r="I181" s="237"/>
      <c r="J181" s="238"/>
    </row>
    <row r="182" spans="1:10" s="3" customFormat="1" x14ac:dyDescent="0.25">
      <c r="A182" s="198" t="s">
        <v>269</v>
      </c>
      <c r="B182" s="199"/>
      <c r="C182" s="199"/>
      <c r="D182" s="199"/>
      <c r="E182" s="199"/>
      <c r="F182" s="199"/>
      <c r="G182" s="199"/>
      <c r="H182" s="199"/>
      <c r="I182" s="199"/>
      <c r="J182" s="200"/>
    </row>
    <row r="183" spans="1:10" s="3" customFormat="1" x14ac:dyDescent="0.25">
      <c r="A183" s="30" t="s">
        <v>192</v>
      </c>
      <c r="B183" s="30">
        <v>1</v>
      </c>
      <c r="C183" s="4" t="s">
        <v>193</v>
      </c>
      <c r="D183" s="207">
        <f>(4.65*3.05+0.9*1.75+1.4*2.15+0.9*0.85+2.6*2.3+3.05*3.05+2.15*1.4+(3.05+2.3+3.05)*0.75)*10.764</f>
        <v>474.96149999999989</v>
      </c>
      <c r="E183" s="208"/>
      <c r="F183" s="4">
        <v>0</v>
      </c>
      <c r="G183" s="4">
        <f>D183*1.5+F183</f>
        <v>712.44224999999983</v>
      </c>
      <c r="H183" s="4" t="s">
        <v>90</v>
      </c>
      <c r="I183" s="233" t="str">
        <f>A182</f>
        <v>11th, 16th, 21st, 26th &amp; 31st Floor (Part Refuge Area)</v>
      </c>
      <c r="J183" s="234"/>
    </row>
    <row r="184" spans="1:10" s="3" customFormat="1" x14ac:dyDescent="0.25">
      <c r="A184" s="30" t="s">
        <v>192</v>
      </c>
      <c r="B184" s="30">
        <v>2</v>
      </c>
      <c r="C184" s="4" t="s">
        <v>193</v>
      </c>
      <c r="D184" s="207">
        <f>(4.65*3.05+0.9*1.75+1.4*2.15+0.9*0.85+2.6*2.3+3.05*3.05+2.15*1.4+1.4*0.6+((3.05+2.3+3.05)*0.75))*10.764</f>
        <v>484.00325999999995</v>
      </c>
      <c r="E184" s="208"/>
      <c r="F184" s="4">
        <v>0</v>
      </c>
      <c r="G184" s="4">
        <f t="shared" ref="G184:G187" si="11">D184*1.5+F184</f>
        <v>726.00488999999993</v>
      </c>
      <c r="H184" s="4" t="s">
        <v>90</v>
      </c>
      <c r="I184" s="235"/>
      <c r="J184" s="236"/>
    </row>
    <row r="185" spans="1:10" s="3" customFormat="1" x14ac:dyDescent="0.25">
      <c r="A185" s="30" t="s">
        <v>192</v>
      </c>
      <c r="B185" s="30">
        <v>3</v>
      </c>
      <c r="C185" s="4" t="s">
        <v>194</v>
      </c>
      <c r="D185" s="207">
        <f>(3.05*5.2+1.05*3.35+1.4*2.3+2.15*2.75+2.25*0.9+2.3*1.4+2.31*0.9+3.05*2.75+3.05*3.2+2.1*0.6+3.05+2.15+3.05+3.05)*10.764</f>
        <v>716.25270599999976</v>
      </c>
      <c r="E185" s="208"/>
      <c r="F185" s="4">
        <v>0</v>
      </c>
      <c r="G185" s="4">
        <f t="shared" si="11"/>
        <v>1074.3790589999996</v>
      </c>
      <c r="H185" s="4" t="s">
        <v>90</v>
      </c>
      <c r="I185" s="235"/>
      <c r="J185" s="236"/>
    </row>
    <row r="186" spans="1:10" s="3" customFormat="1" x14ac:dyDescent="0.25">
      <c r="A186" s="30" t="s">
        <v>192</v>
      </c>
      <c r="B186" s="30">
        <v>4</v>
      </c>
      <c r="C186" s="4" t="s">
        <v>194</v>
      </c>
      <c r="D186" s="207">
        <f>(3.05*5.2+1.05*3.35+1.4*2.3+2.15*2.75+2.25*0.9+2.3*1.4+2.31*0.9+3.05*2.75+3.05*3.2+2.1*0.6+3.05+2.15+3.05+3.05)*10.764</f>
        <v>716.25270599999976</v>
      </c>
      <c r="E186" s="208"/>
      <c r="F186" s="4">
        <v>0</v>
      </c>
      <c r="G186" s="4">
        <f t="shared" si="11"/>
        <v>1074.3790589999996</v>
      </c>
      <c r="H186" s="4" t="s">
        <v>90</v>
      </c>
      <c r="I186" s="235"/>
      <c r="J186" s="236"/>
    </row>
    <row r="187" spans="1:10" s="3" customFormat="1" ht="17.25" customHeight="1" x14ac:dyDescent="0.25">
      <c r="A187" s="30" t="s">
        <v>192</v>
      </c>
      <c r="B187" s="30">
        <v>5</v>
      </c>
      <c r="C187" s="4" t="s">
        <v>194</v>
      </c>
      <c r="D187" s="207">
        <f>(3.05*3.05+3.05*5.2+1.83*0.9+2.3*2.45+2.56*1.4+0.9*0.9+2.56*1.4+2.9*3.5+1.8*0.6+3.05+2.3+2.9+3.05)*10.764</f>
        <v>677.6207099999998</v>
      </c>
      <c r="E187" s="208"/>
      <c r="F187" s="4">
        <v>0</v>
      </c>
      <c r="G187" s="4">
        <f t="shared" si="11"/>
        <v>1016.4310649999998</v>
      </c>
      <c r="H187" s="4" t="s">
        <v>90</v>
      </c>
      <c r="I187" s="237"/>
      <c r="J187" s="238"/>
    </row>
    <row r="188" spans="1:10" s="3" customFormat="1" ht="17.25" customHeight="1" x14ac:dyDescent="0.25">
      <c r="A188" s="198" t="s">
        <v>278</v>
      </c>
      <c r="B188" s="199"/>
      <c r="C188" s="199"/>
      <c r="D188" s="199"/>
      <c r="E188" s="199"/>
      <c r="F188" s="199"/>
      <c r="G188" s="199"/>
      <c r="H188" s="199"/>
      <c r="I188" s="199"/>
      <c r="J188" s="200"/>
    </row>
    <row r="189" spans="1:10" s="3" customFormat="1" ht="30" customHeight="1" x14ac:dyDescent="0.25">
      <c r="A189" s="30" t="s">
        <v>192</v>
      </c>
      <c r="B189" s="30">
        <v>1</v>
      </c>
      <c r="C189" s="4" t="s">
        <v>193</v>
      </c>
      <c r="D189" s="207">
        <f>(4.65*3.05+0.9*1.75+1.4*2.15+0.9*0.85+2.6*2.3+3.05*3.05+2.15*1.4+(3.05+2.3+3.05)*0.75)*10.764</f>
        <v>474.96149999999989</v>
      </c>
      <c r="E189" s="208"/>
      <c r="F189" s="4">
        <v>0</v>
      </c>
      <c r="G189" s="4">
        <f>D189*1.5+F189</f>
        <v>712.44224999999983</v>
      </c>
      <c r="H189" s="4" t="s">
        <v>90</v>
      </c>
      <c r="I189" s="201" t="str">
        <f>A188</f>
        <v>10th, 12th to 15th, 17th to 20th, 22nd to 25th, 27th to 30th &amp; 32nd to 35th Floor</v>
      </c>
      <c r="J189" s="202"/>
    </row>
    <row r="190" spans="1:10" s="3" customFormat="1" ht="30" customHeight="1" x14ac:dyDescent="0.25">
      <c r="A190" s="30" t="s">
        <v>192</v>
      </c>
      <c r="B190" s="30">
        <v>2</v>
      </c>
      <c r="C190" s="4" t="s">
        <v>193</v>
      </c>
      <c r="D190" s="207">
        <f>(4.65*3.05+0.9*1.75+1.4*2.15+0.9*0.85+2.6*2.3+3.05*3.05+2.15*1.4+1.4*0.6+((3.05+2.3+3.05)*0.75))*10.764</f>
        <v>484.00325999999995</v>
      </c>
      <c r="E190" s="208"/>
      <c r="F190" s="4">
        <v>0</v>
      </c>
      <c r="G190" s="4">
        <f t="shared" ref="G190:G193" si="12">D190*1.5+F190</f>
        <v>726.00488999999993</v>
      </c>
      <c r="H190" s="4" t="s">
        <v>90</v>
      </c>
      <c r="I190" s="203"/>
      <c r="J190" s="204"/>
    </row>
    <row r="191" spans="1:10" s="3" customFormat="1" ht="30" customHeight="1" x14ac:dyDescent="0.25">
      <c r="A191" s="30" t="s">
        <v>192</v>
      </c>
      <c r="B191" s="30">
        <v>3</v>
      </c>
      <c r="C191" s="4" t="s">
        <v>194</v>
      </c>
      <c r="D191" s="207">
        <f>(3.05*5.2+1.05*3.35+1.4*2.3+2.15*2.75+2.25*0.9+2.3*1.4+2.31*0.9+3.05*2.75+3.05*3.2+2.1*0.6+3.05+2.15+3.05+3.05)*10.764</f>
        <v>716.25270599999976</v>
      </c>
      <c r="E191" s="208"/>
      <c r="F191" s="4">
        <v>0</v>
      </c>
      <c r="G191" s="4">
        <f t="shared" si="12"/>
        <v>1074.3790589999996</v>
      </c>
      <c r="H191" s="4" t="s">
        <v>90</v>
      </c>
      <c r="I191" s="203"/>
      <c r="J191" s="204"/>
    </row>
    <row r="192" spans="1:10" s="3" customFormat="1" ht="30" customHeight="1" x14ac:dyDescent="0.25">
      <c r="A192" s="30" t="s">
        <v>192</v>
      </c>
      <c r="B192" s="30">
        <v>4</v>
      </c>
      <c r="C192" s="4" t="s">
        <v>194</v>
      </c>
      <c r="D192" s="207">
        <f>(3.05*5.2+1.05*3.35+1.4*2.3+2.15*2.75+2.25*0.9+2.3*1.4+2.31*0.9+3.05*2.75+3.05*3.2+2.1*0.6+3.05+2.15+3.05+3.05)*10.764</f>
        <v>716.25270599999976</v>
      </c>
      <c r="E192" s="208"/>
      <c r="F192" s="4">
        <v>0</v>
      </c>
      <c r="G192" s="4">
        <f t="shared" si="12"/>
        <v>1074.3790589999996</v>
      </c>
      <c r="H192" s="4" t="s">
        <v>90</v>
      </c>
      <c r="I192" s="203"/>
      <c r="J192" s="204"/>
    </row>
    <row r="193" spans="1:10" s="3" customFormat="1" ht="30" customHeight="1" x14ac:dyDescent="0.25">
      <c r="A193" s="30" t="s">
        <v>192</v>
      </c>
      <c r="B193" s="30">
        <v>5</v>
      </c>
      <c r="C193" s="4" t="s">
        <v>194</v>
      </c>
      <c r="D193" s="207">
        <f>(3.05*3.05+3.05*5.2+1.83*0.9+2.3*2.45+2.56*1.4+0.9*0.9+2.56*1.4+2.9*3.5+1.8*0.6+3.05+2.3+2.9+3.05)*10.764</f>
        <v>677.6207099999998</v>
      </c>
      <c r="E193" s="208"/>
      <c r="F193" s="4">
        <v>0</v>
      </c>
      <c r="G193" s="4">
        <f t="shared" si="12"/>
        <v>1016.4310649999998</v>
      </c>
      <c r="H193" s="4" t="s">
        <v>90</v>
      </c>
      <c r="I193" s="205"/>
      <c r="J193" s="206"/>
    </row>
    <row r="194" spans="1:10" s="1" customFormat="1" x14ac:dyDescent="0.25">
      <c r="A194" s="231" t="s">
        <v>100</v>
      </c>
      <c r="B194" s="231"/>
      <c r="C194" s="231"/>
      <c r="D194" s="231"/>
      <c r="E194" s="231"/>
      <c r="F194" s="231"/>
      <c r="G194" s="231"/>
      <c r="H194" s="231"/>
      <c r="I194" s="231"/>
      <c r="J194" s="231"/>
    </row>
    <row r="195" spans="1:10" s="13" customFormat="1" ht="207.75" customHeight="1" x14ac:dyDescent="0.25">
      <c r="A195" s="232" t="s">
        <v>295</v>
      </c>
      <c r="B195" s="232"/>
      <c r="C195" s="232"/>
      <c r="D195" s="232"/>
      <c r="E195" s="232"/>
      <c r="F195" s="232"/>
      <c r="G195" s="232"/>
      <c r="H195" s="232"/>
      <c r="I195" s="232"/>
      <c r="J195" s="232"/>
    </row>
    <row r="196" spans="1:10" x14ac:dyDescent="0.25">
      <c r="A196" s="228" t="s">
        <v>91</v>
      </c>
      <c r="B196" s="229"/>
      <c r="C196" s="229"/>
      <c r="D196" s="229"/>
      <c r="E196" s="229"/>
      <c r="F196" s="229"/>
      <c r="G196" s="229"/>
      <c r="H196" s="229"/>
      <c r="I196" s="229"/>
      <c r="J196" s="230"/>
    </row>
    <row r="197" spans="1:10" x14ac:dyDescent="0.25">
      <c r="A197" s="69" t="s">
        <v>92</v>
      </c>
      <c r="B197" s="72"/>
      <c r="C197" s="72"/>
      <c r="D197" s="72"/>
      <c r="E197" s="72"/>
      <c r="F197" s="72"/>
      <c r="G197" s="72"/>
      <c r="H197" s="72"/>
      <c r="I197" s="72"/>
      <c r="J197" s="70"/>
    </row>
    <row r="198" spans="1:10" ht="15.75" customHeight="1" x14ac:dyDescent="0.25">
      <c r="A198" s="228" t="s">
        <v>93</v>
      </c>
      <c r="B198" s="229"/>
      <c r="C198" s="229"/>
      <c r="D198" s="229"/>
      <c r="E198" s="229"/>
      <c r="F198" s="229"/>
      <c r="G198" s="229"/>
      <c r="H198" s="229"/>
      <c r="I198" s="229"/>
      <c r="J198" s="230"/>
    </row>
    <row r="199" spans="1:10" x14ac:dyDescent="0.25">
      <c r="A199" s="69" t="s">
        <v>94</v>
      </c>
      <c r="B199" s="72"/>
      <c r="C199" s="72"/>
      <c r="D199" s="72"/>
      <c r="E199" s="72"/>
      <c r="F199" s="72"/>
      <c r="G199" s="72"/>
      <c r="H199" s="72"/>
      <c r="I199" s="72"/>
      <c r="J199" s="70"/>
    </row>
    <row r="200" spans="1:10" x14ac:dyDescent="0.25">
      <c r="A200" s="69" t="s">
        <v>95</v>
      </c>
      <c r="B200" s="72"/>
      <c r="C200" s="72"/>
      <c r="D200" s="72"/>
      <c r="E200" s="72"/>
      <c r="F200" s="72"/>
      <c r="G200" s="72"/>
      <c r="H200" s="72"/>
      <c r="I200" s="72"/>
      <c r="J200" s="70"/>
    </row>
    <row r="201" spans="1:10" x14ac:dyDescent="0.25">
      <c r="A201" s="69" t="s">
        <v>96</v>
      </c>
      <c r="B201" s="72"/>
      <c r="C201" s="72"/>
      <c r="D201" s="72"/>
      <c r="E201" s="72"/>
      <c r="F201" s="72"/>
      <c r="G201" s="72"/>
      <c r="H201" s="72"/>
      <c r="I201" s="72"/>
      <c r="J201" s="70"/>
    </row>
    <row r="202" spans="1:10" ht="35.25" customHeight="1" x14ac:dyDescent="0.25">
      <c r="A202" s="80" t="s">
        <v>97</v>
      </c>
      <c r="B202" s="83"/>
      <c r="C202" s="83"/>
      <c r="D202" s="83"/>
      <c r="E202" s="83"/>
      <c r="F202" s="83"/>
      <c r="G202" s="83"/>
      <c r="H202" s="83"/>
      <c r="I202" s="83"/>
      <c r="J202" s="81"/>
    </row>
    <row r="203" spans="1:10" x14ac:dyDescent="0.25">
      <c r="A203" s="99" t="s">
        <v>174</v>
      </c>
      <c r="B203" s="99"/>
      <c r="C203" s="101" t="s">
        <v>296</v>
      </c>
      <c r="D203" s="101"/>
      <c r="E203" s="100" t="s">
        <v>175</v>
      </c>
      <c r="F203" s="100"/>
      <c r="G203" s="100"/>
      <c r="H203" s="100" t="s">
        <v>294</v>
      </c>
      <c r="I203" s="100"/>
      <c r="J203" s="100"/>
    </row>
    <row r="204" spans="1:10" x14ac:dyDescent="0.25">
      <c r="A204" s="90" t="s">
        <v>176</v>
      </c>
      <c r="B204" s="91"/>
      <c r="C204" s="91"/>
      <c r="D204" s="91"/>
      <c r="E204" s="91"/>
      <c r="F204" s="91"/>
      <c r="G204" s="91"/>
      <c r="H204" s="91"/>
      <c r="I204" s="91"/>
      <c r="J204" s="92"/>
    </row>
    <row r="205" spans="1:10" x14ac:dyDescent="0.25">
      <c r="A205" s="93"/>
      <c r="B205" s="94"/>
      <c r="C205" s="94"/>
      <c r="D205" s="94"/>
      <c r="E205" s="94"/>
      <c r="F205" s="94"/>
      <c r="G205" s="94"/>
      <c r="H205" s="94"/>
      <c r="I205" s="94"/>
      <c r="J205" s="95"/>
    </row>
    <row r="206" spans="1:10" x14ac:dyDescent="0.25">
      <c r="A206" s="93"/>
      <c r="B206" s="94"/>
      <c r="C206" s="94"/>
      <c r="D206" s="94"/>
      <c r="E206" s="94"/>
      <c r="F206" s="94"/>
      <c r="G206" s="94"/>
      <c r="H206" s="94"/>
      <c r="I206" s="94"/>
      <c r="J206" s="95"/>
    </row>
    <row r="207" spans="1:10" x14ac:dyDescent="0.25">
      <c r="A207" s="96"/>
      <c r="B207" s="97"/>
      <c r="C207" s="97"/>
      <c r="D207" s="97"/>
      <c r="E207" s="97"/>
      <c r="F207" s="97"/>
      <c r="G207" s="97"/>
      <c r="H207" s="97"/>
      <c r="I207" s="97"/>
      <c r="J207" s="98"/>
    </row>
    <row r="208" spans="1:10" x14ac:dyDescent="0.25">
      <c r="A208" s="61" t="s">
        <v>98</v>
      </c>
      <c r="B208" s="62"/>
      <c r="C208" s="62"/>
      <c r="D208" s="61" t="str">
        <f>F8</f>
        <v>Paramount</v>
      </c>
      <c r="G208" s="62"/>
      <c r="H208" s="62"/>
      <c r="I208" s="62"/>
      <c r="J208" s="62"/>
    </row>
    <row r="209" spans="1:10" x14ac:dyDescent="0.25">
      <c r="A209" s="62"/>
      <c r="B209" s="62"/>
      <c r="C209" s="62"/>
      <c r="D209" s="62"/>
      <c r="E209" s="62"/>
      <c r="F209" s="62"/>
      <c r="G209" s="62"/>
      <c r="H209" s="62"/>
      <c r="I209" s="62"/>
      <c r="J209" s="62"/>
    </row>
    <row r="210" spans="1:10" x14ac:dyDescent="0.25">
      <c r="A210" s="62"/>
      <c r="B210" s="62"/>
      <c r="C210" s="62"/>
      <c r="D210" s="62"/>
      <c r="E210" s="62"/>
      <c r="F210" s="62"/>
      <c r="G210" s="62"/>
      <c r="H210" s="62"/>
      <c r="I210" s="62"/>
      <c r="J210" s="62"/>
    </row>
    <row r="211" spans="1:10" ht="15" customHeight="1" x14ac:dyDescent="0.25"/>
    <row r="245" spans="1:3" x14ac:dyDescent="0.25">
      <c r="C245" s="10" t="s">
        <v>206</v>
      </c>
    </row>
    <row r="251" spans="1:3" x14ac:dyDescent="0.25">
      <c r="A251" s="63" t="s">
        <v>99</v>
      </c>
    </row>
  </sheetData>
  <mergeCells count="382">
    <mergeCell ref="C50:F50"/>
    <mergeCell ref="H50:J50"/>
    <mergeCell ref="A79:B79"/>
    <mergeCell ref="D79:E79"/>
    <mergeCell ref="A80:B80"/>
    <mergeCell ref="D80:E80"/>
    <mergeCell ref="A81:B81"/>
    <mergeCell ref="D81:E81"/>
    <mergeCell ref="A72:B72"/>
    <mergeCell ref="C72:J72"/>
    <mergeCell ref="E73:F73"/>
    <mergeCell ref="I73:J73"/>
    <mergeCell ref="A74:B74"/>
    <mergeCell ref="C74:J74"/>
    <mergeCell ref="F62:G71"/>
    <mergeCell ref="H62:J71"/>
    <mergeCell ref="A65:B65"/>
    <mergeCell ref="D65:E65"/>
    <mergeCell ref="A66:B66"/>
    <mergeCell ref="D66:E66"/>
    <mergeCell ref="A67:B67"/>
    <mergeCell ref="D67:E67"/>
    <mergeCell ref="A68:B68"/>
    <mergeCell ref="D68:E68"/>
    <mergeCell ref="D181:E181"/>
    <mergeCell ref="D187:E187"/>
    <mergeCell ref="H47:J47"/>
    <mergeCell ref="A85:B85"/>
    <mergeCell ref="D85:E85"/>
    <mergeCell ref="C55:J55"/>
    <mergeCell ref="A75:B75"/>
    <mergeCell ref="D75:E75"/>
    <mergeCell ref="F75:G75"/>
    <mergeCell ref="H75:J75"/>
    <mergeCell ref="A76:B76"/>
    <mergeCell ref="D76:E76"/>
    <mergeCell ref="F76:G85"/>
    <mergeCell ref="H76:J85"/>
    <mergeCell ref="A77:B77"/>
    <mergeCell ref="D77:E77"/>
    <mergeCell ref="A78:B78"/>
    <mergeCell ref="D78:E78"/>
    <mergeCell ref="A176:J176"/>
    <mergeCell ref="I177:J181"/>
    <mergeCell ref="D179:E179"/>
    <mergeCell ref="D177:E177"/>
    <mergeCell ref="A161:J161"/>
    <mergeCell ref="D175:E175"/>
    <mergeCell ref="D192:E192"/>
    <mergeCell ref="D193:E193"/>
    <mergeCell ref="D190:E190"/>
    <mergeCell ref="D191:E191"/>
    <mergeCell ref="D189:E189"/>
    <mergeCell ref="A182:J182"/>
    <mergeCell ref="D183:E183"/>
    <mergeCell ref="I183:J187"/>
    <mergeCell ref="D184:E184"/>
    <mergeCell ref="D185:E185"/>
    <mergeCell ref="D186:E186"/>
    <mergeCell ref="A200:J200"/>
    <mergeCell ref="A201:J201"/>
    <mergeCell ref="A202:J202"/>
    <mergeCell ref="A55:B55"/>
    <mergeCell ref="A56:C56"/>
    <mergeCell ref="D56:J56"/>
    <mergeCell ref="A194:J194"/>
    <mergeCell ref="A195:J195"/>
    <mergeCell ref="A196:J196"/>
    <mergeCell ref="A197:J197"/>
    <mergeCell ref="A116:J116"/>
    <mergeCell ref="D180:E180"/>
    <mergeCell ref="D178:E178"/>
    <mergeCell ref="D166:E166"/>
    <mergeCell ref="D169:E169"/>
    <mergeCell ref="D165:E165"/>
    <mergeCell ref="D146:E146"/>
    <mergeCell ref="A142:J142"/>
    <mergeCell ref="C147:G147"/>
    <mergeCell ref="I165:J169"/>
    <mergeCell ref="A170:J170"/>
    <mergeCell ref="I171:J175"/>
    <mergeCell ref="D174:E174"/>
    <mergeCell ref="A188:J188"/>
    <mergeCell ref="A41:E41"/>
    <mergeCell ref="F41:J41"/>
    <mergeCell ref="A42:E42"/>
    <mergeCell ref="F42:J42"/>
    <mergeCell ref="A43:E43"/>
    <mergeCell ref="F43:J43"/>
    <mergeCell ref="A44:J44"/>
    <mergeCell ref="A198:J198"/>
    <mergeCell ref="A199:J199"/>
    <mergeCell ref="C118:C119"/>
    <mergeCell ref="D118:E119"/>
    <mergeCell ref="F118:F119"/>
    <mergeCell ref="G118:G119"/>
    <mergeCell ref="C120:C121"/>
    <mergeCell ref="D120:E121"/>
    <mergeCell ref="F120:F121"/>
    <mergeCell ref="G120:G121"/>
    <mergeCell ref="C122:C123"/>
    <mergeCell ref="D122:E123"/>
    <mergeCell ref="F122:F123"/>
    <mergeCell ref="D172:E172"/>
    <mergeCell ref="D173:E173"/>
    <mergeCell ref="D171:E171"/>
    <mergeCell ref="I189:J193"/>
    <mergeCell ref="D155:E155"/>
    <mergeCell ref="D134:E134"/>
    <mergeCell ref="D135:E135"/>
    <mergeCell ref="I143:J147"/>
    <mergeCell ref="A160:J160"/>
    <mergeCell ref="I131:J135"/>
    <mergeCell ref="D144:E144"/>
    <mergeCell ref="D145:E145"/>
    <mergeCell ref="D143:E143"/>
    <mergeCell ref="D158:E158"/>
    <mergeCell ref="D159:E159"/>
    <mergeCell ref="D156:E156"/>
    <mergeCell ref="D157:E157"/>
    <mergeCell ref="D132:E132"/>
    <mergeCell ref="D133:E133"/>
    <mergeCell ref="D131:E131"/>
    <mergeCell ref="C153:G153"/>
    <mergeCell ref="A162:J162"/>
    <mergeCell ref="A163:J163"/>
    <mergeCell ref="A164:J164"/>
    <mergeCell ref="B167:H168"/>
    <mergeCell ref="A130:J130"/>
    <mergeCell ref="A154:J154"/>
    <mergeCell ref="I155:J159"/>
    <mergeCell ref="B128:B129"/>
    <mergeCell ref="A128:A129"/>
    <mergeCell ref="F128:F129"/>
    <mergeCell ref="G128:G129"/>
    <mergeCell ref="A136:J136"/>
    <mergeCell ref="D137:E137"/>
    <mergeCell ref="I137:J141"/>
    <mergeCell ref="D138:E138"/>
    <mergeCell ref="D139:E139"/>
    <mergeCell ref="D140:E140"/>
    <mergeCell ref="D141:E141"/>
    <mergeCell ref="A148:J148"/>
    <mergeCell ref="D149:E149"/>
    <mergeCell ref="I149:J153"/>
    <mergeCell ref="D150:E150"/>
    <mergeCell ref="D151:E151"/>
    <mergeCell ref="D152:E152"/>
    <mergeCell ref="D126:E127"/>
    <mergeCell ref="F126:F127"/>
    <mergeCell ref="G126:G127"/>
    <mergeCell ref="H126:H127"/>
    <mergeCell ref="H128:H129"/>
    <mergeCell ref="B126:B127"/>
    <mergeCell ref="A126:A127"/>
    <mergeCell ref="C128:C129"/>
    <mergeCell ref="D128:E129"/>
    <mergeCell ref="B118:B119"/>
    <mergeCell ref="B120:B121"/>
    <mergeCell ref="B122:B123"/>
    <mergeCell ref="A118:A119"/>
    <mergeCell ref="A120:A121"/>
    <mergeCell ref="A122:A123"/>
    <mergeCell ref="A111:B111"/>
    <mergeCell ref="D111:F111"/>
    <mergeCell ref="G111:J111"/>
    <mergeCell ref="A112:J112"/>
    <mergeCell ref="A113:J113"/>
    <mergeCell ref="A114:B114"/>
    <mergeCell ref="D114:E114"/>
    <mergeCell ref="I114:J114"/>
    <mergeCell ref="A115:J115"/>
    <mergeCell ref="I117:J129"/>
    <mergeCell ref="D124:E124"/>
    <mergeCell ref="D125:E125"/>
    <mergeCell ref="G122:G123"/>
    <mergeCell ref="D117:E117"/>
    <mergeCell ref="H118:H119"/>
    <mergeCell ref="H120:H121"/>
    <mergeCell ref="H122:H123"/>
    <mergeCell ref="C126:C127"/>
    <mergeCell ref="D108:F108"/>
    <mergeCell ref="G108:J108"/>
    <mergeCell ref="A103:B103"/>
    <mergeCell ref="D103:F103"/>
    <mergeCell ref="G103:J103"/>
    <mergeCell ref="A104:B104"/>
    <mergeCell ref="D104:F104"/>
    <mergeCell ref="G104:J104"/>
    <mergeCell ref="A105:J105"/>
    <mergeCell ref="A106:B106"/>
    <mergeCell ref="D106:F106"/>
    <mergeCell ref="G106:J106"/>
    <mergeCell ref="D107:F107"/>
    <mergeCell ref="G107:J107"/>
    <mergeCell ref="A102:J102"/>
    <mergeCell ref="A99:F99"/>
    <mergeCell ref="G99:J99"/>
    <mergeCell ref="A97:F97"/>
    <mergeCell ref="G97:J97"/>
    <mergeCell ref="A98:F98"/>
    <mergeCell ref="G98:J98"/>
    <mergeCell ref="A100:F100"/>
    <mergeCell ref="G100:J100"/>
    <mergeCell ref="A101:F101"/>
    <mergeCell ref="G101:J101"/>
    <mergeCell ref="A95:F95"/>
    <mergeCell ref="G95:J95"/>
    <mergeCell ref="A96:F96"/>
    <mergeCell ref="G96:J96"/>
    <mergeCell ref="A91:F91"/>
    <mergeCell ref="G91:J91"/>
    <mergeCell ref="A89:J89"/>
    <mergeCell ref="A90:F90"/>
    <mergeCell ref="G90:J90"/>
    <mergeCell ref="A94:F94"/>
    <mergeCell ref="G94:J94"/>
    <mergeCell ref="A92:F92"/>
    <mergeCell ref="G92:J92"/>
    <mergeCell ref="A93:F93"/>
    <mergeCell ref="G93:J93"/>
    <mergeCell ref="A69:B69"/>
    <mergeCell ref="D69:E69"/>
    <mergeCell ref="A83:B83"/>
    <mergeCell ref="D83:E83"/>
    <mergeCell ref="A84:B84"/>
    <mergeCell ref="D84:E84"/>
    <mergeCell ref="A70:B70"/>
    <mergeCell ref="A82:B82"/>
    <mergeCell ref="D82:E82"/>
    <mergeCell ref="D70:E70"/>
    <mergeCell ref="A71:B71"/>
    <mergeCell ref="D71:E71"/>
    <mergeCell ref="A40:E40"/>
    <mergeCell ref="F40:J40"/>
    <mergeCell ref="A87:J87"/>
    <mergeCell ref="A88:B88"/>
    <mergeCell ref="C88:J88"/>
    <mergeCell ref="A57:J57"/>
    <mergeCell ref="A86:J86"/>
    <mergeCell ref="A53:J53"/>
    <mergeCell ref="A54:C54"/>
    <mergeCell ref="D54:E54"/>
    <mergeCell ref="F54:G54"/>
    <mergeCell ref="H54:J54"/>
    <mergeCell ref="A58:B58"/>
    <mergeCell ref="C58:J58"/>
    <mergeCell ref="E59:F59"/>
    <mergeCell ref="I59:J59"/>
    <mergeCell ref="A60:B60"/>
    <mergeCell ref="C60:J60"/>
    <mergeCell ref="A61:B61"/>
    <mergeCell ref="D61:E61"/>
    <mergeCell ref="F61:G61"/>
    <mergeCell ref="H61:J61"/>
    <mergeCell ref="A62:B62"/>
    <mergeCell ref="D62:E62"/>
    <mergeCell ref="G32:H32"/>
    <mergeCell ref="I32:J32"/>
    <mergeCell ref="A63:B63"/>
    <mergeCell ref="A34:J34"/>
    <mergeCell ref="A36:E36"/>
    <mergeCell ref="F36:J36"/>
    <mergeCell ref="A37:J37"/>
    <mergeCell ref="H51:J51"/>
    <mergeCell ref="A51:B51"/>
    <mergeCell ref="C51:F51"/>
    <mergeCell ref="A52:C52"/>
    <mergeCell ref="D52:E52"/>
    <mergeCell ref="F52:G52"/>
    <mergeCell ref="H52:J52"/>
    <mergeCell ref="A38:E38"/>
    <mergeCell ref="F38:J38"/>
    <mergeCell ref="H45:J45"/>
    <mergeCell ref="H46:J46"/>
    <mergeCell ref="A46:B46"/>
    <mergeCell ref="C46:F46"/>
    <mergeCell ref="A47:B47"/>
    <mergeCell ref="C47:F47"/>
    <mergeCell ref="A45:B45"/>
    <mergeCell ref="C45:F45"/>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25:E25"/>
    <mergeCell ref="F25:J25"/>
    <mergeCell ref="F24:J24"/>
    <mergeCell ref="A1:J1"/>
    <mergeCell ref="A2:J2"/>
    <mergeCell ref="A3:E3"/>
    <mergeCell ref="F3:J3"/>
    <mergeCell ref="A4:E4"/>
    <mergeCell ref="A8:E8"/>
    <mergeCell ref="F8:J8"/>
    <mergeCell ref="A9:E9"/>
    <mergeCell ref="F9:J9"/>
    <mergeCell ref="F4:J4"/>
    <mergeCell ref="I29:J29"/>
    <mergeCell ref="A31:J31"/>
    <mergeCell ref="A32:B32"/>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D64:E64"/>
    <mergeCell ref="C32:D32"/>
    <mergeCell ref="E32:F32"/>
    <mergeCell ref="A204:J207"/>
    <mergeCell ref="A203:B203"/>
    <mergeCell ref="E203:G203"/>
    <mergeCell ref="C203:D203"/>
    <mergeCell ref="H203:J203"/>
    <mergeCell ref="A16:B16"/>
    <mergeCell ref="C16:E16"/>
    <mergeCell ref="F16:G16"/>
    <mergeCell ref="H16:J16"/>
    <mergeCell ref="A27:B27"/>
    <mergeCell ref="C27:D27"/>
    <mergeCell ref="E27:F27"/>
    <mergeCell ref="G27:H27"/>
    <mergeCell ref="I27:J27"/>
    <mergeCell ref="A28:B28"/>
    <mergeCell ref="C28:D28"/>
    <mergeCell ref="D109:F109"/>
    <mergeCell ref="G109:J109"/>
    <mergeCell ref="D110:F110"/>
    <mergeCell ref="G110:J110"/>
    <mergeCell ref="A107:A108"/>
    <mergeCell ref="A50:B50"/>
    <mergeCell ref="A33:B33"/>
    <mergeCell ref="C33:J33"/>
    <mergeCell ref="A109:A110"/>
    <mergeCell ref="E28:F28"/>
    <mergeCell ref="G28:H28"/>
    <mergeCell ref="I28:J28"/>
    <mergeCell ref="A39:E39"/>
    <mergeCell ref="F39:J39"/>
    <mergeCell ref="A48:B48"/>
    <mergeCell ref="C48:F48"/>
    <mergeCell ref="H48:J48"/>
    <mergeCell ref="A49:B49"/>
    <mergeCell ref="C49:F49"/>
    <mergeCell ref="H49:J49"/>
    <mergeCell ref="A35:E35"/>
    <mergeCell ref="F35:J35"/>
    <mergeCell ref="A30:J30"/>
    <mergeCell ref="A29:B29"/>
    <mergeCell ref="C29:D29"/>
    <mergeCell ref="E29:F29"/>
    <mergeCell ref="G29:H29"/>
    <mergeCell ref="D63:E63"/>
    <mergeCell ref="A64:B64"/>
  </mergeCells>
  <hyperlinks>
    <hyperlink ref="C33" r:id="rId1"/>
  </hyperlinks>
  <pageMargins left="0.43307086614173201" right="0.43307086614173201" top="0.78740157480314998" bottom="0.78740157480314998" header="0.196850393700787" footer="0.196850393700787"/>
  <pageSetup paperSize="9" scale="90" fitToHeight="0" orientation="portrait" r:id="rId2"/>
  <headerFooter>
    <oddHeader>&amp;C&amp;G</oddHeader>
    <oddFooter>&amp;L&amp;"Times New Roman,Bold"&amp;12Ref No: &amp;F&amp;C&amp;G&amp;R&amp;"Times New Roman,Bold"&amp;12&amp;P</oddFooter>
  </headerFooter>
  <rowBreaks count="5" manualBreakCount="5">
    <brk id="71" max="16383" man="1"/>
    <brk id="111" max="16383" man="1"/>
    <brk id="193" max="16383" man="1"/>
    <brk id="207" max="16383" man="1"/>
    <brk id="25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A4" workbookViewId="0">
      <selection activeCell="C10" sqref="C10"/>
    </sheetView>
  </sheetViews>
  <sheetFormatPr defaultRowHeight="15" x14ac:dyDescent="0.25"/>
  <cols>
    <col min="1" max="1" width="20.5703125" style="14" customWidth="1"/>
    <col min="2" max="2" width="11.7109375" style="14" customWidth="1"/>
    <col min="3" max="4" width="9.140625" style="14"/>
    <col min="5" max="5" width="10.140625" style="14" customWidth="1"/>
    <col min="6" max="6" width="10.7109375" style="14" customWidth="1"/>
    <col min="7" max="7" width="9.140625" style="14"/>
    <col min="8" max="8" width="10.42578125" style="14" customWidth="1"/>
    <col min="9" max="9" width="15.42578125" style="14" customWidth="1"/>
    <col min="10" max="258" width="9.140625" style="14"/>
    <col min="259" max="259" width="11.7109375" style="14" customWidth="1"/>
    <col min="260" max="260" width="9.140625" style="14"/>
    <col min="261" max="261" width="14.7109375" style="14" customWidth="1"/>
    <col min="262" max="262" width="10.7109375" style="14" customWidth="1"/>
    <col min="263" max="514" width="9.140625" style="14"/>
    <col min="515" max="515" width="11.7109375" style="14" customWidth="1"/>
    <col min="516" max="516" width="9.140625" style="14"/>
    <col min="517" max="517" width="14.7109375" style="14" customWidth="1"/>
    <col min="518" max="518" width="10.7109375" style="14" customWidth="1"/>
    <col min="519" max="770" width="9.140625" style="14"/>
    <col min="771" max="771" width="11.7109375" style="14" customWidth="1"/>
    <col min="772" max="772" width="9.140625" style="14"/>
    <col min="773" max="773" width="14.7109375" style="14" customWidth="1"/>
    <col min="774" max="774" width="10.7109375" style="14" customWidth="1"/>
    <col min="775" max="1026" width="9.140625" style="14"/>
    <col min="1027" max="1027" width="11.7109375" style="14" customWidth="1"/>
    <col min="1028" max="1028" width="9.140625" style="14"/>
    <col min="1029" max="1029" width="14.7109375" style="14" customWidth="1"/>
    <col min="1030" max="1030" width="10.7109375" style="14" customWidth="1"/>
    <col min="1031" max="1282" width="9.140625" style="14"/>
    <col min="1283" max="1283" width="11.7109375" style="14" customWidth="1"/>
    <col min="1284" max="1284" width="9.140625" style="14"/>
    <col min="1285" max="1285" width="14.7109375" style="14" customWidth="1"/>
    <col min="1286" max="1286" width="10.7109375" style="14" customWidth="1"/>
    <col min="1287" max="1538" width="9.140625" style="14"/>
    <col min="1539" max="1539" width="11.7109375" style="14" customWidth="1"/>
    <col min="1540" max="1540" width="9.140625" style="14"/>
    <col min="1541" max="1541" width="14.7109375" style="14" customWidth="1"/>
    <col min="1542" max="1542" width="10.7109375" style="14" customWidth="1"/>
    <col min="1543" max="1794" width="9.140625" style="14"/>
    <col min="1795" max="1795" width="11.7109375" style="14" customWidth="1"/>
    <col min="1796" max="1796" width="9.140625" style="14"/>
    <col min="1797" max="1797" width="14.7109375" style="14" customWidth="1"/>
    <col min="1798" max="1798" width="10.7109375" style="14" customWidth="1"/>
    <col min="1799" max="2050" width="9.140625" style="14"/>
    <col min="2051" max="2051" width="11.7109375" style="14" customWidth="1"/>
    <col min="2052" max="2052" width="9.140625" style="14"/>
    <col min="2053" max="2053" width="14.7109375" style="14" customWidth="1"/>
    <col min="2054" max="2054" width="10.7109375" style="14" customWidth="1"/>
    <col min="2055" max="2306" width="9.140625" style="14"/>
    <col min="2307" max="2307" width="11.7109375" style="14" customWidth="1"/>
    <col min="2308" max="2308" width="9.140625" style="14"/>
    <col min="2309" max="2309" width="14.7109375" style="14" customWidth="1"/>
    <col min="2310" max="2310" width="10.7109375" style="14" customWidth="1"/>
    <col min="2311" max="2562" width="9.140625" style="14"/>
    <col min="2563" max="2563" width="11.7109375" style="14" customWidth="1"/>
    <col min="2564" max="2564" width="9.140625" style="14"/>
    <col min="2565" max="2565" width="14.7109375" style="14" customWidth="1"/>
    <col min="2566" max="2566" width="10.7109375" style="14" customWidth="1"/>
    <col min="2567" max="2818" width="9.140625" style="14"/>
    <col min="2819" max="2819" width="11.7109375" style="14" customWidth="1"/>
    <col min="2820" max="2820" width="9.140625" style="14"/>
    <col min="2821" max="2821" width="14.7109375" style="14" customWidth="1"/>
    <col min="2822" max="2822" width="10.7109375" style="14" customWidth="1"/>
    <col min="2823" max="3074" width="9.140625" style="14"/>
    <col min="3075" max="3075" width="11.7109375" style="14" customWidth="1"/>
    <col min="3076" max="3076" width="9.140625" style="14"/>
    <col min="3077" max="3077" width="14.7109375" style="14" customWidth="1"/>
    <col min="3078" max="3078" width="10.7109375" style="14" customWidth="1"/>
    <col min="3079" max="3330" width="9.140625" style="14"/>
    <col min="3331" max="3331" width="11.7109375" style="14" customWidth="1"/>
    <col min="3332" max="3332" width="9.140625" style="14"/>
    <col min="3333" max="3333" width="14.7109375" style="14" customWidth="1"/>
    <col min="3334" max="3334" width="10.7109375" style="14" customWidth="1"/>
    <col min="3335" max="3586" width="9.140625" style="14"/>
    <col min="3587" max="3587" width="11.7109375" style="14" customWidth="1"/>
    <col min="3588" max="3588" width="9.140625" style="14"/>
    <col min="3589" max="3589" width="14.7109375" style="14" customWidth="1"/>
    <col min="3590" max="3590" width="10.7109375" style="14" customWidth="1"/>
    <col min="3591" max="3842" width="9.140625" style="14"/>
    <col min="3843" max="3843" width="11.7109375" style="14" customWidth="1"/>
    <col min="3844" max="3844" width="9.140625" style="14"/>
    <col min="3845" max="3845" width="14.7109375" style="14" customWidth="1"/>
    <col min="3846" max="3846" width="10.7109375" style="14" customWidth="1"/>
    <col min="3847" max="4098" width="9.140625" style="14"/>
    <col min="4099" max="4099" width="11.7109375" style="14" customWidth="1"/>
    <col min="4100" max="4100" width="9.140625" style="14"/>
    <col min="4101" max="4101" width="14.7109375" style="14" customWidth="1"/>
    <col min="4102" max="4102" width="10.7109375" style="14" customWidth="1"/>
    <col min="4103" max="4354" width="9.140625" style="14"/>
    <col min="4355" max="4355" width="11.7109375" style="14" customWidth="1"/>
    <col min="4356" max="4356" width="9.140625" style="14"/>
    <col min="4357" max="4357" width="14.7109375" style="14" customWidth="1"/>
    <col min="4358" max="4358" width="10.7109375" style="14" customWidth="1"/>
    <col min="4359" max="4610" width="9.140625" style="14"/>
    <col min="4611" max="4611" width="11.7109375" style="14" customWidth="1"/>
    <col min="4612" max="4612" width="9.140625" style="14"/>
    <col min="4613" max="4613" width="14.7109375" style="14" customWidth="1"/>
    <col min="4614" max="4614" width="10.7109375" style="14" customWidth="1"/>
    <col min="4615" max="4866" width="9.140625" style="14"/>
    <col min="4867" max="4867" width="11.7109375" style="14" customWidth="1"/>
    <col min="4868" max="4868" width="9.140625" style="14"/>
    <col min="4869" max="4869" width="14.7109375" style="14" customWidth="1"/>
    <col min="4870" max="4870" width="10.7109375" style="14" customWidth="1"/>
    <col min="4871" max="5122" width="9.140625" style="14"/>
    <col min="5123" max="5123" width="11.7109375" style="14" customWidth="1"/>
    <col min="5124" max="5124" width="9.140625" style="14"/>
    <col min="5125" max="5125" width="14.7109375" style="14" customWidth="1"/>
    <col min="5126" max="5126" width="10.7109375" style="14" customWidth="1"/>
    <col min="5127" max="5378" width="9.140625" style="14"/>
    <col min="5379" max="5379" width="11.7109375" style="14" customWidth="1"/>
    <col min="5380" max="5380" width="9.140625" style="14"/>
    <col min="5381" max="5381" width="14.7109375" style="14" customWidth="1"/>
    <col min="5382" max="5382" width="10.7109375" style="14" customWidth="1"/>
    <col min="5383" max="5634" width="9.140625" style="14"/>
    <col min="5635" max="5635" width="11.7109375" style="14" customWidth="1"/>
    <col min="5636" max="5636" width="9.140625" style="14"/>
    <col min="5637" max="5637" width="14.7109375" style="14" customWidth="1"/>
    <col min="5638" max="5638" width="10.7109375" style="14" customWidth="1"/>
    <col min="5639" max="5890" width="9.140625" style="14"/>
    <col min="5891" max="5891" width="11.7109375" style="14" customWidth="1"/>
    <col min="5892" max="5892" width="9.140625" style="14"/>
    <col min="5893" max="5893" width="14.7109375" style="14" customWidth="1"/>
    <col min="5894" max="5894" width="10.7109375" style="14" customWidth="1"/>
    <col min="5895" max="6146" width="9.140625" style="14"/>
    <col min="6147" max="6147" width="11.7109375" style="14" customWidth="1"/>
    <col min="6148" max="6148" width="9.140625" style="14"/>
    <col min="6149" max="6149" width="14.7109375" style="14" customWidth="1"/>
    <col min="6150" max="6150" width="10.7109375" style="14" customWidth="1"/>
    <col min="6151" max="6402" width="9.140625" style="14"/>
    <col min="6403" max="6403" width="11.7109375" style="14" customWidth="1"/>
    <col min="6404" max="6404" width="9.140625" style="14"/>
    <col min="6405" max="6405" width="14.7109375" style="14" customWidth="1"/>
    <col min="6406" max="6406" width="10.7109375" style="14" customWidth="1"/>
    <col min="6407" max="6658" width="9.140625" style="14"/>
    <col min="6659" max="6659" width="11.7109375" style="14" customWidth="1"/>
    <col min="6660" max="6660" width="9.140625" style="14"/>
    <col min="6661" max="6661" width="14.7109375" style="14" customWidth="1"/>
    <col min="6662" max="6662" width="10.7109375" style="14" customWidth="1"/>
    <col min="6663" max="6914" width="9.140625" style="14"/>
    <col min="6915" max="6915" width="11.7109375" style="14" customWidth="1"/>
    <col min="6916" max="6916" width="9.140625" style="14"/>
    <col min="6917" max="6917" width="14.7109375" style="14" customWidth="1"/>
    <col min="6918" max="6918" width="10.7109375" style="14" customWidth="1"/>
    <col min="6919" max="7170" width="9.140625" style="14"/>
    <col min="7171" max="7171" width="11.7109375" style="14" customWidth="1"/>
    <col min="7172" max="7172" width="9.140625" style="14"/>
    <col min="7173" max="7173" width="14.7109375" style="14" customWidth="1"/>
    <col min="7174" max="7174" width="10.7109375" style="14" customWidth="1"/>
    <col min="7175" max="7426" width="9.140625" style="14"/>
    <col min="7427" max="7427" width="11.7109375" style="14" customWidth="1"/>
    <col min="7428" max="7428" width="9.140625" style="14"/>
    <col min="7429" max="7429" width="14.7109375" style="14" customWidth="1"/>
    <col min="7430" max="7430" width="10.7109375" style="14" customWidth="1"/>
    <col min="7431" max="7682" width="9.140625" style="14"/>
    <col min="7683" max="7683" width="11.7109375" style="14" customWidth="1"/>
    <col min="7684" max="7684" width="9.140625" style="14"/>
    <col min="7685" max="7685" width="14.7109375" style="14" customWidth="1"/>
    <col min="7686" max="7686" width="10.7109375" style="14" customWidth="1"/>
    <col min="7687" max="7938" width="9.140625" style="14"/>
    <col min="7939" max="7939" width="11.7109375" style="14" customWidth="1"/>
    <col min="7940" max="7940" width="9.140625" style="14"/>
    <col min="7941" max="7941" width="14.7109375" style="14" customWidth="1"/>
    <col min="7942" max="7942" width="10.7109375" style="14" customWidth="1"/>
    <col min="7943" max="8194" width="9.140625" style="14"/>
    <col min="8195" max="8195" width="11.7109375" style="14" customWidth="1"/>
    <col min="8196" max="8196" width="9.140625" style="14"/>
    <col min="8197" max="8197" width="14.7109375" style="14" customWidth="1"/>
    <col min="8198" max="8198" width="10.7109375" style="14" customWidth="1"/>
    <col min="8199" max="8450" width="9.140625" style="14"/>
    <col min="8451" max="8451" width="11.7109375" style="14" customWidth="1"/>
    <col min="8452" max="8452" width="9.140625" style="14"/>
    <col min="8453" max="8453" width="14.7109375" style="14" customWidth="1"/>
    <col min="8454" max="8454" width="10.7109375" style="14" customWidth="1"/>
    <col min="8455" max="8706" width="9.140625" style="14"/>
    <col min="8707" max="8707" width="11.7109375" style="14" customWidth="1"/>
    <col min="8708" max="8708" width="9.140625" style="14"/>
    <col min="8709" max="8709" width="14.7109375" style="14" customWidth="1"/>
    <col min="8710" max="8710" width="10.7109375" style="14" customWidth="1"/>
    <col min="8711" max="8962" width="9.140625" style="14"/>
    <col min="8963" max="8963" width="11.7109375" style="14" customWidth="1"/>
    <col min="8964" max="8964" width="9.140625" style="14"/>
    <col min="8965" max="8965" width="14.7109375" style="14" customWidth="1"/>
    <col min="8966" max="8966" width="10.7109375" style="14" customWidth="1"/>
    <col min="8967" max="9218" width="9.140625" style="14"/>
    <col min="9219" max="9219" width="11.7109375" style="14" customWidth="1"/>
    <col min="9220" max="9220" width="9.140625" style="14"/>
    <col min="9221" max="9221" width="14.7109375" style="14" customWidth="1"/>
    <col min="9222" max="9222" width="10.7109375" style="14" customWidth="1"/>
    <col min="9223" max="9474" width="9.140625" style="14"/>
    <col min="9475" max="9475" width="11.7109375" style="14" customWidth="1"/>
    <col min="9476" max="9476" width="9.140625" style="14"/>
    <col min="9477" max="9477" width="14.7109375" style="14" customWidth="1"/>
    <col min="9478" max="9478" width="10.7109375" style="14" customWidth="1"/>
    <col min="9479" max="9730" width="9.140625" style="14"/>
    <col min="9731" max="9731" width="11.7109375" style="14" customWidth="1"/>
    <col min="9732" max="9732" width="9.140625" style="14"/>
    <col min="9733" max="9733" width="14.7109375" style="14" customWidth="1"/>
    <col min="9734" max="9734" width="10.7109375" style="14" customWidth="1"/>
    <col min="9735" max="9986" width="9.140625" style="14"/>
    <col min="9987" max="9987" width="11.7109375" style="14" customWidth="1"/>
    <col min="9988" max="9988" width="9.140625" style="14"/>
    <col min="9989" max="9989" width="14.7109375" style="14" customWidth="1"/>
    <col min="9990" max="9990" width="10.7109375" style="14" customWidth="1"/>
    <col min="9991" max="10242" width="9.140625" style="14"/>
    <col min="10243" max="10243" width="11.7109375" style="14" customWidth="1"/>
    <col min="10244" max="10244" width="9.140625" style="14"/>
    <col min="10245" max="10245" width="14.7109375" style="14" customWidth="1"/>
    <col min="10246" max="10246" width="10.7109375" style="14" customWidth="1"/>
    <col min="10247" max="10498" width="9.140625" style="14"/>
    <col min="10499" max="10499" width="11.7109375" style="14" customWidth="1"/>
    <col min="10500" max="10500" width="9.140625" style="14"/>
    <col min="10501" max="10501" width="14.7109375" style="14" customWidth="1"/>
    <col min="10502" max="10502" width="10.7109375" style="14" customWidth="1"/>
    <col min="10503" max="10754" width="9.140625" style="14"/>
    <col min="10755" max="10755" width="11.7109375" style="14" customWidth="1"/>
    <col min="10756" max="10756" width="9.140625" style="14"/>
    <col min="10757" max="10757" width="14.7109375" style="14" customWidth="1"/>
    <col min="10758" max="10758" width="10.7109375" style="14" customWidth="1"/>
    <col min="10759" max="11010" width="9.140625" style="14"/>
    <col min="11011" max="11011" width="11.7109375" style="14" customWidth="1"/>
    <col min="11012" max="11012" width="9.140625" style="14"/>
    <col min="11013" max="11013" width="14.7109375" style="14" customWidth="1"/>
    <col min="11014" max="11014" width="10.7109375" style="14" customWidth="1"/>
    <col min="11015" max="11266" width="9.140625" style="14"/>
    <col min="11267" max="11267" width="11.7109375" style="14" customWidth="1"/>
    <col min="11268" max="11268" width="9.140625" style="14"/>
    <col min="11269" max="11269" width="14.7109375" style="14" customWidth="1"/>
    <col min="11270" max="11270" width="10.7109375" style="14" customWidth="1"/>
    <col min="11271" max="11522" width="9.140625" style="14"/>
    <col min="11523" max="11523" width="11.7109375" style="14" customWidth="1"/>
    <col min="11524" max="11524" width="9.140625" style="14"/>
    <col min="11525" max="11525" width="14.7109375" style="14" customWidth="1"/>
    <col min="11526" max="11526" width="10.7109375" style="14" customWidth="1"/>
    <col min="11527" max="11778" width="9.140625" style="14"/>
    <col min="11779" max="11779" width="11.7109375" style="14" customWidth="1"/>
    <col min="11780" max="11780" width="9.140625" style="14"/>
    <col min="11781" max="11781" width="14.7109375" style="14" customWidth="1"/>
    <col min="11782" max="11782" width="10.7109375" style="14" customWidth="1"/>
    <col min="11783" max="12034" width="9.140625" style="14"/>
    <col min="12035" max="12035" width="11.7109375" style="14" customWidth="1"/>
    <col min="12036" max="12036" width="9.140625" style="14"/>
    <col min="12037" max="12037" width="14.7109375" style="14" customWidth="1"/>
    <col min="12038" max="12038" width="10.7109375" style="14" customWidth="1"/>
    <col min="12039" max="12290" width="9.140625" style="14"/>
    <col min="12291" max="12291" width="11.7109375" style="14" customWidth="1"/>
    <col min="12292" max="12292" width="9.140625" style="14"/>
    <col min="12293" max="12293" width="14.7109375" style="14" customWidth="1"/>
    <col min="12294" max="12294" width="10.7109375" style="14" customWidth="1"/>
    <col min="12295" max="12546" width="9.140625" style="14"/>
    <col min="12547" max="12547" width="11.7109375" style="14" customWidth="1"/>
    <col min="12548" max="12548" width="9.140625" style="14"/>
    <col min="12549" max="12549" width="14.7109375" style="14" customWidth="1"/>
    <col min="12550" max="12550" width="10.7109375" style="14" customWidth="1"/>
    <col min="12551" max="12802" width="9.140625" style="14"/>
    <col min="12803" max="12803" width="11.7109375" style="14" customWidth="1"/>
    <col min="12804" max="12804" width="9.140625" style="14"/>
    <col min="12805" max="12805" width="14.7109375" style="14" customWidth="1"/>
    <col min="12806" max="12806" width="10.7109375" style="14" customWidth="1"/>
    <col min="12807" max="13058" width="9.140625" style="14"/>
    <col min="13059" max="13059" width="11.7109375" style="14" customWidth="1"/>
    <col min="13060" max="13060" width="9.140625" style="14"/>
    <col min="13061" max="13061" width="14.7109375" style="14" customWidth="1"/>
    <col min="13062" max="13062" width="10.7109375" style="14" customWidth="1"/>
    <col min="13063" max="13314" width="9.140625" style="14"/>
    <col min="13315" max="13315" width="11.7109375" style="14" customWidth="1"/>
    <col min="13316" max="13316" width="9.140625" style="14"/>
    <col min="13317" max="13317" width="14.7109375" style="14" customWidth="1"/>
    <col min="13318" max="13318" width="10.7109375" style="14" customWidth="1"/>
    <col min="13319" max="13570" width="9.140625" style="14"/>
    <col min="13571" max="13571" width="11.7109375" style="14" customWidth="1"/>
    <col min="13572" max="13572" width="9.140625" style="14"/>
    <col min="13573" max="13573" width="14.7109375" style="14" customWidth="1"/>
    <col min="13574" max="13574" width="10.7109375" style="14" customWidth="1"/>
    <col min="13575" max="13826" width="9.140625" style="14"/>
    <col min="13827" max="13827" width="11.7109375" style="14" customWidth="1"/>
    <col min="13828" max="13828" width="9.140625" style="14"/>
    <col min="13829" max="13829" width="14.7109375" style="14" customWidth="1"/>
    <col min="13830" max="13830" width="10.7109375" style="14" customWidth="1"/>
    <col min="13831" max="14082" width="9.140625" style="14"/>
    <col min="14083" max="14083" width="11.7109375" style="14" customWidth="1"/>
    <col min="14084" max="14084" width="9.140625" style="14"/>
    <col min="14085" max="14085" width="14.7109375" style="14" customWidth="1"/>
    <col min="14086" max="14086" width="10.7109375" style="14" customWidth="1"/>
    <col min="14087" max="14338" width="9.140625" style="14"/>
    <col min="14339" max="14339" width="11.7109375" style="14" customWidth="1"/>
    <col min="14340" max="14340" width="9.140625" style="14"/>
    <col min="14341" max="14341" width="14.7109375" style="14" customWidth="1"/>
    <col min="14342" max="14342" width="10.7109375" style="14" customWidth="1"/>
    <col min="14343" max="14594" width="9.140625" style="14"/>
    <col min="14595" max="14595" width="11.7109375" style="14" customWidth="1"/>
    <col min="14596" max="14596" width="9.140625" style="14"/>
    <col min="14597" max="14597" width="14.7109375" style="14" customWidth="1"/>
    <col min="14598" max="14598" width="10.7109375" style="14" customWidth="1"/>
    <col min="14599" max="14850" width="9.140625" style="14"/>
    <col min="14851" max="14851" width="11.7109375" style="14" customWidth="1"/>
    <col min="14852" max="14852" width="9.140625" style="14"/>
    <col min="14853" max="14853" width="14.7109375" style="14" customWidth="1"/>
    <col min="14854" max="14854" width="10.7109375" style="14" customWidth="1"/>
    <col min="14855" max="15106" width="9.140625" style="14"/>
    <col min="15107" max="15107" width="11.7109375" style="14" customWidth="1"/>
    <col min="15108" max="15108" width="9.140625" style="14"/>
    <col min="15109" max="15109" width="14.7109375" style="14" customWidth="1"/>
    <col min="15110" max="15110" width="10.7109375" style="14" customWidth="1"/>
    <col min="15111" max="15362" width="9.140625" style="14"/>
    <col min="15363" max="15363" width="11.7109375" style="14" customWidth="1"/>
    <col min="15364" max="15364" width="9.140625" style="14"/>
    <col min="15365" max="15365" width="14.7109375" style="14" customWidth="1"/>
    <col min="15366" max="15366" width="10.7109375" style="14" customWidth="1"/>
    <col min="15367" max="15618" width="9.140625" style="14"/>
    <col min="15619" max="15619" width="11.7109375" style="14" customWidth="1"/>
    <col min="15620" max="15620" width="9.140625" style="14"/>
    <col min="15621" max="15621" width="14.7109375" style="14" customWidth="1"/>
    <col min="15622" max="15622" width="10.7109375" style="14" customWidth="1"/>
    <col min="15623" max="15874" width="9.140625" style="14"/>
    <col min="15875" max="15875" width="11.7109375" style="14" customWidth="1"/>
    <col min="15876" max="15876" width="9.140625" style="14"/>
    <col min="15877" max="15877" width="14.7109375" style="14" customWidth="1"/>
    <col min="15878" max="15878" width="10.7109375" style="14" customWidth="1"/>
    <col min="15879" max="16130" width="9.140625" style="14"/>
    <col min="16131" max="16131" width="11.7109375" style="14" customWidth="1"/>
    <col min="16132" max="16132" width="9.140625" style="14"/>
    <col min="16133" max="16133" width="14.7109375" style="14" customWidth="1"/>
    <col min="16134" max="16134" width="10.7109375" style="14" customWidth="1"/>
    <col min="16135" max="16384" width="9.140625" style="14"/>
  </cols>
  <sheetData>
    <row r="2" spans="1:13" x14ac:dyDescent="0.25">
      <c r="A2" s="15" t="s">
        <v>136</v>
      </c>
      <c r="B2" s="15" t="s">
        <v>137</v>
      </c>
      <c r="C2" s="15" t="s">
        <v>138</v>
      </c>
      <c r="D2" s="243" t="s">
        <v>139</v>
      </c>
      <c r="E2" s="243"/>
    </row>
    <row r="3" spans="1:13" x14ac:dyDescent="0.25">
      <c r="A3" s="18">
        <v>0</v>
      </c>
      <c r="B3" s="18">
        <v>0</v>
      </c>
      <c r="C3" s="18">
        <v>1</v>
      </c>
      <c r="D3" s="245">
        <v>32</v>
      </c>
      <c r="E3" s="245"/>
    </row>
    <row r="5" spans="1:13" hidden="1" x14ac:dyDescent="0.25">
      <c r="A5" s="14" t="s">
        <v>101</v>
      </c>
      <c r="B5" s="16" t="s">
        <v>154</v>
      </c>
      <c r="C5" s="16">
        <f>D3</f>
        <v>32</v>
      </c>
      <c r="D5" s="17"/>
    </row>
    <row r="6" spans="1:13" x14ac:dyDescent="0.25">
      <c r="A6" s="14" t="s">
        <v>102</v>
      </c>
      <c r="B6" s="19">
        <v>10</v>
      </c>
      <c r="C6" s="20">
        <v>10</v>
      </c>
      <c r="D6" s="21">
        <f>((100/B6)*C6)/100</f>
        <v>1</v>
      </c>
    </row>
    <row r="7" spans="1:13" x14ac:dyDescent="0.25">
      <c r="A7" s="14" t="s">
        <v>103</v>
      </c>
      <c r="B7" s="19">
        <f>A3+B3+C3+D3</f>
        <v>33</v>
      </c>
      <c r="C7" s="20">
        <v>3</v>
      </c>
      <c r="D7" s="21">
        <f t="shared" ref="D7:D12" si="0">((100/B7)*C7)/100</f>
        <v>9.0909090909090898E-2</v>
      </c>
      <c r="F7" s="246" t="s">
        <v>155</v>
      </c>
      <c r="G7" s="246"/>
      <c r="H7" s="22" t="s">
        <v>156</v>
      </c>
      <c r="J7" s="28"/>
    </row>
    <row r="8" spans="1:13" x14ac:dyDescent="0.25">
      <c r="A8" s="14" t="s">
        <v>108</v>
      </c>
      <c r="B8" s="19">
        <f>C5</f>
        <v>32</v>
      </c>
      <c r="C8" s="20">
        <v>1</v>
      </c>
      <c r="D8" s="21">
        <f t="shared" si="0"/>
        <v>3.125E-2</v>
      </c>
      <c r="F8" s="244" t="s">
        <v>157</v>
      </c>
      <c r="G8" s="244"/>
      <c r="H8" s="19" t="s">
        <v>158</v>
      </c>
    </row>
    <row r="9" spans="1:13" x14ac:dyDescent="0.25">
      <c r="A9" s="14" t="s">
        <v>110</v>
      </c>
      <c r="B9" s="19">
        <f>C5</f>
        <v>32</v>
      </c>
      <c r="C9" s="20">
        <v>0</v>
      </c>
      <c r="D9" s="21">
        <f t="shared" si="0"/>
        <v>0</v>
      </c>
      <c r="F9" s="244" t="s">
        <v>159</v>
      </c>
      <c r="G9" s="244"/>
      <c r="H9" s="19" t="s">
        <v>160</v>
      </c>
    </row>
    <row r="10" spans="1:13" x14ac:dyDescent="0.25">
      <c r="A10" s="14" t="s">
        <v>70</v>
      </c>
      <c r="B10" s="19">
        <f>C5</f>
        <v>32</v>
      </c>
      <c r="C10" s="20">
        <v>0</v>
      </c>
      <c r="D10" s="21">
        <f t="shared" si="0"/>
        <v>0</v>
      </c>
      <c r="F10" s="244" t="s">
        <v>161</v>
      </c>
      <c r="G10" s="244"/>
      <c r="H10" s="19" t="s">
        <v>162</v>
      </c>
    </row>
    <row r="11" spans="1:13" x14ac:dyDescent="0.25">
      <c r="A11" s="23" t="s">
        <v>106</v>
      </c>
      <c r="B11" s="19">
        <f>C5</f>
        <v>32</v>
      </c>
      <c r="C11" s="20">
        <v>0</v>
      </c>
      <c r="D11" s="21">
        <f t="shared" si="0"/>
        <v>0</v>
      </c>
      <c r="F11" s="244" t="s">
        <v>163</v>
      </c>
      <c r="G11" s="244"/>
      <c r="H11" s="19" t="s">
        <v>164</v>
      </c>
    </row>
    <row r="12" spans="1:13" x14ac:dyDescent="0.25">
      <c r="A12" s="14" t="s">
        <v>71</v>
      </c>
      <c r="B12" s="19">
        <f>C5</f>
        <v>32</v>
      </c>
      <c r="C12" s="20">
        <v>0</v>
      </c>
      <c r="D12" s="21">
        <f t="shared" si="0"/>
        <v>0</v>
      </c>
      <c r="F12" s="244" t="s">
        <v>165</v>
      </c>
      <c r="G12" s="244"/>
      <c r="H12" s="19" t="s">
        <v>166</v>
      </c>
    </row>
    <row r="13" spans="1:13" x14ac:dyDescent="0.25">
      <c r="F13" s="244" t="s">
        <v>167</v>
      </c>
      <c r="G13" s="244"/>
      <c r="H13" s="19" t="s">
        <v>168</v>
      </c>
    </row>
    <row r="14" spans="1:13" hidden="1" x14ac:dyDescent="0.25">
      <c r="A14" s="15"/>
      <c r="B14" s="15" t="s">
        <v>107</v>
      </c>
      <c r="C14" s="15" t="s">
        <v>111</v>
      </c>
      <c r="G14" s="15" t="s">
        <v>102</v>
      </c>
      <c r="H14" s="15" t="s">
        <v>104</v>
      </c>
      <c r="I14" s="15" t="s">
        <v>105</v>
      </c>
      <c r="J14" s="15" t="s">
        <v>69</v>
      </c>
      <c r="K14" s="15" t="s">
        <v>70</v>
      </c>
      <c r="L14" s="15" t="s">
        <v>106</v>
      </c>
      <c r="M14" s="15" t="s">
        <v>71</v>
      </c>
    </row>
    <row r="15" spans="1:13" hidden="1" x14ac:dyDescent="0.25">
      <c r="A15" s="15" t="s">
        <v>67</v>
      </c>
      <c r="B15" s="15">
        <f>G15</f>
        <v>10</v>
      </c>
      <c r="C15" s="15">
        <f>G16</f>
        <v>30</v>
      </c>
      <c r="E15" s="243" t="s">
        <v>107</v>
      </c>
      <c r="F15" s="243"/>
      <c r="G15" s="24">
        <f>C6</f>
        <v>10</v>
      </c>
      <c r="H15" s="24">
        <f>40/B7*C7</f>
        <v>3.6363636363636367</v>
      </c>
      <c r="I15" s="24">
        <f>15/B8*C8</f>
        <v>0.46875</v>
      </c>
      <c r="J15" s="24">
        <f>10/B9*C9</f>
        <v>0</v>
      </c>
      <c r="K15" s="24">
        <f>10/B10*C10</f>
        <v>0</v>
      </c>
      <c r="L15" s="24">
        <f>5/B11*C11</f>
        <v>0</v>
      </c>
      <c r="M15" s="24">
        <f>5/B12*C12</f>
        <v>0</v>
      </c>
    </row>
    <row r="16" spans="1:13" hidden="1" x14ac:dyDescent="0.25">
      <c r="A16" s="15" t="s">
        <v>68</v>
      </c>
      <c r="B16" s="15">
        <f>H15</f>
        <v>3.6363636363636367</v>
      </c>
      <c r="C16" s="15">
        <f>H16</f>
        <v>2.7272727272727271</v>
      </c>
      <c r="E16" s="243" t="s">
        <v>109</v>
      </c>
      <c r="F16" s="243"/>
      <c r="G16" s="15">
        <f>G15+20</f>
        <v>30</v>
      </c>
      <c r="H16" s="15">
        <f>30/B7*C7</f>
        <v>2.7272727272727271</v>
      </c>
      <c r="I16" s="15">
        <f>15/B8*C8</f>
        <v>0.46875</v>
      </c>
      <c r="J16" s="15">
        <f>10/B9*C9</f>
        <v>0</v>
      </c>
      <c r="K16" s="15">
        <f>5/B10*C10</f>
        <v>0</v>
      </c>
      <c r="L16" s="15">
        <f>5/B11*C11</f>
        <v>0</v>
      </c>
      <c r="M16" s="15">
        <f>5/B12*C12</f>
        <v>0</v>
      </c>
    </row>
    <row r="17" spans="1:8" hidden="1" x14ac:dyDescent="0.25">
      <c r="A17" s="15" t="s">
        <v>105</v>
      </c>
      <c r="B17" s="15">
        <f>I15</f>
        <v>0.46875</v>
      </c>
      <c r="C17" s="15">
        <f>I16</f>
        <v>0.46875</v>
      </c>
    </row>
    <row r="18" spans="1:8" hidden="1" x14ac:dyDescent="0.25">
      <c r="A18" s="15" t="s">
        <v>69</v>
      </c>
      <c r="B18" s="15">
        <f>J15</f>
        <v>0</v>
      </c>
      <c r="C18" s="15">
        <f>J16</f>
        <v>0</v>
      </c>
    </row>
    <row r="19" spans="1:8" hidden="1" x14ac:dyDescent="0.25">
      <c r="A19" s="15" t="s">
        <v>70</v>
      </c>
      <c r="B19" s="15">
        <f>K15</f>
        <v>0</v>
      </c>
      <c r="C19" s="15">
        <f>K16</f>
        <v>0</v>
      </c>
    </row>
    <row r="20" spans="1:8" hidden="1" x14ac:dyDescent="0.25">
      <c r="A20" s="25" t="s">
        <v>106</v>
      </c>
      <c r="B20" s="15">
        <f>L15</f>
        <v>0</v>
      </c>
      <c r="C20" s="15">
        <f>L16</f>
        <v>0</v>
      </c>
    </row>
    <row r="21" spans="1:8" hidden="1" x14ac:dyDescent="0.25">
      <c r="A21" s="15" t="s">
        <v>71</v>
      </c>
      <c r="B21" s="15">
        <f>M15</f>
        <v>0</v>
      </c>
      <c r="C21" s="15">
        <f>M16</f>
        <v>0</v>
      </c>
    </row>
    <row r="22" spans="1:8" x14ac:dyDescent="0.25">
      <c r="A22" s="15" t="s">
        <v>112</v>
      </c>
      <c r="B22" s="26">
        <f>(B15+B16+B17+B18+B19+B20+B21)/100</f>
        <v>0.14105113636363636</v>
      </c>
      <c r="C22" s="26">
        <f>(C15+C16+C17+C18+C19+C20+C21)/100</f>
        <v>0.33196022727272728</v>
      </c>
      <c r="F22" s="244" t="s">
        <v>169</v>
      </c>
      <c r="G22" s="244"/>
      <c r="H22" s="19" t="s">
        <v>160</v>
      </c>
    </row>
    <row r="23" spans="1:8" x14ac:dyDescent="0.25">
      <c r="F23" s="244" t="s">
        <v>170</v>
      </c>
      <c r="G23" s="244"/>
      <c r="H23" s="19" t="s">
        <v>171</v>
      </c>
    </row>
    <row r="24" spans="1:8" x14ac:dyDescent="0.25">
      <c r="A24" s="14" t="s">
        <v>142</v>
      </c>
      <c r="B24" s="27">
        <v>0.01</v>
      </c>
      <c r="C24" s="27">
        <v>0.02</v>
      </c>
      <c r="F24" s="244" t="s">
        <v>172</v>
      </c>
      <c r="G24" s="244"/>
      <c r="H24" s="19" t="s">
        <v>173</v>
      </c>
    </row>
    <row r="25" spans="1:8" x14ac:dyDescent="0.25">
      <c r="A25" s="14" t="s">
        <v>143</v>
      </c>
      <c r="B25" s="27">
        <v>0.01</v>
      </c>
      <c r="C25" s="27">
        <v>0.03</v>
      </c>
    </row>
    <row r="26" spans="1:8" x14ac:dyDescent="0.25">
      <c r="A26" s="14" t="s">
        <v>144</v>
      </c>
      <c r="B26" s="27">
        <v>0.03</v>
      </c>
      <c r="C26" s="27">
        <v>0.08</v>
      </c>
    </row>
    <row r="27" spans="1:8" x14ac:dyDescent="0.25">
      <c r="A27" s="14" t="s">
        <v>145</v>
      </c>
      <c r="B27" s="27">
        <v>0.05</v>
      </c>
      <c r="C27" s="27">
        <v>0.15</v>
      </c>
    </row>
    <row r="28" spans="1:8" x14ac:dyDescent="0.25">
      <c r="A28" s="14" t="s">
        <v>146</v>
      </c>
      <c r="B28" s="27">
        <v>7.0000000000000007E-2</v>
      </c>
      <c r="C28" s="27">
        <v>0.2</v>
      </c>
    </row>
    <row r="29" spans="1:8" x14ac:dyDescent="0.25">
      <c r="A29" s="14" t="s">
        <v>147</v>
      </c>
      <c r="B29" s="27">
        <v>0.1</v>
      </c>
      <c r="C29" s="27">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RowHeight="15" x14ac:dyDescent="0.25"/>
  <cols>
    <col min="1" max="1" width="20.5703125" style="14" customWidth="1"/>
    <col min="2" max="2" width="11.7109375" style="14" customWidth="1"/>
    <col min="3" max="4" width="9.140625" style="14"/>
    <col min="5" max="5" width="10.140625" style="14" customWidth="1"/>
    <col min="6" max="6" width="10.7109375" style="14" customWidth="1"/>
    <col min="7" max="7" width="9.140625" style="14"/>
    <col min="8" max="8" width="10.42578125" style="14" customWidth="1"/>
    <col min="9" max="9" width="15.42578125" style="14" customWidth="1"/>
    <col min="10" max="258" width="9.140625" style="14"/>
    <col min="259" max="259" width="11.7109375" style="14" customWidth="1"/>
    <col min="260" max="260" width="9.140625" style="14"/>
    <col min="261" max="261" width="14.7109375" style="14" customWidth="1"/>
    <col min="262" max="262" width="10.7109375" style="14" customWidth="1"/>
    <col min="263" max="514" width="9.140625" style="14"/>
    <col min="515" max="515" width="11.7109375" style="14" customWidth="1"/>
    <col min="516" max="516" width="9.140625" style="14"/>
    <col min="517" max="517" width="14.7109375" style="14" customWidth="1"/>
    <col min="518" max="518" width="10.7109375" style="14" customWidth="1"/>
    <col min="519" max="770" width="9.140625" style="14"/>
    <col min="771" max="771" width="11.7109375" style="14" customWidth="1"/>
    <col min="772" max="772" width="9.140625" style="14"/>
    <col min="773" max="773" width="14.7109375" style="14" customWidth="1"/>
    <col min="774" max="774" width="10.7109375" style="14" customWidth="1"/>
    <col min="775" max="1026" width="9.140625" style="14"/>
    <col min="1027" max="1027" width="11.7109375" style="14" customWidth="1"/>
    <col min="1028" max="1028" width="9.140625" style="14"/>
    <col min="1029" max="1029" width="14.7109375" style="14" customWidth="1"/>
    <col min="1030" max="1030" width="10.7109375" style="14" customWidth="1"/>
    <col min="1031" max="1282" width="9.140625" style="14"/>
    <col min="1283" max="1283" width="11.7109375" style="14" customWidth="1"/>
    <col min="1284" max="1284" width="9.140625" style="14"/>
    <col min="1285" max="1285" width="14.7109375" style="14" customWidth="1"/>
    <col min="1286" max="1286" width="10.7109375" style="14" customWidth="1"/>
    <col min="1287" max="1538" width="9.140625" style="14"/>
    <col min="1539" max="1539" width="11.7109375" style="14" customWidth="1"/>
    <col min="1540" max="1540" width="9.140625" style="14"/>
    <col min="1541" max="1541" width="14.7109375" style="14" customWidth="1"/>
    <col min="1542" max="1542" width="10.7109375" style="14" customWidth="1"/>
    <col min="1543" max="1794" width="9.140625" style="14"/>
    <col min="1795" max="1795" width="11.7109375" style="14" customWidth="1"/>
    <col min="1796" max="1796" width="9.140625" style="14"/>
    <col min="1797" max="1797" width="14.7109375" style="14" customWidth="1"/>
    <col min="1798" max="1798" width="10.7109375" style="14" customWidth="1"/>
    <col min="1799" max="2050" width="9.140625" style="14"/>
    <col min="2051" max="2051" width="11.7109375" style="14" customWidth="1"/>
    <col min="2052" max="2052" width="9.140625" style="14"/>
    <col min="2053" max="2053" width="14.7109375" style="14" customWidth="1"/>
    <col min="2054" max="2054" width="10.7109375" style="14" customWidth="1"/>
    <col min="2055" max="2306" width="9.140625" style="14"/>
    <col min="2307" max="2307" width="11.7109375" style="14" customWidth="1"/>
    <col min="2308" max="2308" width="9.140625" style="14"/>
    <col min="2309" max="2309" width="14.7109375" style="14" customWidth="1"/>
    <col min="2310" max="2310" width="10.7109375" style="14" customWidth="1"/>
    <col min="2311" max="2562" width="9.140625" style="14"/>
    <col min="2563" max="2563" width="11.7109375" style="14" customWidth="1"/>
    <col min="2564" max="2564" width="9.140625" style="14"/>
    <col min="2565" max="2565" width="14.7109375" style="14" customWidth="1"/>
    <col min="2566" max="2566" width="10.7109375" style="14" customWidth="1"/>
    <col min="2567" max="2818" width="9.140625" style="14"/>
    <col min="2819" max="2819" width="11.7109375" style="14" customWidth="1"/>
    <col min="2820" max="2820" width="9.140625" style="14"/>
    <col min="2821" max="2821" width="14.7109375" style="14" customWidth="1"/>
    <col min="2822" max="2822" width="10.7109375" style="14" customWidth="1"/>
    <col min="2823" max="3074" width="9.140625" style="14"/>
    <col min="3075" max="3075" width="11.7109375" style="14" customWidth="1"/>
    <col min="3076" max="3076" width="9.140625" style="14"/>
    <col min="3077" max="3077" width="14.7109375" style="14" customWidth="1"/>
    <col min="3078" max="3078" width="10.7109375" style="14" customWidth="1"/>
    <col min="3079" max="3330" width="9.140625" style="14"/>
    <col min="3331" max="3331" width="11.7109375" style="14" customWidth="1"/>
    <col min="3332" max="3332" width="9.140625" style="14"/>
    <col min="3333" max="3333" width="14.7109375" style="14" customWidth="1"/>
    <col min="3334" max="3334" width="10.7109375" style="14" customWidth="1"/>
    <col min="3335" max="3586" width="9.140625" style="14"/>
    <col min="3587" max="3587" width="11.7109375" style="14" customWidth="1"/>
    <col min="3588" max="3588" width="9.140625" style="14"/>
    <col min="3589" max="3589" width="14.7109375" style="14" customWidth="1"/>
    <col min="3590" max="3590" width="10.7109375" style="14" customWidth="1"/>
    <col min="3591" max="3842" width="9.140625" style="14"/>
    <col min="3843" max="3843" width="11.7109375" style="14" customWidth="1"/>
    <col min="3844" max="3844" width="9.140625" style="14"/>
    <col min="3845" max="3845" width="14.7109375" style="14" customWidth="1"/>
    <col min="3846" max="3846" width="10.7109375" style="14" customWidth="1"/>
    <col min="3847" max="4098" width="9.140625" style="14"/>
    <col min="4099" max="4099" width="11.7109375" style="14" customWidth="1"/>
    <col min="4100" max="4100" width="9.140625" style="14"/>
    <col min="4101" max="4101" width="14.7109375" style="14" customWidth="1"/>
    <col min="4102" max="4102" width="10.7109375" style="14" customWidth="1"/>
    <col min="4103" max="4354" width="9.140625" style="14"/>
    <col min="4355" max="4355" width="11.7109375" style="14" customWidth="1"/>
    <col min="4356" max="4356" width="9.140625" style="14"/>
    <col min="4357" max="4357" width="14.7109375" style="14" customWidth="1"/>
    <col min="4358" max="4358" width="10.7109375" style="14" customWidth="1"/>
    <col min="4359" max="4610" width="9.140625" style="14"/>
    <col min="4611" max="4611" width="11.7109375" style="14" customWidth="1"/>
    <col min="4612" max="4612" width="9.140625" style="14"/>
    <col min="4613" max="4613" width="14.7109375" style="14" customWidth="1"/>
    <col min="4614" max="4614" width="10.7109375" style="14" customWidth="1"/>
    <col min="4615" max="4866" width="9.140625" style="14"/>
    <col min="4867" max="4867" width="11.7109375" style="14" customWidth="1"/>
    <col min="4868" max="4868" width="9.140625" style="14"/>
    <col min="4869" max="4869" width="14.7109375" style="14" customWidth="1"/>
    <col min="4870" max="4870" width="10.7109375" style="14" customWidth="1"/>
    <col min="4871" max="5122" width="9.140625" style="14"/>
    <col min="5123" max="5123" width="11.7109375" style="14" customWidth="1"/>
    <col min="5124" max="5124" width="9.140625" style="14"/>
    <col min="5125" max="5125" width="14.7109375" style="14" customWidth="1"/>
    <col min="5126" max="5126" width="10.7109375" style="14" customWidth="1"/>
    <col min="5127" max="5378" width="9.140625" style="14"/>
    <col min="5379" max="5379" width="11.7109375" style="14" customWidth="1"/>
    <col min="5380" max="5380" width="9.140625" style="14"/>
    <col min="5381" max="5381" width="14.7109375" style="14" customWidth="1"/>
    <col min="5382" max="5382" width="10.7109375" style="14" customWidth="1"/>
    <col min="5383" max="5634" width="9.140625" style="14"/>
    <col min="5635" max="5635" width="11.7109375" style="14" customWidth="1"/>
    <col min="5636" max="5636" width="9.140625" style="14"/>
    <col min="5637" max="5637" width="14.7109375" style="14" customWidth="1"/>
    <col min="5638" max="5638" width="10.7109375" style="14" customWidth="1"/>
    <col min="5639" max="5890" width="9.140625" style="14"/>
    <col min="5891" max="5891" width="11.7109375" style="14" customWidth="1"/>
    <col min="5892" max="5892" width="9.140625" style="14"/>
    <col min="5893" max="5893" width="14.7109375" style="14" customWidth="1"/>
    <col min="5894" max="5894" width="10.7109375" style="14" customWidth="1"/>
    <col min="5895" max="6146" width="9.140625" style="14"/>
    <col min="6147" max="6147" width="11.7109375" style="14" customWidth="1"/>
    <col min="6148" max="6148" width="9.140625" style="14"/>
    <col min="6149" max="6149" width="14.7109375" style="14" customWidth="1"/>
    <col min="6150" max="6150" width="10.7109375" style="14" customWidth="1"/>
    <col min="6151" max="6402" width="9.140625" style="14"/>
    <col min="6403" max="6403" width="11.7109375" style="14" customWidth="1"/>
    <col min="6404" max="6404" width="9.140625" style="14"/>
    <col min="6405" max="6405" width="14.7109375" style="14" customWidth="1"/>
    <col min="6406" max="6406" width="10.7109375" style="14" customWidth="1"/>
    <col min="6407" max="6658" width="9.140625" style="14"/>
    <col min="6659" max="6659" width="11.7109375" style="14" customWidth="1"/>
    <col min="6660" max="6660" width="9.140625" style="14"/>
    <col min="6661" max="6661" width="14.7109375" style="14" customWidth="1"/>
    <col min="6662" max="6662" width="10.7109375" style="14" customWidth="1"/>
    <col min="6663" max="6914" width="9.140625" style="14"/>
    <col min="6915" max="6915" width="11.7109375" style="14" customWidth="1"/>
    <col min="6916" max="6916" width="9.140625" style="14"/>
    <col min="6917" max="6917" width="14.7109375" style="14" customWidth="1"/>
    <col min="6918" max="6918" width="10.7109375" style="14" customWidth="1"/>
    <col min="6919" max="7170" width="9.140625" style="14"/>
    <col min="7171" max="7171" width="11.7109375" style="14" customWidth="1"/>
    <col min="7172" max="7172" width="9.140625" style="14"/>
    <col min="7173" max="7173" width="14.7109375" style="14" customWidth="1"/>
    <col min="7174" max="7174" width="10.7109375" style="14" customWidth="1"/>
    <col min="7175" max="7426" width="9.140625" style="14"/>
    <col min="7427" max="7427" width="11.7109375" style="14" customWidth="1"/>
    <col min="7428" max="7428" width="9.140625" style="14"/>
    <col min="7429" max="7429" width="14.7109375" style="14" customWidth="1"/>
    <col min="7430" max="7430" width="10.7109375" style="14" customWidth="1"/>
    <col min="7431" max="7682" width="9.140625" style="14"/>
    <col min="7683" max="7683" width="11.7109375" style="14" customWidth="1"/>
    <col min="7684" max="7684" width="9.140625" style="14"/>
    <col min="7685" max="7685" width="14.7109375" style="14" customWidth="1"/>
    <col min="7686" max="7686" width="10.7109375" style="14" customWidth="1"/>
    <col min="7687" max="7938" width="9.140625" style="14"/>
    <col min="7939" max="7939" width="11.7109375" style="14" customWidth="1"/>
    <col min="7940" max="7940" width="9.140625" style="14"/>
    <col min="7941" max="7941" width="14.7109375" style="14" customWidth="1"/>
    <col min="7942" max="7942" width="10.7109375" style="14" customWidth="1"/>
    <col min="7943" max="8194" width="9.140625" style="14"/>
    <col min="8195" max="8195" width="11.7109375" style="14" customWidth="1"/>
    <col min="8196" max="8196" width="9.140625" style="14"/>
    <col min="8197" max="8197" width="14.7109375" style="14" customWidth="1"/>
    <col min="8198" max="8198" width="10.7109375" style="14" customWidth="1"/>
    <col min="8199" max="8450" width="9.140625" style="14"/>
    <col min="8451" max="8451" width="11.7109375" style="14" customWidth="1"/>
    <col min="8452" max="8452" width="9.140625" style="14"/>
    <col min="8453" max="8453" width="14.7109375" style="14" customWidth="1"/>
    <col min="8454" max="8454" width="10.7109375" style="14" customWidth="1"/>
    <col min="8455" max="8706" width="9.140625" style="14"/>
    <col min="8707" max="8707" width="11.7109375" style="14" customWidth="1"/>
    <col min="8708" max="8708" width="9.140625" style="14"/>
    <col min="8709" max="8709" width="14.7109375" style="14" customWidth="1"/>
    <col min="8710" max="8710" width="10.7109375" style="14" customWidth="1"/>
    <col min="8711" max="8962" width="9.140625" style="14"/>
    <col min="8963" max="8963" width="11.7109375" style="14" customWidth="1"/>
    <col min="8964" max="8964" width="9.140625" style="14"/>
    <col min="8965" max="8965" width="14.7109375" style="14" customWidth="1"/>
    <col min="8966" max="8966" width="10.7109375" style="14" customWidth="1"/>
    <col min="8967" max="9218" width="9.140625" style="14"/>
    <col min="9219" max="9219" width="11.7109375" style="14" customWidth="1"/>
    <col min="9220" max="9220" width="9.140625" style="14"/>
    <col min="9221" max="9221" width="14.7109375" style="14" customWidth="1"/>
    <col min="9222" max="9222" width="10.7109375" style="14" customWidth="1"/>
    <col min="9223" max="9474" width="9.140625" style="14"/>
    <col min="9475" max="9475" width="11.7109375" style="14" customWidth="1"/>
    <col min="9476" max="9476" width="9.140625" style="14"/>
    <col min="9477" max="9477" width="14.7109375" style="14" customWidth="1"/>
    <col min="9478" max="9478" width="10.7109375" style="14" customWidth="1"/>
    <col min="9479" max="9730" width="9.140625" style="14"/>
    <col min="9731" max="9731" width="11.7109375" style="14" customWidth="1"/>
    <col min="9732" max="9732" width="9.140625" style="14"/>
    <col min="9733" max="9733" width="14.7109375" style="14" customWidth="1"/>
    <col min="9734" max="9734" width="10.7109375" style="14" customWidth="1"/>
    <col min="9735" max="9986" width="9.140625" style="14"/>
    <col min="9987" max="9987" width="11.7109375" style="14" customWidth="1"/>
    <col min="9988" max="9988" width="9.140625" style="14"/>
    <col min="9989" max="9989" width="14.7109375" style="14" customWidth="1"/>
    <col min="9990" max="9990" width="10.7109375" style="14" customWidth="1"/>
    <col min="9991" max="10242" width="9.140625" style="14"/>
    <col min="10243" max="10243" width="11.7109375" style="14" customWidth="1"/>
    <col min="10244" max="10244" width="9.140625" style="14"/>
    <col min="10245" max="10245" width="14.7109375" style="14" customWidth="1"/>
    <col min="10246" max="10246" width="10.7109375" style="14" customWidth="1"/>
    <col min="10247" max="10498" width="9.140625" style="14"/>
    <col min="10499" max="10499" width="11.7109375" style="14" customWidth="1"/>
    <col min="10500" max="10500" width="9.140625" style="14"/>
    <col min="10501" max="10501" width="14.7109375" style="14" customWidth="1"/>
    <col min="10502" max="10502" width="10.7109375" style="14" customWidth="1"/>
    <col min="10503" max="10754" width="9.140625" style="14"/>
    <col min="10755" max="10755" width="11.7109375" style="14" customWidth="1"/>
    <col min="10756" max="10756" width="9.140625" style="14"/>
    <col min="10757" max="10757" width="14.7109375" style="14" customWidth="1"/>
    <col min="10758" max="10758" width="10.7109375" style="14" customWidth="1"/>
    <col min="10759" max="11010" width="9.140625" style="14"/>
    <col min="11011" max="11011" width="11.7109375" style="14" customWidth="1"/>
    <col min="11012" max="11012" width="9.140625" style="14"/>
    <col min="11013" max="11013" width="14.7109375" style="14" customWidth="1"/>
    <col min="11014" max="11014" width="10.7109375" style="14" customWidth="1"/>
    <col min="11015" max="11266" width="9.140625" style="14"/>
    <col min="11267" max="11267" width="11.7109375" style="14" customWidth="1"/>
    <col min="11268" max="11268" width="9.140625" style="14"/>
    <col min="11269" max="11269" width="14.7109375" style="14" customWidth="1"/>
    <col min="11270" max="11270" width="10.7109375" style="14" customWidth="1"/>
    <col min="11271" max="11522" width="9.140625" style="14"/>
    <col min="11523" max="11523" width="11.7109375" style="14" customWidth="1"/>
    <col min="11524" max="11524" width="9.140625" style="14"/>
    <col min="11525" max="11525" width="14.7109375" style="14" customWidth="1"/>
    <col min="11526" max="11526" width="10.7109375" style="14" customWidth="1"/>
    <col min="11527" max="11778" width="9.140625" style="14"/>
    <col min="11779" max="11779" width="11.7109375" style="14" customWidth="1"/>
    <col min="11780" max="11780" width="9.140625" style="14"/>
    <col min="11781" max="11781" width="14.7109375" style="14" customWidth="1"/>
    <col min="11782" max="11782" width="10.7109375" style="14" customWidth="1"/>
    <col min="11783" max="12034" width="9.140625" style="14"/>
    <col min="12035" max="12035" width="11.7109375" style="14" customWidth="1"/>
    <col min="12036" max="12036" width="9.140625" style="14"/>
    <col min="12037" max="12037" width="14.7109375" style="14" customWidth="1"/>
    <col min="12038" max="12038" width="10.7109375" style="14" customWidth="1"/>
    <col min="12039" max="12290" width="9.140625" style="14"/>
    <col min="12291" max="12291" width="11.7109375" style="14" customWidth="1"/>
    <col min="12292" max="12292" width="9.140625" style="14"/>
    <col min="12293" max="12293" width="14.7109375" style="14" customWidth="1"/>
    <col min="12294" max="12294" width="10.7109375" style="14" customWidth="1"/>
    <col min="12295" max="12546" width="9.140625" style="14"/>
    <col min="12547" max="12547" width="11.7109375" style="14" customWidth="1"/>
    <col min="12548" max="12548" width="9.140625" style="14"/>
    <col min="12549" max="12549" width="14.7109375" style="14" customWidth="1"/>
    <col min="12550" max="12550" width="10.7109375" style="14" customWidth="1"/>
    <col min="12551" max="12802" width="9.140625" style="14"/>
    <col min="12803" max="12803" width="11.7109375" style="14" customWidth="1"/>
    <col min="12804" max="12804" width="9.140625" style="14"/>
    <col min="12805" max="12805" width="14.7109375" style="14" customWidth="1"/>
    <col min="12806" max="12806" width="10.7109375" style="14" customWidth="1"/>
    <col min="12807" max="13058" width="9.140625" style="14"/>
    <col min="13059" max="13059" width="11.7109375" style="14" customWidth="1"/>
    <col min="13060" max="13060" width="9.140625" style="14"/>
    <col min="13061" max="13061" width="14.7109375" style="14" customWidth="1"/>
    <col min="13062" max="13062" width="10.7109375" style="14" customWidth="1"/>
    <col min="13063" max="13314" width="9.140625" style="14"/>
    <col min="13315" max="13315" width="11.7109375" style="14" customWidth="1"/>
    <col min="13316" max="13316" width="9.140625" style="14"/>
    <col min="13317" max="13317" width="14.7109375" style="14" customWidth="1"/>
    <col min="13318" max="13318" width="10.7109375" style="14" customWidth="1"/>
    <col min="13319" max="13570" width="9.140625" style="14"/>
    <col min="13571" max="13571" width="11.7109375" style="14" customWidth="1"/>
    <col min="13572" max="13572" width="9.140625" style="14"/>
    <col min="13573" max="13573" width="14.7109375" style="14" customWidth="1"/>
    <col min="13574" max="13574" width="10.7109375" style="14" customWidth="1"/>
    <col min="13575" max="13826" width="9.140625" style="14"/>
    <col min="13827" max="13827" width="11.7109375" style="14" customWidth="1"/>
    <col min="13828" max="13828" width="9.140625" style="14"/>
    <col min="13829" max="13829" width="14.7109375" style="14" customWidth="1"/>
    <col min="13830" max="13830" width="10.7109375" style="14" customWidth="1"/>
    <col min="13831" max="14082" width="9.140625" style="14"/>
    <col min="14083" max="14083" width="11.7109375" style="14" customWidth="1"/>
    <col min="14084" max="14084" width="9.140625" style="14"/>
    <col min="14085" max="14085" width="14.7109375" style="14" customWidth="1"/>
    <col min="14086" max="14086" width="10.7109375" style="14" customWidth="1"/>
    <col min="14087" max="14338" width="9.140625" style="14"/>
    <col min="14339" max="14339" width="11.7109375" style="14" customWidth="1"/>
    <col min="14340" max="14340" width="9.140625" style="14"/>
    <col min="14341" max="14341" width="14.7109375" style="14" customWidth="1"/>
    <col min="14342" max="14342" width="10.7109375" style="14" customWidth="1"/>
    <col min="14343" max="14594" width="9.140625" style="14"/>
    <col min="14595" max="14595" width="11.7109375" style="14" customWidth="1"/>
    <col min="14596" max="14596" width="9.140625" style="14"/>
    <col min="14597" max="14597" width="14.7109375" style="14" customWidth="1"/>
    <col min="14598" max="14598" width="10.7109375" style="14" customWidth="1"/>
    <col min="14599" max="14850" width="9.140625" style="14"/>
    <col min="14851" max="14851" width="11.7109375" style="14" customWidth="1"/>
    <col min="14852" max="14852" width="9.140625" style="14"/>
    <col min="14853" max="14853" width="14.7109375" style="14" customWidth="1"/>
    <col min="14854" max="14854" width="10.7109375" style="14" customWidth="1"/>
    <col min="14855" max="15106" width="9.140625" style="14"/>
    <col min="15107" max="15107" width="11.7109375" style="14" customWidth="1"/>
    <col min="15108" max="15108" width="9.140625" style="14"/>
    <col min="15109" max="15109" width="14.7109375" style="14" customWidth="1"/>
    <col min="15110" max="15110" width="10.7109375" style="14" customWidth="1"/>
    <col min="15111" max="15362" width="9.140625" style="14"/>
    <col min="15363" max="15363" width="11.7109375" style="14" customWidth="1"/>
    <col min="15364" max="15364" width="9.140625" style="14"/>
    <col min="15365" max="15365" width="14.7109375" style="14" customWidth="1"/>
    <col min="15366" max="15366" width="10.7109375" style="14" customWidth="1"/>
    <col min="15367" max="15618" width="9.140625" style="14"/>
    <col min="15619" max="15619" width="11.7109375" style="14" customWidth="1"/>
    <col min="15620" max="15620" width="9.140625" style="14"/>
    <col min="15621" max="15621" width="14.7109375" style="14" customWidth="1"/>
    <col min="15622" max="15622" width="10.7109375" style="14" customWidth="1"/>
    <col min="15623" max="15874" width="9.140625" style="14"/>
    <col min="15875" max="15875" width="11.7109375" style="14" customWidth="1"/>
    <col min="15876" max="15876" width="9.140625" style="14"/>
    <col min="15877" max="15877" width="14.7109375" style="14" customWidth="1"/>
    <col min="15878" max="15878" width="10.7109375" style="14" customWidth="1"/>
    <col min="15879" max="16130" width="9.140625" style="14"/>
    <col min="16131" max="16131" width="11.7109375" style="14" customWidth="1"/>
    <col min="16132" max="16132" width="9.140625" style="14"/>
    <col min="16133" max="16133" width="14.7109375" style="14" customWidth="1"/>
    <col min="16134" max="16134" width="10.7109375" style="14" customWidth="1"/>
    <col min="16135" max="16384" width="9.140625" style="14"/>
  </cols>
  <sheetData>
    <row r="2" spans="1:13" x14ac:dyDescent="0.25">
      <c r="A2" s="15" t="s">
        <v>136</v>
      </c>
      <c r="B2" s="15" t="s">
        <v>137</v>
      </c>
      <c r="C2" s="15" t="s">
        <v>138</v>
      </c>
      <c r="D2" s="243" t="s">
        <v>139</v>
      </c>
      <c r="E2" s="243"/>
    </row>
    <row r="3" spans="1:13" x14ac:dyDescent="0.25">
      <c r="A3" s="18">
        <v>0</v>
      </c>
      <c r="B3" s="18">
        <v>0</v>
      </c>
      <c r="C3" s="18">
        <v>1</v>
      </c>
      <c r="D3" s="245">
        <v>32</v>
      </c>
      <c r="E3" s="245"/>
    </row>
    <row r="5" spans="1:13" hidden="1" x14ac:dyDescent="0.25">
      <c r="A5" s="14" t="s">
        <v>101</v>
      </c>
      <c r="B5" s="16" t="s">
        <v>154</v>
      </c>
      <c r="C5" s="16">
        <f>D3</f>
        <v>32</v>
      </c>
      <c r="D5" s="17"/>
    </row>
    <row r="6" spans="1:13" x14ac:dyDescent="0.25">
      <c r="A6" s="14" t="s">
        <v>102</v>
      </c>
      <c r="B6" s="19">
        <v>10</v>
      </c>
      <c r="C6" s="20">
        <v>10</v>
      </c>
      <c r="D6" s="21">
        <f>((100/B6)*C6)/100</f>
        <v>1</v>
      </c>
    </row>
    <row r="7" spans="1:13" x14ac:dyDescent="0.25">
      <c r="A7" s="14" t="s">
        <v>103</v>
      </c>
      <c r="B7" s="19">
        <f>A3+B3+C3+D3</f>
        <v>33</v>
      </c>
      <c r="C7" s="20">
        <v>3</v>
      </c>
      <c r="D7" s="21">
        <f t="shared" ref="D7:D12" si="0">((100/B7)*C7)/100</f>
        <v>9.0909090909090898E-2</v>
      </c>
      <c r="F7" s="246" t="s">
        <v>155</v>
      </c>
      <c r="G7" s="246"/>
      <c r="H7" s="22" t="s">
        <v>156</v>
      </c>
      <c r="J7" s="28"/>
    </row>
    <row r="8" spans="1:13" x14ac:dyDescent="0.25">
      <c r="A8" s="14" t="s">
        <v>108</v>
      </c>
      <c r="B8" s="19">
        <f>C5</f>
        <v>32</v>
      </c>
      <c r="C8" s="20">
        <v>0.5</v>
      </c>
      <c r="D8" s="21">
        <f t="shared" si="0"/>
        <v>1.5625E-2</v>
      </c>
      <c r="F8" s="244" t="s">
        <v>157</v>
      </c>
      <c r="G8" s="244"/>
      <c r="H8" s="19" t="s">
        <v>158</v>
      </c>
    </row>
    <row r="9" spans="1:13" x14ac:dyDescent="0.25">
      <c r="A9" s="14" t="s">
        <v>110</v>
      </c>
      <c r="B9" s="19">
        <f>C5</f>
        <v>32</v>
      </c>
      <c r="C9" s="20">
        <v>0</v>
      </c>
      <c r="D9" s="21">
        <f t="shared" si="0"/>
        <v>0</v>
      </c>
      <c r="F9" s="244" t="s">
        <v>159</v>
      </c>
      <c r="G9" s="244"/>
      <c r="H9" s="19" t="s">
        <v>160</v>
      </c>
    </row>
    <row r="10" spans="1:13" x14ac:dyDescent="0.25">
      <c r="A10" s="14" t="s">
        <v>70</v>
      </c>
      <c r="B10" s="19">
        <f>C5</f>
        <v>32</v>
      </c>
      <c r="C10" s="20">
        <v>0</v>
      </c>
      <c r="D10" s="21">
        <f t="shared" si="0"/>
        <v>0</v>
      </c>
      <c r="F10" s="244" t="s">
        <v>161</v>
      </c>
      <c r="G10" s="244"/>
      <c r="H10" s="19" t="s">
        <v>162</v>
      </c>
    </row>
    <row r="11" spans="1:13" x14ac:dyDescent="0.25">
      <c r="A11" s="23" t="s">
        <v>106</v>
      </c>
      <c r="B11" s="19">
        <f>C5</f>
        <v>32</v>
      </c>
      <c r="C11" s="20">
        <v>0</v>
      </c>
      <c r="D11" s="21">
        <f t="shared" si="0"/>
        <v>0</v>
      </c>
      <c r="F11" s="244" t="s">
        <v>163</v>
      </c>
      <c r="G11" s="244"/>
      <c r="H11" s="19" t="s">
        <v>164</v>
      </c>
    </row>
    <row r="12" spans="1:13" x14ac:dyDescent="0.25">
      <c r="A12" s="14" t="s">
        <v>71</v>
      </c>
      <c r="B12" s="19">
        <f>C5</f>
        <v>32</v>
      </c>
      <c r="C12" s="20">
        <v>0</v>
      </c>
      <c r="D12" s="21">
        <f t="shared" si="0"/>
        <v>0</v>
      </c>
      <c r="F12" s="244" t="s">
        <v>165</v>
      </c>
      <c r="G12" s="244"/>
      <c r="H12" s="19" t="s">
        <v>166</v>
      </c>
    </row>
    <row r="13" spans="1:13" x14ac:dyDescent="0.25">
      <c r="F13" s="244" t="s">
        <v>167</v>
      </c>
      <c r="G13" s="244"/>
      <c r="H13" s="19" t="s">
        <v>168</v>
      </c>
    </row>
    <row r="14" spans="1:13" hidden="1" x14ac:dyDescent="0.25">
      <c r="A14" s="15"/>
      <c r="B14" s="15" t="s">
        <v>107</v>
      </c>
      <c r="C14" s="15" t="s">
        <v>111</v>
      </c>
      <c r="G14" s="15" t="s">
        <v>102</v>
      </c>
      <c r="H14" s="15" t="s">
        <v>104</v>
      </c>
      <c r="I14" s="15" t="s">
        <v>105</v>
      </c>
      <c r="J14" s="15" t="s">
        <v>69</v>
      </c>
      <c r="K14" s="15" t="s">
        <v>70</v>
      </c>
      <c r="L14" s="15" t="s">
        <v>106</v>
      </c>
      <c r="M14" s="15" t="s">
        <v>71</v>
      </c>
    </row>
    <row r="15" spans="1:13" hidden="1" x14ac:dyDescent="0.25">
      <c r="A15" s="15" t="s">
        <v>67</v>
      </c>
      <c r="B15" s="15">
        <f>G15</f>
        <v>10</v>
      </c>
      <c r="C15" s="15">
        <f>G16</f>
        <v>30</v>
      </c>
      <c r="E15" s="243" t="s">
        <v>107</v>
      </c>
      <c r="F15" s="243"/>
      <c r="G15" s="24">
        <f>C6</f>
        <v>10</v>
      </c>
      <c r="H15" s="24">
        <f>40/B7*C7</f>
        <v>3.6363636363636367</v>
      </c>
      <c r="I15" s="24">
        <f>15/B8*C8</f>
        <v>0.234375</v>
      </c>
      <c r="J15" s="24">
        <f>10/B9*C9</f>
        <v>0</v>
      </c>
      <c r="K15" s="24">
        <f>10/B10*C10</f>
        <v>0</v>
      </c>
      <c r="L15" s="24">
        <f>5/B11*C11</f>
        <v>0</v>
      </c>
      <c r="M15" s="24">
        <f>5/B12*C12</f>
        <v>0</v>
      </c>
    </row>
    <row r="16" spans="1:13" hidden="1" x14ac:dyDescent="0.25">
      <c r="A16" s="15" t="s">
        <v>68</v>
      </c>
      <c r="B16" s="15">
        <f>H15</f>
        <v>3.6363636363636367</v>
      </c>
      <c r="C16" s="15">
        <f>H16</f>
        <v>2.7272727272727271</v>
      </c>
      <c r="E16" s="243" t="s">
        <v>109</v>
      </c>
      <c r="F16" s="243"/>
      <c r="G16" s="15">
        <f>G15+20</f>
        <v>30</v>
      </c>
      <c r="H16" s="15">
        <f>30/B7*C7</f>
        <v>2.7272727272727271</v>
      </c>
      <c r="I16" s="15">
        <f>15/B8*C8</f>
        <v>0.234375</v>
      </c>
      <c r="J16" s="15">
        <f>10/B9*C9</f>
        <v>0</v>
      </c>
      <c r="K16" s="15">
        <f>5/B10*C10</f>
        <v>0</v>
      </c>
      <c r="L16" s="15">
        <f>5/B11*C11</f>
        <v>0</v>
      </c>
      <c r="M16" s="15">
        <f>5/B12*C12</f>
        <v>0</v>
      </c>
    </row>
    <row r="17" spans="1:8" hidden="1" x14ac:dyDescent="0.25">
      <c r="A17" s="15" t="s">
        <v>105</v>
      </c>
      <c r="B17" s="15">
        <f>I15</f>
        <v>0.234375</v>
      </c>
      <c r="C17" s="15">
        <f>I16</f>
        <v>0.234375</v>
      </c>
    </row>
    <row r="18" spans="1:8" hidden="1" x14ac:dyDescent="0.25">
      <c r="A18" s="15" t="s">
        <v>69</v>
      </c>
      <c r="B18" s="15">
        <f>J15</f>
        <v>0</v>
      </c>
      <c r="C18" s="15">
        <f>J16</f>
        <v>0</v>
      </c>
    </row>
    <row r="19" spans="1:8" hidden="1" x14ac:dyDescent="0.25">
      <c r="A19" s="15" t="s">
        <v>70</v>
      </c>
      <c r="B19" s="15">
        <f>K15</f>
        <v>0</v>
      </c>
      <c r="C19" s="15">
        <f>K16</f>
        <v>0</v>
      </c>
    </row>
    <row r="20" spans="1:8" hidden="1" x14ac:dyDescent="0.25">
      <c r="A20" s="25" t="s">
        <v>106</v>
      </c>
      <c r="B20" s="15">
        <f>L15</f>
        <v>0</v>
      </c>
      <c r="C20" s="15">
        <f>L16</f>
        <v>0</v>
      </c>
    </row>
    <row r="21" spans="1:8" hidden="1" x14ac:dyDescent="0.25">
      <c r="A21" s="15" t="s">
        <v>71</v>
      </c>
      <c r="B21" s="15">
        <f>M15</f>
        <v>0</v>
      </c>
      <c r="C21" s="15">
        <f>M16</f>
        <v>0</v>
      </c>
    </row>
    <row r="22" spans="1:8" x14ac:dyDescent="0.25">
      <c r="A22" s="15" t="s">
        <v>112</v>
      </c>
      <c r="B22" s="26">
        <f>(B15+B16+B17+B18+B19+B20+B21)/100</f>
        <v>0.13870738636363636</v>
      </c>
      <c r="C22" s="26">
        <f>(C15+C16+C17+C18+C19+C20+C21)/100</f>
        <v>0.32961647727272725</v>
      </c>
      <c r="F22" s="244" t="s">
        <v>169</v>
      </c>
      <c r="G22" s="244"/>
      <c r="H22" s="19" t="s">
        <v>160</v>
      </c>
    </row>
    <row r="23" spans="1:8" x14ac:dyDescent="0.25">
      <c r="F23" s="244" t="s">
        <v>170</v>
      </c>
      <c r="G23" s="244"/>
      <c r="H23" s="19" t="s">
        <v>171</v>
      </c>
    </row>
    <row r="24" spans="1:8" x14ac:dyDescent="0.25">
      <c r="A24" s="14" t="s">
        <v>142</v>
      </c>
      <c r="B24" s="27">
        <v>0.01</v>
      </c>
      <c r="C24" s="27">
        <v>0.02</v>
      </c>
      <c r="F24" s="244" t="s">
        <v>172</v>
      </c>
      <c r="G24" s="244"/>
      <c r="H24" s="19" t="s">
        <v>173</v>
      </c>
    </row>
    <row r="25" spans="1:8" x14ac:dyDescent="0.25">
      <c r="A25" s="14" t="s">
        <v>143</v>
      </c>
      <c r="B25" s="27">
        <v>0.01</v>
      </c>
      <c r="C25" s="27">
        <v>0.03</v>
      </c>
    </row>
    <row r="26" spans="1:8" x14ac:dyDescent="0.25">
      <c r="A26" s="14" t="s">
        <v>144</v>
      </c>
      <c r="B26" s="27">
        <v>0.03</v>
      </c>
      <c r="C26" s="27">
        <v>0.08</v>
      </c>
    </row>
    <row r="27" spans="1:8" x14ac:dyDescent="0.25">
      <c r="A27" s="14" t="s">
        <v>145</v>
      </c>
      <c r="B27" s="27">
        <v>0.05</v>
      </c>
      <c r="C27" s="27">
        <v>0.15</v>
      </c>
    </row>
    <row r="28" spans="1:8" x14ac:dyDescent="0.25">
      <c r="A28" s="14" t="s">
        <v>146</v>
      </c>
      <c r="B28" s="27">
        <v>7.0000000000000007E-2</v>
      </c>
      <c r="C28" s="27">
        <v>0.2</v>
      </c>
    </row>
    <row r="29" spans="1:8" x14ac:dyDescent="0.25">
      <c r="A29" s="14" t="s">
        <v>147</v>
      </c>
      <c r="B29" s="27">
        <v>0.1</v>
      </c>
      <c r="C29" s="27">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 sqref="C2"/>
    </sheetView>
  </sheetViews>
  <sheetFormatPr defaultRowHeight="15" x14ac:dyDescent="0.25"/>
  <cols>
    <col min="1" max="1" width="10.28515625" bestFit="1" customWidth="1"/>
  </cols>
  <sheetData>
    <row r="2" spans="1:2" x14ac:dyDescent="0.25">
      <c r="A2" s="31">
        <v>44179</v>
      </c>
      <c r="B2" s="32" t="s">
        <v>213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B1"/>
    </sheetView>
  </sheetViews>
  <sheetFormatPr defaultColWidth="8.7109375" defaultRowHeight="15" x14ac:dyDescent="0.25"/>
  <cols>
    <col min="1" max="1" width="10.5703125" style="32" bestFit="1" customWidth="1"/>
    <col min="2" max="2" width="22.140625" style="32" customWidth="1"/>
    <col min="3" max="3" width="37" style="32" customWidth="1"/>
    <col min="4" max="5" width="11.42578125" style="32" customWidth="1"/>
    <col min="6" max="6" width="14" style="32" customWidth="1"/>
    <col min="7" max="7" width="20" style="32" customWidth="1"/>
    <col min="8" max="8" width="16.42578125" style="32" customWidth="1"/>
    <col min="9" max="16384" width="8.7109375" style="32"/>
  </cols>
  <sheetData>
    <row r="1" spans="1:9" ht="15" customHeight="1" x14ac:dyDescent="0.25">
      <c r="A1" s="31">
        <v>44179</v>
      </c>
      <c r="B1" s="32" t="s">
        <v>213</v>
      </c>
    </row>
    <row r="2" spans="1:9" ht="15" customHeight="1" x14ac:dyDescent="0.25">
      <c r="A2" s="33"/>
      <c r="B2" s="33"/>
      <c r="C2" s="33"/>
      <c r="D2" s="33"/>
      <c r="E2" s="33"/>
      <c r="F2" s="33"/>
      <c r="G2" s="33"/>
      <c r="H2" s="33"/>
    </row>
    <row r="3" spans="1:9" ht="15.75" customHeight="1" x14ac:dyDescent="0.25">
      <c r="A3" s="33"/>
      <c r="B3" s="247" t="s">
        <v>214</v>
      </c>
      <c r="C3" s="247"/>
      <c r="D3" s="247"/>
      <c r="E3" s="247"/>
      <c r="F3" s="247"/>
      <c r="G3" s="247"/>
      <c r="H3" s="247"/>
    </row>
    <row r="4" spans="1:9" x14ac:dyDescent="0.25">
      <c r="A4" s="33"/>
      <c r="B4" s="34" t="s">
        <v>215</v>
      </c>
      <c r="C4" s="34" t="s">
        <v>216</v>
      </c>
      <c r="D4" s="34" t="s">
        <v>114</v>
      </c>
      <c r="E4" s="34" t="s">
        <v>217</v>
      </c>
      <c r="F4" s="34" t="s">
        <v>218</v>
      </c>
      <c r="G4" s="34" t="s">
        <v>219</v>
      </c>
      <c r="H4" s="34" t="s">
        <v>220</v>
      </c>
    </row>
    <row r="5" spans="1:9" ht="15" customHeight="1" x14ac:dyDescent="0.25">
      <c r="A5" s="33"/>
      <c r="B5" s="35" t="s">
        <v>221</v>
      </c>
      <c r="C5" s="36"/>
      <c r="D5" s="35"/>
      <c r="E5" s="35"/>
      <c r="F5" s="37"/>
      <c r="G5" s="37" t="e">
        <f>H5/F5</f>
        <v>#DIV/0!</v>
      </c>
      <c r="H5" s="38"/>
    </row>
    <row r="6" spans="1:9" x14ac:dyDescent="0.25">
      <c r="A6" s="33"/>
      <c r="B6" s="35" t="s">
        <v>222</v>
      </c>
      <c r="C6" s="39"/>
      <c r="D6" s="35"/>
      <c r="E6" s="35"/>
      <c r="F6" s="37"/>
      <c r="G6" s="37" t="e">
        <f t="shared" ref="G6:G11" si="0">H6/F6</f>
        <v>#DIV/0!</v>
      </c>
      <c r="H6" s="38"/>
    </row>
    <row r="7" spans="1:9" ht="15" customHeight="1" x14ac:dyDescent="0.25">
      <c r="A7" s="33"/>
      <c r="B7" s="35" t="s">
        <v>223</v>
      </c>
      <c r="C7" s="36"/>
      <c r="D7" s="35"/>
      <c r="E7" s="35"/>
      <c r="F7" s="37"/>
      <c r="G7" s="37" t="e">
        <f t="shared" si="0"/>
        <v>#DIV/0!</v>
      </c>
      <c r="H7" s="38"/>
    </row>
    <row r="8" spans="1:9" x14ac:dyDescent="0.25">
      <c r="A8" s="33"/>
      <c r="B8" s="35" t="s">
        <v>223</v>
      </c>
      <c r="C8" s="39"/>
      <c r="D8" s="35"/>
      <c r="E8" s="35"/>
      <c r="F8" s="37"/>
      <c r="G8" s="37" t="e">
        <f t="shared" si="0"/>
        <v>#DIV/0!</v>
      </c>
      <c r="H8" s="38"/>
    </row>
    <row r="9" spans="1:9" ht="15" customHeight="1" x14ac:dyDescent="0.25">
      <c r="A9" s="33"/>
      <c r="B9" s="35" t="s">
        <v>223</v>
      </c>
      <c r="C9" s="39"/>
      <c r="D9" s="35"/>
      <c r="E9" s="35"/>
      <c r="F9" s="37"/>
      <c r="G9" s="37" t="e">
        <f t="shared" si="0"/>
        <v>#DIV/0!</v>
      </c>
      <c r="H9" s="38"/>
    </row>
    <row r="10" spans="1:9" ht="15" customHeight="1" x14ac:dyDescent="0.25">
      <c r="A10" s="33"/>
      <c r="B10" s="35" t="s">
        <v>224</v>
      </c>
      <c r="C10" s="36"/>
      <c r="D10" s="35"/>
      <c r="E10" s="35"/>
      <c r="F10" s="37"/>
      <c r="G10" s="37" t="e">
        <f t="shared" si="0"/>
        <v>#DIV/0!</v>
      </c>
      <c r="H10" s="38"/>
    </row>
    <row r="11" spans="1:9" ht="15" customHeight="1" x14ac:dyDescent="0.25">
      <c r="A11" s="33"/>
      <c r="B11" s="35" t="s">
        <v>224</v>
      </c>
      <c r="C11" s="36"/>
      <c r="D11" s="35"/>
      <c r="E11" s="35"/>
      <c r="F11" s="37"/>
      <c r="G11" s="37" t="e">
        <f t="shared" si="0"/>
        <v>#DIV/0!</v>
      </c>
      <c r="H11" s="38"/>
    </row>
    <row r="12" spans="1:9" ht="15" customHeight="1" x14ac:dyDescent="0.25">
      <c r="A12" s="33"/>
      <c r="B12" s="40" t="s">
        <v>225</v>
      </c>
      <c r="C12" s="35"/>
      <c r="D12" s="35"/>
      <c r="E12" s="35"/>
      <c r="F12" s="35"/>
      <c r="G12" s="41" t="e">
        <f>AVERAGE(G5:G11)</f>
        <v>#DIV/0!</v>
      </c>
      <c r="H12" s="35"/>
    </row>
    <row r="13" spans="1:9" ht="15" customHeight="1" x14ac:dyDescent="0.25">
      <c r="B13" s="40" t="s">
        <v>226</v>
      </c>
      <c r="C13" s="35"/>
      <c r="D13" s="35"/>
      <c r="E13" s="35"/>
      <c r="F13" s="42"/>
      <c r="G13" s="40">
        <v>32000</v>
      </c>
      <c r="H13" s="40"/>
      <c r="I13" s="43"/>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5" t="s">
        <v>113</v>
      </c>
      <c r="C2" s="248"/>
      <c r="D2" s="248"/>
    </row>
    <row r="3" spans="1:12" x14ac:dyDescent="0.25">
      <c r="D3" s="6"/>
      <c r="E3" s="6"/>
      <c r="F3" s="6"/>
      <c r="G3" s="6"/>
      <c r="H3" s="6"/>
      <c r="I3" s="6"/>
    </row>
    <row r="4" spans="1:12" x14ac:dyDescent="0.25">
      <c r="A4" s="5" t="s">
        <v>114</v>
      </c>
      <c r="B4" s="7" t="s">
        <v>115</v>
      </c>
      <c r="C4" s="249" t="s">
        <v>116</v>
      </c>
      <c r="D4" s="249"/>
      <c r="E4" s="249"/>
      <c r="F4" s="8"/>
      <c r="G4" s="249" t="s">
        <v>117</v>
      </c>
      <c r="H4" s="249"/>
      <c r="I4" s="249"/>
      <c r="J4" s="249" t="s">
        <v>118</v>
      </c>
      <c r="K4" s="249"/>
      <c r="L4" s="249"/>
    </row>
    <row r="5" spans="1:12" x14ac:dyDescent="0.25">
      <c r="A5" s="5">
        <v>1</v>
      </c>
      <c r="B5" s="7"/>
      <c r="C5" s="7" t="s">
        <v>119</v>
      </c>
      <c r="D5" s="7" t="s">
        <v>120</v>
      </c>
      <c r="E5" s="7" t="s">
        <v>80</v>
      </c>
      <c r="F5" s="7"/>
      <c r="G5" s="7" t="s">
        <v>119</v>
      </c>
      <c r="H5" s="7" t="s">
        <v>120</v>
      </c>
      <c r="I5" s="7" t="s">
        <v>80</v>
      </c>
      <c r="J5" s="7" t="s">
        <v>119</v>
      </c>
      <c r="K5" s="7" t="s">
        <v>120</v>
      </c>
      <c r="L5" s="7" t="s">
        <v>80</v>
      </c>
    </row>
    <row r="6" spans="1:12" x14ac:dyDescent="0.25">
      <c r="B6" s="9" t="s">
        <v>121</v>
      </c>
      <c r="C6" s="9"/>
      <c r="D6" s="9"/>
      <c r="E6" s="9">
        <f>C6*D6</f>
        <v>0</v>
      </c>
      <c r="F6" s="9" t="s">
        <v>122</v>
      </c>
      <c r="G6" s="9"/>
      <c r="H6" s="9"/>
      <c r="I6" s="9">
        <f>G6*H6</f>
        <v>0</v>
      </c>
      <c r="J6" s="9"/>
      <c r="K6" s="9"/>
      <c r="L6" s="9">
        <f>J6*K6</f>
        <v>0</v>
      </c>
    </row>
    <row r="7" spans="1:12" x14ac:dyDescent="0.25">
      <c r="B7" s="9"/>
      <c r="C7" s="9"/>
      <c r="D7" s="9"/>
      <c r="E7" s="9">
        <f t="shared" ref="E7:E33" si="0">C7*D7</f>
        <v>0</v>
      </c>
      <c r="F7" s="9" t="s">
        <v>123</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124</v>
      </c>
      <c r="C9" s="9"/>
      <c r="D9" s="9"/>
      <c r="E9" s="9">
        <f t="shared" si="0"/>
        <v>0</v>
      </c>
      <c r="F9" s="9" t="s">
        <v>122</v>
      </c>
      <c r="G9" s="9"/>
      <c r="H9" s="9"/>
      <c r="I9" s="9">
        <f t="shared" si="1"/>
        <v>0</v>
      </c>
      <c r="J9" s="9"/>
      <c r="K9" s="9"/>
      <c r="L9" s="9">
        <f t="shared" si="2"/>
        <v>0</v>
      </c>
    </row>
    <row r="10" spans="1:12" x14ac:dyDescent="0.25">
      <c r="B10" s="9"/>
      <c r="C10" s="9"/>
      <c r="D10" s="9"/>
      <c r="E10" s="9">
        <f t="shared" si="0"/>
        <v>0</v>
      </c>
      <c r="F10" s="9" t="s">
        <v>123</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125</v>
      </c>
      <c r="C13" s="9"/>
      <c r="D13" s="9"/>
      <c r="E13" s="9">
        <f t="shared" si="0"/>
        <v>0</v>
      </c>
      <c r="F13" s="9" t="s">
        <v>122</v>
      </c>
      <c r="G13" s="9"/>
      <c r="H13" s="9"/>
      <c r="I13" s="9">
        <f t="shared" si="1"/>
        <v>0</v>
      </c>
      <c r="J13" s="9"/>
      <c r="K13" s="9"/>
      <c r="L13" s="9">
        <f t="shared" si="2"/>
        <v>0</v>
      </c>
    </row>
    <row r="14" spans="1:12" x14ac:dyDescent="0.25">
      <c r="B14" s="9"/>
      <c r="C14" s="9"/>
      <c r="D14" s="9"/>
      <c r="E14" s="9">
        <f t="shared" si="0"/>
        <v>0</v>
      </c>
      <c r="F14" s="9" t="s">
        <v>123</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126</v>
      </c>
      <c r="C17" s="9"/>
      <c r="D17" s="9"/>
      <c r="E17" s="9">
        <f t="shared" si="0"/>
        <v>0</v>
      </c>
      <c r="F17" s="9" t="s">
        <v>122</v>
      </c>
      <c r="G17" s="9"/>
      <c r="H17" s="9"/>
      <c r="I17" s="9">
        <f t="shared" si="1"/>
        <v>0</v>
      </c>
      <c r="J17" s="9"/>
      <c r="K17" s="9"/>
      <c r="L17" s="9">
        <f t="shared" si="2"/>
        <v>0</v>
      </c>
    </row>
    <row r="18" spans="2:12" x14ac:dyDescent="0.25">
      <c r="B18" s="9"/>
      <c r="C18" s="9"/>
      <c r="D18" s="9"/>
      <c r="E18" s="9">
        <f t="shared" si="0"/>
        <v>0</v>
      </c>
      <c r="F18" s="9" t="s">
        <v>123</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126</v>
      </c>
      <c r="C20" s="9"/>
      <c r="D20" s="9"/>
      <c r="E20" s="9">
        <f t="shared" si="0"/>
        <v>0</v>
      </c>
      <c r="F20" s="9" t="s">
        <v>122</v>
      </c>
      <c r="G20" s="9"/>
      <c r="H20" s="9"/>
      <c r="I20" s="9">
        <f t="shared" si="1"/>
        <v>0</v>
      </c>
      <c r="J20" s="9"/>
      <c r="K20" s="9"/>
      <c r="L20" s="9">
        <f t="shared" si="2"/>
        <v>0</v>
      </c>
    </row>
    <row r="21" spans="2:12" x14ac:dyDescent="0.25">
      <c r="B21" s="9"/>
      <c r="C21" s="9"/>
      <c r="D21" s="9"/>
      <c r="E21" s="9">
        <f t="shared" si="0"/>
        <v>0</v>
      </c>
      <c r="F21" s="9" t="s">
        <v>123</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127</v>
      </c>
      <c r="C23" s="9"/>
      <c r="D23" s="9"/>
      <c r="E23" s="9">
        <f t="shared" si="0"/>
        <v>0</v>
      </c>
      <c r="F23" s="9" t="s">
        <v>128</v>
      </c>
      <c r="G23" s="9"/>
      <c r="H23" s="9"/>
      <c r="I23" s="9">
        <f t="shared" si="1"/>
        <v>0</v>
      </c>
      <c r="J23" s="9"/>
      <c r="K23" s="9"/>
      <c r="L23" s="9">
        <f t="shared" si="2"/>
        <v>0</v>
      </c>
    </row>
    <row r="24" spans="2:12" x14ac:dyDescent="0.25">
      <c r="B24" s="9" t="s">
        <v>129</v>
      </c>
      <c r="C24" s="9"/>
      <c r="D24" s="9"/>
      <c r="E24" s="9">
        <f t="shared" si="0"/>
        <v>0</v>
      </c>
      <c r="F24" s="9" t="s">
        <v>128</v>
      </c>
      <c r="G24" s="9"/>
      <c r="H24" s="9"/>
      <c r="I24" s="9">
        <f t="shared" si="1"/>
        <v>0</v>
      </c>
      <c r="J24" s="9"/>
      <c r="K24" s="9"/>
      <c r="L24" s="9">
        <f t="shared" si="2"/>
        <v>0</v>
      </c>
    </row>
    <row r="25" spans="2:12" x14ac:dyDescent="0.25">
      <c r="B25" s="9" t="s">
        <v>130</v>
      </c>
      <c r="C25" s="9"/>
      <c r="D25" s="9"/>
      <c r="E25" s="9">
        <f t="shared" si="0"/>
        <v>0</v>
      </c>
      <c r="F25" s="9" t="s">
        <v>128</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131</v>
      </c>
      <c r="C27" s="9"/>
      <c r="D27" s="9"/>
      <c r="E27" s="9">
        <f t="shared" si="0"/>
        <v>0</v>
      </c>
      <c r="F27" s="9"/>
      <c r="G27" s="9"/>
      <c r="H27" s="9"/>
      <c r="I27" s="9">
        <f t="shared" si="1"/>
        <v>0</v>
      </c>
      <c r="J27" s="9"/>
      <c r="K27" s="9"/>
      <c r="L27" s="9">
        <f t="shared" si="2"/>
        <v>0</v>
      </c>
    </row>
    <row r="28" spans="2:12" x14ac:dyDescent="0.25">
      <c r="B28" s="9" t="s">
        <v>132</v>
      </c>
      <c r="C28" s="9"/>
      <c r="D28" s="9"/>
      <c r="E28" s="9">
        <f t="shared" si="0"/>
        <v>0</v>
      </c>
      <c r="F28" s="9"/>
      <c r="G28" s="9"/>
      <c r="H28" s="9"/>
      <c r="I28" s="9">
        <f t="shared" si="1"/>
        <v>0</v>
      </c>
      <c r="J28" s="9"/>
      <c r="K28" s="9"/>
      <c r="L28" s="9">
        <f t="shared" si="2"/>
        <v>0</v>
      </c>
    </row>
    <row r="29" spans="2:12" x14ac:dyDescent="0.25">
      <c r="B29" s="9" t="s">
        <v>133</v>
      </c>
      <c r="C29" s="9"/>
      <c r="D29" s="9"/>
      <c r="E29" s="9">
        <f t="shared" si="0"/>
        <v>0</v>
      </c>
      <c r="F29" s="9"/>
      <c r="G29" s="9"/>
      <c r="H29" s="9"/>
      <c r="I29" s="9">
        <f t="shared" si="1"/>
        <v>0</v>
      </c>
      <c r="J29" s="9"/>
      <c r="K29" s="9"/>
      <c r="L29" s="9">
        <f t="shared" si="2"/>
        <v>0</v>
      </c>
    </row>
    <row r="30" spans="2:12" x14ac:dyDescent="0.25">
      <c r="B30" s="9" t="s">
        <v>134</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81</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B1%</vt:lpstr>
      <vt:lpstr>B2%</vt:lpstr>
      <vt:lpstr>Note</vt:lpstr>
      <vt:lpstr>Valuation</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2025-07-14T07:35:36Z</cp:lastPrinted>
  <dcterms:created xsi:type="dcterms:W3CDTF">2019-07-16T09:29:46Z</dcterms:created>
  <dcterms:modified xsi:type="dcterms:W3CDTF">2025-07-14T07:36:14Z</dcterms:modified>
</cp:coreProperties>
</file>