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Shruti\July 25\Dump\"/>
    </mc:Choice>
  </mc:AlternateContent>
  <bookViews>
    <workbookView xWindow="0" yWindow="0" windowWidth="20490" windowHeight="7755"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Report!$A$1:$H$404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16" i="1" l="1"/>
  <c r="A217" i="1" s="1"/>
  <c r="A218" i="1" s="1"/>
  <c r="A219" i="1" s="1"/>
  <c r="A186" i="1"/>
  <c r="A187" i="1" s="1"/>
  <c r="A188" i="1" s="1"/>
  <c r="A189" i="1" s="1"/>
  <c r="A190" i="1" s="1"/>
  <c r="E190" i="1"/>
  <c r="D190" i="1"/>
  <c r="E189" i="1"/>
  <c r="D189" i="1"/>
  <c r="E188" i="1"/>
  <c r="D188" i="1"/>
  <c r="E186" i="1"/>
  <c r="D186" i="1"/>
  <c r="F186" i="1" s="1"/>
  <c r="H186" i="1" s="1"/>
  <c r="E185" i="1"/>
  <c r="D185" i="1"/>
  <c r="A209" i="1"/>
  <c r="A210" i="1" s="1"/>
  <c r="A211" i="1" s="1"/>
  <c r="A212" i="1" s="1"/>
  <c r="A179" i="1"/>
  <c r="A180" i="1" s="1"/>
  <c r="A181" i="1" s="1"/>
  <c r="A182" i="1" s="1"/>
  <c r="A183" i="1" s="1"/>
  <c r="E183" i="1"/>
  <c r="D183" i="1"/>
  <c r="E182" i="1"/>
  <c r="D182" i="1"/>
  <c r="E181" i="1"/>
  <c r="D181" i="1"/>
  <c r="E180" i="1"/>
  <c r="D180" i="1"/>
  <c r="E179" i="1"/>
  <c r="D179" i="1"/>
  <c r="E178" i="1"/>
  <c r="D178" i="1"/>
  <c r="A202" i="1"/>
  <c r="A203" i="1" s="1"/>
  <c r="A204" i="1" s="1"/>
  <c r="A205" i="1" s="1"/>
  <c r="A172" i="1"/>
  <c r="A173" i="1" s="1"/>
  <c r="A174" i="1" s="1"/>
  <c r="A175" i="1" s="1"/>
  <c r="A176" i="1" s="1"/>
  <c r="D176" i="1"/>
  <c r="F176" i="1" s="1"/>
  <c r="H176" i="1" s="1"/>
  <c r="D175" i="1"/>
  <c r="F175" i="1" s="1"/>
  <c r="H175" i="1" s="1"/>
  <c r="D174" i="1"/>
  <c r="F174" i="1" s="1"/>
  <c r="H174" i="1" s="1"/>
  <c r="D173" i="1"/>
  <c r="F173" i="1" s="1"/>
  <c r="H173" i="1" s="1"/>
  <c r="D172" i="1"/>
  <c r="F172" i="1" s="1"/>
  <c r="H172" i="1" s="1"/>
  <c r="D171" i="1"/>
  <c r="F171" i="1" s="1"/>
  <c r="H171" i="1" s="1"/>
  <c r="I199" i="1"/>
  <c r="D199" i="1"/>
  <c r="F199" i="1" s="1"/>
  <c r="H199" i="1" s="1"/>
  <c r="G198" i="1"/>
  <c r="D198" i="1"/>
  <c r="F198" i="1" s="1"/>
  <c r="G197" i="1"/>
  <c r="D197" i="1"/>
  <c r="F197" i="1" s="1"/>
  <c r="G196" i="1"/>
  <c r="D196" i="1"/>
  <c r="F196" i="1" s="1"/>
  <c r="G195" i="1"/>
  <c r="D195" i="1"/>
  <c r="F195" i="1" s="1"/>
  <c r="A195" i="1"/>
  <c r="A196" i="1" s="1"/>
  <c r="A197" i="1" s="1"/>
  <c r="A198" i="1" s="1"/>
  <c r="I194" i="1"/>
  <c r="G194" i="1"/>
  <c r="D194" i="1"/>
  <c r="F194" i="1" s="1"/>
  <c r="H195" i="1" l="1"/>
  <c r="F188" i="1"/>
  <c r="H188" i="1" s="1"/>
  <c r="F180" i="1"/>
  <c r="H180" i="1" s="1"/>
  <c r="F189" i="1"/>
  <c r="H189" i="1" s="1"/>
  <c r="F190" i="1"/>
  <c r="H190" i="1" s="1"/>
  <c r="K190" i="1" s="1"/>
  <c r="H197" i="1"/>
  <c r="F183" i="1"/>
  <c r="H183" i="1" s="1"/>
  <c r="F185" i="1"/>
  <c r="H185" i="1" s="1"/>
  <c r="F181" i="1"/>
  <c r="H181" i="1" s="1"/>
  <c r="F182" i="1"/>
  <c r="H182" i="1" s="1"/>
  <c r="F178" i="1"/>
  <c r="H178" i="1" s="1"/>
  <c r="F179" i="1"/>
  <c r="H179" i="1" s="1"/>
  <c r="H196" i="1"/>
  <c r="H198" i="1"/>
  <c r="H194" i="1"/>
  <c r="C88" i="1" l="1"/>
  <c r="C74" i="1" l="1"/>
  <c r="H75" i="1"/>
  <c r="D84" i="1" l="1"/>
  <c r="D80" i="1"/>
  <c r="J79" i="1"/>
  <c r="C78" i="1" s="1"/>
  <c r="D78" i="1" s="1"/>
  <c r="J77" i="1"/>
  <c r="J74" i="1"/>
  <c r="J76" i="1" s="1"/>
  <c r="D87" i="1"/>
  <c r="D83" i="1"/>
  <c r="D86" i="1"/>
  <c r="D82" i="1"/>
  <c r="J78" i="1"/>
  <c r="D85" i="1"/>
  <c r="D81" i="1"/>
  <c r="B75" i="1"/>
  <c r="J84" i="1" l="1"/>
  <c r="J80" i="1"/>
  <c r="J81" i="1" s="1"/>
  <c r="J86" i="1" s="1"/>
  <c r="J87" i="1" s="1"/>
  <c r="C79" i="1" s="1"/>
  <c r="J83" i="1"/>
  <c r="J82" i="1"/>
  <c r="J85" i="1"/>
  <c r="E78" i="1" l="1"/>
  <c r="D79" i="1"/>
  <c r="I75" i="1" s="1"/>
  <c r="G78" i="1"/>
  <c r="J75" i="1"/>
  <c r="E219" i="1"/>
  <c r="E218" i="1"/>
  <c r="E217" i="1"/>
  <c r="E216" i="1"/>
  <c r="E215" i="1"/>
  <c r="E220" i="1"/>
  <c r="E213" i="1"/>
  <c r="E212" i="1"/>
  <c r="E211" i="1"/>
  <c r="E210" i="1"/>
  <c r="E209" i="1"/>
  <c r="E208" i="1"/>
  <c r="D213" i="1"/>
  <c r="D212" i="1"/>
  <c r="D211" i="1"/>
  <c r="F211" i="1" s="1"/>
  <c r="H211" i="1" s="1"/>
  <c r="D210" i="1"/>
  <c r="D209" i="1"/>
  <c r="D208" i="1"/>
  <c r="G51" i="1"/>
  <c r="G52" i="1" s="1"/>
  <c r="F209" i="1" l="1"/>
  <c r="H209" i="1" s="1"/>
  <c r="F208" i="1"/>
  <c r="H208" i="1" s="1"/>
  <c r="I76" i="1"/>
  <c r="I74" i="1" s="1"/>
  <c r="C76" i="1" s="1"/>
  <c r="F213" i="1"/>
  <c r="H213" i="1" s="1"/>
  <c r="F212" i="1"/>
  <c r="H212" i="1" s="1"/>
  <c r="F210" i="1"/>
  <c r="H210" i="1" s="1"/>
  <c r="D220" i="1"/>
  <c r="F220" i="1" s="1"/>
  <c r="H220" i="1" s="1"/>
  <c r="D219" i="1"/>
  <c r="F219" i="1" s="1"/>
  <c r="H219" i="1" s="1"/>
  <c r="D218" i="1"/>
  <c r="D217" i="1"/>
  <c r="D216" i="1"/>
  <c r="D215" i="1"/>
  <c r="D206" i="1"/>
  <c r="F206" i="1" s="1"/>
  <c r="H206" i="1" s="1"/>
  <c r="D205" i="1"/>
  <c r="F205" i="1" s="1"/>
  <c r="H205" i="1" s="1"/>
  <c r="D204" i="1"/>
  <c r="F204" i="1" s="1"/>
  <c r="H204" i="1" s="1"/>
  <c r="D203" i="1"/>
  <c r="F203" i="1" s="1"/>
  <c r="H203" i="1" s="1"/>
  <c r="D202" i="1"/>
  <c r="F202" i="1" s="1"/>
  <c r="H202" i="1" s="1"/>
  <c r="D201" i="1"/>
  <c r="F201" i="1" s="1"/>
  <c r="D169" i="1"/>
  <c r="F169" i="1" s="1"/>
  <c r="H169" i="1" s="1"/>
  <c r="D168" i="1"/>
  <c r="F168" i="1" s="1"/>
  <c r="H168" i="1" s="1"/>
  <c r="D167" i="1"/>
  <c r="F167" i="1" s="1"/>
  <c r="H167" i="1" s="1"/>
  <c r="D166" i="1"/>
  <c r="F166" i="1" s="1"/>
  <c r="D165" i="1"/>
  <c r="F165" i="1" s="1"/>
  <c r="D164" i="1"/>
  <c r="F164" i="1" s="1"/>
  <c r="I167" i="1"/>
  <c r="G165" i="1"/>
  <c r="G164" i="1"/>
  <c r="A165" i="1"/>
  <c r="A166" i="1" s="1"/>
  <c r="A167" i="1" s="1"/>
  <c r="A168" i="1" s="1"/>
  <c r="A169" i="1" s="1"/>
  <c r="D156" i="1"/>
  <c r="F156" i="1" s="1"/>
  <c r="H156" i="1" s="1"/>
  <c r="D155" i="1"/>
  <c r="F155" i="1" s="1"/>
  <c r="H155" i="1" s="1"/>
  <c r="D154" i="1"/>
  <c r="F154" i="1" s="1"/>
  <c r="H154" i="1" s="1"/>
  <c r="D153" i="1"/>
  <c r="F153" i="1" s="1"/>
  <c r="H153" i="1" s="1"/>
  <c r="D152" i="1"/>
  <c r="F152" i="1" s="1"/>
  <c r="H152" i="1" s="1"/>
  <c r="D151" i="1"/>
  <c r="F151" i="1" s="1"/>
  <c r="H151" i="1" s="1"/>
  <c r="D150" i="1"/>
  <c r="F150" i="1" s="1"/>
  <c r="H150" i="1" s="1"/>
  <c r="D149" i="1"/>
  <c r="F149" i="1" s="1"/>
  <c r="H149" i="1" s="1"/>
  <c r="D148" i="1"/>
  <c r="F148" i="1" s="1"/>
  <c r="H148" i="1" s="1"/>
  <c r="D147" i="1"/>
  <c r="F147" i="1" s="1"/>
  <c r="H147" i="1" s="1"/>
  <c r="D146" i="1"/>
  <c r="F146" i="1" s="1"/>
  <c r="H146" i="1" s="1"/>
  <c r="D145" i="1"/>
  <c r="F145" i="1" s="1"/>
  <c r="H145" i="1" s="1"/>
  <c r="D144" i="1"/>
  <c r="F144" i="1" s="1"/>
  <c r="H144" i="1" s="1"/>
  <c r="D143" i="1"/>
  <c r="F143" i="1" s="1"/>
  <c r="H143" i="1" s="1"/>
  <c r="D142" i="1"/>
  <c r="D139" i="1"/>
  <c r="F139" i="1" s="1"/>
  <c r="H139" i="1" s="1"/>
  <c r="D138" i="1"/>
  <c r="F138" i="1" s="1"/>
  <c r="H138" i="1" s="1"/>
  <c r="D137" i="1"/>
  <c r="F137" i="1" s="1"/>
  <c r="H137" i="1" s="1"/>
  <c r="D136" i="1"/>
  <c r="F136" i="1" s="1"/>
  <c r="H136" i="1" s="1"/>
  <c r="D135" i="1"/>
  <c r="D134" i="1"/>
  <c r="D133" i="1"/>
  <c r="D132" i="1"/>
  <c r="I154" i="1"/>
  <c r="I138" i="1"/>
  <c r="I135" i="1"/>
  <c r="I133" i="1"/>
  <c r="F142" i="1" l="1"/>
  <c r="C118" i="1"/>
  <c r="C117" i="1"/>
  <c r="C119" i="1" s="1"/>
  <c r="H201" i="1"/>
  <c r="E122" i="1"/>
  <c r="C122" i="1"/>
  <c r="K220" i="1"/>
  <c r="H165" i="1"/>
  <c r="H164" i="1"/>
  <c r="H166" i="1"/>
  <c r="E43" i="1"/>
  <c r="G122" i="1" l="1"/>
  <c r="H142" i="1"/>
  <c r="G118" i="1" s="1"/>
  <c r="E118" i="1"/>
  <c r="F132" i="1"/>
  <c r="H132" i="1" l="1"/>
  <c r="E31" i="1"/>
  <c r="E26" i="1"/>
  <c r="F215" i="1" l="1"/>
  <c r="H215" i="1" l="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l="1"/>
  <c r="I42" i="7"/>
  <c r="H42" i="7" s="1"/>
  <c r="L42" i="7"/>
  <c r="K42" i="7" s="1"/>
  <c r="D42" i="7"/>
  <c r="D44" i="7" s="1"/>
  <c r="E44" i="7"/>
  <c r="B247" i="1" l="1"/>
  <c r="F133" i="1" l="1"/>
  <c r="F134" i="1"/>
  <c r="H134" i="1" s="1"/>
  <c r="F135" i="1"/>
  <c r="H135" i="1" s="1"/>
  <c r="E117" i="1" l="1"/>
  <c r="E119" i="1" s="1"/>
  <c r="H133" i="1"/>
  <c r="G117" i="1" s="1"/>
  <c r="G119" i="1" s="1"/>
  <c r="G58" i="1"/>
  <c r="C58" i="1"/>
  <c r="G56" i="1"/>
  <c r="C56" i="1"/>
  <c r="C54" i="1"/>
  <c r="S33" i="1" l="1"/>
  <c r="F11" i="5" l="1"/>
  <c r="G11" i="5" s="1"/>
  <c r="F10" i="5"/>
  <c r="G10" i="5" s="1"/>
  <c r="F9" i="5"/>
  <c r="G9" i="5" s="1"/>
  <c r="F8" i="5"/>
  <c r="G8" i="5" s="1"/>
  <c r="F7" i="5"/>
  <c r="G7" i="5" s="1"/>
  <c r="F6" i="5"/>
  <c r="G6" i="5" s="1"/>
  <c r="F5" i="5"/>
  <c r="G5" i="5" s="1"/>
  <c r="G12" i="5" s="1"/>
  <c r="D273" i="1"/>
  <c r="B248" i="1"/>
  <c r="F244" i="1"/>
  <c r="H244" i="1" s="1"/>
  <c r="F243" i="1"/>
  <c r="H243" i="1" s="1"/>
  <c r="F242" i="1"/>
  <c r="H242" i="1" s="1"/>
  <c r="F241" i="1"/>
  <c r="H241" i="1" s="1"/>
  <c r="F240" i="1"/>
  <c r="H240" i="1" s="1"/>
  <c r="F238" i="1"/>
  <c r="H238" i="1" s="1"/>
  <c r="F237" i="1"/>
  <c r="H237" i="1" s="1"/>
  <c r="F236" i="1"/>
  <c r="H236" i="1" s="1"/>
  <c r="F235" i="1"/>
  <c r="H235" i="1" s="1"/>
  <c r="F234" i="1"/>
  <c r="H234" i="1" s="1"/>
  <c r="F232" i="1"/>
  <c r="H232" i="1" s="1"/>
  <c r="F231" i="1"/>
  <c r="H231" i="1" s="1"/>
  <c r="F230" i="1"/>
  <c r="H230" i="1" s="1"/>
  <c r="F229" i="1"/>
  <c r="H229" i="1" s="1"/>
  <c r="F228" i="1"/>
  <c r="H228" i="1" s="1"/>
  <c r="F226" i="1"/>
  <c r="H226" i="1" s="1"/>
  <c r="F225" i="1"/>
  <c r="H225" i="1" s="1"/>
  <c r="F224" i="1"/>
  <c r="H224" i="1" s="1"/>
  <c r="F223" i="1"/>
  <c r="H223" i="1" s="1"/>
  <c r="F222" i="1"/>
  <c r="H222" i="1" s="1"/>
  <c r="A222" i="1"/>
  <c r="A223" i="1" s="1"/>
  <c r="A224" i="1" s="1"/>
  <c r="A225" i="1" s="1"/>
  <c r="A226" i="1" s="1"/>
  <c r="F218" i="1"/>
  <c r="H218" i="1" s="1"/>
  <c r="F217" i="1"/>
  <c r="H217" i="1" s="1"/>
  <c r="F216" i="1"/>
  <c r="A133" i="1"/>
  <c r="A134" i="1" s="1"/>
  <c r="A135" i="1" s="1"/>
  <c r="A136" i="1" s="1"/>
  <c r="A137" i="1" s="1"/>
  <c r="A138" i="1" s="1"/>
  <c r="A139" i="1" s="1"/>
  <c r="A142" i="1" s="1"/>
  <c r="A143" i="1" s="1"/>
  <c r="A144" i="1" s="1"/>
  <c r="A145" i="1" s="1"/>
  <c r="A146" i="1" s="1"/>
  <c r="A147" i="1" s="1"/>
  <c r="A148" i="1" s="1"/>
  <c r="A149" i="1" s="1"/>
  <c r="A150" i="1" s="1"/>
  <c r="A151" i="1" s="1"/>
  <c r="A152" i="1" s="1"/>
  <c r="A153" i="1" s="1"/>
  <c r="A154" i="1" s="1"/>
  <c r="A155" i="1" s="1"/>
  <c r="A156" i="1" s="1"/>
  <c r="F114" i="1"/>
  <c r="B89" i="1"/>
  <c r="D62" i="1"/>
  <c r="C51" i="1"/>
  <c r="E44" i="1"/>
  <c r="E45" i="1" s="1"/>
  <c r="E28" i="1"/>
  <c r="C16" i="1"/>
  <c r="I15" i="1"/>
  <c r="Z13" i="1"/>
  <c r="E8" i="1"/>
  <c r="E3" i="1"/>
  <c r="D68" i="1" s="1"/>
  <c r="A234" i="1"/>
  <c r="A240" i="1"/>
  <c r="H89" i="1"/>
  <c r="A228" i="1"/>
  <c r="E123" i="1" l="1"/>
  <c r="E124" i="1" s="1"/>
  <c r="C123" i="1"/>
  <c r="C124" i="1" s="1"/>
  <c r="C125" i="1" s="1"/>
  <c r="E125" i="1"/>
  <c r="H216" i="1"/>
  <c r="G123" i="1" s="1"/>
  <c r="G124" i="1" s="1"/>
  <c r="J88" i="1"/>
  <c r="J90" i="1" s="1"/>
  <c r="J91" i="1"/>
  <c r="J92" i="1"/>
  <c r="J93" i="1"/>
  <c r="C92" i="1" s="1"/>
  <c r="D96" i="1"/>
  <c r="D98" i="1"/>
  <c r="D97" i="1"/>
  <c r="D101" i="1"/>
  <c r="D95" i="1"/>
  <c r="D100" i="1"/>
  <c r="D94" i="1"/>
  <c r="D99" i="1"/>
  <c r="J94" i="1"/>
  <c r="A235" i="1"/>
  <c r="A229" i="1"/>
  <c r="A241" i="1"/>
  <c r="G125" i="1" l="1"/>
  <c r="D92" i="1"/>
  <c r="J98" i="1"/>
  <c r="J96" i="1"/>
  <c r="J97" i="1"/>
  <c r="J95" i="1"/>
  <c r="J100" i="1" s="1"/>
  <c r="J101" i="1" s="1"/>
  <c r="C93" i="1" s="1"/>
  <c r="J99" i="1"/>
  <c r="A242" i="1"/>
  <c r="A230" i="1"/>
  <c r="A236" i="1"/>
  <c r="J89" i="1" l="1"/>
  <c r="E92" i="1"/>
  <c r="D93" i="1"/>
  <c r="G92" i="1"/>
  <c r="D72" i="1" s="1"/>
  <c r="D73" i="1" s="1"/>
  <c r="A231" i="1"/>
  <c r="A237" i="1"/>
  <c r="A243" i="1"/>
  <c r="I89" i="1" l="1"/>
  <c r="I90" i="1" s="1"/>
  <c r="I88" i="1" s="1"/>
  <c r="C90" i="1" s="1"/>
  <c r="F73" i="1"/>
  <c r="A238" i="1"/>
  <c r="A232" i="1"/>
  <c r="A244"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7"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9"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<sst xmlns="http://schemas.openxmlformats.org/spreadsheetml/2006/main" count="719" uniqueCount="407">
  <si>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</si>
  <si>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</si>
  <si>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</si>
  <si>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</si>
  <si>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</si>
  <si>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</si>
  <si>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</si>
  <si>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</si>
  <si>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</si>
  <si>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</si>
  <si>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</si>
  <si>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</si>
  <si>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</si>
  <si>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</si>
  <si>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</si>
  <si>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</si>
  <si>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</si>
  <si>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</si>
  <si>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</si>
  <si>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</si>
  <si>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</si>
  <si>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</si>
  <si>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</si>
  <si>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</si>
  <si>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</si>
  <si>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</si>
  <si>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</si>
  <si>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</si>
  <si>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</si>
  <si>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</si>
  <si>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</si>
  <si>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</si>
  <si>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</si>
  <si>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</si>
  <si>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</si>
  <si>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</si>
  <si>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</si>
  <si>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</si>
  <si>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</si>
  <si>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</si>
  <si>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</si>
  <si>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</si>
  <si>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</si>
  <si>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</si>
  <si>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</si>
  <si>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</si>
  <si>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</si>
  <si>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</si>
  <si>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</si>
  <si>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</si>
  <si>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</si>
  <si>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</si>
  <si>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</si>
  <si>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</si>
  <si>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</si>
  <si>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</si>
  <si>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</si>
  <si>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</si>
  <si>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</si>
  <si>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</si>
  <si>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</si>
  <si>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</si>
  <si>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</si>
  <si>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</si>
  <si>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</si>
  <si>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</si>
  <si>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</si>
  <si>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</si>
  <si>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</si>
  <si>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</si>
  <si>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</si>
  <si>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</si>
  <si>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</si>
  <si>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</si>
  <si>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</si>
  <si>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</si>
  <si>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</si>
  <si>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</si>
  <si>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</si>
  <si>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</si>
  <si>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</si>
  <si>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</si>
  <si>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</si>
  <si>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</si>
  <si>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</si>
  <si>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</si>
  <si>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</si>
  <si>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</si>
  <si>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</si>
  <si>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</si>
  <si>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</si>
  <si>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</si>
  <si>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</si>
  <si>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</si>
  <si>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</si>
  <si>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</si>
  <si>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</si>
  <si>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</si>
  <si>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</si>
  <si>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</si>
  <si>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</si>
  <si>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</si>
  <si>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</si>
  <si>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</si>
  <si>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</si>
  <si>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</si>
  <si>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</si>
  <si>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</si>
  <si>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</si>
  <si>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</si>
  <si>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</si>
  <si>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</si>
  <si>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</si>
  <si>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</si>
  <si>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</si>
  <si>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</si>
  <si>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</si>
  <si>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2nd Floor</t>
  </si>
  <si>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</si>
  <si>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</si>
  <si>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</si>
  <si>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</si>
  <si>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</si>
  <si>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</si>
  <si>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</si>
  <si>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</si>
  <si>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</si>
  <si>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</si>
  <si>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</si>
  <si>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</si>
  <si>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</si>
  <si>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</si>
  <si>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</si>
  <si>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</si>
  <si>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</si>
  <si>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</si>
  <si>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</si>
  <si>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</si>
  <si>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</si>
  <si>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</si>
  <si>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</si>
  <si>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</si>
  <si>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</si>
  <si>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</si>
  <si>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</si>
  <si>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</si>
  <si>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</si>
  <si>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</si>
  <si>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</si>
  <si>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</si>
  <si>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</si>
  <si>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</si>
  <si>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</si>
  <si>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</si>
  <si>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</si>
  <si>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</si>
  <si>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</si>
  <si>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</si>
  <si>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</si>
  <si>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</si>
  <si>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</si>
  <si>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</si>
  <si>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</si>
  <si>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</si>
  <si>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</si>
  <si>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</si>
  <si>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</si>
  <si>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</si>
  <si>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</si>
  <si>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</si>
  <si>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</si>
  <si>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</si>
  <si>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</si>
  <si>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</si>
  <si>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</si>
  <si>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</si>
  <si>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</si>
  <si>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</si>
  <si>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</si>
  <si>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</si>
  <si>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</si>
  <si>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</si>
  <si>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</si>
  <si>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</si>
  <si>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</si>
  <si>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</si>
  <si>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</si>
  <si>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</si>
  <si>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</si>
  <si>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</si>
  <si>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</si>
  <si>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</si>
  <si>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</si>
  <si>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</si>
  <si>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</si>
  <si>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</si>
  <si>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</si>
  <si>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</si>
  <si>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</si>
  <si>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</si>
  <si>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</si>
  <si>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</si>
  <si>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</si>
  <si>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</si>
  <si>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</si>
  <si>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</si>
  <si>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</si>
  <si>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</si>
  <si>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</si>
  <si>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</si>
  <si>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</si>
  <si>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</si>
  <si>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</si>
  <si>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</si>
  <si>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</si>
  <si>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</si>
  <si>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</si>
  <si>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</si>
  <si>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</si>
  <si>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</si>
  <si>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</si>
  <si>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</si>
  <si>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</si>
  <si>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</si>
  <si>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</si>
  <si>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</si>
  <si>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</si>
  <si>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</si>
  <si>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</si>
  <si>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</si>
  <si>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</si>
  <si>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</si>
  <si>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</si>
  <si>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</si>
  <si>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</si>
  <si>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</si>
  <si>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</si>
  <si>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</si>
  <si>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</si>
  <si>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</si>
  <si>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</si>
  <si>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</si>
  <si>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</si>
  <si>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</si>
  <si>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</si>
  <si>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</si>
  <si>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</si>
  <si>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</si>
  <si>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</si>
  <si>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</si>
  <si>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</si>
  <si>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</si>
  <si>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</si>
  <si>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</si>
  <si>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</si>
  <si>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</si>
  <si>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</si>
  <si>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</si>
  <si>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</si>
  <si>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</si>
  <si>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</si>
  <si>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</si>
  <si>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</si>
  <si>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</si>
  <si>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</si>
  <si>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</si>
  <si>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</si>
  <si>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</si>
  <si>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</si>
  <si>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</si>
  <si>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</si>
  <si>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</si>
  <si>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</si>
  <si>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</si>
  <si>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</si>
  <si>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</si>
  <si>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</si>
  <si>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</si>
  <si>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</si>
  <si>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</si>
  <si>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</si>
  <si>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</si>
  <si>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</si>
  <si>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</si>
  <si>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</si>
  <si>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</si>
  <si>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</si>
  <si>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</si>
  <si>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</si>
  <si>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</si>
  <si>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</si>
  <si>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</si>
  <si>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</si>
  <si>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</si>
  <si>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</si>
  <si>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</si>
  <si>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</si>
  <si>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</si>
  <si>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</si>
  <si>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</si>
  <si>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</si>
  <si>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</si>
  <si>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</si>
  <si>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</si>
  <si>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</si>
  <si>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</si>
  <si>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</si>
  <si>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</si>
  <si>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</si>
  <si>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</si>
  <si>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</si>
  <si>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</si>
  <si>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</si>
  <si>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</si>
  <si>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</si>
  <si>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</si>
  <si>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</si>
  <si>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</si>
  <si>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</si>
  <si>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</si>
  <si>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</si>
  <si>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</si>
  <si>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</si>
  <si>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</si>
  <si>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</si>
  <si>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</si>
  <si>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</si>
  <si>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</si>
  <si>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</si>
  <si>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</si>
  <si>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</si>
  <si>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</si>
  <si>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</si>
  <si>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</si>
  <si>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</si>
  <si>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</si>
  <si>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</si>
  <si>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</si>
  <si>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</si>
  <si>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P99000066543</t>
  </si>
  <si>
    <t>Ruturaj Realtors</t>
  </si>
  <si>
    <t>Ruturaj Classic</t>
  </si>
  <si>
    <t>Survey No</t>
  </si>
  <si>
    <t>183, S No.266, H No.1 to 7 &amp; 10 to 13</t>
  </si>
  <si>
    <t>Nilemore</t>
  </si>
  <si>
    <t>Building No 2 (Wing A &amp; B)</t>
  </si>
  <si>
    <t>We have done APF Valuation For Building No.2 (Wing A &amp; B) as it was registered on RERA .</t>
  </si>
  <si>
    <t>As per RERA - 31/12/2027</t>
  </si>
  <si>
    <t xml:space="preserve">Building No.2 ( Wing A &amp; B) = Gr/St(Pt) + 1st to 23rd Floor
</t>
  </si>
  <si>
    <t>Ground Floor For Commercial, Entrance Lobby, Drivers Room, Society Office &amp; Parking</t>
  </si>
  <si>
    <t>Shop</t>
  </si>
  <si>
    <t>2BHK</t>
  </si>
  <si>
    <t>Kids Play Area, Outdoor Gym, Indoor Gme Room, Gazebo &amp; Party Lawn etc.</t>
  </si>
  <si>
    <t>3BHK</t>
  </si>
  <si>
    <t>1BHK</t>
  </si>
  <si>
    <t>1st Floor For Residential</t>
  </si>
  <si>
    <t>We did not consider the Balcony area attached from 8th to 23rd floor flats because it was not shown in the approved plans. However, it was shown in the sale plan.</t>
  </si>
  <si>
    <t>We considered Gross carpet area = Net carpet .</t>
  </si>
  <si>
    <t>8th, 13th &amp; 18th Floor (Part Refuge Area)</t>
  </si>
  <si>
    <t>Refuge Area</t>
  </si>
  <si>
    <t>https://ruturajclassic.com/#header-carousel</t>
  </si>
  <si>
    <t>As per Builder 
website</t>
  </si>
  <si>
    <t>Flats - 273, Shops - 23</t>
  </si>
  <si>
    <t>Navnath Bhatkar</t>
  </si>
  <si>
    <t>CC refered from RERA</t>
  </si>
  <si>
    <t>Other Plot</t>
  </si>
  <si>
    <t>19.427435,72.809888</t>
  </si>
  <si>
    <t>https://maps.app.goo.gl/jTZtNUPGqzWhgXAU6</t>
  </si>
  <si>
    <t>2KM from Nalasopara Railway Station</t>
  </si>
  <si>
    <t>Nilemore Road</t>
  </si>
  <si>
    <t>Nalasopara</t>
  </si>
  <si>
    <t>Sunrise Apartment</t>
  </si>
  <si>
    <t>Nalasopara West</t>
  </si>
  <si>
    <t>Internal Road</t>
  </si>
  <si>
    <t>30.00 M Wide DP Road</t>
  </si>
  <si>
    <t>12.00M Wide Proposed Internal  Road</t>
  </si>
  <si>
    <t>Vimal Classic</t>
  </si>
  <si>
    <t>Building No.2 Other Wing</t>
  </si>
  <si>
    <t>RERA Carpet area</t>
  </si>
  <si>
    <r>
      <t xml:space="preserve">Proposed Amenities :                                                                                                                                                                                                                         </t>
    </r>
    <r>
      <rPr>
        <b/>
        <sz val="12"/>
        <rFont val="Times New Roman"/>
        <family val="1"/>
      </rPr>
      <t xml:space="preserve">                                               </t>
    </r>
  </si>
  <si>
    <r>
      <t xml:space="preserve">Shop No.
</t>
    </r>
    <r>
      <rPr>
        <b/>
        <sz val="11"/>
        <rFont val="Times New Roman"/>
        <family val="1"/>
      </rPr>
      <t>(Approved Plan)</t>
    </r>
  </si>
  <si>
    <t>VVCMC/TP/AMEND/VP/0198 &amp; 4033/356/2023-24</t>
  </si>
  <si>
    <t>2nd to 7th Floor</t>
  </si>
  <si>
    <t>9th to 12th, 14th to 17th &amp; 19th to 23rd Floor</t>
  </si>
  <si>
    <t>VVCMC/TP/RDP/VP-0198 &amp; 4033/356/2023-24</t>
  </si>
  <si>
    <t>Building No.2 (Wing B) = Gr/St(Pt) + 1st to 23rd Floor</t>
  </si>
  <si>
    <t>Building No.2 (Wing A) = Gr/St(Pt) + 1st to 23rd Floor</t>
  </si>
  <si>
    <t>Wing Bifercation as builder</t>
  </si>
  <si>
    <t>Wing A</t>
  </si>
  <si>
    <t>Wing B</t>
  </si>
  <si>
    <t>We have refered builder sold inventery document for Wing Bifercation which is provided on Mail by Bank Official (on 26/10/2024).</t>
  </si>
  <si>
    <t>Building No.2 (Wing A &amp; B) = Gr./St(Pt) + 1st to 23rd Floor</t>
  </si>
  <si>
    <t>Building No.2 (Wing B)</t>
  </si>
  <si>
    <t>Building No.2 (Wing A)</t>
  </si>
  <si>
    <t>Building No.2</t>
  </si>
  <si>
    <t>8th, 13th &amp; 18th Floor</t>
  </si>
  <si>
    <t>Bldg No.2 Wing A</t>
  </si>
  <si>
    <t>Bldg No.2 Wing B</t>
  </si>
  <si>
    <t>6000 to 6500</t>
  </si>
  <si>
    <t xml:space="preserve">Akash </t>
  </si>
  <si>
    <t>Verbal</t>
  </si>
  <si>
    <t>2108 case</t>
  </si>
  <si>
    <t xml:space="preserve">Recommended Rates / Other charges of the Property have been revised on 10/12/2024.
</t>
  </si>
  <si>
    <t>Shruti Tathare</t>
  </si>
  <si>
    <t>Construction work is in process at the time of Visit. Internal visit was not allowed.</t>
  </si>
  <si>
    <t>Mr. Siddhesh 7303199837</t>
  </si>
  <si>
    <t>02 Buildings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</si>
</sst>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254">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3"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4" fillId="2" borderId="30" xfId="0" applyFont="1" applyFill="1" applyBorder="1"/>
    <xf numFmtId="0" fontId="25" fillId="0" borderId="31" xfId="0" applyFont="1" applyBorder="1"/>
    <xf numFmtId="0" fontId="25" fillId="0" borderId="1" xfId="0" applyFont="1" applyBorder="1"/>
    <xf numFmtId="0" fontId="25" fillId="0" borderId="5" xfId="0" applyFont="1" applyBorder="1"/>
    <xf numFmtId="0" fontId="11"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5" fillId="0" borderId="1" xfId="1" applyNumberFormat="1" applyFont="1" applyBorder="1" applyAlignment="1" applyProtection="1">
      <alignment horizontal="center" vertical="center" wrapText="1"/>
      <protection locked="0"/>
    </xf>
    <xf numFmtId="1" fontId="5"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1" fillId="0" borderId="1" xfId="1" applyFont="1" applyBorder="1"/>
    <xf numFmtId="0" fontId="6" fillId="0" borderId="1" xfId="1" applyFont="1" applyBorder="1"/>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5" fillId="0" borderId="1" xfId="0"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6" fillId="0" borderId="0" xfId="1" applyFont="1" applyAlignment="1">
      <alignment horizontal="center"/>
    </xf>
    <xf numFmtId="1" fontId="5" fillId="0" borderId="1" xfId="0" applyNumberFormat="1" applyFont="1" applyBorder="1" applyAlignment="1" applyProtection="1">
      <alignment horizontal="center" vertical="center" wrapText="1"/>
      <protection locked="0"/>
    </xf>
    <xf numFmtId="0" fontId="6" fillId="0" borderId="0" xfId="1" applyFont="1" applyAlignment="1">
      <alignment horizontal="center" vertical="top" wrapText="1"/>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9" fontId="11" fillId="0" borderId="1" xfId="8" applyFont="1" applyFill="1" applyBorder="1" applyAlignment="1" applyProtection="1">
      <alignment horizontal="center" vertical="top" wrapText="1"/>
      <protection locked="0"/>
    </xf>
    <xf numFmtId="9" fontId="11" fillId="0" borderId="7" xfId="8" applyFont="1" applyFill="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9" fontId="12" fillId="0" borderId="16" xfId="8" applyFont="1" applyFill="1" applyBorder="1" applyAlignment="1" applyProtection="1">
      <alignment horizontal="center" vertical="top" wrapText="1"/>
      <protection locked="0"/>
    </xf>
    <xf numFmtId="0" fontId="6" fillId="0" borderId="1" xfId="1" applyFont="1" applyBorder="1" applyAlignment="1" applyProtection="1">
      <alignment vertical="top" wrapText="1"/>
      <protection locked="0"/>
    </xf>
    <xf numFmtId="0" fontId="11" fillId="0" borderId="1"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0" applyNumberFormat="1" applyFont="1" applyBorder="1" applyAlignment="1" applyProtection="1">
      <alignment horizontal="center" vertical="center" wrapText="1"/>
      <protection locked="0"/>
    </xf>
    <xf numFmtId="0" fontId="6" fillId="2" borderId="0" xfId="1" applyFont="1" applyFill="1"/>
    <xf numFmtId="14" fontId="6" fillId="2" borderId="0" xfId="1" applyNumberFormat="1" applyFont="1" applyFill="1"/>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21"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0" fontId="11" fillId="0" borderId="6"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1" fontId="12" fillId="0" borderId="8" xfId="1" applyNumberFormat="1" applyFont="1" applyBorder="1" applyAlignment="1" applyProtection="1">
      <alignment horizontal="center" vertical="center" wrapText="1"/>
      <protection locked="0"/>
    </xf>
    <xf numFmtId="1" fontId="12" fillId="0" borderId="21" xfId="1" applyNumberFormat="1" applyFont="1" applyBorder="1" applyAlignment="1" applyProtection="1">
      <alignment horizontal="center" vertical="center" wrapText="1"/>
      <protection locked="0"/>
    </xf>
    <xf numFmtId="1" fontId="12" fillId="0" borderId="9" xfId="1" applyNumberFormat="1" applyFont="1" applyBorder="1" applyAlignment="1" applyProtection="1">
      <alignment horizontal="center" vertical="center" wrapText="1"/>
      <protection locked="0"/>
    </xf>
    <xf numFmtId="1" fontId="12" fillId="0" borderId="17" xfId="1" applyNumberFormat="1" applyFont="1" applyBorder="1" applyAlignment="1" applyProtection="1">
      <alignment horizontal="center" vertical="top" wrapText="1"/>
      <protection locked="0"/>
    </xf>
    <xf numFmtId="1" fontId="12" fillId="0" borderId="18" xfId="1" applyNumberFormat="1" applyFont="1" applyBorder="1" applyAlignment="1" applyProtection="1">
      <alignment horizontal="center" vertical="top" wrapText="1"/>
      <protection locked="0"/>
    </xf>
    <xf numFmtId="1" fontId="12" fillId="0" borderId="19" xfId="1" applyNumberFormat="1" applyFont="1" applyBorder="1" applyAlignment="1" applyProtection="1">
      <alignment horizontal="center" vertical="top" wrapText="1"/>
      <protection locked="0"/>
    </xf>
    <xf numFmtId="1" fontId="12" fillId="0" borderId="20" xfId="1" applyNumberFormat="1" applyFont="1" applyBorder="1" applyAlignment="1" applyProtection="1">
      <alignment horizontal="center" vertical="top" wrapText="1"/>
      <protection locked="0"/>
    </xf>
    <xf numFmtId="0" fontId="6" fillId="0" borderId="25" xfId="1" applyFont="1" applyBorder="1" applyAlignment="1">
      <alignment horizontal="center"/>
    </xf>
    <xf numFmtId="0" fontId="6" fillId="0" borderId="0" xfId="1" applyFont="1" applyAlignment="1">
      <alignment horizontal="center"/>
    </xf>
    <xf numFmtId="167" fontId="11" fillId="0" borderId="1" xfId="9" applyNumberFormat="1" applyFont="1" applyFill="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5" fillId="0" borderId="1"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164" fontId="5" fillId="0" borderId="1" xfId="1" applyNumberFormat="1" applyFont="1" applyBorder="1" applyAlignment="1" applyProtection="1">
      <alignment horizontal="left" vertical="top"/>
      <protection locked="0"/>
    </xf>
    <xf numFmtId="0" fontId="11"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1" fillId="0" borderId="19" xfId="1" applyFont="1" applyBorder="1" applyAlignment="1" applyProtection="1">
      <alignment horizontal="left" vertical="top"/>
      <protection locked="0"/>
    </xf>
    <xf numFmtId="0" fontId="11" fillId="0" borderId="2" xfId="1" applyFont="1" applyBorder="1" applyAlignment="1" applyProtection="1">
      <alignment horizontal="left" vertical="top"/>
      <protection locked="0"/>
    </xf>
    <xf numFmtId="0" fontId="5" fillId="0" borderId="1" xfId="1" applyFont="1" applyBorder="1" applyAlignment="1" applyProtection="1">
      <alignment vertical="top"/>
      <protection locked="0"/>
    </xf>
    <xf numFmtId="1" fontId="5" fillId="0" borderId="1" xfId="1" applyNumberFormat="1" applyFont="1" applyBorder="1" applyAlignment="1" applyProtection="1">
      <alignment horizontal="center" vertical="center" wrapText="1"/>
      <protection locked="0"/>
    </xf>
    <xf numFmtId="1" fontId="12" fillId="0" borderId="3" xfId="1" applyNumberFormat="1" applyFont="1" applyBorder="1" applyAlignment="1" applyProtection="1">
      <alignment horizontal="center" vertical="top" wrapText="1"/>
      <protection locked="0"/>
    </xf>
    <xf numFmtId="1" fontId="12" fillId="0" borderId="16"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1" fontId="9"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11" fillId="0" borderId="2"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14" fontId="6" fillId="0" borderId="8" xfId="1" applyNumberFormat="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11"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0" fontId="9" fillId="0" borderId="33" xfId="0" applyFont="1" applyBorder="1" applyAlignment="1" applyProtection="1">
      <alignment horizontal="center" vertical="center"/>
      <protection locked="0"/>
    </xf>
    <xf numFmtId="1" fontId="9" fillId="0" borderId="33" xfId="0" applyNumberFormat="1" applyFont="1" applyBorder="1" applyAlignment="1" applyProtection="1">
      <alignment horizontal="center" vertical="top" wrapText="1"/>
      <protection locked="0"/>
    </xf>
    <xf numFmtId="1" fontId="30" fillId="0" borderId="3" xfId="1" applyNumberFormat="1" applyFont="1" applyBorder="1" applyAlignment="1" applyProtection="1">
      <alignment horizontal="center" vertical="top" wrapText="1"/>
      <protection locked="0"/>
    </xf>
    <xf numFmtId="1" fontId="30" fillId="0" borderId="16" xfId="1" applyNumberFormat="1" applyFont="1" applyBorder="1" applyAlignment="1" applyProtection="1">
      <alignment horizontal="center" vertical="top" wrapText="1"/>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0" fontId="7" fillId="0" borderId="16" xfId="1" applyFont="1" applyBorder="1" applyAlignment="1" applyProtection="1">
      <alignment horizontal="center" vertical="top"/>
      <protection locked="0"/>
    </xf>
    <xf numFmtId="1" fontId="7" fillId="0" borderId="17" xfId="1" applyNumberFormat="1" applyFont="1" applyBorder="1" applyAlignment="1" applyProtection="1">
      <alignment horizontal="center" vertical="top" wrapText="1"/>
      <protection locked="0"/>
    </xf>
    <xf numFmtId="1" fontId="7" fillId="0" borderId="19" xfId="1" applyNumberFormat="1" applyFont="1" applyBorder="1" applyAlignment="1" applyProtection="1">
      <alignment horizontal="center" vertical="top" wrapText="1"/>
      <protection locked="0"/>
    </xf>
    <xf numFmtId="0" fontId="12" fillId="0" borderId="22"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13" xfId="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9" fontId="11" fillId="0" borderId="17" xfId="8" applyFont="1" applyFill="1" applyBorder="1" applyAlignment="1" applyProtection="1">
      <alignment horizontal="center" vertical="center" wrapText="1"/>
      <protection locked="0"/>
    </xf>
    <xf numFmtId="9" fontId="11" fillId="0" borderId="18" xfId="8" applyFont="1" applyFill="1" applyBorder="1" applyAlignment="1" applyProtection="1">
      <alignment horizontal="center" vertical="center" wrapText="1"/>
      <protection locked="0"/>
    </xf>
    <xf numFmtId="9" fontId="11" fillId="0" borderId="25" xfId="8" applyFont="1" applyFill="1" applyBorder="1" applyAlignment="1" applyProtection="1">
      <alignment horizontal="center" vertical="center" wrapText="1"/>
      <protection locked="0"/>
    </xf>
    <xf numFmtId="9" fontId="11" fillId="0" borderId="26" xfId="8" applyFont="1" applyFill="1" applyBorder="1" applyAlignment="1" applyProtection="1">
      <alignment horizontal="center" vertical="center" wrapText="1"/>
      <protection locked="0"/>
    </xf>
    <xf numFmtId="9" fontId="11" fillId="0" borderId="28" xfId="8" applyFont="1" applyFill="1" applyBorder="1" applyAlignment="1" applyProtection="1">
      <alignment horizontal="center" vertical="center" wrapText="1"/>
      <protection locked="0"/>
    </xf>
    <xf numFmtId="9" fontId="11" fillId="0" borderId="29" xfId="8" applyFont="1" applyFill="1" applyBorder="1" applyAlignment="1" applyProtection="1">
      <alignment horizontal="center" vertical="center" wrapText="1"/>
      <protection locked="0"/>
    </xf>
    <xf numFmtId="9" fontId="11" fillId="0" borderId="27" xfId="8" applyFont="1" applyFill="1" applyBorder="1" applyAlignment="1" applyProtection="1">
      <alignment horizontal="center" vertical="center" wrapText="1"/>
      <protection locked="0"/>
    </xf>
    <xf numFmtId="9" fontId="11" fillId="0" borderId="10" xfId="8" applyFont="1" applyFill="1" applyBorder="1" applyAlignment="1" applyProtection="1">
      <alignment horizontal="center" vertical="center" wrapText="1"/>
      <protection locked="0"/>
    </xf>
    <xf numFmtId="9" fontId="11" fillId="0" borderId="12" xfId="8" applyFont="1" applyFill="1" applyBorder="1" applyAlignment="1" applyProtection="1">
      <alignment horizontal="center" vertical="center" wrapText="1"/>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11" fillId="0" borderId="5"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6" fillId="0" borderId="1" xfId="1" applyFont="1" applyBorder="1" applyAlignment="1" applyProtection="1">
      <alignment horizontal="left" vertical="top"/>
      <protection locked="0"/>
    </xf>
    <xf numFmtId="14" fontId="11"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11" fillId="0" borderId="1" xfId="1" applyFont="1" applyBorder="1" applyAlignment="1" applyProtection="1">
      <alignment horizontal="left"/>
      <protection locked="0"/>
    </xf>
    <xf numFmtId="0" fontId="11" fillId="0" borderId="1" xfId="1" applyFont="1" applyBorder="1" applyAlignment="1" applyProtection="1">
      <alignment horizontal="center"/>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2" fontId="5" fillId="0" borderId="1" xfId="1" applyNumberFormat="1" applyFont="1" applyBorder="1" applyAlignment="1" applyProtection="1">
      <alignment horizontal="left" vertical="top"/>
      <protection locked="0"/>
    </xf>
    <xf numFmtId="0" fontId="11" fillId="0" borderId="3"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1" fillId="0" borderId="8" xfId="1" applyFont="1" applyBorder="1" applyAlignment="1" applyProtection="1">
      <alignment horizontal="left" vertical="top" wrapText="1"/>
      <protection locked="0"/>
    </xf>
    <xf numFmtId="0" fontId="11" fillId="0" borderId="9"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0" fontId="26" fillId="0" borderId="1" xfId="10" applyFill="1" applyBorder="1" applyAlignment="1" applyProtection="1">
      <alignment horizontal="left" vertical="top" wrapText="1"/>
      <protection locked="0"/>
    </xf>
    <xf numFmtId="1" fontId="7" fillId="0" borderId="33" xfId="0" applyNumberFormat="1" applyFont="1" applyBorder="1" applyAlignment="1" applyProtection="1">
      <alignment horizontal="center" vertical="top" wrapText="1"/>
      <protection locked="0"/>
    </xf>
    <xf numFmtId="1" fontId="7" fillId="0" borderId="34" xfId="0" applyNumberFormat="1" applyFont="1" applyBorder="1" applyAlignment="1" applyProtection="1">
      <alignment horizontal="center"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5" fillId="0" borderId="3" xfId="1" applyFont="1" applyBorder="1" applyAlignment="1" applyProtection="1">
      <alignment horizontal="left" vertical="top" wrapText="1"/>
      <protection locked="0"/>
    </xf>
    <xf numFmtId="1" fontId="7" fillId="0" borderId="3"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protection locked="0"/>
    </xf>
    <xf numFmtId="0" fontId="7" fillId="0" borderId="16" xfId="1" applyFont="1" applyBorder="1" applyAlignment="1" applyProtection="1">
      <alignment horizontal="left" vertical="top"/>
      <protection locked="0"/>
    </xf>
    <xf numFmtId="1" fontId="7" fillId="0" borderId="3" xfId="1" applyNumberFormat="1" applyFont="1" applyBorder="1" applyAlignment="1" applyProtection="1">
      <alignment horizontal="center" vertical="top" wrapText="1"/>
      <protection locked="0"/>
    </xf>
    <xf numFmtId="1" fontId="7" fillId="0" borderId="16" xfId="1" applyNumberFormat="1" applyFont="1" applyBorder="1" applyAlignment="1" applyProtection="1">
      <alignment horizontal="center" vertical="top"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xdr:col>
      <xdr:colOff>190500</xdr:colOff>
      <xdr:row>318</xdr:row>
      <xdr:rowOff>0</xdr:rowOff>
    </xdr:from>
    <xdr:to>
      <xdr:col>6</xdr:col>
      <xdr:colOff>209550</xdr:colOff>
      <xdr:row>334</xdr:row>
      <xdr:rowOff>19050</xdr:rowOff>
    </xdr:to>
    <xdr:grpSp>
      <xdr:nvGrpSpPr>
        <xdr:cNvPr id="7" name="Group 6">
          <a:extLst>
            <a:ext uri="{FF2B5EF4-FFF2-40B4-BE49-F238E27FC236}">
              <a16:creationId xmlns:a16="http://schemas.microsoft.com/office/drawing/2014/main" xmlns="" id="{00000000-0008-0000-0000-000007000000}"/>
            </a:ext>
          </a:extLst>
        </xdr:cNvPr>
        <xdr:cNvGrpSpPr/>
      </xdr:nvGrpSpPr>
      <xdr:grpSpPr>
        <a:xfrm>
          <a:off x="952500" y="59740800"/>
          <a:ext cx="4105275" cy="3219450"/>
          <a:chOff x="1196911" y="766049"/>
          <a:chExt cx="4105275" cy="3219450"/>
        </a:xfrm>
      </xdr:grpSpPr>
      <xdr:pic>
        <xdr:nvPicPr>
          <xdr:cNvPr id="12" name="Pictur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1"/>
          <a:stretch>
            <a:fillRect/>
          </a:stretch>
        </xdr:blipFill>
        <xdr:spPr>
          <a:xfrm>
            <a:off x="1196911" y="766049"/>
            <a:ext cx="4105275" cy="3219450"/>
          </a:xfrm>
          <a:prstGeom prst="rect">
            <a:avLst/>
          </a:prstGeom>
          <a:ln>
            <a:solidFill>
              <a:schemeClr val="tx1"/>
            </a:solidFill>
          </a:ln>
        </xdr:spPr>
      </xdr:pic>
      <xdr:sp macro="" textlink="">
        <xdr:nvSpPr>
          <xdr:cNvPr id="13" name="Freeform 12">
            <a:extLst>
              <a:ext uri="{FF2B5EF4-FFF2-40B4-BE49-F238E27FC236}">
                <a16:creationId xmlns:a16="http://schemas.microsoft.com/office/drawing/2014/main" xmlns="" id="{00000000-0008-0000-0000-00000D000000}"/>
              </a:ext>
            </a:extLst>
          </xdr:cNvPr>
          <xdr:cNvSpPr/>
        </xdr:nvSpPr>
        <xdr:spPr>
          <a:xfrm>
            <a:off x="2931838" y="2516852"/>
            <a:ext cx="371475" cy="434975"/>
          </a:xfrm>
          <a:custGeom>
            <a:avLst/>
            <a:gdLst>
              <a:gd name="connsiteX0" fmla="*/ 6350 w 371475"/>
              <a:gd name="connsiteY0" fmla="*/ 0 h 434975"/>
              <a:gd name="connsiteX1" fmla="*/ 244475 w 371475"/>
              <a:gd name="connsiteY1" fmla="*/ 12700 h 434975"/>
              <a:gd name="connsiteX2" fmla="*/ 254000 w 371475"/>
              <a:gd name="connsiteY2" fmla="*/ 69850 h 434975"/>
              <a:gd name="connsiteX3" fmla="*/ 292100 w 371475"/>
              <a:gd name="connsiteY3" fmla="*/ 79375 h 434975"/>
              <a:gd name="connsiteX4" fmla="*/ 282575 w 371475"/>
              <a:gd name="connsiteY4" fmla="*/ 206375 h 434975"/>
              <a:gd name="connsiteX5" fmla="*/ 371475 w 371475"/>
              <a:gd name="connsiteY5" fmla="*/ 247650 h 434975"/>
              <a:gd name="connsiteX6" fmla="*/ 358775 w 371475"/>
              <a:gd name="connsiteY6" fmla="*/ 314325 h 434975"/>
              <a:gd name="connsiteX7" fmla="*/ 323850 w 371475"/>
              <a:gd name="connsiteY7" fmla="*/ 323850 h 434975"/>
              <a:gd name="connsiteX8" fmla="*/ 323850 w 371475"/>
              <a:gd name="connsiteY8" fmla="*/ 342900 h 434975"/>
              <a:gd name="connsiteX9" fmla="*/ 187325 w 371475"/>
              <a:gd name="connsiteY9" fmla="*/ 342900 h 434975"/>
              <a:gd name="connsiteX10" fmla="*/ 174625 w 371475"/>
              <a:gd name="connsiteY10" fmla="*/ 374650 h 434975"/>
              <a:gd name="connsiteX11" fmla="*/ 82550 w 371475"/>
              <a:gd name="connsiteY11" fmla="*/ 377825 h 434975"/>
              <a:gd name="connsiteX12" fmla="*/ 6350 w 371475"/>
              <a:gd name="connsiteY12" fmla="*/ 434975 h 434975"/>
              <a:gd name="connsiteX13" fmla="*/ 0 w 371475"/>
              <a:gd name="connsiteY13" fmla="*/ 244475 h 434975"/>
              <a:gd name="connsiteX14" fmla="*/ 44450 w 371475"/>
              <a:gd name="connsiteY14" fmla="*/ 63500 h 434975"/>
              <a:gd name="connsiteX15" fmla="*/ 6350 w 371475"/>
              <a:gd name="connsiteY15" fmla="*/ 0 h 43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371475" h="434975">
                <a:moveTo>
                  <a:pt x="6350" y="0"/>
                </a:moveTo>
                <a:lnTo>
                  <a:pt x="244475" y="12700"/>
                </a:lnTo>
                <a:lnTo>
                  <a:pt x="254000" y="69850"/>
                </a:lnTo>
                <a:lnTo>
                  <a:pt x="292100" y="79375"/>
                </a:lnTo>
                <a:lnTo>
                  <a:pt x="282575" y="206375"/>
                </a:lnTo>
                <a:lnTo>
                  <a:pt x="371475" y="247650"/>
                </a:lnTo>
                <a:lnTo>
                  <a:pt x="358775" y="314325"/>
                </a:lnTo>
                <a:lnTo>
                  <a:pt x="323850" y="323850"/>
                </a:lnTo>
                <a:lnTo>
                  <a:pt x="323850" y="342900"/>
                </a:lnTo>
                <a:lnTo>
                  <a:pt x="187325" y="342900"/>
                </a:lnTo>
                <a:lnTo>
                  <a:pt x="174625" y="374650"/>
                </a:lnTo>
                <a:lnTo>
                  <a:pt x="82550" y="377825"/>
                </a:lnTo>
                <a:lnTo>
                  <a:pt x="6350" y="434975"/>
                </a:lnTo>
                <a:lnTo>
                  <a:pt x="0" y="244475"/>
                </a:lnTo>
                <a:lnTo>
                  <a:pt x="44450" y="63500"/>
                </a:lnTo>
                <a:lnTo>
                  <a:pt x="6350" y="0"/>
                </a:lnTo>
                <a:close/>
              </a:path>
            </a:pathLst>
          </a:cu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1</xdr:col>
      <xdr:colOff>533400</xdr:colOff>
      <xdr:row>361</xdr:row>
      <xdr:rowOff>142875</xdr:rowOff>
    </xdr:from>
    <xdr:to>
      <xdr:col>6</xdr:col>
      <xdr:colOff>311809</xdr:colOff>
      <xdr:row>375</xdr:row>
      <xdr:rowOff>51222</xdr:rowOff>
    </xdr:to>
    <xdr:pic>
      <xdr:nvPicPr>
        <xdr:cNvPr id="24" name="Picture 23">
          <a:extLst>
            <a:ext uri="{FF2B5EF4-FFF2-40B4-BE49-F238E27FC236}">
              <a16:creationId xmlns:a16="http://schemas.microsoft.com/office/drawing/2014/main" xmlns="" id="{00000000-0008-0000-0000-000018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5400" y="62045850"/>
          <a:ext cx="3864634" cy="2708696"/>
        </a:xfrm>
        <a:prstGeom prst="rect">
          <a:avLst/>
        </a:prstGeom>
        <a:ln>
          <a:solidFill>
            <a:schemeClr val="tx1"/>
          </a:solidFill>
        </a:ln>
      </xdr:spPr>
    </xdr:pic>
    <xdr:clientData/>
  </xdr:twoCellAnchor>
  <xdr:twoCellAnchor>
    <xdr:from>
      <xdr:col>1</xdr:col>
      <xdr:colOff>361950</xdr:colOff>
      <xdr:row>335</xdr:row>
      <xdr:rowOff>9525</xdr:rowOff>
    </xdr:from>
    <xdr:to>
      <xdr:col>6</xdr:col>
      <xdr:colOff>55725</xdr:colOff>
      <xdr:row>355</xdr:row>
      <xdr:rowOff>112605</xdr:rowOff>
    </xdr:to>
    <xdr:grpSp>
      <xdr:nvGrpSpPr>
        <xdr:cNvPr id="31" name="Group 30">
          <a:extLst>
            <a:ext uri="{FF2B5EF4-FFF2-40B4-BE49-F238E27FC236}">
              <a16:creationId xmlns:a16="http://schemas.microsoft.com/office/drawing/2014/main" xmlns="" id="{00000000-0008-0000-0000-00001F000000}"/>
            </a:ext>
          </a:extLst>
        </xdr:cNvPr>
        <xdr:cNvGrpSpPr/>
      </xdr:nvGrpSpPr>
      <xdr:grpSpPr>
        <a:xfrm>
          <a:off x="1123950" y="63150750"/>
          <a:ext cx="3780000" cy="4103580"/>
          <a:chOff x="0" y="0"/>
          <a:chExt cx="3780000" cy="4103580"/>
        </a:xfrm>
      </xdr:grpSpPr>
      <xdr:pic>
        <xdr:nvPicPr>
          <xdr:cNvPr id="32" name="Picture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3"/>
          <a:stretch>
            <a:fillRect/>
          </a:stretch>
        </xdr:blipFill>
        <xdr:spPr>
          <a:xfrm>
            <a:off x="0" y="0"/>
            <a:ext cx="3780000" cy="4103580"/>
          </a:xfrm>
          <a:prstGeom prst="rect">
            <a:avLst/>
          </a:prstGeom>
          <a:ln>
            <a:solidFill>
              <a:schemeClr val="tx1"/>
            </a:solidFill>
          </a:ln>
        </xdr:spPr>
      </xdr:pic>
      <xdr:sp macro="" textlink="">
        <xdr:nvSpPr>
          <xdr:cNvPr id="33" name="Freeform 32">
            <a:extLst>
              <a:ext uri="{FF2B5EF4-FFF2-40B4-BE49-F238E27FC236}">
                <a16:creationId xmlns:a16="http://schemas.microsoft.com/office/drawing/2014/main" xmlns="" id="{00000000-0008-0000-0000-000021000000}"/>
              </a:ext>
            </a:extLst>
          </xdr:cNvPr>
          <xdr:cNvSpPr/>
        </xdr:nvSpPr>
        <xdr:spPr>
          <a:xfrm>
            <a:off x="288277" y="2000990"/>
            <a:ext cx="1209675" cy="733173"/>
          </a:xfrm>
          <a:custGeom>
            <a:avLst/>
            <a:gdLst>
              <a:gd name="connsiteX0" fmla="*/ 180975 w 1209675"/>
              <a:gd name="connsiteY0" fmla="*/ 57150 h 2371725"/>
              <a:gd name="connsiteX1" fmla="*/ 1152525 w 1209675"/>
              <a:gd name="connsiteY1" fmla="*/ 0 h 2371725"/>
              <a:gd name="connsiteX2" fmla="*/ 1209675 w 1209675"/>
              <a:gd name="connsiteY2" fmla="*/ 95250 h 2371725"/>
              <a:gd name="connsiteX3" fmla="*/ 1190625 w 1209675"/>
              <a:gd name="connsiteY3" fmla="*/ 2333625 h 2371725"/>
              <a:gd name="connsiteX4" fmla="*/ 0 w 1209675"/>
              <a:gd name="connsiteY4" fmla="*/ 2371725 h 2371725"/>
              <a:gd name="connsiteX5" fmla="*/ 0 w 1209675"/>
              <a:gd name="connsiteY5" fmla="*/ 352425 h 2371725"/>
              <a:gd name="connsiteX6" fmla="*/ 180975 w 1209675"/>
              <a:gd name="connsiteY6" fmla="*/ 57150 h 2371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09675" h="2371725">
                <a:moveTo>
                  <a:pt x="180975" y="57150"/>
                </a:moveTo>
                <a:lnTo>
                  <a:pt x="1152525" y="0"/>
                </a:lnTo>
                <a:lnTo>
                  <a:pt x="1209675" y="95250"/>
                </a:lnTo>
                <a:lnTo>
                  <a:pt x="1190625" y="2333625"/>
                </a:lnTo>
                <a:lnTo>
                  <a:pt x="0" y="2371725"/>
                </a:lnTo>
                <a:lnTo>
                  <a:pt x="0" y="352425"/>
                </a:lnTo>
                <a:lnTo>
                  <a:pt x="180975" y="57150"/>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4" name="TextBox 11">
            <a:extLst>
              <a:ext uri="{FF2B5EF4-FFF2-40B4-BE49-F238E27FC236}">
                <a16:creationId xmlns:a16="http://schemas.microsoft.com/office/drawing/2014/main" xmlns="" id="{00000000-0008-0000-0000-000022000000}"/>
              </a:ext>
            </a:extLst>
          </xdr:cNvPr>
          <xdr:cNvSpPr txBox="1"/>
        </xdr:nvSpPr>
        <xdr:spPr>
          <a:xfrm>
            <a:off x="0" y="2719327"/>
            <a:ext cx="1632178"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Bldg No.2(Wing A &amp; B)</a:t>
            </a:r>
            <a:endParaRPr lang="en-IN" sz="1200" b="1">
              <a:solidFill>
                <a:srgbClr val="FF0000"/>
              </a:solidFill>
            </a:endParaRPr>
          </a:p>
        </xdr:txBody>
      </xdr:sp>
    </xdr:grpSp>
    <xdr:clientData/>
  </xdr:twoCellAnchor>
  <xdr:twoCellAnchor>
    <xdr:from>
      <xdr:col>1</xdr:col>
      <xdr:colOff>590550</xdr:colOff>
      <xdr:row>376</xdr:row>
      <xdr:rowOff>123825</xdr:rowOff>
    </xdr:from>
    <xdr:to>
      <xdr:col>6</xdr:col>
      <xdr:colOff>267962</xdr:colOff>
      <xdr:row>394</xdr:row>
      <xdr:rowOff>123375</xdr:rowOff>
    </xdr:to>
    <xdr:grpSp>
      <xdr:nvGrpSpPr>
        <xdr:cNvPr id="35" name="Group 34">
          <a:extLst>
            <a:ext uri="{FF2B5EF4-FFF2-40B4-BE49-F238E27FC236}">
              <a16:creationId xmlns:a16="http://schemas.microsoft.com/office/drawing/2014/main" xmlns="" id="{00000000-0008-0000-0000-000023000000}"/>
            </a:ext>
          </a:extLst>
        </xdr:cNvPr>
        <xdr:cNvGrpSpPr/>
      </xdr:nvGrpSpPr>
      <xdr:grpSpPr>
        <a:xfrm>
          <a:off x="1352550" y="71466075"/>
          <a:ext cx="3763637" cy="3600000"/>
          <a:chOff x="1547181" y="2772000"/>
          <a:chExt cx="3763637" cy="3600000"/>
        </a:xfrm>
      </xdr:grpSpPr>
      <xdr:pic>
        <xdr:nvPicPr>
          <xdr:cNvPr id="36" name="Picture 35">
            <a:extLst>
              <a:ext uri="{FF2B5EF4-FFF2-40B4-BE49-F238E27FC236}">
                <a16:creationId xmlns:a16="http://schemas.microsoft.com/office/drawing/2014/main" xmlns="" id="{00000000-0008-0000-0000-000024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547181" y="2772000"/>
            <a:ext cx="3763637" cy="3600000"/>
          </a:xfrm>
          <a:prstGeom prst="rect">
            <a:avLst/>
          </a:prstGeom>
          <a:ln>
            <a:solidFill>
              <a:schemeClr val="tx1"/>
            </a:solidFill>
          </a:ln>
        </xdr:spPr>
      </xdr:pic>
      <xdr:sp macro="" textlink="">
        <xdr:nvSpPr>
          <xdr:cNvPr id="37" name="Freeform 36">
            <a:extLst>
              <a:ext uri="{FF2B5EF4-FFF2-40B4-BE49-F238E27FC236}">
                <a16:creationId xmlns:a16="http://schemas.microsoft.com/office/drawing/2014/main" xmlns="" id="{00000000-0008-0000-0000-000025000000}"/>
              </a:ext>
            </a:extLst>
          </xdr:cNvPr>
          <xdr:cNvSpPr/>
        </xdr:nvSpPr>
        <xdr:spPr>
          <a:xfrm>
            <a:off x="2968730" y="3455080"/>
            <a:ext cx="2034540" cy="2407920"/>
          </a:xfrm>
          <a:custGeom>
            <a:avLst/>
            <a:gdLst>
              <a:gd name="connsiteX0" fmla="*/ 99060 w 2034540"/>
              <a:gd name="connsiteY0" fmla="*/ 312420 h 2331720"/>
              <a:gd name="connsiteX1" fmla="*/ 99060 w 2034540"/>
              <a:gd name="connsiteY1" fmla="*/ 228600 h 2331720"/>
              <a:gd name="connsiteX2" fmla="*/ 0 w 2034540"/>
              <a:gd name="connsiteY2" fmla="*/ 198120 h 2331720"/>
              <a:gd name="connsiteX3" fmla="*/ 22860 w 2034540"/>
              <a:gd name="connsiteY3" fmla="*/ 99060 h 2331720"/>
              <a:gd name="connsiteX4" fmla="*/ 266700 w 2034540"/>
              <a:gd name="connsiteY4" fmla="*/ 0 h 2331720"/>
              <a:gd name="connsiteX5" fmla="*/ 548640 w 2034540"/>
              <a:gd name="connsiteY5" fmla="*/ 15240 h 2331720"/>
              <a:gd name="connsiteX6" fmla="*/ 1188720 w 2034540"/>
              <a:gd name="connsiteY6" fmla="*/ 106680 h 2331720"/>
              <a:gd name="connsiteX7" fmla="*/ 1211580 w 2034540"/>
              <a:gd name="connsiteY7" fmla="*/ 327660 h 2331720"/>
              <a:gd name="connsiteX8" fmla="*/ 1363980 w 2034540"/>
              <a:gd name="connsiteY8" fmla="*/ 220980 h 2331720"/>
              <a:gd name="connsiteX9" fmla="*/ 1394460 w 2034540"/>
              <a:gd name="connsiteY9" fmla="*/ 388620 h 2331720"/>
              <a:gd name="connsiteX10" fmla="*/ 1950720 w 2034540"/>
              <a:gd name="connsiteY10" fmla="*/ 327660 h 2331720"/>
              <a:gd name="connsiteX11" fmla="*/ 1905000 w 2034540"/>
              <a:gd name="connsiteY11" fmla="*/ 998220 h 2331720"/>
              <a:gd name="connsiteX12" fmla="*/ 2034540 w 2034540"/>
              <a:gd name="connsiteY12" fmla="*/ 1165860 h 2331720"/>
              <a:gd name="connsiteX13" fmla="*/ 1943100 w 2034540"/>
              <a:gd name="connsiteY13" fmla="*/ 1242060 h 2331720"/>
              <a:gd name="connsiteX14" fmla="*/ 1905000 w 2034540"/>
              <a:gd name="connsiteY14" fmla="*/ 1783080 h 2331720"/>
              <a:gd name="connsiteX15" fmla="*/ 1546860 w 2034540"/>
              <a:gd name="connsiteY15" fmla="*/ 1927860 h 2331720"/>
              <a:gd name="connsiteX16" fmla="*/ 1432560 w 2034540"/>
              <a:gd name="connsiteY16" fmla="*/ 1813560 h 2331720"/>
              <a:gd name="connsiteX17" fmla="*/ 22860 w 2034540"/>
              <a:gd name="connsiteY17" fmla="*/ 2331720 h 2331720"/>
              <a:gd name="connsiteX18" fmla="*/ 99060 w 2034540"/>
              <a:gd name="connsiteY18" fmla="*/ 312420 h 23317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2034540" h="2331720">
                <a:moveTo>
                  <a:pt x="99060" y="312420"/>
                </a:moveTo>
                <a:lnTo>
                  <a:pt x="99060" y="228600"/>
                </a:lnTo>
                <a:lnTo>
                  <a:pt x="0" y="198120"/>
                </a:lnTo>
                <a:lnTo>
                  <a:pt x="22860" y="99060"/>
                </a:lnTo>
                <a:lnTo>
                  <a:pt x="266700" y="0"/>
                </a:lnTo>
                <a:lnTo>
                  <a:pt x="548640" y="15240"/>
                </a:lnTo>
                <a:lnTo>
                  <a:pt x="1188720" y="106680"/>
                </a:lnTo>
                <a:lnTo>
                  <a:pt x="1211580" y="327660"/>
                </a:lnTo>
                <a:lnTo>
                  <a:pt x="1363980" y="220980"/>
                </a:lnTo>
                <a:lnTo>
                  <a:pt x="1394460" y="388620"/>
                </a:lnTo>
                <a:lnTo>
                  <a:pt x="1950720" y="327660"/>
                </a:lnTo>
                <a:lnTo>
                  <a:pt x="1905000" y="998220"/>
                </a:lnTo>
                <a:lnTo>
                  <a:pt x="2034540" y="1165860"/>
                </a:lnTo>
                <a:lnTo>
                  <a:pt x="1943100" y="1242060"/>
                </a:lnTo>
                <a:lnTo>
                  <a:pt x="1905000" y="1783080"/>
                </a:lnTo>
                <a:lnTo>
                  <a:pt x="1546860" y="1927860"/>
                </a:lnTo>
                <a:lnTo>
                  <a:pt x="1432560" y="1813560"/>
                </a:lnTo>
                <a:lnTo>
                  <a:pt x="22860" y="2331720"/>
                </a:lnTo>
                <a:lnTo>
                  <a:pt x="99060" y="31242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8" name="TextBox 21">
            <a:extLst>
              <a:ext uri="{FF2B5EF4-FFF2-40B4-BE49-F238E27FC236}">
                <a16:creationId xmlns:a16="http://schemas.microsoft.com/office/drawing/2014/main" xmlns="" id="{00000000-0008-0000-0000-000026000000}"/>
              </a:ext>
            </a:extLst>
          </xdr:cNvPr>
          <xdr:cNvSpPr txBox="1"/>
        </xdr:nvSpPr>
        <xdr:spPr>
          <a:xfrm>
            <a:off x="2969819" y="5081741"/>
            <a:ext cx="1334020" cy="24622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b="1">
                <a:solidFill>
                  <a:srgbClr val="FF0000"/>
                </a:solidFill>
              </a:rPr>
              <a:t>Bldg No.2 Wing A &amp; B</a:t>
            </a:r>
            <a:endParaRPr lang="en-IN" sz="1000" b="1">
              <a:solidFill>
                <a:srgbClr val="FF0000"/>
              </a:solidFill>
            </a:endParaRPr>
          </a:p>
        </xdr:txBody>
      </xdr:sp>
      <xdr:sp macro="" textlink="">
        <xdr:nvSpPr>
          <xdr:cNvPr id="39" name="Rectangle 38">
            <a:extLst>
              <a:ext uri="{FF2B5EF4-FFF2-40B4-BE49-F238E27FC236}">
                <a16:creationId xmlns:a16="http://schemas.microsoft.com/office/drawing/2014/main" xmlns="" id="{00000000-0008-0000-0000-000027000000}"/>
              </a:ext>
            </a:extLst>
          </xdr:cNvPr>
          <xdr:cNvSpPr/>
        </xdr:nvSpPr>
        <xdr:spPr>
          <a:xfrm>
            <a:off x="3108960" y="4625340"/>
            <a:ext cx="617220" cy="45640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0</xdr:col>
      <xdr:colOff>114300</xdr:colOff>
      <xdr:row>273</xdr:row>
      <xdr:rowOff>38100</xdr:rowOff>
    </xdr:from>
    <xdr:to>
      <xdr:col>7</xdr:col>
      <xdr:colOff>582678</xdr:colOff>
      <xdr:row>315</xdr:row>
      <xdr:rowOff>112124</xdr:rowOff>
    </xdr:to>
    <xdr:grpSp>
      <xdr:nvGrpSpPr>
        <xdr:cNvPr id="2" name="Group 1"/>
        <xdr:cNvGrpSpPr/>
      </xdr:nvGrpSpPr>
      <xdr:grpSpPr>
        <a:xfrm>
          <a:off x="114300" y="50787300"/>
          <a:ext cx="6050028" cy="8465549"/>
          <a:chOff x="114300" y="50787300"/>
          <a:chExt cx="6050028" cy="8465549"/>
        </a:xfrm>
      </xdr:grpSpPr>
      <xdr:pic>
        <xdr:nvPicPr>
          <xdr:cNvPr id="30" name="Picture 29" descr="https://vsjcllp.vsjadon.com/upload/insp-239891-1525.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3057526" y="57295010"/>
            <a:ext cx="1466850" cy="195783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39891-843.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2276475" y="54864000"/>
            <a:ext cx="1769805" cy="2362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39891-851.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419100" y="54864000"/>
            <a:ext cx="1769805" cy="2362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39891-86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114300" y="50796825"/>
            <a:ext cx="2982978" cy="39814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5" name="Picture 44" descr="https://vsjcllp.vsjadon.com/upload/insp-239891-860.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3181350" y="50796825"/>
            <a:ext cx="2982978" cy="39814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6" name="Picture 45" descr="https://vsjcllp.vsjadon.com/upload/insp-239891-874.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4143375" y="54864000"/>
            <a:ext cx="1769805" cy="2362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7" name="Picture 46" descr="https://vsjcllp.vsjadon.com/upload/insp-239891-883.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1514476" y="57295010"/>
            <a:ext cx="1466850" cy="195783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48" name="TextBox 200">
            <a:extLst>
              <a:ext uri="{FF2B5EF4-FFF2-40B4-BE49-F238E27FC236}">
                <a16:creationId xmlns:a16="http://schemas.microsoft.com/office/drawing/2014/main" xmlns="" id="{8D5711DB-0084-42D2-9983-E66A102203B5}"/>
              </a:ext>
            </a:extLst>
          </xdr:cNvPr>
          <xdr:cNvSpPr txBox="1"/>
        </xdr:nvSpPr>
        <xdr:spPr>
          <a:xfrm>
            <a:off x="114300" y="50796825"/>
            <a:ext cx="875561" cy="36933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ysClr val="windowText" lastClr="000000"/>
                </a:solidFill>
              </a:rPr>
              <a:t>Wing A</a:t>
            </a:r>
            <a:endParaRPr lang="en-IN" b="1">
              <a:solidFill>
                <a:sysClr val="windowText" lastClr="000000"/>
              </a:solidFill>
            </a:endParaRPr>
          </a:p>
        </xdr:txBody>
      </xdr:sp>
      <xdr:sp macro="" textlink="">
        <xdr:nvSpPr>
          <xdr:cNvPr id="49" name="TextBox 200">
            <a:extLst>
              <a:ext uri="{FF2B5EF4-FFF2-40B4-BE49-F238E27FC236}">
                <a16:creationId xmlns:a16="http://schemas.microsoft.com/office/drawing/2014/main" xmlns="" id="{8D5711DB-0084-42D2-9983-E66A102203B5}"/>
              </a:ext>
            </a:extLst>
          </xdr:cNvPr>
          <xdr:cNvSpPr txBox="1"/>
        </xdr:nvSpPr>
        <xdr:spPr>
          <a:xfrm>
            <a:off x="5238750" y="50787300"/>
            <a:ext cx="875561" cy="36933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ysClr val="windowText" lastClr="000000"/>
                </a:solidFill>
              </a:rPr>
              <a:t>Wing B</a:t>
            </a:r>
            <a:endParaRPr lang="en-IN" b="1">
              <a:solidFill>
                <a:sysClr val="windowText" lastClr="00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0</xdr:colOff>
      <xdr:row>32</xdr:row>
      <xdr:rowOff>171000</xdr:rowOff>
    </xdr:from>
    <xdr:to>
      <xdr:col>6</xdr:col>
      <xdr:colOff>4566</xdr:colOff>
      <xdr:row>51</xdr:row>
      <xdr:rowOff>151500</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a:stretch>
          <a:fillRect/>
        </a:stretch>
      </xdr:blipFill>
      <xdr:spPr>
        <a:xfrm>
          <a:off x="582706" y="6278206"/>
          <a:ext cx="6403125" cy="3600000"/>
        </a:xfrm>
        <a:prstGeom prst="rect">
          <a:avLst/>
        </a:prstGeom>
      </xdr:spPr>
    </xdr:pic>
    <xdr:clientData/>
  </xdr:twoCellAnchor>
  <xdr:twoCellAnchor editAs="oneCell">
    <xdr:from>
      <xdr:col>1</xdr:col>
      <xdr:colOff>0</xdr:colOff>
      <xdr:row>14</xdr:row>
      <xdr:rowOff>0</xdr:rowOff>
    </xdr:from>
    <xdr:to>
      <xdr:col>6</xdr:col>
      <xdr:colOff>4566</xdr:colOff>
      <xdr:row>32</xdr:row>
      <xdr:rowOff>171000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a:stretch>
          <a:fillRect/>
        </a:stretch>
      </xdr:blipFill>
      <xdr:spPr>
        <a:xfrm>
          <a:off x="582706" y="2678206"/>
          <a:ext cx="6403125" cy="36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jTZtNUPGqzWhgXAU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61"/>
  <sheetViews>
    <sheetView tabSelected="1" view="pageBreakPreview" zoomScaleNormal="100" zoomScaleSheetLayoutView="100" zoomScalePageLayoutView="85" workbookViewId="0">
      <selection activeCell="I11" sqref="I11"/>
    </sheetView>
  </sheetViews>
  <sheetFormatPr defaultColWidth="9.140625" defaultRowHeight="15.75" x14ac:dyDescent="0.25"/>
  <cols>
    <col min="1" max="1" width="11.42578125" style="37" customWidth="1"/>
    <col min="2" max="2" width="12" style="37" customWidth="1"/>
    <col min="3" max="3" width="12.7109375" style="37" customWidth="1"/>
    <col min="4" max="4" width="13.7109375" style="37" customWidth="1"/>
    <col min="5" max="5" width="11.7109375" style="37" customWidth="1"/>
    <col min="6" max="6" width="11.140625" style="37" customWidth="1"/>
    <col min="7" max="8" width="11" style="37" customWidth="1"/>
    <col min="9" max="9" width="17.42578125" style="18" customWidth="1"/>
    <col min="10" max="10" width="11.42578125" style="18" customWidth="1"/>
    <col min="11" max="11" width="10.5703125" style="18" bestFit="1" customWidth="1"/>
    <col min="12" max="12" width="13.85546875" style="18" bestFit="1" customWidth="1"/>
    <col min="13" max="13" width="11.85546875" style="18" customWidth="1"/>
    <col min="14" max="14" width="12.5703125" style="18" customWidth="1"/>
    <col min="15" max="15" width="12.140625" style="18" customWidth="1"/>
    <col min="16" max="16" width="11.7109375" style="18" customWidth="1"/>
    <col min="17" max="18" width="9.140625" style="18"/>
    <col min="19" max="19" width="10.85546875" style="18" bestFit="1" customWidth="1"/>
    <col min="20" max="20" width="10.7109375" style="18" customWidth="1"/>
    <col min="21" max="247" width="9.140625" style="18"/>
    <col min="248" max="248" width="8.7109375" style="18" customWidth="1"/>
    <col min="249" max="249" width="9.85546875" style="18" customWidth="1"/>
    <col min="250" max="250" width="14.42578125" style="18" customWidth="1"/>
    <col min="251" max="251" width="7.28515625" style="18" customWidth="1"/>
    <col min="252" max="252" width="5.5703125" style="18" customWidth="1"/>
    <col min="253" max="253" width="9" style="18" customWidth="1"/>
    <col min="254" max="255" width="9.85546875" style="18" customWidth="1"/>
    <col min="256" max="256" width="11.140625" style="18" customWidth="1"/>
    <col min="257" max="257" width="2.85546875" style="18" customWidth="1"/>
    <col min="258" max="258" width="3.5703125" style="18" customWidth="1"/>
    <col min="259" max="503" width="9.140625" style="18"/>
    <col min="504" max="504" width="8.7109375" style="18" customWidth="1"/>
    <col min="505" max="505" width="9.85546875" style="18" customWidth="1"/>
    <col min="506" max="506" width="14.42578125" style="18" customWidth="1"/>
    <col min="507" max="507" width="7.28515625" style="18" customWidth="1"/>
    <col min="508" max="508" width="5.5703125" style="18" customWidth="1"/>
    <col min="509" max="509" width="9" style="18" customWidth="1"/>
    <col min="510" max="511" width="9.85546875" style="18" customWidth="1"/>
    <col min="512" max="512" width="11.140625" style="18" customWidth="1"/>
    <col min="513" max="513" width="2.85546875" style="18" customWidth="1"/>
    <col min="514" max="514" width="3.5703125" style="18" customWidth="1"/>
    <col min="515" max="759" width="9.140625" style="18"/>
    <col min="760" max="760" width="8.7109375" style="18" customWidth="1"/>
    <col min="761" max="761" width="9.85546875" style="18" customWidth="1"/>
    <col min="762" max="762" width="14.42578125" style="18" customWidth="1"/>
    <col min="763" max="763" width="7.28515625" style="18" customWidth="1"/>
    <col min="764" max="764" width="5.5703125" style="18" customWidth="1"/>
    <col min="765" max="765" width="9" style="18" customWidth="1"/>
    <col min="766" max="767" width="9.85546875" style="18" customWidth="1"/>
    <col min="768" max="768" width="11.140625" style="18" customWidth="1"/>
    <col min="769" max="769" width="2.85546875" style="18" customWidth="1"/>
    <col min="770" max="770" width="3.5703125" style="18" customWidth="1"/>
    <col min="771" max="1015" width="9.140625" style="18"/>
    <col min="1016" max="1016" width="8.7109375" style="18" customWidth="1"/>
    <col min="1017" max="1017" width="9.85546875" style="18" customWidth="1"/>
    <col min="1018" max="1018" width="14.42578125" style="18" customWidth="1"/>
    <col min="1019" max="1019" width="7.28515625" style="18" customWidth="1"/>
    <col min="1020" max="1020" width="5.5703125" style="18" customWidth="1"/>
    <col min="1021" max="1021" width="9" style="18" customWidth="1"/>
    <col min="1022" max="1023" width="9.85546875" style="18" customWidth="1"/>
    <col min="1024" max="1024" width="11.140625" style="18" customWidth="1"/>
    <col min="1025" max="1025" width="2.85546875" style="18" customWidth="1"/>
    <col min="1026" max="1026" width="3.5703125" style="18" customWidth="1"/>
    <col min="1027" max="1271" width="9.140625" style="18"/>
    <col min="1272" max="1272" width="8.7109375" style="18" customWidth="1"/>
    <col min="1273" max="1273" width="9.85546875" style="18" customWidth="1"/>
    <col min="1274" max="1274" width="14.42578125" style="18" customWidth="1"/>
    <col min="1275" max="1275" width="7.28515625" style="18" customWidth="1"/>
    <col min="1276" max="1276" width="5.5703125" style="18" customWidth="1"/>
    <col min="1277" max="1277" width="9" style="18" customWidth="1"/>
    <col min="1278" max="1279" width="9.85546875" style="18" customWidth="1"/>
    <col min="1280" max="1280" width="11.140625" style="18" customWidth="1"/>
    <col min="1281" max="1281" width="2.85546875" style="18" customWidth="1"/>
    <col min="1282" max="1282" width="3.5703125" style="18" customWidth="1"/>
    <col min="1283" max="1527" width="9.140625" style="18"/>
    <col min="1528" max="1528" width="8.7109375" style="18" customWidth="1"/>
    <col min="1529" max="1529" width="9.85546875" style="18" customWidth="1"/>
    <col min="1530" max="1530" width="14.42578125" style="18" customWidth="1"/>
    <col min="1531" max="1531" width="7.28515625" style="18" customWidth="1"/>
    <col min="1532" max="1532" width="5.5703125" style="18" customWidth="1"/>
    <col min="1533" max="1533" width="9" style="18" customWidth="1"/>
    <col min="1534" max="1535" width="9.85546875" style="18" customWidth="1"/>
    <col min="1536" max="1536" width="11.140625" style="18" customWidth="1"/>
    <col min="1537" max="1537" width="2.85546875" style="18" customWidth="1"/>
    <col min="1538" max="1538" width="3.5703125" style="18" customWidth="1"/>
    <col min="1539" max="1783" width="9.140625" style="18"/>
    <col min="1784" max="1784" width="8.7109375" style="18" customWidth="1"/>
    <col min="1785" max="1785" width="9.85546875" style="18" customWidth="1"/>
    <col min="1786" max="1786" width="14.42578125" style="18" customWidth="1"/>
    <col min="1787" max="1787" width="7.28515625" style="18" customWidth="1"/>
    <col min="1788" max="1788" width="5.5703125" style="18" customWidth="1"/>
    <col min="1789" max="1789" width="9" style="18" customWidth="1"/>
    <col min="1790" max="1791" width="9.85546875" style="18" customWidth="1"/>
    <col min="1792" max="1792" width="11.140625" style="18" customWidth="1"/>
    <col min="1793" max="1793" width="2.85546875" style="18" customWidth="1"/>
    <col min="1794" max="1794" width="3.5703125" style="18" customWidth="1"/>
    <col min="1795" max="2039" width="9.140625" style="18"/>
    <col min="2040" max="2040" width="8.7109375" style="18" customWidth="1"/>
    <col min="2041" max="2041" width="9.85546875" style="18" customWidth="1"/>
    <col min="2042" max="2042" width="14.42578125" style="18" customWidth="1"/>
    <col min="2043" max="2043" width="7.28515625" style="18" customWidth="1"/>
    <col min="2044" max="2044" width="5.5703125" style="18" customWidth="1"/>
    <col min="2045" max="2045" width="9" style="18" customWidth="1"/>
    <col min="2046" max="2047" width="9.85546875" style="18" customWidth="1"/>
    <col min="2048" max="2048" width="11.140625" style="18" customWidth="1"/>
    <col min="2049" max="2049" width="2.85546875" style="18" customWidth="1"/>
    <col min="2050" max="2050" width="3.5703125" style="18" customWidth="1"/>
    <col min="2051" max="2295" width="9.140625" style="18"/>
    <col min="2296" max="2296" width="8.7109375" style="18" customWidth="1"/>
    <col min="2297" max="2297" width="9.85546875" style="18" customWidth="1"/>
    <col min="2298" max="2298" width="14.42578125" style="18" customWidth="1"/>
    <col min="2299" max="2299" width="7.28515625" style="18" customWidth="1"/>
    <col min="2300" max="2300" width="5.5703125" style="18" customWidth="1"/>
    <col min="2301" max="2301" width="9" style="18" customWidth="1"/>
    <col min="2302" max="2303" width="9.85546875" style="18" customWidth="1"/>
    <col min="2304" max="2304" width="11.140625" style="18" customWidth="1"/>
    <col min="2305" max="2305" width="2.85546875" style="18" customWidth="1"/>
    <col min="2306" max="2306" width="3.5703125" style="18" customWidth="1"/>
    <col min="2307" max="2551" width="9.140625" style="18"/>
    <col min="2552" max="2552" width="8.7109375" style="18" customWidth="1"/>
    <col min="2553" max="2553" width="9.85546875" style="18" customWidth="1"/>
    <col min="2554" max="2554" width="14.42578125" style="18" customWidth="1"/>
    <col min="2555" max="2555" width="7.28515625" style="18" customWidth="1"/>
    <col min="2556" max="2556" width="5.5703125" style="18" customWidth="1"/>
    <col min="2557" max="2557" width="9" style="18" customWidth="1"/>
    <col min="2558" max="2559" width="9.85546875" style="18" customWidth="1"/>
    <col min="2560" max="2560" width="11.140625" style="18" customWidth="1"/>
    <col min="2561" max="2561" width="2.85546875" style="18" customWidth="1"/>
    <col min="2562" max="2562" width="3.5703125" style="18" customWidth="1"/>
    <col min="2563" max="2807" width="9.140625" style="18"/>
    <col min="2808" max="2808" width="8.7109375" style="18" customWidth="1"/>
    <col min="2809" max="2809" width="9.85546875" style="18" customWidth="1"/>
    <col min="2810" max="2810" width="14.42578125" style="18" customWidth="1"/>
    <col min="2811" max="2811" width="7.28515625" style="18" customWidth="1"/>
    <col min="2812" max="2812" width="5.5703125" style="18" customWidth="1"/>
    <col min="2813" max="2813" width="9" style="18" customWidth="1"/>
    <col min="2814" max="2815" width="9.85546875" style="18" customWidth="1"/>
    <col min="2816" max="2816" width="11.140625" style="18" customWidth="1"/>
    <col min="2817" max="2817" width="2.85546875" style="18" customWidth="1"/>
    <col min="2818" max="2818" width="3.5703125" style="18" customWidth="1"/>
    <col min="2819" max="3063" width="9.140625" style="18"/>
    <col min="3064" max="3064" width="8.7109375" style="18" customWidth="1"/>
    <col min="3065" max="3065" width="9.85546875" style="18" customWidth="1"/>
    <col min="3066" max="3066" width="14.42578125" style="18" customWidth="1"/>
    <col min="3067" max="3067" width="7.28515625" style="18" customWidth="1"/>
    <col min="3068" max="3068" width="5.5703125" style="18" customWidth="1"/>
    <col min="3069" max="3069" width="9" style="18" customWidth="1"/>
    <col min="3070" max="3071" width="9.85546875" style="18" customWidth="1"/>
    <col min="3072" max="3072" width="11.140625" style="18" customWidth="1"/>
    <col min="3073" max="3073" width="2.85546875" style="18" customWidth="1"/>
    <col min="3074" max="3074" width="3.5703125" style="18" customWidth="1"/>
    <col min="3075" max="3319" width="9.140625" style="18"/>
    <col min="3320" max="3320" width="8.7109375" style="18" customWidth="1"/>
    <col min="3321" max="3321" width="9.85546875" style="18" customWidth="1"/>
    <col min="3322" max="3322" width="14.42578125" style="18" customWidth="1"/>
    <col min="3323" max="3323" width="7.28515625" style="18" customWidth="1"/>
    <col min="3324" max="3324" width="5.5703125" style="18" customWidth="1"/>
    <col min="3325" max="3325" width="9" style="18" customWidth="1"/>
    <col min="3326" max="3327" width="9.85546875" style="18" customWidth="1"/>
    <col min="3328" max="3328" width="11.140625" style="18" customWidth="1"/>
    <col min="3329" max="3329" width="2.85546875" style="18" customWidth="1"/>
    <col min="3330" max="3330" width="3.5703125" style="18" customWidth="1"/>
    <col min="3331" max="3575" width="9.140625" style="18"/>
    <col min="3576" max="3576" width="8.7109375" style="18" customWidth="1"/>
    <col min="3577" max="3577" width="9.85546875" style="18" customWidth="1"/>
    <col min="3578" max="3578" width="14.42578125" style="18" customWidth="1"/>
    <col min="3579" max="3579" width="7.28515625" style="18" customWidth="1"/>
    <col min="3580" max="3580" width="5.5703125" style="18" customWidth="1"/>
    <col min="3581" max="3581" width="9" style="18" customWidth="1"/>
    <col min="3582" max="3583" width="9.85546875" style="18" customWidth="1"/>
    <col min="3584" max="3584" width="11.140625" style="18" customWidth="1"/>
    <col min="3585" max="3585" width="2.85546875" style="18" customWidth="1"/>
    <col min="3586" max="3586" width="3.5703125" style="18" customWidth="1"/>
    <col min="3587" max="3831" width="9.140625" style="18"/>
    <col min="3832" max="3832" width="8.7109375" style="18" customWidth="1"/>
    <col min="3833" max="3833" width="9.85546875" style="18" customWidth="1"/>
    <col min="3834" max="3834" width="14.42578125" style="18" customWidth="1"/>
    <col min="3835" max="3835" width="7.28515625" style="18" customWidth="1"/>
    <col min="3836" max="3836" width="5.5703125" style="18" customWidth="1"/>
    <col min="3837" max="3837" width="9" style="18" customWidth="1"/>
    <col min="3838" max="3839" width="9.85546875" style="18" customWidth="1"/>
    <col min="3840" max="3840" width="11.140625" style="18" customWidth="1"/>
    <col min="3841" max="3841" width="2.85546875" style="18" customWidth="1"/>
    <col min="3842" max="3842" width="3.5703125" style="18" customWidth="1"/>
    <col min="3843" max="4087" width="9.140625" style="18"/>
    <col min="4088" max="4088" width="8.7109375" style="18" customWidth="1"/>
    <col min="4089" max="4089" width="9.85546875" style="18" customWidth="1"/>
    <col min="4090" max="4090" width="14.42578125" style="18" customWidth="1"/>
    <col min="4091" max="4091" width="7.28515625" style="18" customWidth="1"/>
    <col min="4092" max="4092" width="5.5703125" style="18" customWidth="1"/>
    <col min="4093" max="4093" width="9" style="18" customWidth="1"/>
    <col min="4094" max="4095" width="9.85546875" style="18" customWidth="1"/>
    <col min="4096" max="4096" width="11.140625" style="18" customWidth="1"/>
    <col min="4097" max="4097" width="2.85546875" style="18" customWidth="1"/>
    <col min="4098" max="4098" width="3.5703125" style="18" customWidth="1"/>
    <col min="4099" max="4343" width="9.140625" style="18"/>
    <col min="4344" max="4344" width="8.7109375" style="18" customWidth="1"/>
    <col min="4345" max="4345" width="9.85546875" style="18" customWidth="1"/>
    <col min="4346" max="4346" width="14.42578125" style="18" customWidth="1"/>
    <col min="4347" max="4347" width="7.28515625" style="18" customWidth="1"/>
    <col min="4348" max="4348" width="5.5703125" style="18" customWidth="1"/>
    <col min="4349" max="4349" width="9" style="18" customWidth="1"/>
    <col min="4350" max="4351" width="9.85546875" style="18" customWidth="1"/>
    <col min="4352" max="4352" width="11.140625" style="18" customWidth="1"/>
    <col min="4353" max="4353" width="2.85546875" style="18" customWidth="1"/>
    <col min="4354" max="4354" width="3.5703125" style="18" customWidth="1"/>
    <col min="4355" max="4599" width="9.140625" style="18"/>
    <col min="4600" max="4600" width="8.7109375" style="18" customWidth="1"/>
    <col min="4601" max="4601" width="9.85546875" style="18" customWidth="1"/>
    <col min="4602" max="4602" width="14.42578125" style="18" customWidth="1"/>
    <col min="4603" max="4603" width="7.28515625" style="18" customWidth="1"/>
    <col min="4604" max="4604" width="5.5703125" style="18" customWidth="1"/>
    <col min="4605" max="4605" width="9" style="18" customWidth="1"/>
    <col min="4606" max="4607" width="9.85546875" style="18" customWidth="1"/>
    <col min="4608" max="4608" width="11.140625" style="18" customWidth="1"/>
    <col min="4609" max="4609" width="2.85546875" style="18" customWidth="1"/>
    <col min="4610" max="4610" width="3.5703125" style="18" customWidth="1"/>
    <col min="4611" max="4855" width="9.140625" style="18"/>
    <col min="4856" max="4856" width="8.7109375" style="18" customWidth="1"/>
    <col min="4857" max="4857" width="9.85546875" style="18" customWidth="1"/>
    <col min="4858" max="4858" width="14.42578125" style="18" customWidth="1"/>
    <col min="4859" max="4859" width="7.28515625" style="18" customWidth="1"/>
    <col min="4860" max="4860" width="5.5703125" style="18" customWidth="1"/>
    <col min="4861" max="4861" width="9" style="18" customWidth="1"/>
    <col min="4862" max="4863" width="9.85546875" style="18" customWidth="1"/>
    <col min="4864" max="4864" width="11.140625" style="18" customWidth="1"/>
    <col min="4865" max="4865" width="2.85546875" style="18" customWidth="1"/>
    <col min="4866" max="4866" width="3.5703125" style="18" customWidth="1"/>
    <col min="4867" max="5111" width="9.140625" style="18"/>
    <col min="5112" max="5112" width="8.7109375" style="18" customWidth="1"/>
    <col min="5113" max="5113" width="9.85546875" style="18" customWidth="1"/>
    <col min="5114" max="5114" width="14.42578125" style="18" customWidth="1"/>
    <col min="5115" max="5115" width="7.28515625" style="18" customWidth="1"/>
    <col min="5116" max="5116" width="5.5703125" style="18" customWidth="1"/>
    <col min="5117" max="5117" width="9" style="18" customWidth="1"/>
    <col min="5118" max="5119" width="9.85546875" style="18" customWidth="1"/>
    <col min="5120" max="5120" width="11.140625" style="18" customWidth="1"/>
    <col min="5121" max="5121" width="2.85546875" style="18" customWidth="1"/>
    <col min="5122" max="5122" width="3.5703125" style="18" customWidth="1"/>
    <col min="5123" max="5367" width="9.140625" style="18"/>
    <col min="5368" max="5368" width="8.7109375" style="18" customWidth="1"/>
    <col min="5369" max="5369" width="9.85546875" style="18" customWidth="1"/>
    <col min="5370" max="5370" width="14.42578125" style="18" customWidth="1"/>
    <col min="5371" max="5371" width="7.28515625" style="18" customWidth="1"/>
    <col min="5372" max="5372" width="5.5703125" style="18" customWidth="1"/>
    <col min="5373" max="5373" width="9" style="18" customWidth="1"/>
    <col min="5374" max="5375" width="9.85546875" style="18" customWidth="1"/>
    <col min="5376" max="5376" width="11.140625" style="18" customWidth="1"/>
    <col min="5377" max="5377" width="2.85546875" style="18" customWidth="1"/>
    <col min="5378" max="5378" width="3.5703125" style="18" customWidth="1"/>
    <col min="5379" max="5623" width="9.140625" style="18"/>
    <col min="5624" max="5624" width="8.7109375" style="18" customWidth="1"/>
    <col min="5625" max="5625" width="9.85546875" style="18" customWidth="1"/>
    <col min="5626" max="5626" width="14.42578125" style="18" customWidth="1"/>
    <col min="5627" max="5627" width="7.28515625" style="18" customWidth="1"/>
    <col min="5628" max="5628" width="5.5703125" style="18" customWidth="1"/>
    <col min="5629" max="5629" width="9" style="18" customWidth="1"/>
    <col min="5630" max="5631" width="9.85546875" style="18" customWidth="1"/>
    <col min="5632" max="5632" width="11.140625" style="18" customWidth="1"/>
    <col min="5633" max="5633" width="2.85546875" style="18" customWidth="1"/>
    <col min="5634" max="5634" width="3.5703125" style="18" customWidth="1"/>
    <col min="5635" max="5879" width="9.140625" style="18"/>
    <col min="5880" max="5880" width="8.7109375" style="18" customWidth="1"/>
    <col min="5881" max="5881" width="9.85546875" style="18" customWidth="1"/>
    <col min="5882" max="5882" width="14.42578125" style="18" customWidth="1"/>
    <col min="5883" max="5883" width="7.28515625" style="18" customWidth="1"/>
    <col min="5884" max="5884" width="5.5703125" style="18" customWidth="1"/>
    <col min="5885" max="5885" width="9" style="18" customWidth="1"/>
    <col min="5886" max="5887" width="9.85546875" style="18" customWidth="1"/>
    <col min="5888" max="5888" width="11.140625" style="18" customWidth="1"/>
    <col min="5889" max="5889" width="2.85546875" style="18" customWidth="1"/>
    <col min="5890" max="5890" width="3.5703125" style="18" customWidth="1"/>
    <col min="5891" max="6135" width="9.140625" style="18"/>
    <col min="6136" max="6136" width="8.7109375" style="18" customWidth="1"/>
    <col min="6137" max="6137" width="9.85546875" style="18" customWidth="1"/>
    <col min="6138" max="6138" width="14.42578125" style="18" customWidth="1"/>
    <col min="6139" max="6139" width="7.28515625" style="18" customWidth="1"/>
    <col min="6140" max="6140" width="5.5703125" style="18" customWidth="1"/>
    <col min="6141" max="6141" width="9" style="18" customWidth="1"/>
    <col min="6142" max="6143" width="9.85546875" style="18" customWidth="1"/>
    <col min="6144" max="6144" width="11.140625" style="18" customWidth="1"/>
    <col min="6145" max="6145" width="2.85546875" style="18" customWidth="1"/>
    <col min="6146" max="6146" width="3.5703125" style="18" customWidth="1"/>
    <col min="6147" max="6391" width="9.140625" style="18"/>
    <col min="6392" max="6392" width="8.7109375" style="18" customWidth="1"/>
    <col min="6393" max="6393" width="9.85546875" style="18" customWidth="1"/>
    <col min="6394" max="6394" width="14.42578125" style="18" customWidth="1"/>
    <col min="6395" max="6395" width="7.28515625" style="18" customWidth="1"/>
    <col min="6396" max="6396" width="5.5703125" style="18" customWidth="1"/>
    <col min="6397" max="6397" width="9" style="18" customWidth="1"/>
    <col min="6398" max="6399" width="9.85546875" style="18" customWidth="1"/>
    <col min="6400" max="6400" width="11.140625" style="18" customWidth="1"/>
    <col min="6401" max="6401" width="2.85546875" style="18" customWidth="1"/>
    <col min="6402" max="6402" width="3.5703125" style="18" customWidth="1"/>
    <col min="6403" max="6647" width="9.140625" style="18"/>
    <col min="6648" max="6648" width="8.7109375" style="18" customWidth="1"/>
    <col min="6649" max="6649" width="9.85546875" style="18" customWidth="1"/>
    <col min="6650" max="6650" width="14.42578125" style="18" customWidth="1"/>
    <col min="6651" max="6651" width="7.28515625" style="18" customWidth="1"/>
    <col min="6652" max="6652" width="5.5703125" style="18" customWidth="1"/>
    <col min="6653" max="6653" width="9" style="18" customWidth="1"/>
    <col min="6654" max="6655" width="9.85546875" style="18" customWidth="1"/>
    <col min="6656" max="6656" width="11.140625" style="18" customWidth="1"/>
    <col min="6657" max="6657" width="2.85546875" style="18" customWidth="1"/>
    <col min="6658" max="6658" width="3.5703125" style="18" customWidth="1"/>
    <col min="6659" max="6903" width="9.140625" style="18"/>
    <col min="6904" max="6904" width="8.7109375" style="18" customWidth="1"/>
    <col min="6905" max="6905" width="9.85546875" style="18" customWidth="1"/>
    <col min="6906" max="6906" width="14.42578125" style="18" customWidth="1"/>
    <col min="6907" max="6907" width="7.28515625" style="18" customWidth="1"/>
    <col min="6908" max="6908" width="5.5703125" style="18" customWidth="1"/>
    <col min="6909" max="6909" width="9" style="18" customWidth="1"/>
    <col min="6910" max="6911" width="9.85546875" style="18" customWidth="1"/>
    <col min="6912" max="6912" width="11.140625" style="18" customWidth="1"/>
    <col min="6913" max="6913" width="2.85546875" style="18" customWidth="1"/>
    <col min="6914" max="6914" width="3.5703125" style="18" customWidth="1"/>
    <col min="6915" max="7159" width="9.140625" style="18"/>
    <col min="7160" max="7160" width="8.7109375" style="18" customWidth="1"/>
    <col min="7161" max="7161" width="9.85546875" style="18" customWidth="1"/>
    <col min="7162" max="7162" width="14.42578125" style="18" customWidth="1"/>
    <col min="7163" max="7163" width="7.28515625" style="18" customWidth="1"/>
    <col min="7164" max="7164" width="5.5703125" style="18" customWidth="1"/>
    <col min="7165" max="7165" width="9" style="18" customWidth="1"/>
    <col min="7166" max="7167" width="9.85546875" style="18" customWidth="1"/>
    <col min="7168" max="7168" width="11.140625" style="18" customWidth="1"/>
    <col min="7169" max="7169" width="2.85546875" style="18" customWidth="1"/>
    <col min="7170" max="7170" width="3.5703125" style="18" customWidth="1"/>
    <col min="7171" max="7415" width="9.140625" style="18"/>
    <col min="7416" max="7416" width="8.7109375" style="18" customWidth="1"/>
    <col min="7417" max="7417" width="9.85546875" style="18" customWidth="1"/>
    <col min="7418" max="7418" width="14.42578125" style="18" customWidth="1"/>
    <col min="7419" max="7419" width="7.28515625" style="18" customWidth="1"/>
    <col min="7420" max="7420" width="5.5703125" style="18" customWidth="1"/>
    <col min="7421" max="7421" width="9" style="18" customWidth="1"/>
    <col min="7422" max="7423" width="9.85546875" style="18" customWidth="1"/>
    <col min="7424" max="7424" width="11.140625" style="18" customWidth="1"/>
    <col min="7425" max="7425" width="2.85546875" style="18" customWidth="1"/>
    <col min="7426" max="7426" width="3.5703125" style="18" customWidth="1"/>
    <col min="7427" max="7671" width="9.140625" style="18"/>
    <col min="7672" max="7672" width="8.7109375" style="18" customWidth="1"/>
    <col min="7673" max="7673" width="9.85546875" style="18" customWidth="1"/>
    <col min="7674" max="7674" width="14.42578125" style="18" customWidth="1"/>
    <col min="7675" max="7675" width="7.28515625" style="18" customWidth="1"/>
    <col min="7676" max="7676" width="5.5703125" style="18" customWidth="1"/>
    <col min="7677" max="7677" width="9" style="18" customWidth="1"/>
    <col min="7678" max="7679" width="9.85546875" style="18" customWidth="1"/>
    <col min="7680" max="7680" width="11.140625" style="18" customWidth="1"/>
    <col min="7681" max="7681" width="2.85546875" style="18" customWidth="1"/>
    <col min="7682" max="7682" width="3.5703125" style="18" customWidth="1"/>
    <col min="7683" max="7927" width="9.140625" style="18"/>
    <col min="7928" max="7928" width="8.7109375" style="18" customWidth="1"/>
    <col min="7929" max="7929" width="9.85546875" style="18" customWidth="1"/>
    <col min="7930" max="7930" width="14.42578125" style="18" customWidth="1"/>
    <col min="7931" max="7931" width="7.28515625" style="18" customWidth="1"/>
    <col min="7932" max="7932" width="5.5703125" style="18" customWidth="1"/>
    <col min="7933" max="7933" width="9" style="18" customWidth="1"/>
    <col min="7934" max="7935" width="9.85546875" style="18" customWidth="1"/>
    <col min="7936" max="7936" width="11.140625" style="18" customWidth="1"/>
    <col min="7937" max="7937" width="2.85546875" style="18" customWidth="1"/>
    <col min="7938" max="7938" width="3.5703125" style="18" customWidth="1"/>
    <col min="7939" max="8183" width="9.140625" style="18"/>
    <col min="8184" max="8184" width="8.7109375" style="18" customWidth="1"/>
    <col min="8185" max="8185" width="9.85546875" style="18" customWidth="1"/>
    <col min="8186" max="8186" width="14.42578125" style="18" customWidth="1"/>
    <col min="8187" max="8187" width="7.28515625" style="18" customWidth="1"/>
    <col min="8188" max="8188" width="5.5703125" style="18" customWidth="1"/>
    <col min="8189" max="8189" width="9" style="18" customWidth="1"/>
    <col min="8190" max="8191" width="9.85546875" style="18" customWidth="1"/>
    <col min="8192" max="8192" width="11.140625" style="18" customWidth="1"/>
    <col min="8193" max="8193" width="2.85546875" style="18" customWidth="1"/>
    <col min="8194" max="8194" width="3.5703125" style="18" customWidth="1"/>
    <col min="8195" max="8439" width="9.140625" style="18"/>
    <col min="8440" max="8440" width="8.7109375" style="18" customWidth="1"/>
    <col min="8441" max="8441" width="9.85546875" style="18" customWidth="1"/>
    <col min="8442" max="8442" width="14.42578125" style="18" customWidth="1"/>
    <col min="8443" max="8443" width="7.28515625" style="18" customWidth="1"/>
    <col min="8444" max="8444" width="5.5703125" style="18" customWidth="1"/>
    <col min="8445" max="8445" width="9" style="18" customWidth="1"/>
    <col min="8446" max="8447" width="9.85546875" style="18" customWidth="1"/>
    <col min="8448" max="8448" width="11.140625" style="18" customWidth="1"/>
    <col min="8449" max="8449" width="2.85546875" style="18" customWidth="1"/>
    <col min="8450" max="8450" width="3.5703125" style="18" customWidth="1"/>
    <col min="8451" max="8695" width="9.140625" style="18"/>
    <col min="8696" max="8696" width="8.7109375" style="18" customWidth="1"/>
    <col min="8697" max="8697" width="9.85546875" style="18" customWidth="1"/>
    <col min="8698" max="8698" width="14.42578125" style="18" customWidth="1"/>
    <col min="8699" max="8699" width="7.28515625" style="18" customWidth="1"/>
    <col min="8700" max="8700" width="5.5703125" style="18" customWidth="1"/>
    <col min="8701" max="8701" width="9" style="18" customWidth="1"/>
    <col min="8702" max="8703" width="9.85546875" style="18" customWidth="1"/>
    <col min="8704" max="8704" width="11.140625" style="18" customWidth="1"/>
    <col min="8705" max="8705" width="2.85546875" style="18" customWidth="1"/>
    <col min="8706" max="8706" width="3.5703125" style="18" customWidth="1"/>
    <col min="8707" max="8951" width="9.140625" style="18"/>
    <col min="8952" max="8952" width="8.7109375" style="18" customWidth="1"/>
    <col min="8953" max="8953" width="9.85546875" style="18" customWidth="1"/>
    <col min="8954" max="8954" width="14.42578125" style="18" customWidth="1"/>
    <col min="8955" max="8955" width="7.28515625" style="18" customWidth="1"/>
    <col min="8956" max="8956" width="5.5703125" style="18" customWidth="1"/>
    <col min="8957" max="8957" width="9" style="18" customWidth="1"/>
    <col min="8958" max="8959" width="9.85546875" style="18" customWidth="1"/>
    <col min="8960" max="8960" width="11.140625" style="18" customWidth="1"/>
    <col min="8961" max="8961" width="2.85546875" style="18" customWidth="1"/>
    <col min="8962" max="8962" width="3.5703125" style="18" customWidth="1"/>
    <col min="8963" max="9207" width="9.140625" style="18"/>
    <col min="9208" max="9208" width="8.7109375" style="18" customWidth="1"/>
    <col min="9209" max="9209" width="9.85546875" style="18" customWidth="1"/>
    <col min="9210" max="9210" width="14.42578125" style="18" customWidth="1"/>
    <col min="9211" max="9211" width="7.28515625" style="18" customWidth="1"/>
    <col min="9212" max="9212" width="5.5703125" style="18" customWidth="1"/>
    <col min="9213" max="9213" width="9" style="18" customWidth="1"/>
    <col min="9214" max="9215" width="9.85546875" style="18" customWidth="1"/>
    <col min="9216" max="9216" width="11.140625" style="18" customWidth="1"/>
    <col min="9217" max="9217" width="2.85546875" style="18" customWidth="1"/>
    <col min="9218" max="9218" width="3.5703125" style="18" customWidth="1"/>
    <col min="9219" max="9463" width="9.140625" style="18"/>
    <col min="9464" max="9464" width="8.7109375" style="18" customWidth="1"/>
    <col min="9465" max="9465" width="9.85546875" style="18" customWidth="1"/>
    <col min="9466" max="9466" width="14.42578125" style="18" customWidth="1"/>
    <col min="9467" max="9467" width="7.28515625" style="18" customWidth="1"/>
    <col min="9468" max="9468" width="5.5703125" style="18" customWidth="1"/>
    <col min="9469" max="9469" width="9" style="18" customWidth="1"/>
    <col min="9470" max="9471" width="9.85546875" style="18" customWidth="1"/>
    <col min="9472" max="9472" width="11.140625" style="18" customWidth="1"/>
    <col min="9473" max="9473" width="2.85546875" style="18" customWidth="1"/>
    <col min="9474" max="9474" width="3.5703125" style="18" customWidth="1"/>
    <col min="9475" max="9719" width="9.140625" style="18"/>
    <col min="9720" max="9720" width="8.7109375" style="18" customWidth="1"/>
    <col min="9721" max="9721" width="9.85546875" style="18" customWidth="1"/>
    <col min="9722" max="9722" width="14.42578125" style="18" customWidth="1"/>
    <col min="9723" max="9723" width="7.28515625" style="18" customWidth="1"/>
    <col min="9724" max="9724" width="5.5703125" style="18" customWidth="1"/>
    <col min="9725" max="9725" width="9" style="18" customWidth="1"/>
    <col min="9726" max="9727" width="9.85546875" style="18" customWidth="1"/>
    <col min="9728" max="9728" width="11.140625" style="18" customWidth="1"/>
    <col min="9729" max="9729" width="2.85546875" style="18" customWidth="1"/>
    <col min="9730" max="9730" width="3.5703125" style="18" customWidth="1"/>
    <col min="9731" max="9975" width="9.140625" style="18"/>
    <col min="9976" max="9976" width="8.7109375" style="18" customWidth="1"/>
    <col min="9977" max="9977" width="9.85546875" style="18" customWidth="1"/>
    <col min="9978" max="9978" width="14.42578125" style="18" customWidth="1"/>
    <col min="9979" max="9979" width="7.28515625" style="18" customWidth="1"/>
    <col min="9980" max="9980" width="5.5703125" style="18" customWidth="1"/>
    <col min="9981" max="9981" width="9" style="18" customWidth="1"/>
    <col min="9982" max="9983" width="9.85546875" style="18" customWidth="1"/>
    <col min="9984" max="9984" width="11.140625" style="18" customWidth="1"/>
    <col min="9985" max="9985" width="2.85546875" style="18" customWidth="1"/>
    <col min="9986" max="9986" width="3.5703125" style="18" customWidth="1"/>
    <col min="9987" max="10231" width="9.140625" style="18"/>
    <col min="10232" max="10232" width="8.7109375" style="18" customWidth="1"/>
    <col min="10233" max="10233" width="9.85546875" style="18" customWidth="1"/>
    <col min="10234" max="10234" width="14.42578125" style="18" customWidth="1"/>
    <col min="10235" max="10235" width="7.28515625" style="18" customWidth="1"/>
    <col min="10236" max="10236" width="5.5703125" style="18" customWidth="1"/>
    <col min="10237" max="10237" width="9" style="18" customWidth="1"/>
    <col min="10238" max="10239" width="9.85546875" style="18" customWidth="1"/>
    <col min="10240" max="10240" width="11.140625" style="18" customWidth="1"/>
    <col min="10241" max="10241" width="2.85546875" style="18" customWidth="1"/>
    <col min="10242" max="10242" width="3.5703125" style="18" customWidth="1"/>
    <col min="10243" max="10487" width="9.140625" style="18"/>
    <col min="10488" max="10488" width="8.7109375" style="18" customWidth="1"/>
    <col min="10489" max="10489" width="9.85546875" style="18" customWidth="1"/>
    <col min="10490" max="10490" width="14.42578125" style="18" customWidth="1"/>
    <col min="10491" max="10491" width="7.28515625" style="18" customWidth="1"/>
    <col min="10492" max="10492" width="5.5703125" style="18" customWidth="1"/>
    <col min="10493" max="10493" width="9" style="18" customWidth="1"/>
    <col min="10494" max="10495" width="9.85546875" style="18" customWidth="1"/>
    <col min="10496" max="10496" width="11.140625" style="18" customWidth="1"/>
    <col min="10497" max="10497" width="2.85546875" style="18" customWidth="1"/>
    <col min="10498" max="10498" width="3.5703125" style="18" customWidth="1"/>
    <col min="10499" max="10743" width="9.140625" style="18"/>
    <col min="10744" max="10744" width="8.7109375" style="18" customWidth="1"/>
    <col min="10745" max="10745" width="9.85546875" style="18" customWidth="1"/>
    <col min="10746" max="10746" width="14.42578125" style="18" customWidth="1"/>
    <col min="10747" max="10747" width="7.28515625" style="18" customWidth="1"/>
    <col min="10748" max="10748" width="5.5703125" style="18" customWidth="1"/>
    <col min="10749" max="10749" width="9" style="18" customWidth="1"/>
    <col min="10750" max="10751" width="9.85546875" style="18" customWidth="1"/>
    <col min="10752" max="10752" width="11.140625" style="18" customWidth="1"/>
    <col min="10753" max="10753" width="2.85546875" style="18" customWidth="1"/>
    <col min="10754" max="10754" width="3.5703125" style="18" customWidth="1"/>
    <col min="10755" max="10999" width="9.140625" style="18"/>
    <col min="11000" max="11000" width="8.7109375" style="18" customWidth="1"/>
    <col min="11001" max="11001" width="9.85546875" style="18" customWidth="1"/>
    <col min="11002" max="11002" width="14.42578125" style="18" customWidth="1"/>
    <col min="11003" max="11003" width="7.28515625" style="18" customWidth="1"/>
    <col min="11004" max="11004" width="5.5703125" style="18" customWidth="1"/>
    <col min="11005" max="11005" width="9" style="18" customWidth="1"/>
    <col min="11006" max="11007" width="9.85546875" style="18" customWidth="1"/>
    <col min="11008" max="11008" width="11.140625" style="18" customWidth="1"/>
    <col min="11009" max="11009" width="2.85546875" style="18" customWidth="1"/>
    <col min="11010" max="11010" width="3.5703125" style="18" customWidth="1"/>
    <col min="11011" max="11255" width="9.140625" style="18"/>
    <col min="11256" max="11256" width="8.7109375" style="18" customWidth="1"/>
    <col min="11257" max="11257" width="9.85546875" style="18" customWidth="1"/>
    <col min="11258" max="11258" width="14.42578125" style="18" customWidth="1"/>
    <col min="11259" max="11259" width="7.28515625" style="18" customWidth="1"/>
    <col min="11260" max="11260" width="5.5703125" style="18" customWidth="1"/>
    <col min="11261" max="11261" width="9" style="18" customWidth="1"/>
    <col min="11262" max="11263" width="9.85546875" style="18" customWidth="1"/>
    <col min="11264" max="11264" width="11.140625" style="18" customWidth="1"/>
    <col min="11265" max="11265" width="2.85546875" style="18" customWidth="1"/>
    <col min="11266" max="11266" width="3.5703125" style="18" customWidth="1"/>
    <col min="11267" max="11511" width="9.140625" style="18"/>
    <col min="11512" max="11512" width="8.7109375" style="18" customWidth="1"/>
    <col min="11513" max="11513" width="9.85546875" style="18" customWidth="1"/>
    <col min="11514" max="11514" width="14.42578125" style="18" customWidth="1"/>
    <col min="11515" max="11515" width="7.28515625" style="18" customWidth="1"/>
    <col min="11516" max="11516" width="5.5703125" style="18" customWidth="1"/>
    <col min="11517" max="11517" width="9" style="18" customWidth="1"/>
    <col min="11518" max="11519" width="9.85546875" style="18" customWidth="1"/>
    <col min="11520" max="11520" width="11.140625" style="18" customWidth="1"/>
    <col min="11521" max="11521" width="2.85546875" style="18" customWidth="1"/>
    <col min="11522" max="11522" width="3.5703125" style="18" customWidth="1"/>
    <col min="11523" max="11767" width="9.140625" style="18"/>
    <col min="11768" max="11768" width="8.7109375" style="18" customWidth="1"/>
    <col min="11769" max="11769" width="9.85546875" style="18" customWidth="1"/>
    <col min="11770" max="11770" width="14.42578125" style="18" customWidth="1"/>
    <col min="11771" max="11771" width="7.28515625" style="18" customWidth="1"/>
    <col min="11772" max="11772" width="5.5703125" style="18" customWidth="1"/>
    <col min="11773" max="11773" width="9" style="18" customWidth="1"/>
    <col min="11774" max="11775" width="9.85546875" style="18" customWidth="1"/>
    <col min="11776" max="11776" width="11.140625" style="18" customWidth="1"/>
    <col min="11777" max="11777" width="2.85546875" style="18" customWidth="1"/>
    <col min="11778" max="11778" width="3.5703125" style="18" customWidth="1"/>
    <col min="11779" max="12023" width="9.140625" style="18"/>
    <col min="12024" max="12024" width="8.7109375" style="18" customWidth="1"/>
    <col min="12025" max="12025" width="9.85546875" style="18" customWidth="1"/>
    <col min="12026" max="12026" width="14.42578125" style="18" customWidth="1"/>
    <col min="12027" max="12027" width="7.28515625" style="18" customWidth="1"/>
    <col min="12028" max="12028" width="5.5703125" style="18" customWidth="1"/>
    <col min="12029" max="12029" width="9" style="18" customWidth="1"/>
    <col min="12030" max="12031" width="9.85546875" style="18" customWidth="1"/>
    <col min="12032" max="12032" width="11.140625" style="18" customWidth="1"/>
    <col min="12033" max="12033" width="2.85546875" style="18" customWidth="1"/>
    <col min="12034" max="12034" width="3.5703125" style="18" customWidth="1"/>
    <col min="12035" max="12279" width="9.140625" style="18"/>
    <col min="12280" max="12280" width="8.7109375" style="18" customWidth="1"/>
    <col min="12281" max="12281" width="9.85546875" style="18" customWidth="1"/>
    <col min="12282" max="12282" width="14.42578125" style="18" customWidth="1"/>
    <col min="12283" max="12283" width="7.28515625" style="18" customWidth="1"/>
    <col min="12284" max="12284" width="5.5703125" style="18" customWidth="1"/>
    <col min="12285" max="12285" width="9" style="18" customWidth="1"/>
    <col min="12286" max="12287" width="9.85546875" style="18" customWidth="1"/>
    <col min="12288" max="12288" width="11.140625" style="18" customWidth="1"/>
    <col min="12289" max="12289" width="2.85546875" style="18" customWidth="1"/>
    <col min="12290" max="12290" width="3.5703125" style="18" customWidth="1"/>
    <col min="12291" max="12535" width="9.140625" style="18"/>
    <col min="12536" max="12536" width="8.7109375" style="18" customWidth="1"/>
    <col min="12537" max="12537" width="9.85546875" style="18" customWidth="1"/>
    <col min="12538" max="12538" width="14.42578125" style="18" customWidth="1"/>
    <col min="12539" max="12539" width="7.28515625" style="18" customWidth="1"/>
    <col min="12540" max="12540" width="5.5703125" style="18" customWidth="1"/>
    <col min="12541" max="12541" width="9" style="18" customWidth="1"/>
    <col min="12542" max="12543" width="9.85546875" style="18" customWidth="1"/>
    <col min="12544" max="12544" width="11.140625" style="18" customWidth="1"/>
    <col min="12545" max="12545" width="2.85546875" style="18" customWidth="1"/>
    <col min="12546" max="12546" width="3.5703125" style="18" customWidth="1"/>
    <col min="12547" max="12791" width="9.140625" style="18"/>
    <col min="12792" max="12792" width="8.7109375" style="18" customWidth="1"/>
    <col min="12793" max="12793" width="9.85546875" style="18" customWidth="1"/>
    <col min="12794" max="12794" width="14.42578125" style="18" customWidth="1"/>
    <col min="12795" max="12795" width="7.28515625" style="18" customWidth="1"/>
    <col min="12796" max="12796" width="5.5703125" style="18" customWidth="1"/>
    <col min="12797" max="12797" width="9" style="18" customWidth="1"/>
    <col min="12798" max="12799" width="9.85546875" style="18" customWidth="1"/>
    <col min="12800" max="12800" width="11.140625" style="18" customWidth="1"/>
    <col min="12801" max="12801" width="2.85546875" style="18" customWidth="1"/>
    <col min="12802" max="12802" width="3.5703125" style="18" customWidth="1"/>
    <col min="12803" max="13047" width="9.140625" style="18"/>
    <col min="13048" max="13048" width="8.7109375" style="18" customWidth="1"/>
    <col min="13049" max="13049" width="9.85546875" style="18" customWidth="1"/>
    <col min="13050" max="13050" width="14.42578125" style="18" customWidth="1"/>
    <col min="13051" max="13051" width="7.28515625" style="18" customWidth="1"/>
    <col min="13052" max="13052" width="5.5703125" style="18" customWidth="1"/>
    <col min="13053" max="13053" width="9" style="18" customWidth="1"/>
    <col min="13054" max="13055" width="9.85546875" style="18" customWidth="1"/>
    <col min="13056" max="13056" width="11.140625" style="18" customWidth="1"/>
    <col min="13057" max="13057" width="2.85546875" style="18" customWidth="1"/>
    <col min="13058" max="13058" width="3.5703125" style="18" customWidth="1"/>
    <col min="13059" max="13303" width="9.140625" style="18"/>
    <col min="13304" max="13304" width="8.7109375" style="18" customWidth="1"/>
    <col min="13305" max="13305" width="9.85546875" style="18" customWidth="1"/>
    <col min="13306" max="13306" width="14.42578125" style="18" customWidth="1"/>
    <col min="13307" max="13307" width="7.28515625" style="18" customWidth="1"/>
    <col min="13308" max="13308" width="5.5703125" style="18" customWidth="1"/>
    <col min="13309" max="13309" width="9" style="18" customWidth="1"/>
    <col min="13310" max="13311" width="9.85546875" style="18" customWidth="1"/>
    <col min="13312" max="13312" width="11.140625" style="18" customWidth="1"/>
    <col min="13313" max="13313" width="2.85546875" style="18" customWidth="1"/>
    <col min="13314" max="13314" width="3.5703125" style="18" customWidth="1"/>
    <col min="13315" max="13559" width="9.140625" style="18"/>
    <col min="13560" max="13560" width="8.7109375" style="18" customWidth="1"/>
    <col min="13561" max="13561" width="9.85546875" style="18" customWidth="1"/>
    <col min="13562" max="13562" width="14.42578125" style="18" customWidth="1"/>
    <col min="13563" max="13563" width="7.28515625" style="18" customWidth="1"/>
    <col min="13564" max="13564" width="5.5703125" style="18" customWidth="1"/>
    <col min="13565" max="13565" width="9" style="18" customWidth="1"/>
    <col min="13566" max="13567" width="9.85546875" style="18" customWidth="1"/>
    <col min="13568" max="13568" width="11.140625" style="18" customWidth="1"/>
    <col min="13569" max="13569" width="2.85546875" style="18" customWidth="1"/>
    <col min="13570" max="13570" width="3.5703125" style="18" customWidth="1"/>
    <col min="13571" max="13815" width="9.140625" style="18"/>
    <col min="13816" max="13816" width="8.7109375" style="18" customWidth="1"/>
    <col min="13817" max="13817" width="9.85546875" style="18" customWidth="1"/>
    <col min="13818" max="13818" width="14.42578125" style="18" customWidth="1"/>
    <col min="13819" max="13819" width="7.28515625" style="18" customWidth="1"/>
    <col min="13820" max="13820" width="5.5703125" style="18" customWidth="1"/>
    <col min="13821" max="13821" width="9" style="18" customWidth="1"/>
    <col min="13822" max="13823" width="9.85546875" style="18" customWidth="1"/>
    <col min="13824" max="13824" width="11.140625" style="18" customWidth="1"/>
    <col min="13825" max="13825" width="2.85546875" style="18" customWidth="1"/>
    <col min="13826" max="13826" width="3.5703125" style="18" customWidth="1"/>
    <col min="13827" max="14071" width="9.140625" style="18"/>
    <col min="14072" max="14072" width="8.7109375" style="18" customWidth="1"/>
    <col min="14073" max="14073" width="9.85546875" style="18" customWidth="1"/>
    <col min="14074" max="14074" width="14.42578125" style="18" customWidth="1"/>
    <col min="14075" max="14075" width="7.28515625" style="18" customWidth="1"/>
    <col min="14076" max="14076" width="5.5703125" style="18" customWidth="1"/>
    <col min="14077" max="14077" width="9" style="18" customWidth="1"/>
    <col min="14078" max="14079" width="9.85546875" style="18" customWidth="1"/>
    <col min="14080" max="14080" width="11.140625" style="18" customWidth="1"/>
    <col min="14081" max="14081" width="2.85546875" style="18" customWidth="1"/>
    <col min="14082" max="14082" width="3.5703125" style="18" customWidth="1"/>
    <col min="14083" max="14327" width="9.140625" style="18"/>
    <col min="14328" max="14328" width="8.7109375" style="18" customWidth="1"/>
    <col min="14329" max="14329" width="9.85546875" style="18" customWidth="1"/>
    <col min="14330" max="14330" width="14.42578125" style="18" customWidth="1"/>
    <col min="14331" max="14331" width="7.28515625" style="18" customWidth="1"/>
    <col min="14332" max="14332" width="5.5703125" style="18" customWidth="1"/>
    <col min="14333" max="14333" width="9" style="18" customWidth="1"/>
    <col min="14334" max="14335" width="9.85546875" style="18" customWidth="1"/>
    <col min="14336" max="14336" width="11.140625" style="18" customWidth="1"/>
    <col min="14337" max="14337" width="2.85546875" style="18" customWidth="1"/>
    <col min="14338" max="14338" width="3.5703125" style="18" customWidth="1"/>
    <col min="14339" max="14583" width="9.140625" style="18"/>
    <col min="14584" max="14584" width="8.7109375" style="18" customWidth="1"/>
    <col min="14585" max="14585" width="9.85546875" style="18" customWidth="1"/>
    <col min="14586" max="14586" width="14.42578125" style="18" customWidth="1"/>
    <col min="14587" max="14587" width="7.28515625" style="18" customWidth="1"/>
    <col min="14588" max="14588" width="5.5703125" style="18" customWidth="1"/>
    <col min="14589" max="14589" width="9" style="18" customWidth="1"/>
    <col min="14590" max="14591" width="9.85546875" style="18" customWidth="1"/>
    <col min="14592" max="14592" width="11.140625" style="18" customWidth="1"/>
    <col min="14593" max="14593" width="2.85546875" style="18" customWidth="1"/>
    <col min="14594" max="14594" width="3.5703125" style="18" customWidth="1"/>
    <col min="14595" max="14839" width="9.140625" style="18"/>
    <col min="14840" max="14840" width="8.7109375" style="18" customWidth="1"/>
    <col min="14841" max="14841" width="9.85546875" style="18" customWidth="1"/>
    <col min="14842" max="14842" width="14.42578125" style="18" customWidth="1"/>
    <col min="14843" max="14843" width="7.28515625" style="18" customWidth="1"/>
    <col min="14844" max="14844" width="5.5703125" style="18" customWidth="1"/>
    <col min="14845" max="14845" width="9" style="18" customWidth="1"/>
    <col min="14846" max="14847" width="9.85546875" style="18" customWidth="1"/>
    <col min="14848" max="14848" width="11.140625" style="18" customWidth="1"/>
    <col min="14849" max="14849" width="2.85546875" style="18" customWidth="1"/>
    <col min="14850" max="14850" width="3.5703125" style="18" customWidth="1"/>
    <col min="14851" max="15095" width="9.140625" style="18"/>
    <col min="15096" max="15096" width="8.7109375" style="18" customWidth="1"/>
    <col min="15097" max="15097" width="9.85546875" style="18" customWidth="1"/>
    <col min="15098" max="15098" width="14.42578125" style="18" customWidth="1"/>
    <col min="15099" max="15099" width="7.28515625" style="18" customWidth="1"/>
    <col min="15100" max="15100" width="5.5703125" style="18" customWidth="1"/>
    <col min="15101" max="15101" width="9" style="18" customWidth="1"/>
    <col min="15102" max="15103" width="9.85546875" style="18" customWidth="1"/>
    <col min="15104" max="15104" width="11.140625" style="18" customWidth="1"/>
    <col min="15105" max="15105" width="2.85546875" style="18" customWidth="1"/>
    <col min="15106" max="15106" width="3.5703125" style="18" customWidth="1"/>
    <col min="15107" max="15351" width="9.140625" style="18"/>
    <col min="15352" max="15352" width="8.7109375" style="18" customWidth="1"/>
    <col min="15353" max="15353" width="9.85546875" style="18" customWidth="1"/>
    <col min="15354" max="15354" width="14.42578125" style="18" customWidth="1"/>
    <col min="15355" max="15355" width="7.28515625" style="18" customWidth="1"/>
    <col min="15356" max="15356" width="5.5703125" style="18" customWidth="1"/>
    <col min="15357" max="15357" width="9" style="18" customWidth="1"/>
    <col min="15358" max="15359" width="9.85546875" style="18" customWidth="1"/>
    <col min="15360" max="15360" width="11.140625" style="18" customWidth="1"/>
    <col min="15361" max="15361" width="2.85546875" style="18" customWidth="1"/>
    <col min="15362" max="15362" width="3.5703125" style="18" customWidth="1"/>
    <col min="15363" max="15607" width="9.140625" style="18"/>
    <col min="15608" max="15608" width="8.7109375" style="18" customWidth="1"/>
    <col min="15609" max="15609" width="9.85546875" style="18" customWidth="1"/>
    <col min="15610" max="15610" width="14.42578125" style="18" customWidth="1"/>
    <col min="15611" max="15611" width="7.28515625" style="18" customWidth="1"/>
    <col min="15612" max="15612" width="5.5703125" style="18" customWidth="1"/>
    <col min="15613" max="15613" width="9" style="18" customWidth="1"/>
    <col min="15614" max="15615" width="9.85546875" style="18" customWidth="1"/>
    <col min="15616" max="15616" width="11.140625" style="18" customWidth="1"/>
    <col min="15617" max="15617" width="2.85546875" style="18" customWidth="1"/>
    <col min="15618" max="15618" width="3.5703125" style="18" customWidth="1"/>
    <col min="15619" max="15863" width="9.140625" style="18"/>
    <col min="15864" max="15864" width="8.7109375" style="18" customWidth="1"/>
    <col min="15865" max="15865" width="9.85546875" style="18" customWidth="1"/>
    <col min="15866" max="15866" width="14.42578125" style="18" customWidth="1"/>
    <col min="15867" max="15867" width="7.28515625" style="18" customWidth="1"/>
    <col min="15868" max="15868" width="5.5703125" style="18" customWidth="1"/>
    <col min="15869" max="15869" width="9" style="18" customWidth="1"/>
    <col min="15870" max="15871" width="9.85546875" style="18" customWidth="1"/>
    <col min="15872" max="15872" width="11.140625" style="18" customWidth="1"/>
    <col min="15873" max="15873" width="2.85546875" style="18" customWidth="1"/>
    <col min="15874" max="15874" width="3.5703125" style="18" customWidth="1"/>
    <col min="15875" max="16119" width="9.140625" style="18"/>
    <col min="16120" max="16120" width="8.7109375" style="18" customWidth="1"/>
    <col min="16121" max="16121" width="9.85546875" style="18" customWidth="1"/>
    <col min="16122" max="16122" width="14.42578125" style="18" customWidth="1"/>
    <col min="16123" max="16123" width="7.28515625" style="18" customWidth="1"/>
    <col min="16124" max="16124" width="5.5703125" style="18" customWidth="1"/>
    <col min="16125" max="16125" width="9" style="18" customWidth="1"/>
    <col min="16126" max="16127" width="9.85546875" style="18" customWidth="1"/>
    <col min="16128" max="16128" width="11.140625" style="18" customWidth="1"/>
    <col min="16129" max="16129" width="2.85546875" style="18" customWidth="1"/>
    <col min="16130" max="16130" width="3.5703125" style="18" customWidth="1"/>
    <col min="16131" max="16384" width="9.140625" style="18"/>
  </cols>
  <sheetData>
    <row r="1" spans="1:26" ht="46.5" customHeight="1" x14ac:dyDescent="0.25">
      <c r="A1" s="207" t="s">
        <v>165</v>
      </c>
      <c r="B1" s="207"/>
      <c r="C1" s="207"/>
      <c r="D1" s="207"/>
      <c r="E1" s="207"/>
      <c r="F1" s="207"/>
      <c r="G1" s="207"/>
      <c r="H1" s="207"/>
    </row>
    <row r="2" spans="1:26" ht="16.5" customHeight="1" x14ac:dyDescent="0.25">
      <c r="A2" s="208" t="s">
        <v>0</v>
      </c>
      <c r="B2" s="208"/>
      <c r="C2" s="208"/>
      <c r="D2" s="208"/>
      <c r="E2" s="208"/>
      <c r="F2" s="208"/>
      <c r="G2" s="208"/>
      <c r="H2" s="208"/>
    </row>
    <row r="3" spans="1:26" x14ac:dyDescent="0.25">
      <c r="A3" s="163" t="s">
        <v>1</v>
      </c>
      <c r="B3" s="163"/>
      <c r="C3" s="163"/>
      <c r="D3" s="163"/>
      <c r="E3" s="163" t="str">
        <f ca="1">TEXT(TODAY(),"DD/MM/YYYY")</f>
        <v>11/07/2025</v>
      </c>
      <c r="F3" s="163"/>
      <c r="G3" s="163"/>
      <c r="H3" s="163"/>
      <c r="K3" s="52" t="s">
        <v>237</v>
      </c>
      <c r="L3" s="49" t="s">
        <v>235</v>
      </c>
      <c r="M3" s="49" t="s">
        <v>240</v>
      </c>
      <c r="N3" s="49" t="s">
        <v>238</v>
      </c>
      <c r="O3" s="49" t="s">
        <v>239</v>
      </c>
      <c r="P3" s="49" t="s">
        <v>241</v>
      </c>
    </row>
    <row r="4" spans="1:26" ht="15" customHeight="1" x14ac:dyDescent="0.25">
      <c r="A4" s="163" t="s">
        <v>234</v>
      </c>
      <c r="B4" s="163"/>
      <c r="C4" s="163"/>
      <c r="D4" s="163"/>
      <c r="E4" s="209" t="s">
        <v>235</v>
      </c>
      <c r="F4" s="209"/>
      <c r="G4" s="209"/>
      <c r="H4" s="209"/>
      <c r="K4" s="48" t="s">
        <v>236</v>
      </c>
      <c r="L4" s="49" t="s">
        <v>171</v>
      </c>
      <c r="M4" s="49" t="s">
        <v>245</v>
      </c>
      <c r="N4" s="49" t="s">
        <v>247</v>
      </c>
      <c r="O4" s="49" t="s">
        <v>249</v>
      </c>
      <c r="P4" s="49"/>
    </row>
    <row r="5" spans="1:26" ht="15" customHeight="1" x14ac:dyDescent="0.25">
      <c r="A5" s="163" t="s">
        <v>2</v>
      </c>
      <c r="B5" s="163"/>
      <c r="C5" s="163"/>
      <c r="D5" s="163"/>
      <c r="E5" s="209" t="s">
        <v>171</v>
      </c>
      <c r="F5" s="209"/>
      <c r="G5" s="209"/>
      <c r="H5" s="209"/>
      <c r="K5" s="48"/>
      <c r="L5" s="49" t="s">
        <v>242</v>
      </c>
      <c r="M5" s="49" t="s">
        <v>246</v>
      </c>
      <c r="N5" s="49" t="s">
        <v>248</v>
      </c>
      <c r="O5" s="49" t="s">
        <v>250</v>
      </c>
      <c r="P5" s="49"/>
    </row>
    <row r="6" spans="1:26" x14ac:dyDescent="0.25">
      <c r="A6" s="163" t="s">
        <v>3</v>
      </c>
      <c r="B6" s="163"/>
      <c r="C6" s="163"/>
      <c r="D6" s="163"/>
      <c r="E6" s="210">
        <v>45848</v>
      </c>
      <c r="F6" s="163"/>
      <c r="G6" s="163"/>
      <c r="H6" s="163"/>
      <c r="K6" s="48"/>
      <c r="L6" s="49" t="s">
        <v>243</v>
      </c>
      <c r="M6" s="49"/>
      <c r="N6" s="49"/>
      <c r="O6" s="49" t="s">
        <v>251</v>
      </c>
      <c r="P6" s="49"/>
    </row>
    <row r="7" spans="1:26" ht="16.5" customHeight="1" x14ac:dyDescent="0.25">
      <c r="A7" s="163" t="s">
        <v>4</v>
      </c>
      <c r="B7" s="163"/>
      <c r="C7" s="163"/>
      <c r="D7" s="163"/>
      <c r="E7" s="163" t="s">
        <v>340</v>
      </c>
      <c r="F7" s="163"/>
      <c r="G7" s="163"/>
      <c r="H7" s="163"/>
      <c r="K7" s="48"/>
      <c r="L7" s="49" t="s">
        <v>244</v>
      </c>
      <c r="M7" s="49"/>
      <c r="N7" s="49"/>
      <c r="O7" s="49" t="s">
        <v>251</v>
      </c>
      <c r="P7" s="49"/>
    </row>
    <row r="8" spans="1:26" ht="15" customHeight="1" x14ac:dyDescent="0.25">
      <c r="A8" s="163" t="s">
        <v>5</v>
      </c>
      <c r="B8" s="163"/>
      <c r="C8" s="163"/>
      <c r="D8" s="163"/>
      <c r="E8" s="163" t="str">
        <f>E7</f>
        <v>Ruturaj Realtors</v>
      </c>
      <c r="F8" s="163"/>
      <c r="G8" s="163"/>
      <c r="H8" s="163"/>
      <c r="K8" s="48"/>
      <c r="L8" s="49"/>
      <c r="M8" s="49"/>
      <c r="N8" s="49"/>
      <c r="O8" s="49" t="s">
        <v>252</v>
      </c>
      <c r="P8" s="49"/>
    </row>
    <row r="9" spans="1:26" x14ac:dyDescent="0.25">
      <c r="A9" s="163" t="s">
        <v>6</v>
      </c>
      <c r="B9" s="163"/>
      <c r="C9" s="163"/>
      <c r="D9" s="163"/>
      <c r="E9" s="198" t="s">
        <v>341</v>
      </c>
      <c r="F9" s="198"/>
      <c r="G9" s="198"/>
      <c r="H9" s="198"/>
      <c r="K9" s="48"/>
      <c r="L9" s="49"/>
      <c r="M9" s="49"/>
      <c r="N9" s="49"/>
      <c r="O9" s="49" t="s">
        <v>253</v>
      </c>
      <c r="P9" s="49"/>
    </row>
    <row r="10" spans="1:26" x14ac:dyDescent="0.25">
      <c r="A10" s="163" t="s">
        <v>168</v>
      </c>
      <c r="B10" s="163"/>
      <c r="C10" s="163"/>
      <c r="D10" s="163"/>
      <c r="E10" s="163">
        <v>7303199833</v>
      </c>
      <c r="F10" s="163"/>
      <c r="G10" s="163"/>
      <c r="H10" s="163"/>
      <c r="K10" s="48"/>
      <c r="L10" s="49"/>
      <c r="M10" s="49"/>
      <c r="N10" s="49"/>
      <c r="O10" s="49"/>
      <c r="P10" s="49"/>
    </row>
    <row r="11" spans="1:26" x14ac:dyDescent="0.25">
      <c r="A11" s="163" t="s">
        <v>169</v>
      </c>
      <c r="B11" s="163"/>
      <c r="C11" s="163"/>
      <c r="D11" s="163"/>
      <c r="E11" s="163" t="s">
        <v>405</v>
      </c>
      <c r="F11" s="163"/>
      <c r="G11" s="163"/>
      <c r="H11" s="163"/>
    </row>
    <row r="12" spans="1:26" x14ac:dyDescent="0.25">
      <c r="A12" s="163" t="s">
        <v>7</v>
      </c>
      <c r="B12" s="163"/>
      <c r="C12" s="163"/>
      <c r="D12" s="163"/>
      <c r="E12" s="163" t="s">
        <v>345</v>
      </c>
      <c r="F12" s="163"/>
      <c r="G12" s="163"/>
      <c r="H12" s="163"/>
    </row>
    <row r="13" spans="1:26" x14ac:dyDescent="0.25">
      <c r="A13" s="163" t="s">
        <v>172</v>
      </c>
      <c r="B13" s="163"/>
      <c r="C13" s="163"/>
      <c r="D13" s="163"/>
      <c r="E13" s="163" t="s">
        <v>28</v>
      </c>
      <c r="F13" s="163"/>
      <c r="G13" s="163"/>
      <c r="H13" s="163"/>
      <c r="S13" s="49" t="s">
        <v>179</v>
      </c>
      <c r="T13" s="49" t="s">
        <v>188</v>
      </c>
      <c r="U13" s="49" t="s">
        <v>173</v>
      </c>
      <c r="V13" s="49" t="s">
        <v>193</v>
      </c>
      <c r="W13" s="49" t="s">
        <v>211</v>
      </c>
      <c r="X13"/>
      <c r="Y13" t="s">
        <v>193</v>
      </c>
      <c r="Z13" t="e">
        <f ca="1">OFFSET($S$13,1,MATCH($G20,$S$13:$W$13,0)-1,15,1)</f>
        <v>#VALUE!</v>
      </c>
    </row>
    <row r="14" spans="1:26" x14ac:dyDescent="0.25">
      <c r="A14" s="121" t="s">
        <v>280</v>
      </c>
      <c r="B14" s="121"/>
      <c r="C14" s="121"/>
      <c r="D14" s="121"/>
      <c r="E14" s="162" t="s">
        <v>226</v>
      </c>
      <c r="F14" s="162"/>
      <c r="G14" s="162"/>
      <c r="H14" s="162"/>
      <c r="I14" s="18" t="s">
        <v>364</v>
      </c>
      <c r="S14" s="49" t="s">
        <v>179</v>
      </c>
      <c r="T14" s="49" t="s">
        <v>186</v>
      </c>
      <c r="U14" s="49" t="s">
        <v>208</v>
      </c>
      <c r="V14" s="49" t="s">
        <v>194</v>
      </c>
      <c r="W14" s="49" t="s">
        <v>212</v>
      </c>
      <c r="X14"/>
      <c r="Y14"/>
      <c r="Z14"/>
    </row>
    <row r="15" spans="1:26" x14ac:dyDescent="0.25">
      <c r="A15" s="121" t="s">
        <v>8</v>
      </c>
      <c r="B15" s="121"/>
      <c r="C15" s="121"/>
      <c r="D15" s="121"/>
      <c r="E15" s="211" t="s">
        <v>339</v>
      </c>
      <c r="F15" s="209"/>
      <c r="G15" s="209"/>
      <c r="H15" s="209"/>
      <c r="I15" s="116" t="e">
        <f ca="1">OFFSET($D$5,1,MATCH($J13,$D$5:$H$5,0)-1,15,1)</f>
        <v>#N/A</v>
      </c>
      <c r="J15" s="117"/>
      <c r="K15" s="117"/>
      <c r="L15" s="117"/>
      <c r="M15" s="117"/>
      <c r="N15" s="117"/>
      <c r="O15" s="117"/>
      <c r="P15" s="117"/>
      <c r="S15" s="49" t="s">
        <v>180</v>
      </c>
      <c r="T15" s="49" t="s">
        <v>187</v>
      </c>
      <c r="U15" s="49" t="s">
        <v>209</v>
      </c>
      <c r="V15" s="49" t="s">
        <v>195</v>
      </c>
      <c r="W15" s="49" t="s">
        <v>225</v>
      </c>
      <c r="X15"/>
      <c r="Y15"/>
      <c r="Z15"/>
    </row>
    <row r="16" spans="1:26" ht="48.75" customHeight="1" x14ac:dyDescent="0.25">
      <c r="A16" s="128" t="s">
        <v>9</v>
      </c>
      <c r="B16" s="128"/>
      <c r="C16" s="128" t="str">
        <f>CONCATENATE((IF(OR(E9="",E9="NA"),"",E9)),", ",(IF(OR(A17="",A17="NA"),"",A17)),".",(IF(OR(C17="",C17="NA"),"",C17)),", near ",(IF(OR(C22="",C22="NA"),"",C22)),", ",(IF(OR(C19="",C19="NA"),"",C19)),", ",(IF(OR(C18="",C18="NA"),"",C18)),", ",(IF(OR(G19="",G19="NA"),"",G19)),", ",(IF(OR(C20="",C20="NA"),"",C20)),", ",(IF(OR(C21="",C21="NA"),"",C21)),", ",(IF(OR(G20="",G20="NA"),"",G20))," - ",(IF(OR(G21="",G21="NA"),"",G21)),".")</f>
        <v>Ruturaj Classic, Survey No.183, S No.266, H No.1 to 7 &amp; 10 to 13, near Sunrise Apartment, Nilemore Road, Nalasopara West, Nilemore, Nalasopara, Vasai, Palghar - 401203.</v>
      </c>
      <c r="D16" s="128"/>
      <c r="E16" s="128"/>
      <c r="F16" s="128"/>
      <c r="G16" s="128"/>
      <c r="H16" s="128"/>
      <c r="S16" s="49" t="s">
        <v>181</v>
      </c>
      <c r="T16" s="49" t="s">
        <v>189</v>
      </c>
      <c r="U16" s="49" t="s">
        <v>210</v>
      </c>
      <c r="V16" s="49" t="s">
        <v>196</v>
      </c>
      <c r="W16" s="49" t="s">
        <v>213</v>
      </c>
      <c r="X16"/>
      <c r="Y16"/>
      <c r="Z16"/>
    </row>
    <row r="17" spans="1:26" x14ac:dyDescent="0.25">
      <c r="A17" s="162" t="s">
        <v>342</v>
      </c>
      <c r="B17" s="162"/>
      <c r="C17" s="162" t="s">
        <v>343</v>
      </c>
      <c r="D17" s="162"/>
      <c r="E17" s="162"/>
      <c r="F17" s="162"/>
      <c r="G17" s="162"/>
      <c r="H17" s="162"/>
      <c r="S17" s="49" t="s">
        <v>182</v>
      </c>
      <c r="T17" s="49" t="s">
        <v>190</v>
      </c>
      <c r="U17" s="49" t="s">
        <v>173</v>
      </c>
      <c r="V17" s="49" t="s">
        <v>197</v>
      </c>
      <c r="W17" s="49" t="s">
        <v>214</v>
      </c>
      <c r="X17"/>
      <c r="Y17"/>
      <c r="Z17"/>
    </row>
    <row r="18" spans="1:26" ht="15.75" customHeight="1" x14ac:dyDescent="0.25">
      <c r="A18" s="162" t="s">
        <v>163</v>
      </c>
      <c r="B18" s="162"/>
      <c r="C18" s="162" t="s">
        <v>372</v>
      </c>
      <c r="D18" s="162"/>
      <c r="E18" s="162"/>
      <c r="F18" s="162"/>
      <c r="G18" s="162"/>
      <c r="H18" s="162"/>
      <c r="S18" s="49" t="s">
        <v>183</v>
      </c>
      <c r="T18" s="49" t="s">
        <v>188</v>
      </c>
      <c r="U18" s="49"/>
      <c r="V18" s="49" t="s">
        <v>198</v>
      </c>
      <c r="W18" s="49" t="s">
        <v>215</v>
      </c>
      <c r="X18"/>
      <c r="Y18"/>
      <c r="Z18"/>
    </row>
    <row r="19" spans="1:26" ht="15.75" customHeight="1" x14ac:dyDescent="0.25">
      <c r="A19" s="162" t="s">
        <v>10</v>
      </c>
      <c r="B19" s="162"/>
      <c r="C19" s="163" t="s">
        <v>369</v>
      </c>
      <c r="D19" s="163"/>
      <c r="E19" s="162" t="s">
        <v>70</v>
      </c>
      <c r="F19" s="162"/>
      <c r="G19" s="162" t="s">
        <v>344</v>
      </c>
      <c r="H19" s="162"/>
      <c r="S19" s="49" t="s">
        <v>184</v>
      </c>
      <c r="T19" s="49" t="s">
        <v>191</v>
      </c>
      <c r="U19" s="49"/>
      <c r="V19" s="49" t="s">
        <v>199</v>
      </c>
      <c r="W19" s="49" t="s">
        <v>216</v>
      </c>
      <c r="X19"/>
      <c r="Y19"/>
      <c r="Z19"/>
    </row>
    <row r="20" spans="1:26" x14ac:dyDescent="0.25">
      <c r="A20" s="163" t="s">
        <v>12</v>
      </c>
      <c r="B20" s="163"/>
      <c r="C20" s="162" t="s">
        <v>370</v>
      </c>
      <c r="D20" s="162"/>
      <c r="E20" s="162" t="s">
        <v>11</v>
      </c>
      <c r="F20" s="162"/>
      <c r="G20" s="212" t="s">
        <v>188</v>
      </c>
      <c r="H20" s="212"/>
      <c r="S20" s="49" t="s">
        <v>185</v>
      </c>
      <c r="T20" s="49" t="s">
        <v>192</v>
      </c>
      <c r="U20" s="49"/>
      <c r="V20" s="49" t="s">
        <v>200</v>
      </c>
      <c r="W20" s="49" t="s">
        <v>217</v>
      </c>
      <c r="X20"/>
      <c r="Y20"/>
      <c r="Z20"/>
    </row>
    <row r="21" spans="1:26" x14ac:dyDescent="0.25">
      <c r="A21" s="163" t="s">
        <v>71</v>
      </c>
      <c r="B21" s="163"/>
      <c r="C21" s="162" t="s">
        <v>189</v>
      </c>
      <c r="D21" s="162"/>
      <c r="E21" s="162" t="s">
        <v>13</v>
      </c>
      <c r="F21" s="162"/>
      <c r="G21" s="162">
        <v>401203</v>
      </c>
      <c r="H21" s="162"/>
      <c r="S21" s="49"/>
      <c r="T21" s="49"/>
      <c r="U21" s="49"/>
      <c r="V21" s="49" t="s">
        <v>201</v>
      </c>
      <c r="W21" s="49" t="s">
        <v>218</v>
      </c>
      <c r="X21"/>
      <c r="Y21"/>
      <c r="Z21"/>
    </row>
    <row r="22" spans="1:26" ht="32.25" customHeight="1" x14ac:dyDescent="0.25">
      <c r="A22" s="163" t="s">
        <v>119</v>
      </c>
      <c r="B22" s="163"/>
      <c r="C22" s="162" t="s">
        <v>371</v>
      </c>
      <c r="D22" s="162"/>
      <c r="E22" s="162" t="s">
        <v>14</v>
      </c>
      <c r="F22" s="162"/>
      <c r="G22" s="162" t="s">
        <v>368</v>
      </c>
      <c r="H22" s="162"/>
      <c r="S22" s="49"/>
      <c r="T22" s="49"/>
      <c r="U22" s="49"/>
      <c r="V22" s="49" t="s">
        <v>202</v>
      </c>
      <c r="W22" s="49" t="s">
        <v>219</v>
      </c>
      <c r="X22"/>
      <c r="Y22"/>
      <c r="Z22"/>
    </row>
    <row r="23" spans="1:26" ht="15" customHeight="1" x14ac:dyDescent="0.25">
      <c r="A23" s="128" t="s">
        <v>73</v>
      </c>
      <c r="B23" s="128"/>
      <c r="C23" s="128"/>
      <c r="D23" s="128"/>
      <c r="E23" s="163" t="s">
        <v>15</v>
      </c>
      <c r="F23" s="163"/>
      <c r="G23" s="163"/>
      <c r="H23" s="163"/>
      <c r="S23" s="49"/>
      <c r="T23" s="49"/>
      <c r="U23" s="49"/>
      <c r="V23" s="49" t="s">
        <v>203</v>
      </c>
      <c r="W23" s="49" t="s">
        <v>220</v>
      </c>
      <c r="X23"/>
      <c r="Y23"/>
      <c r="Z23"/>
    </row>
    <row r="24" spans="1:26" ht="18.75" customHeight="1" x14ac:dyDescent="0.25">
      <c r="A24" s="128"/>
      <c r="B24" s="128"/>
      <c r="C24" s="128"/>
      <c r="D24" s="128"/>
      <c r="E24" s="163"/>
      <c r="F24" s="163"/>
      <c r="G24" s="163"/>
      <c r="H24" s="163"/>
      <c r="S24" s="49"/>
      <c r="T24" s="49"/>
      <c r="U24" s="49"/>
      <c r="V24" s="49" t="s">
        <v>204</v>
      </c>
      <c r="W24" s="49" t="s">
        <v>221</v>
      </c>
      <c r="X24"/>
      <c r="Y24"/>
      <c r="Z24"/>
    </row>
    <row r="25" spans="1:26" ht="15" customHeight="1" x14ac:dyDescent="0.25">
      <c r="A25" s="128" t="s">
        <v>16</v>
      </c>
      <c r="B25" s="128"/>
      <c r="C25" s="128"/>
      <c r="D25" s="128"/>
      <c r="E25" s="162" t="s">
        <v>17</v>
      </c>
      <c r="F25" s="162"/>
      <c r="G25" s="162"/>
      <c r="H25" s="162"/>
      <c r="S25" s="49"/>
      <c r="T25" s="49"/>
      <c r="U25" s="49"/>
      <c r="V25" s="49" t="s">
        <v>205</v>
      </c>
      <c r="W25" s="49" t="s">
        <v>222</v>
      </c>
      <c r="X25"/>
      <c r="Y25"/>
      <c r="Z25"/>
    </row>
    <row r="26" spans="1:26" ht="15" customHeight="1" x14ac:dyDescent="0.25">
      <c r="A26" s="121" t="s">
        <v>18</v>
      </c>
      <c r="B26" s="121"/>
      <c r="C26" s="121"/>
      <c r="D26" s="121"/>
      <c r="E26" s="162" t="str">
        <f>IF(AND(G20="Mumbai"),"Upper Class","Middle Class")</f>
        <v>Middle Class</v>
      </c>
      <c r="F26" s="162"/>
      <c r="G26" s="162"/>
      <c r="H26" s="162"/>
      <c r="S26" s="49"/>
      <c r="T26" s="49"/>
      <c r="U26" s="49"/>
      <c r="V26" s="49" t="s">
        <v>206</v>
      </c>
      <c r="W26" s="49" t="s">
        <v>223</v>
      </c>
      <c r="X26"/>
      <c r="Y26"/>
      <c r="Z26"/>
    </row>
    <row r="27" spans="1:26" x14ac:dyDescent="0.25">
      <c r="A27" s="121" t="s">
        <v>19</v>
      </c>
      <c r="B27" s="121"/>
      <c r="C27" s="121"/>
      <c r="D27" s="121"/>
      <c r="E27" s="162" t="s">
        <v>20</v>
      </c>
      <c r="F27" s="162"/>
      <c r="G27" s="162"/>
      <c r="H27" s="162"/>
      <c r="S27" s="49"/>
      <c r="T27" s="49"/>
      <c r="U27" s="49"/>
      <c r="V27" s="49" t="s">
        <v>207</v>
      </c>
      <c r="W27" s="49" t="s">
        <v>224</v>
      </c>
      <c r="X27"/>
      <c r="Y27"/>
      <c r="Z27"/>
    </row>
    <row r="28" spans="1:26" ht="15.75" customHeight="1" x14ac:dyDescent="0.25">
      <c r="A28" s="121" t="s">
        <v>21</v>
      </c>
      <c r="B28" s="121"/>
      <c r="C28" s="121"/>
      <c r="D28" s="121"/>
      <c r="E28" s="162" t="str">
        <f>IF(AND(G20="Mumbai"),"Developed","Developing")</f>
        <v>Developing</v>
      </c>
      <c r="F28" s="162"/>
      <c r="G28" s="162"/>
      <c r="H28" s="162"/>
    </row>
    <row r="29" spans="1:26" x14ac:dyDescent="0.25">
      <c r="A29" s="121" t="s">
        <v>22</v>
      </c>
      <c r="B29" s="121"/>
      <c r="C29" s="121"/>
      <c r="D29" s="121"/>
      <c r="E29" s="162" t="s">
        <v>23</v>
      </c>
      <c r="F29" s="162"/>
      <c r="G29" s="162"/>
      <c r="H29" s="162"/>
    </row>
    <row r="30" spans="1:26" ht="15.75" customHeight="1" x14ac:dyDescent="0.25">
      <c r="A30" s="121" t="s">
        <v>78</v>
      </c>
      <c r="B30" s="121"/>
      <c r="C30" s="121"/>
      <c r="D30" s="121"/>
      <c r="E30" s="162" t="s">
        <v>79</v>
      </c>
      <c r="F30" s="162"/>
      <c r="G30" s="162"/>
      <c r="H30" s="162"/>
    </row>
    <row r="31" spans="1:26" ht="15" customHeight="1" x14ac:dyDescent="0.25">
      <c r="A31" s="121" t="s">
        <v>30</v>
      </c>
      <c r="B31" s="121"/>
      <c r="C31" s="121"/>
      <c r="D31" s="121"/>
      <c r="E31" s="162"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62"/>
      <c r="G31" s="162"/>
      <c r="H31" s="162"/>
    </row>
    <row r="32" spans="1:26" ht="15.75" customHeight="1" x14ac:dyDescent="0.25">
      <c r="A32" s="121" t="s">
        <v>90</v>
      </c>
      <c r="B32" s="121"/>
      <c r="C32" s="121"/>
      <c r="D32" s="121"/>
      <c r="E32" s="162" t="s">
        <v>31</v>
      </c>
      <c r="F32" s="162"/>
      <c r="G32" s="162"/>
      <c r="H32" s="162"/>
    </row>
    <row r="33" spans="1:19" s="19" customFormat="1" x14ac:dyDescent="0.25">
      <c r="A33" s="220" t="s">
        <v>91</v>
      </c>
      <c r="B33" s="220"/>
      <c r="C33" s="217" t="s">
        <v>174</v>
      </c>
      <c r="D33" s="218"/>
      <c r="E33" s="219"/>
      <c r="F33" s="217" t="s">
        <v>29</v>
      </c>
      <c r="G33" s="218"/>
      <c r="H33" s="219"/>
      <c r="S33" s="19" t="e">
        <f ca="1">OFFSET($S$13,1,MATCH($G20,$S$13:$W$13,0)-1,15,1)</f>
        <v>#VALUE!</v>
      </c>
    </row>
    <row r="34" spans="1:19" s="19" customFormat="1" x14ac:dyDescent="0.25">
      <c r="A34" s="213" t="s">
        <v>24</v>
      </c>
      <c r="B34" s="213" t="s">
        <v>28</v>
      </c>
      <c r="C34" s="214" t="s">
        <v>375</v>
      </c>
      <c r="D34" s="215"/>
      <c r="E34" s="216"/>
      <c r="F34" s="214" t="s">
        <v>373</v>
      </c>
      <c r="G34" s="215"/>
      <c r="H34" s="216"/>
    </row>
    <row r="35" spans="1:19" x14ac:dyDescent="0.25">
      <c r="A35" s="213" t="s">
        <v>25</v>
      </c>
      <c r="B35" s="213" t="s">
        <v>28</v>
      </c>
      <c r="C35" s="214" t="s">
        <v>365</v>
      </c>
      <c r="D35" s="215"/>
      <c r="E35" s="216"/>
      <c r="F35" s="214" t="s">
        <v>371</v>
      </c>
      <c r="G35" s="215"/>
      <c r="H35" s="216"/>
    </row>
    <row r="36" spans="1:19" s="19" customFormat="1" x14ac:dyDescent="0.25">
      <c r="A36" s="213" t="s">
        <v>27</v>
      </c>
      <c r="B36" s="213" t="s">
        <v>28</v>
      </c>
      <c r="C36" s="214" t="s">
        <v>377</v>
      </c>
      <c r="D36" s="215"/>
      <c r="E36" s="216"/>
      <c r="F36" s="214" t="s">
        <v>376</v>
      </c>
      <c r="G36" s="215"/>
      <c r="H36" s="216"/>
    </row>
    <row r="37" spans="1:19" x14ac:dyDescent="0.25">
      <c r="A37" s="213" t="s">
        <v>26</v>
      </c>
      <c r="B37" s="213" t="s">
        <v>28</v>
      </c>
      <c r="C37" s="214" t="s">
        <v>374</v>
      </c>
      <c r="D37" s="215"/>
      <c r="E37" s="216"/>
      <c r="F37" s="214" t="s">
        <v>369</v>
      </c>
      <c r="G37" s="215"/>
      <c r="H37" s="216"/>
    </row>
    <row r="38" spans="1:19" x14ac:dyDescent="0.25">
      <c r="A38" s="121" t="s">
        <v>281</v>
      </c>
      <c r="B38" s="121"/>
      <c r="C38" s="121"/>
      <c r="D38" s="121"/>
      <c r="E38" s="121"/>
      <c r="F38" s="121"/>
      <c r="G38" s="121"/>
      <c r="H38" s="121"/>
    </row>
    <row r="39" spans="1:19" ht="15.75" customHeight="1" x14ac:dyDescent="0.25">
      <c r="A39" s="121" t="s">
        <v>166</v>
      </c>
      <c r="B39" s="121"/>
      <c r="C39" s="206" t="s">
        <v>366</v>
      </c>
      <c r="D39" s="206"/>
      <c r="E39" s="206"/>
      <c r="F39" s="206"/>
      <c r="G39" s="206"/>
      <c r="H39" s="206"/>
    </row>
    <row r="40" spans="1:19" x14ac:dyDescent="0.25">
      <c r="A40" s="121" t="s">
        <v>162</v>
      </c>
      <c r="B40" s="121"/>
      <c r="C40" s="234" t="s">
        <v>367</v>
      </c>
      <c r="D40" s="162"/>
      <c r="E40" s="162"/>
      <c r="F40" s="162"/>
      <c r="G40" s="162"/>
      <c r="H40" s="162"/>
    </row>
    <row r="41" spans="1:19" x14ac:dyDescent="0.25">
      <c r="A41" s="206" t="s">
        <v>32</v>
      </c>
      <c r="B41" s="206"/>
      <c r="C41" s="206"/>
      <c r="D41" s="206"/>
      <c r="E41" s="206"/>
      <c r="F41" s="206"/>
      <c r="G41" s="206"/>
      <c r="H41" s="206"/>
    </row>
    <row r="42" spans="1:19" x14ac:dyDescent="0.25">
      <c r="A42" s="121" t="s">
        <v>33</v>
      </c>
      <c r="B42" s="121"/>
      <c r="C42" s="121"/>
      <c r="D42" s="121"/>
      <c r="E42" s="230">
        <v>18736.38</v>
      </c>
      <c r="F42" s="230"/>
      <c r="G42" s="230"/>
      <c r="H42" s="230"/>
    </row>
    <row r="43" spans="1:19" x14ac:dyDescent="0.25">
      <c r="A43" s="121" t="s">
        <v>34</v>
      </c>
      <c r="B43" s="121"/>
      <c r="C43" s="121"/>
      <c r="D43" s="121"/>
      <c r="E43" s="130">
        <f>20610.01/E42</f>
        <v>1.0999995730231773</v>
      </c>
      <c r="F43" s="130"/>
      <c r="G43" s="130"/>
      <c r="H43" s="130"/>
    </row>
    <row r="44" spans="1:19" x14ac:dyDescent="0.25">
      <c r="A44" s="121" t="s">
        <v>35</v>
      </c>
      <c r="B44" s="121"/>
      <c r="C44" s="121"/>
      <c r="D44" s="121"/>
      <c r="E44" s="130">
        <f>E46/E42-E43</f>
        <v>1.8657627567331576</v>
      </c>
      <c r="F44" s="130"/>
      <c r="G44" s="130"/>
      <c r="H44" s="130"/>
    </row>
    <row r="45" spans="1:19" x14ac:dyDescent="0.25">
      <c r="A45" s="121" t="s">
        <v>36</v>
      </c>
      <c r="B45" s="121"/>
      <c r="C45" s="121"/>
      <c r="D45" s="121"/>
      <c r="E45" s="130">
        <f>E43+E44</f>
        <v>2.9657623297563349</v>
      </c>
      <c r="F45" s="130"/>
      <c r="G45" s="130"/>
      <c r="H45" s="130"/>
    </row>
    <row r="46" spans="1:19" x14ac:dyDescent="0.25">
      <c r="A46" s="121" t="s">
        <v>89</v>
      </c>
      <c r="B46" s="121"/>
      <c r="C46" s="121"/>
      <c r="D46" s="121"/>
      <c r="E46" s="221">
        <v>55567.65</v>
      </c>
      <c r="F46" s="221"/>
      <c r="G46" s="221"/>
      <c r="H46" s="221"/>
    </row>
    <row r="47" spans="1:19" x14ac:dyDescent="0.25">
      <c r="A47" s="163" t="s">
        <v>37</v>
      </c>
      <c r="B47" s="163"/>
      <c r="C47" s="163"/>
      <c r="D47" s="163"/>
      <c r="E47" s="163" t="s">
        <v>406</v>
      </c>
      <c r="F47" s="163"/>
      <c r="G47" s="163"/>
      <c r="H47" s="163"/>
    </row>
    <row r="48" spans="1:19" x14ac:dyDescent="0.25">
      <c r="A48" s="198" t="s">
        <v>38</v>
      </c>
      <c r="B48" s="198"/>
      <c r="C48" s="198"/>
      <c r="D48" s="198"/>
      <c r="E48" s="198"/>
      <c r="F48" s="198"/>
      <c r="G48" s="198"/>
      <c r="H48" s="198"/>
    </row>
    <row r="49" spans="1:24" ht="33.75" customHeight="1" x14ac:dyDescent="0.25">
      <c r="A49" s="224" t="s">
        <v>151</v>
      </c>
      <c r="B49" s="225"/>
      <c r="C49" s="240" t="s">
        <v>276</v>
      </c>
      <c r="D49" s="241"/>
      <c r="E49" s="241"/>
      <c r="F49" s="241"/>
      <c r="G49" s="241"/>
      <c r="H49" s="242"/>
      <c r="R49" t="s">
        <v>254</v>
      </c>
      <c r="S49" s="53" t="s">
        <v>173</v>
      </c>
      <c r="T49" s="53" t="s">
        <v>179</v>
      </c>
      <c r="U49" s="53" t="s">
        <v>193</v>
      </c>
      <c r="V49" s="53" t="s">
        <v>188</v>
      </c>
    </row>
    <row r="50" spans="1:24" ht="32.25" customHeight="1" x14ac:dyDescent="0.25">
      <c r="A50" s="133" t="s">
        <v>39</v>
      </c>
      <c r="B50" s="134"/>
      <c r="C50" s="133" t="s">
        <v>381</v>
      </c>
      <c r="D50" s="170"/>
      <c r="E50" s="134"/>
      <c r="F50" s="17" t="s">
        <v>40</v>
      </c>
      <c r="G50" s="232">
        <v>45338</v>
      </c>
      <c r="H50" s="134"/>
      <c r="R50"/>
      <c r="S50" s="53" t="s">
        <v>255</v>
      </c>
      <c r="T50" s="53" t="s">
        <v>260</v>
      </c>
      <c r="U50" s="53" t="s">
        <v>271</v>
      </c>
      <c r="V50" s="53" t="s">
        <v>276</v>
      </c>
    </row>
    <row r="51" spans="1:24" ht="33" customHeight="1" x14ac:dyDescent="0.25">
      <c r="A51" s="133" t="s">
        <v>41</v>
      </c>
      <c r="B51" s="134"/>
      <c r="C51" s="133" t="str">
        <f>C50</f>
        <v>VVCMC/TP/AMEND/VP/0198 &amp; 4033/356/2023-24</v>
      </c>
      <c r="D51" s="170"/>
      <c r="E51" s="134"/>
      <c r="F51" s="17" t="s">
        <v>40</v>
      </c>
      <c r="G51" s="232">
        <f>G50</f>
        <v>45338</v>
      </c>
      <c r="H51" s="134"/>
      <c r="R51"/>
      <c r="S51" s="53" t="s">
        <v>256</v>
      </c>
      <c r="T51" s="53" t="s">
        <v>261</v>
      </c>
      <c r="U51" s="53" t="s">
        <v>269</v>
      </c>
      <c r="V51" s="53" t="s">
        <v>277</v>
      </c>
    </row>
    <row r="52" spans="1:24" s="20" customFormat="1" ht="33" customHeight="1" x14ac:dyDescent="0.25">
      <c r="A52" s="226" t="s">
        <v>155</v>
      </c>
      <c r="B52" s="227"/>
      <c r="C52" s="135" t="s">
        <v>384</v>
      </c>
      <c r="D52" s="136"/>
      <c r="E52" s="137"/>
      <c r="F52" s="91" t="s">
        <v>40</v>
      </c>
      <c r="G52" s="160">
        <f>G51</f>
        <v>45338</v>
      </c>
      <c r="H52" s="137"/>
      <c r="R52"/>
      <c r="S52" s="53" t="s">
        <v>257</v>
      </c>
      <c r="T52" s="53" t="s">
        <v>262</v>
      </c>
      <c r="U52" s="53" t="s">
        <v>259</v>
      </c>
      <c r="V52" s="53" t="s">
        <v>278</v>
      </c>
    </row>
    <row r="53" spans="1:24" s="20" customFormat="1" ht="17.25" customHeight="1" x14ac:dyDescent="0.25">
      <c r="A53" s="228"/>
      <c r="B53" s="229"/>
      <c r="C53" s="135" t="s">
        <v>391</v>
      </c>
      <c r="D53" s="136"/>
      <c r="E53" s="136"/>
      <c r="F53" s="136"/>
      <c r="G53" s="136"/>
      <c r="H53" s="137"/>
      <c r="R53"/>
      <c r="S53" s="53" t="s">
        <v>258</v>
      </c>
      <c r="T53" s="53" t="s">
        <v>265</v>
      </c>
      <c r="U53" s="53" t="s">
        <v>272</v>
      </c>
      <c r="V53" s="73"/>
    </row>
    <row r="54" spans="1:24" s="20" customFormat="1" hidden="1" x14ac:dyDescent="0.25">
      <c r="A54" s="166" t="s">
        <v>282</v>
      </c>
      <c r="B54" s="167"/>
      <c r="C54" s="133" t="str">
        <f>C53</f>
        <v>Building No.2 (Wing A &amp; B) = Gr./St(Pt) + 1st to 23rd Floor</v>
      </c>
      <c r="D54" s="170"/>
      <c r="E54" s="134"/>
      <c r="F54" s="17" t="s">
        <v>40</v>
      </c>
      <c r="G54" s="133"/>
      <c r="H54" s="134"/>
      <c r="R54"/>
      <c r="S54" s="53" t="s">
        <v>257</v>
      </c>
      <c r="T54" s="53" t="s">
        <v>262</v>
      </c>
      <c r="U54" s="53" t="s">
        <v>259</v>
      </c>
      <c r="V54" s="53" t="s">
        <v>278</v>
      </c>
    </row>
    <row r="55" spans="1:24" s="20" customFormat="1" ht="32.25" hidden="1" customHeight="1" x14ac:dyDescent="0.25">
      <c r="A55" s="168"/>
      <c r="B55" s="169"/>
      <c r="C55" s="237"/>
      <c r="D55" s="238"/>
      <c r="E55" s="238"/>
      <c r="F55" s="238"/>
      <c r="G55" s="238"/>
      <c r="H55" s="239"/>
      <c r="R55"/>
      <c r="S55" s="53" t="s">
        <v>259</v>
      </c>
      <c r="T55" s="53" t="s">
        <v>263</v>
      </c>
      <c r="U55" s="53" t="s">
        <v>273</v>
      </c>
      <c r="V55" s="74"/>
      <c r="W55" s="18"/>
      <c r="X55" s="18"/>
    </row>
    <row r="56" spans="1:24" s="20" customFormat="1" ht="34.5" hidden="1" customHeight="1" x14ac:dyDescent="0.25">
      <c r="A56" s="166" t="s">
        <v>283</v>
      </c>
      <c r="B56" s="167"/>
      <c r="C56" s="133">
        <f>C55</f>
        <v>0</v>
      </c>
      <c r="D56" s="170"/>
      <c r="E56" s="134"/>
      <c r="F56" s="17" t="s">
        <v>40</v>
      </c>
      <c r="G56" s="133">
        <f>G55</f>
        <v>0</v>
      </c>
      <c r="H56" s="134"/>
      <c r="R56"/>
      <c r="S56" s="74"/>
      <c r="T56" s="53" t="s">
        <v>264</v>
      </c>
      <c r="U56" s="53" t="s">
        <v>274</v>
      </c>
      <c r="V56" s="74"/>
      <c r="W56" s="18"/>
      <c r="X56" s="18"/>
    </row>
    <row r="57" spans="1:24" s="20" customFormat="1" ht="41.25" hidden="1" customHeight="1" x14ac:dyDescent="0.25">
      <c r="A57" s="168"/>
      <c r="B57" s="169"/>
      <c r="C57" s="133"/>
      <c r="D57" s="170"/>
      <c r="E57" s="170"/>
      <c r="F57" s="170"/>
      <c r="G57" s="170"/>
      <c r="H57" s="134"/>
      <c r="R57"/>
      <c r="S57" s="74"/>
      <c r="T57" s="53" t="s">
        <v>266</v>
      </c>
      <c r="U57" s="53" t="s">
        <v>275</v>
      </c>
      <c r="V57" s="74"/>
      <c r="W57" s="18"/>
      <c r="X57" s="18"/>
    </row>
    <row r="58" spans="1:24" s="20" customFormat="1" ht="15.75" hidden="1" customHeight="1" x14ac:dyDescent="0.25">
      <c r="A58" s="166" t="s">
        <v>284</v>
      </c>
      <c r="B58" s="167"/>
      <c r="C58" s="133">
        <f>C57</f>
        <v>0</v>
      </c>
      <c r="D58" s="170"/>
      <c r="E58" s="134"/>
      <c r="F58" s="17" t="s">
        <v>40</v>
      </c>
      <c r="G58" s="133">
        <f>G57</f>
        <v>0</v>
      </c>
      <c r="H58" s="134"/>
      <c r="R58"/>
      <c r="S58" s="74"/>
      <c r="T58" s="53" t="s">
        <v>267</v>
      </c>
      <c r="U58" s="74" t="s">
        <v>298</v>
      </c>
      <c r="V58" s="74"/>
      <c r="W58" s="18"/>
      <c r="X58" s="18"/>
    </row>
    <row r="59" spans="1:24" s="20" customFormat="1" ht="33.75" hidden="1" customHeight="1" x14ac:dyDescent="0.25">
      <c r="A59" s="168"/>
      <c r="B59" s="169"/>
      <c r="C59" s="133"/>
      <c r="D59" s="170"/>
      <c r="E59" s="170"/>
      <c r="F59" s="170"/>
      <c r="G59" s="170"/>
      <c r="H59" s="134"/>
      <c r="R59"/>
      <c r="S59" s="74"/>
      <c r="T59" s="53" t="s">
        <v>268</v>
      </c>
      <c r="U59" s="74"/>
      <c r="V59" s="74"/>
      <c r="W59" s="18"/>
      <c r="X59" s="18"/>
    </row>
    <row r="60" spans="1:24" ht="39.75" hidden="1" customHeight="1" x14ac:dyDescent="0.25">
      <c r="A60" s="122" t="s">
        <v>42</v>
      </c>
      <c r="B60" s="123"/>
      <c r="C60" s="122" t="s">
        <v>103</v>
      </c>
      <c r="D60" s="124"/>
      <c r="E60" s="123"/>
      <c r="F60" s="40" t="s">
        <v>40</v>
      </c>
      <c r="G60" s="164" t="s">
        <v>28</v>
      </c>
      <c r="H60" s="165"/>
      <c r="R60"/>
      <c r="S60" s="74"/>
      <c r="T60" s="53" t="s">
        <v>270</v>
      </c>
      <c r="U60" s="74"/>
      <c r="V60" s="74"/>
    </row>
    <row r="61" spans="1:24" x14ac:dyDescent="0.25">
      <c r="A61" s="161" t="s">
        <v>44</v>
      </c>
      <c r="B61" s="161"/>
      <c r="C61" s="161"/>
      <c r="D61" s="161"/>
      <c r="E61" s="161"/>
      <c r="F61" s="161"/>
      <c r="G61" s="161"/>
      <c r="H61" s="161"/>
      <c r="S61" s="74"/>
      <c r="T61" s="53" t="s">
        <v>279</v>
      </c>
      <c r="U61" s="74"/>
      <c r="V61" s="74"/>
    </row>
    <row r="62" spans="1:24" x14ac:dyDescent="0.25">
      <c r="A62" s="128" t="s">
        <v>88</v>
      </c>
      <c r="B62" s="128"/>
      <c r="C62" s="128"/>
      <c r="D62" s="121">
        <f>E46</f>
        <v>55567.65</v>
      </c>
      <c r="E62" s="121"/>
      <c r="F62" s="121"/>
      <c r="G62" s="121"/>
      <c r="H62" s="121"/>
      <c r="R62"/>
    </row>
    <row r="63" spans="1:24" x14ac:dyDescent="0.25">
      <c r="A63" s="162" t="s">
        <v>45</v>
      </c>
      <c r="B63" s="163"/>
      <c r="C63" s="163"/>
      <c r="D63" s="163" t="s">
        <v>362</v>
      </c>
      <c r="E63" s="163"/>
      <c r="F63" s="163"/>
      <c r="G63" s="163"/>
      <c r="H63" s="163"/>
      <c r="I63" s="21"/>
      <c r="R63"/>
    </row>
    <row r="64" spans="1:24" x14ac:dyDescent="0.25">
      <c r="A64" s="155" t="s">
        <v>46</v>
      </c>
      <c r="B64" s="156"/>
      <c r="C64" s="223"/>
      <c r="D64" s="222" t="s">
        <v>348</v>
      </c>
      <c r="E64" s="159"/>
      <c r="F64" s="159"/>
      <c r="G64" s="159"/>
      <c r="H64" s="159"/>
      <c r="R64"/>
    </row>
    <row r="65" spans="1:19" ht="15.75" customHeight="1" x14ac:dyDescent="0.25">
      <c r="A65" s="155" t="s">
        <v>86</v>
      </c>
      <c r="B65" s="156"/>
      <c r="C65" s="156"/>
      <c r="D65" s="159" t="s">
        <v>386</v>
      </c>
      <c r="E65" s="159"/>
      <c r="F65" s="159"/>
      <c r="G65" s="159"/>
      <c r="H65" s="159"/>
      <c r="R65"/>
    </row>
    <row r="66" spans="1:19" ht="15.75" customHeight="1" x14ac:dyDescent="0.25">
      <c r="A66" s="157"/>
      <c r="B66" s="158"/>
      <c r="C66" s="158"/>
      <c r="D66" s="138" t="s">
        <v>385</v>
      </c>
      <c r="E66" s="139"/>
      <c r="F66" s="139"/>
      <c r="G66" s="139"/>
      <c r="H66" s="139"/>
      <c r="S66"/>
    </row>
    <row r="67" spans="1:19" ht="15.75" customHeight="1" x14ac:dyDescent="0.25">
      <c r="A67" s="121" t="s">
        <v>43</v>
      </c>
      <c r="B67" s="121"/>
      <c r="C67" s="121"/>
      <c r="D67" s="231" t="s">
        <v>347</v>
      </c>
      <c r="E67" s="231"/>
      <c r="F67" s="231"/>
      <c r="G67" s="231"/>
      <c r="H67" s="231"/>
      <c r="J67" s="22"/>
      <c r="K67" s="21"/>
      <c r="N67" s="21"/>
      <c r="S67"/>
    </row>
    <row r="68" spans="1:19" ht="15.75" customHeight="1" x14ac:dyDescent="0.25">
      <c r="A68" s="121" t="s">
        <v>84</v>
      </c>
      <c r="B68" s="121"/>
      <c r="C68" s="121"/>
      <c r="D68" s="233" t="str">
        <f>(IF(G60="NA","60 Years After Completion",IF(G60&lt;&gt;"NA",""&amp;60-ROUNDDOWN((E3-G60)/360,0)&amp;" Years"," ")))</f>
        <v>60 Years After Completion</v>
      </c>
      <c r="E68" s="233"/>
      <c r="F68" s="233"/>
      <c r="G68" s="233"/>
      <c r="H68" s="233"/>
      <c r="N68" s="21"/>
      <c r="S68"/>
    </row>
    <row r="69" spans="1:19" ht="15.75" customHeight="1" x14ac:dyDescent="0.25">
      <c r="A69" s="121" t="s">
        <v>85</v>
      </c>
      <c r="B69" s="121"/>
      <c r="C69" s="121"/>
      <c r="D69" s="128" t="s">
        <v>23</v>
      </c>
      <c r="E69" s="128"/>
      <c r="F69" s="128"/>
      <c r="G69" s="128"/>
      <c r="H69" s="128"/>
      <c r="J69" s="23"/>
      <c r="K69" s="23"/>
      <c r="S69"/>
    </row>
    <row r="70" spans="1:19" ht="33" customHeight="1" x14ac:dyDescent="0.25">
      <c r="A70" s="163" t="s">
        <v>379</v>
      </c>
      <c r="B70" s="163"/>
      <c r="C70" s="163"/>
      <c r="D70" s="162" t="s">
        <v>352</v>
      </c>
      <c r="E70" s="128"/>
      <c r="F70" s="128"/>
      <c r="G70" s="128"/>
      <c r="H70" s="128"/>
      <c r="I70" s="84" t="s">
        <v>361</v>
      </c>
      <c r="J70" s="18" t="s">
        <v>360</v>
      </c>
      <c r="S70"/>
    </row>
    <row r="71" spans="1:19" x14ac:dyDescent="0.25">
      <c r="A71" s="128" t="s">
        <v>147</v>
      </c>
      <c r="B71" s="128"/>
      <c r="C71" s="128"/>
      <c r="D71" s="128" t="s">
        <v>28</v>
      </c>
      <c r="E71" s="128"/>
      <c r="F71" s="128"/>
      <c r="G71" s="128"/>
      <c r="H71" s="128"/>
      <c r="I71" s="24"/>
      <c r="J71" s="24"/>
      <c r="K71" s="24"/>
      <c r="L71" s="24"/>
      <c r="M71" s="24"/>
      <c r="N71" s="24"/>
    </row>
    <row r="72" spans="1:19" ht="15.75" customHeight="1" x14ac:dyDescent="0.25">
      <c r="A72" s="129" t="s">
        <v>83</v>
      </c>
      <c r="B72" s="129"/>
      <c r="C72" s="129"/>
      <c r="D72" s="222" t="str">
        <f ca="1">(IF(G92&gt;95%,"Nothing",IF(G92&gt;0%,"Cement, Aggregate, Steel, etc",IF(G92=0%,"Work not yet Started"))))</f>
        <v>Cement, Aggregate, Steel, etc</v>
      </c>
      <c r="E72" s="222"/>
      <c r="F72" s="222"/>
      <c r="G72" s="222"/>
      <c r="H72" s="222"/>
      <c r="J72" s="23"/>
      <c r="N72" s="82"/>
      <c r="S72"/>
    </row>
    <row r="73" spans="1:19" ht="33.75" customHeight="1" thickBot="1" x14ac:dyDescent="0.3">
      <c r="A73" s="243" t="s">
        <v>116</v>
      </c>
      <c r="B73" s="243"/>
      <c r="C73" s="243"/>
      <c r="D73" s="222" t="str">
        <f ca="1">(IF(D72="Nothing","Yes",IF(D72="Cement, Aggregate, Steel, etc","Under Construction",IF(D72="Work not yet Started","Work not yet Started"))))</f>
        <v>Under Construction</v>
      </c>
      <c r="E73" s="222"/>
      <c r="F73" s="222" t="str">
        <f ca="1">(IF(D72="Nothing","Yes",IF(D72="Cement, Aggregate, Steel, etc","Under Construction",IF(D72="Work not yet Started","Work not yet Started"))))</f>
        <v>Under Construction</v>
      </c>
      <c r="G73" s="222"/>
      <c r="H73" s="222"/>
      <c r="S73"/>
    </row>
    <row r="74" spans="1:19" ht="15.75" customHeight="1" x14ac:dyDescent="0.25">
      <c r="A74" s="183" t="s">
        <v>137</v>
      </c>
      <c r="B74" s="184"/>
      <c r="C74" s="185" t="str">
        <f>D65</f>
        <v>Building No.2 (Wing A) = Gr/St(Pt) + 1st to 23rd Floor</v>
      </c>
      <c r="D74" s="186"/>
      <c r="E74" s="186"/>
      <c r="F74" s="186"/>
      <c r="G74" s="186"/>
      <c r="H74" s="187"/>
      <c r="I74" s="42" t="str">
        <f ca="1">IF(D87=100%,"All work Completed. Possession granted to the Building.",IF(D86=100%,"All work Completed, Waiting for OC",I75&amp;""&amp;I76&amp;""&amp;J75&amp;""&amp;J74&amp;" "&amp;J76))</f>
        <v>Excavation, Plinth Completed, RCC upto 18 Slab, Brickwork upto 13 Floor, Internal Plaster upto 9 Floor, External Plaster upto 7 Floor Completed</v>
      </c>
      <c r="J74" s="43"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RCC upto 18 Slab, Brickwork upto 13 Floor, Internal Plaster upto 9 Floor, External Plaster upto 7 Floor</v>
      </c>
      <c r="S74"/>
    </row>
    <row r="75" spans="1:19" x14ac:dyDescent="0.25">
      <c r="A75" s="15" t="s">
        <v>139</v>
      </c>
      <c r="B75" s="46">
        <f>IF(AND(ISNUMBER(SEARCH("1B",C74))),1,IF(AND(ISNUMBER(SEARCH("2B",C74))),2,IF(AND(ISNUMBER(SEARCH("3B",C74))),3,IF(AND(ISNUMBER(SEARCH("4B",C74))),4,IF(ISNUMBER(SEARCH("5B",C74)),5,0)))))</f>
        <v>0</v>
      </c>
      <c r="C75" s="46" t="s">
        <v>69</v>
      </c>
      <c r="D75" s="46">
        <v>1</v>
      </c>
      <c r="E75" s="46" t="s">
        <v>68</v>
      </c>
      <c r="F75" s="46">
        <v>0</v>
      </c>
      <c r="G75" s="46" t="s">
        <v>77</v>
      </c>
      <c r="H75" s="16">
        <f ca="1">--TRIM(RIGHT(SUBSTITUTE(LEFT(C74,_xlfn.AGGREGATE(16,6,FIND({0,1,2,3,4,5,6,7,8,9},C74,ROW(INDIRECT("1:"&amp;LEN(C74)))),1))," ",REPT(" ",LEN(C74))),LEN(C74)))</f>
        <v>23</v>
      </c>
      <c r="I75" s="44" t="str">
        <f ca="1">IF(D78=100%,"Excavation","")&amp;IF(D79=100%,", Plinth","")&amp;IF(D80=100%,", RCC Slab","")&amp;IF(D81=100%,", Brickwork","")&amp;IF(D82=100%,", Internal Plaster","")&amp;IF(D83=100%,", External Plaster","")&amp;IF(D84=100%,", Flooring","")&amp;IF(D85=100%,", Painting","")&amp;IF(D86=100%,", Building common Amenities","")</f>
        <v>Excavation, Plinth</v>
      </c>
      <c r="J75" s="45"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ht="33" customHeight="1" x14ac:dyDescent="0.25">
      <c r="A76" s="197" t="s">
        <v>87</v>
      </c>
      <c r="B76" s="198"/>
      <c r="C76" s="199" t="str">
        <f ca="1">I74</f>
        <v>Excavation, Plinth Completed, RCC upto 18 Slab, Brickwork upto 13 Floor, Internal Plaster upto 9 Floor, External Plaster upto 7 Floor Completed</v>
      </c>
      <c r="D76" s="199"/>
      <c r="E76" s="199"/>
      <c r="F76" s="199"/>
      <c r="G76" s="199"/>
      <c r="H76" s="200"/>
      <c r="I76" s="44" t="str">
        <f ca="1">IF(I75&lt;&gt;""," Completed","")</f>
        <v xml:space="preserve"> Completed</v>
      </c>
      <c r="J76" s="45" t="str">
        <f ca="1">IF(J74&lt;&gt;"","Completed","")</f>
        <v>Completed</v>
      </c>
      <c r="S76"/>
    </row>
    <row r="77" spans="1:19" ht="15.75" customHeight="1" x14ac:dyDescent="0.25">
      <c r="A77" s="131" t="s">
        <v>47</v>
      </c>
      <c r="B77" s="132"/>
      <c r="C77" s="92" t="s">
        <v>136</v>
      </c>
      <c r="D77" s="92" t="s">
        <v>80</v>
      </c>
      <c r="E77" s="132" t="s">
        <v>82</v>
      </c>
      <c r="F77" s="132"/>
      <c r="G77" s="132" t="s">
        <v>81</v>
      </c>
      <c r="H77" s="201"/>
      <c r="I77" s="13" t="s">
        <v>138</v>
      </c>
      <c r="J77" s="25">
        <f ca="1">H75*25%</f>
        <v>5.75</v>
      </c>
      <c r="S77"/>
    </row>
    <row r="78" spans="1:19" x14ac:dyDescent="0.25">
      <c r="A78" s="131" t="s">
        <v>125</v>
      </c>
      <c r="B78" s="132"/>
      <c r="C78" s="92">
        <f ca="1">J79</f>
        <v>23</v>
      </c>
      <c r="D78" s="87">
        <f ca="1">((100/H75)*C78)/100</f>
        <v>1</v>
      </c>
      <c r="E78" s="188">
        <f ca="1">(((C79/H75*10)+(40/(D75+F75+H75)*C80)+(7.5/(H75)*C81)+(7.5/(H75)*C82)+(10/H75*C83)+(10/H75*C84)+(5/H75*C85)+(5/H75*C86)+(5/H75*C87))/100)</f>
        <v>0.50217391304347825</v>
      </c>
      <c r="F78" s="189"/>
      <c r="G78" s="188">
        <f ca="1">((((C78/H75)*20)+((C79/H75)*25)+(30/(H75+F75+D75)*C80)+(5/H75*C81)+(5/H75*C82)+(5/H75*C83)+(5/H75*C84)+(0/H75*C85)+(0/H75*C86)+(5/H75*C87))/100)</f>
        <v>0.73804347826086958</v>
      </c>
      <c r="H78" s="194"/>
      <c r="I78" s="13" t="s">
        <v>98</v>
      </c>
      <c r="J78" s="26">
        <f ca="1">H75*50%</f>
        <v>11.5</v>
      </c>
    </row>
    <row r="79" spans="1:19" x14ac:dyDescent="0.25">
      <c r="A79" s="131" t="s">
        <v>48</v>
      </c>
      <c r="B79" s="132"/>
      <c r="C79" s="92">
        <f ca="1">J87</f>
        <v>23</v>
      </c>
      <c r="D79" s="87">
        <f ca="1">((100/H75)*C79)/100</f>
        <v>1</v>
      </c>
      <c r="E79" s="190"/>
      <c r="F79" s="191"/>
      <c r="G79" s="190"/>
      <c r="H79" s="195"/>
      <c r="I79" s="13" t="s">
        <v>99</v>
      </c>
      <c r="J79" s="26">
        <f ca="1">H75</f>
        <v>23</v>
      </c>
      <c r="S79"/>
    </row>
    <row r="80" spans="1:19" ht="15.75" customHeight="1" x14ac:dyDescent="0.25">
      <c r="A80" s="131" t="s">
        <v>126</v>
      </c>
      <c r="B80" s="132"/>
      <c r="C80" s="92">
        <v>18</v>
      </c>
      <c r="D80" s="87">
        <f ca="1">((100/(D75+F75+H75))*C80)/100</f>
        <v>0.75</v>
      </c>
      <c r="E80" s="190"/>
      <c r="F80" s="191"/>
      <c r="G80" s="190"/>
      <c r="H80" s="195"/>
      <c r="I80" s="13" t="s">
        <v>100</v>
      </c>
      <c r="J80" s="27">
        <f ca="1">(IF(B75&gt;1,(H75/(B75+2)),H75/4))</f>
        <v>5.75</v>
      </c>
      <c r="S80"/>
    </row>
    <row r="81" spans="1:19" ht="15.75" customHeight="1" x14ac:dyDescent="0.25">
      <c r="A81" s="131" t="s">
        <v>133</v>
      </c>
      <c r="B81" s="132" t="s">
        <v>127</v>
      </c>
      <c r="C81" s="92">
        <v>13</v>
      </c>
      <c r="D81" s="87">
        <f ca="1">((100/H75)*C81)/100</f>
        <v>0.56521739130434778</v>
      </c>
      <c r="E81" s="190"/>
      <c r="F81" s="191"/>
      <c r="G81" s="190"/>
      <c r="H81" s="195"/>
      <c r="I81" s="13" t="s">
        <v>101</v>
      </c>
      <c r="J81" s="27">
        <f ca="1">(IF(B75&gt;1,(H75/(B75+2)+J80),H75/4+J80))</f>
        <v>11.5</v>
      </c>
    </row>
    <row r="82" spans="1:19" ht="15.75" customHeight="1" x14ac:dyDescent="0.25">
      <c r="A82" s="131" t="s">
        <v>134</v>
      </c>
      <c r="B82" s="132" t="s">
        <v>127</v>
      </c>
      <c r="C82" s="92">
        <v>9</v>
      </c>
      <c r="D82" s="87">
        <f ca="1">((100/H75)*C82)/100</f>
        <v>0.39130434782608697</v>
      </c>
      <c r="E82" s="190"/>
      <c r="F82" s="191"/>
      <c r="G82" s="190"/>
      <c r="H82" s="195"/>
      <c r="I82" s="13" t="s">
        <v>145</v>
      </c>
      <c r="J82" s="27">
        <f>(IF(B75&gt;1,(H75/(B75+2)+J81),0))</f>
        <v>0</v>
      </c>
    </row>
    <row r="83" spans="1:19" ht="15" customHeight="1" x14ac:dyDescent="0.25">
      <c r="A83" s="131" t="s">
        <v>132</v>
      </c>
      <c r="B83" s="132" t="s">
        <v>129</v>
      </c>
      <c r="C83" s="92">
        <v>7</v>
      </c>
      <c r="D83" s="87">
        <f ca="1">((100/(H75))*C83)/100</f>
        <v>0.30434782608695649</v>
      </c>
      <c r="E83" s="190"/>
      <c r="F83" s="191"/>
      <c r="G83" s="190"/>
      <c r="H83" s="195"/>
      <c r="I83" s="13" t="s">
        <v>140</v>
      </c>
      <c r="J83" s="27">
        <f>(IF(B75&gt;2,(H75/(B75+2)+J82),0))</f>
        <v>0</v>
      </c>
    </row>
    <row r="84" spans="1:19" ht="15.75" customHeight="1" x14ac:dyDescent="0.25">
      <c r="A84" s="131" t="s">
        <v>128</v>
      </c>
      <c r="B84" s="132" t="s">
        <v>128</v>
      </c>
      <c r="C84" s="92">
        <v>0</v>
      </c>
      <c r="D84" s="87">
        <f ca="1">((100/H75)*C84)/100</f>
        <v>0</v>
      </c>
      <c r="E84" s="190"/>
      <c r="F84" s="191"/>
      <c r="G84" s="190"/>
      <c r="H84" s="195"/>
      <c r="I84" s="13" t="s">
        <v>141</v>
      </c>
      <c r="J84" s="28">
        <f>(IF(B75&gt;3,(H75/(B75+2)+J83),0))</f>
        <v>0</v>
      </c>
    </row>
    <row r="85" spans="1:19" ht="15.75" customHeight="1" x14ac:dyDescent="0.25">
      <c r="A85" s="131" t="s">
        <v>135</v>
      </c>
      <c r="B85" s="132"/>
      <c r="C85" s="92">
        <v>0</v>
      </c>
      <c r="D85" s="87">
        <f ca="1">((100/H75)*C85)/100</f>
        <v>0</v>
      </c>
      <c r="E85" s="190"/>
      <c r="F85" s="191"/>
      <c r="G85" s="190"/>
      <c r="H85" s="195"/>
      <c r="I85" s="13" t="s">
        <v>142</v>
      </c>
      <c r="J85" s="27">
        <f>(IF(B75&gt;4,(H75/(B75+2)+J84),0))</f>
        <v>0</v>
      </c>
    </row>
    <row r="86" spans="1:19" ht="15.75" customHeight="1" x14ac:dyDescent="0.25">
      <c r="A86" s="131" t="s">
        <v>130</v>
      </c>
      <c r="B86" s="132" t="s">
        <v>130</v>
      </c>
      <c r="C86" s="92">
        <v>0</v>
      </c>
      <c r="D86" s="87">
        <f ca="1">((100/(H75))*C86)/100</f>
        <v>0</v>
      </c>
      <c r="E86" s="190"/>
      <c r="F86" s="191"/>
      <c r="G86" s="190"/>
      <c r="H86" s="195"/>
      <c r="I86" s="13" t="s">
        <v>146</v>
      </c>
      <c r="J86" s="27">
        <f ca="1">(IF(B75=1,(H75/(B75+3)+J81),IF(B75=0,(H75/4+J81),IF(B75&gt;1,0))))</f>
        <v>17.25</v>
      </c>
    </row>
    <row r="87" spans="1:19" ht="16.5" thickBot="1" x14ac:dyDescent="0.3">
      <c r="A87" s="107" t="s">
        <v>131</v>
      </c>
      <c r="B87" s="108"/>
      <c r="C87" s="93">
        <v>0</v>
      </c>
      <c r="D87" s="88">
        <f ca="1">((100/(H75))*C87)/100</f>
        <v>0</v>
      </c>
      <c r="E87" s="192"/>
      <c r="F87" s="193"/>
      <c r="G87" s="192"/>
      <c r="H87" s="196"/>
      <c r="I87" s="14" t="s">
        <v>102</v>
      </c>
      <c r="J87" s="29">
        <f ca="1">(IF(B75&gt;1.5,(H75/(B75+2)+J81+MAX(0,J82-J81)+MAX(0,J83-J82)+MAX(0,J84-J83)+MAX(0,J85-J84)+MAX(0,J86-J85)),IF(B75=1,(H75/(B75+3)+J86),IF(B75=0,H75/4+J86))))</f>
        <v>23</v>
      </c>
    </row>
    <row r="88" spans="1:19" ht="15.75" customHeight="1" x14ac:dyDescent="0.25">
      <c r="A88" s="183" t="s">
        <v>137</v>
      </c>
      <c r="B88" s="184"/>
      <c r="C88" s="185" t="str">
        <f>D66</f>
        <v>Building No.2 (Wing B) = Gr/St(Pt) + 1st to 23rd Floor</v>
      </c>
      <c r="D88" s="186"/>
      <c r="E88" s="186"/>
      <c r="F88" s="186"/>
      <c r="G88" s="186"/>
      <c r="H88" s="187"/>
      <c r="I88" s="42" t="str">
        <f ca="1">IF(D101=100%,"All work Completed. Possession granted to the Building.",IF(D100=100%,"All work Completed, Waiting for OC",I89&amp;""&amp;I90&amp;""&amp;J89&amp;""&amp;J88&amp;" "&amp;J90))</f>
        <v>Excavation, Plinth Completed, RCC upto 18 Slab, Brickwork upto 13 Floor, Internal Plaster upto 11 Floor, External Plaster upto 9 Floor Completed</v>
      </c>
      <c r="J88" s="43"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RCC upto 18 Slab, Brickwork upto 13 Floor, Internal Plaster upto 11 Floor, External Plaster upto 9 Floor</v>
      </c>
      <c r="S88"/>
    </row>
    <row r="89" spans="1:19" x14ac:dyDescent="0.25">
      <c r="A89" s="15" t="s">
        <v>139</v>
      </c>
      <c r="B89" s="46">
        <f>IF(AND(ISNUMBER(SEARCH("1B",C88))),1,IF(AND(ISNUMBER(SEARCH("2B",C88))),2,IF(AND(ISNUMBER(SEARCH("3B",C88))),3,IF(AND(ISNUMBER(SEARCH("4B",C88))),4,IF(ISNUMBER(SEARCH("5B",C88)),5,0)))))</f>
        <v>0</v>
      </c>
      <c r="C89" s="46" t="s">
        <v>69</v>
      </c>
      <c r="D89" s="46">
        <v>1</v>
      </c>
      <c r="E89" s="46" t="s">
        <v>68</v>
      </c>
      <c r="F89" s="46">
        <v>0</v>
      </c>
      <c r="G89" s="46" t="s">
        <v>77</v>
      </c>
      <c r="H89" s="16">
        <f ca="1">--TRIM(RIGHT(SUBSTITUTE(LEFT(C88,_xlfn.AGGREGATE(16,6,FIND({0,1,2,3,4,5,6,7,8,9},C88,ROW(INDIRECT("1:"&amp;LEN(C88)))),1))," ",REPT(" ",LEN(C88))),LEN(C88)))</f>
        <v>23</v>
      </c>
      <c r="I89" s="44" t="str">
        <f ca="1">IF(D92=100%,"Excavation","")&amp;IF(D93=100%,", Plinth","")&amp;IF(D94=100%,", RCC Slab","")&amp;IF(D95=100%,", Brickwork","")&amp;IF(D96=100%,", Internal Plaster","")&amp;IF(D97=100%,", External Plaster","")&amp;IF(D98=100%,", Flooring","")&amp;IF(D99=100%,", Painting","")&amp;IF(D100=100%,", Building common Amenities","")</f>
        <v>Excavation, Plinth</v>
      </c>
      <c r="J89" s="45"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c>
      <c r="S89"/>
    </row>
    <row r="90" spans="1:19" ht="32.25" customHeight="1" x14ac:dyDescent="0.25">
      <c r="A90" s="197" t="s">
        <v>87</v>
      </c>
      <c r="B90" s="198"/>
      <c r="C90" s="199" t="str">
        <f ca="1">I88</f>
        <v>Excavation, Plinth Completed, RCC upto 18 Slab, Brickwork upto 13 Floor, Internal Plaster upto 11 Floor, External Plaster upto 9 Floor Completed</v>
      </c>
      <c r="D90" s="199"/>
      <c r="E90" s="199"/>
      <c r="F90" s="199"/>
      <c r="G90" s="199"/>
      <c r="H90" s="200"/>
      <c r="I90" s="44" t="str">
        <f ca="1">IF(I89&lt;&gt;""," Completed","")</f>
        <v xml:space="preserve"> Completed</v>
      </c>
      <c r="J90" s="45" t="str">
        <f ca="1">IF(J88&lt;&gt;"","Completed","")</f>
        <v>Completed</v>
      </c>
      <c r="S90"/>
    </row>
    <row r="91" spans="1:19" ht="15.75" customHeight="1" x14ac:dyDescent="0.25">
      <c r="A91" s="131" t="s">
        <v>47</v>
      </c>
      <c r="B91" s="132"/>
      <c r="C91" s="92" t="s">
        <v>136</v>
      </c>
      <c r="D91" s="92" t="s">
        <v>80</v>
      </c>
      <c r="E91" s="132" t="s">
        <v>82</v>
      </c>
      <c r="F91" s="132"/>
      <c r="G91" s="132" t="s">
        <v>81</v>
      </c>
      <c r="H91" s="201"/>
      <c r="I91" s="13" t="s">
        <v>138</v>
      </c>
      <c r="J91" s="25">
        <f ca="1">H89*25%</f>
        <v>5.75</v>
      </c>
      <c r="S91"/>
    </row>
    <row r="92" spans="1:19" x14ac:dyDescent="0.25">
      <c r="A92" s="131" t="s">
        <v>125</v>
      </c>
      <c r="B92" s="132"/>
      <c r="C92" s="92">
        <f ca="1">J93</f>
        <v>23</v>
      </c>
      <c r="D92" s="87">
        <f ca="1">((100/H89)*C92)/100</f>
        <v>1</v>
      </c>
      <c r="E92" s="188">
        <f ca="1">(((C93/H89*10)+(40/(D89+F89+H89)*C94)+(7.5/(H89)*C95)+(7.5/(H89)*C96)+(10/H89*C97)+(10/H89*C98)+(5/H89*C99)+(5/H89*C100)+(5/H89*C101))/100)</f>
        <v>0.5173913043478261</v>
      </c>
      <c r="F92" s="189"/>
      <c r="G92" s="188">
        <f ca="1">((((C92/H89)*20)+((C93/H89)*25)+(30/(H89+F89+D89)*C94)+(5/H89*C95)+(5/H89*C96)+(5/H89*C97)+(5/H89*C98)+(0/H89*C99)+(0/H89*C100)+(5/H89*C101))/100)</f>
        <v>0.74673913043478268</v>
      </c>
      <c r="H92" s="194"/>
      <c r="I92" s="13" t="s">
        <v>98</v>
      </c>
      <c r="J92" s="26">
        <f ca="1">H89*50%</f>
        <v>11.5</v>
      </c>
    </row>
    <row r="93" spans="1:19" x14ac:dyDescent="0.25">
      <c r="A93" s="131" t="s">
        <v>48</v>
      </c>
      <c r="B93" s="132"/>
      <c r="C93" s="92">
        <f ca="1">J101</f>
        <v>23</v>
      </c>
      <c r="D93" s="87">
        <f ca="1">((100/H89)*C93)/100</f>
        <v>1</v>
      </c>
      <c r="E93" s="190"/>
      <c r="F93" s="191"/>
      <c r="G93" s="190"/>
      <c r="H93" s="195"/>
      <c r="I93" s="13" t="s">
        <v>99</v>
      </c>
      <c r="J93" s="26">
        <f ca="1">H89</f>
        <v>23</v>
      </c>
      <c r="S93"/>
    </row>
    <row r="94" spans="1:19" ht="15.75" customHeight="1" x14ac:dyDescent="0.25">
      <c r="A94" s="131" t="s">
        <v>126</v>
      </c>
      <c r="B94" s="132"/>
      <c r="C94" s="92">
        <v>18</v>
      </c>
      <c r="D94" s="87">
        <f ca="1">((100/(D89+F89+H89))*C94)/100</f>
        <v>0.75</v>
      </c>
      <c r="E94" s="190"/>
      <c r="F94" s="191"/>
      <c r="G94" s="190"/>
      <c r="H94" s="195"/>
      <c r="I94" s="13" t="s">
        <v>100</v>
      </c>
      <c r="J94" s="27">
        <f ca="1">(IF(B89&gt;1,(H89/(B89+2)),H89/4))</f>
        <v>5.75</v>
      </c>
      <c r="S94"/>
    </row>
    <row r="95" spans="1:19" ht="15.75" customHeight="1" x14ac:dyDescent="0.25">
      <c r="A95" s="131" t="s">
        <v>133</v>
      </c>
      <c r="B95" s="132" t="s">
        <v>127</v>
      </c>
      <c r="C95" s="92">
        <v>13</v>
      </c>
      <c r="D95" s="87">
        <f ca="1">((100/H89)*C95)/100</f>
        <v>0.56521739130434778</v>
      </c>
      <c r="E95" s="190"/>
      <c r="F95" s="191"/>
      <c r="G95" s="190"/>
      <c r="H95" s="195"/>
      <c r="I95" s="13" t="s">
        <v>101</v>
      </c>
      <c r="J95" s="27">
        <f ca="1">(IF(B89&gt;1,(H89/(B89+2)+J94),H89/4+J94))</f>
        <v>11.5</v>
      </c>
    </row>
    <row r="96" spans="1:19" ht="15.75" customHeight="1" x14ac:dyDescent="0.25">
      <c r="A96" s="131" t="s">
        <v>134</v>
      </c>
      <c r="B96" s="132" t="s">
        <v>127</v>
      </c>
      <c r="C96" s="92">
        <v>11</v>
      </c>
      <c r="D96" s="87">
        <f ca="1">((100/H89)*C96)/100</f>
        <v>0.47826086956521735</v>
      </c>
      <c r="E96" s="190"/>
      <c r="F96" s="191"/>
      <c r="G96" s="190"/>
      <c r="H96" s="195"/>
      <c r="I96" s="13" t="s">
        <v>145</v>
      </c>
      <c r="J96" s="27">
        <f>(IF(B89&gt;1,(H89/(B89+2)+J95),0))</f>
        <v>0</v>
      </c>
    </row>
    <row r="97" spans="1:22" ht="15" customHeight="1" x14ac:dyDescent="0.25">
      <c r="A97" s="131" t="s">
        <v>132</v>
      </c>
      <c r="B97" s="132" t="s">
        <v>129</v>
      </c>
      <c r="C97" s="92">
        <v>9</v>
      </c>
      <c r="D97" s="87">
        <f ca="1">((100/(H89))*C97)/100</f>
        <v>0.39130434782608697</v>
      </c>
      <c r="E97" s="190"/>
      <c r="F97" s="191"/>
      <c r="G97" s="190"/>
      <c r="H97" s="195"/>
      <c r="I97" s="13" t="s">
        <v>140</v>
      </c>
      <c r="J97" s="27">
        <f>(IF(B89&gt;2,(H89/(B89+2)+J96),0))</f>
        <v>0</v>
      </c>
    </row>
    <row r="98" spans="1:22" ht="15.75" customHeight="1" x14ac:dyDescent="0.25">
      <c r="A98" s="131" t="s">
        <v>128</v>
      </c>
      <c r="B98" s="132" t="s">
        <v>128</v>
      </c>
      <c r="C98" s="92">
        <v>0</v>
      </c>
      <c r="D98" s="87">
        <f ca="1">((100/H89)*C98)/100</f>
        <v>0</v>
      </c>
      <c r="E98" s="190"/>
      <c r="F98" s="191"/>
      <c r="G98" s="190"/>
      <c r="H98" s="195"/>
      <c r="I98" s="13" t="s">
        <v>141</v>
      </c>
      <c r="J98" s="28">
        <f>(IF(B89&gt;3,(H89/(B89+2)+J97),0))</f>
        <v>0</v>
      </c>
    </row>
    <row r="99" spans="1:22" ht="15.75" customHeight="1" x14ac:dyDescent="0.25">
      <c r="A99" s="131" t="s">
        <v>135</v>
      </c>
      <c r="B99" s="132"/>
      <c r="C99" s="92">
        <v>0</v>
      </c>
      <c r="D99" s="87">
        <f ca="1">((100/H89)*C99)/100</f>
        <v>0</v>
      </c>
      <c r="E99" s="190"/>
      <c r="F99" s="191"/>
      <c r="G99" s="190"/>
      <c r="H99" s="195"/>
      <c r="I99" s="13" t="s">
        <v>142</v>
      </c>
      <c r="J99" s="27">
        <f>(IF(B89&gt;4,(H89/(B89+2)+J98),0))</f>
        <v>0</v>
      </c>
    </row>
    <row r="100" spans="1:22" ht="15.75" customHeight="1" x14ac:dyDescent="0.25">
      <c r="A100" s="131" t="s">
        <v>130</v>
      </c>
      <c r="B100" s="132" t="s">
        <v>130</v>
      </c>
      <c r="C100" s="92">
        <v>0</v>
      </c>
      <c r="D100" s="87">
        <f ca="1">((100/(H89))*C100)/100</f>
        <v>0</v>
      </c>
      <c r="E100" s="190"/>
      <c r="F100" s="191"/>
      <c r="G100" s="190"/>
      <c r="H100" s="195"/>
      <c r="I100" s="13" t="s">
        <v>146</v>
      </c>
      <c r="J100" s="27">
        <f ca="1">(IF(B89=1,(H89/(B89+3)+J95),IF(B89=0,(H89/4+J95),IF(B89&gt;1,0))))</f>
        <v>17.25</v>
      </c>
    </row>
    <row r="101" spans="1:22" ht="16.5" thickBot="1" x14ac:dyDescent="0.3">
      <c r="A101" s="107" t="s">
        <v>131</v>
      </c>
      <c r="B101" s="108"/>
      <c r="C101" s="93">
        <v>0</v>
      </c>
      <c r="D101" s="88">
        <f ca="1">((100/(H89))*C101)/100</f>
        <v>0</v>
      </c>
      <c r="E101" s="192"/>
      <c r="F101" s="193"/>
      <c r="G101" s="192"/>
      <c r="H101" s="196"/>
      <c r="I101" s="14" t="s">
        <v>102</v>
      </c>
      <c r="J101" s="29">
        <f ca="1">(IF(B89&gt;1.5,(H89/(B89+2)+J95+MAX(0,J96-J95)+MAX(0,J97-J96)+MAX(0,J98-J97)+MAX(0,J99-J98)+MAX(0,J100-J99)),IF(B89=1,(H89/(B89+3)+J100),IF(B89=0,H89/4+J100))))</f>
        <v>23</v>
      </c>
    </row>
    <row r="102" spans="1:22" x14ac:dyDescent="0.25">
      <c r="A102" s="246" t="s">
        <v>157</v>
      </c>
      <c r="B102" s="246"/>
      <c r="C102" s="246"/>
      <c r="D102" s="246"/>
      <c r="E102" s="246"/>
      <c r="F102" s="180" t="s">
        <v>161</v>
      </c>
      <c r="G102" s="180"/>
      <c r="H102" s="180"/>
      <c r="R102" t="s">
        <v>254</v>
      </c>
      <c r="S102" t="s">
        <v>173</v>
      </c>
      <c r="T102" t="s">
        <v>178</v>
      </c>
      <c r="U102" t="s">
        <v>193</v>
      </c>
      <c r="V102" t="s">
        <v>188</v>
      </c>
    </row>
    <row r="103" spans="1:22" x14ac:dyDescent="0.25">
      <c r="A103" s="121" t="s">
        <v>159</v>
      </c>
      <c r="B103" s="121"/>
      <c r="C103" s="121"/>
      <c r="D103" s="121"/>
      <c r="E103" s="121"/>
      <c r="F103" s="118">
        <v>6500</v>
      </c>
      <c r="G103" s="118"/>
      <c r="H103" s="118"/>
      <c r="I103" s="97" t="s">
        <v>398</v>
      </c>
      <c r="J103" s="98">
        <v>45636</v>
      </c>
      <c r="K103" s="97" t="s">
        <v>399</v>
      </c>
      <c r="L103" s="97" t="s">
        <v>400</v>
      </c>
      <c r="M103" s="97" t="s">
        <v>401</v>
      </c>
      <c r="R103"/>
      <c r="S103">
        <v>800000</v>
      </c>
      <c r="T103">
        <v>150000</v>
      </c>
      <c r="U103">
        <v>100000</v>
      </c>
      <c r="V103">
        <v>100000</v>
      </c>
    </row>
    <row r="104" spans="1:22" x14ac:dyDescent="0.25">
      <c r="A104" s="121" t="s">
        <v>158</v>
      </c>
      <c r="B104" s="121"/>
      <c r="C104" s="121"/>
      <c r="D104" s="121"/>
      <c r="E104" s="121"/>
      <c r="F104" s="118">
        <v>9500</v>
      </c>
      <c r="G104" s="118"/>
      <c r="H104" s="118"/>
      <c r="R104"/>
      <c r="S104">
        <v>900000</v>
      </c>
      <c r="T104">
        <v>200000</v>
      </c>
      <c r="U104">
        <v>150000</v>
      </c>
      <c r="V104">
        <v>150000</v>
      </c>
    </row>
    <row r="105" spans="1:22" hidden="1" x14ac:dyDescent="0.25">
      <c r="A105" s="121" t="s">
        <v>160</v>
      </c>
      <c r="B105" s="121"/>
      <c r="C105" s="121"/>
      <c r="D105" s="121"/>
      <c r="E105" s="121"/>
      <c r="F105" s="118"/>
      <c r="G105" s="118"/>
      <c r="H105" s="118"/>
      <c r="R105"/>
      <c r="S105">
        <v>1000000</v>
      </c>
      <c r="T105">
        <v>250000</v>
      </c>
      <c r="U105">
        <v>200000</v>
      </c>
      <c r="V105">
        <v>200000</v>
      </c>
    </row>
    <row r="106" spans="1:22" s="30" customFormat="1" hidden="1" x14ac:dyDescent="0.25">
      <c r="A106" s="121" t="s">
        <v>176</v>
      </c>
      <c r="B106" s="121"/>
      <c r="C106" s="121"/>
      <c r="D106" s="121"/>
      <c r="E106" s="121"/>
      <c r="F106" s="118"/>
      <c r="G106" s="118"/>
      <c r="H106" s="118"/>
      <c r="R106"/>
      <c r="S106">
        <v>1100000</v>
      </c>
      <c r="T106">
        <v>300000</v>
      </c>
      <c r="U106">
        <v>250000</v>
      </c>
      <c r="V106" s="20">
        <v>250000</v>
      </c>
    </row>
    <row r="107" spans="1:22" s="30" customFormat="1" hidden="1" x14ac:dyDescent="0.25">
      <c r="A107" s="121" t="s">
        <v>92</v>
      </c>
      <c r="B107" s="121"/>
      <c r="C107" s="121"/>
      <c r="D107" s="121"/>
      <c r="E107" s="121"/>
      <c r="F107" s="118"/>
      <c r="G107" s="118"/>
      <c r="H107" s="118"/>
      <c r="R107"/>
      <c r="S107">
        <v>1200000</v>
      </c>
      <c r="T107">
        <v>350000</v>
      </c>
      <c r="U107">
        <v>300000</v>
      </c>
      <c r="V107">
        <v>300000</v>
      </c>
    </row>
    <row r="108" spans="1:22" s="30" customFormat="1" hidden="1" x14ac:dyDescent="0.25">
      <c r="A108" s="121" t="s">
        <v>93</v>
      </c>
      <c r="B108" s="121"/>
      <c r="C108" s="121"/>
      <c r="D108" s="121"/>
      <c r="E108" s="121"/>
      <c r="F108" s="118"/>
      <c r="G108" s="118"/>
      <c r="H108" s="118"/>
      <c r="R108"/>
      <c r="S108">
        <v>1300000</v>
      </c>
      <c r="T108">
        <v>400000</v>
      </c>
      <c r="U108">
        <v>350000</v>
      </c>
      <c r="V108" s="20">
        <v>400000</v>
      </c>
    </row>
    <row r="109" spans="1:22" s="30" customFormat="1" hidden="1" x14ac:dyDescent="0.25">
      <c r="A109" s="121" t="s">
        <v>94</v>
      </c>
      <c r="B109" s="121"/>
      <c r="C109" s="121"/>
      <c r="D109" s="121"/>
      <c r="E109" s="121"/>
      <c r="F109" s="118"/>
      <c r="G109" s="118"/>
      <c r="H109" s="118"/>
      <c r="R109"/>
      <c r="S109">
        <v>1400000</v>
      </c>
      <c r="T109">
        <v>500000</v>
      </c>
      <c r="U109">
        <v>400000</v>
      </c>
      <c r="V109"/>
    </row>
    <row r="110" spans="1:22" s="30" customFormat="1" hidden="1" x14ac:dyDescent="0.25">
      <c r="A110" s="121" t="s">
        <v>95</v>
      </c>
      <c r="B110" s="121"/>
      <c r="C110" s="121"/>
      <c r="D110" s="121"/>
      <c r="E110" s="121"/>
      <c r="F110" s="118"/>
      <c r="G110" s="118"/>
      <c r="H110" s="118"/>
      <c r="R110"/>
      <c r="S110">
        <v>1500000</v>
      </c>
      <c r="T110">
        <v>600000</v>
      </c>
      <c r="U110">
        <v>500000</v>
      </c>
      <c r="V110" s="20"/>
    </row>
    <row r="111" spans="1:22" s="30" customFormat="1" hidden="1" x14ac:dyDescent="0.25">
      <c r="A111" s="121" t="s">
        <v>96</v>
      </c>
      <c r="B111" s="121"/>
      <c r="C111" s="121"/>
      <c r="D111" s="121"/>
      <c r="E111" s="121"/>
      <c r="F111" s="118"/>
      <c r="G111" s="118"/>
      <c r="H111" s="118"/>
      <c r="R111"/>
      <c r="S111">
        <v>1600000</v>
      </c>
      <c r="T111">
        <v>700000</v>
      </c>
      <c r="U111">
        <v>600000</v>
      </c>
      <c r="V111"/>
    </row>
    <row r="112" spans="1:22" s="30" customFormat="1" hidden="1" x14ac:dyDescent="0.25">
      <c r="A112" s="121" t="s">
        <v>97</v>
      </c>
      <c r="B112" s="121"/>
      <c r="C112" s="121"/>
      <c r="D112" s="121"/>
      <c r="E112" s="121"/>
      <c r="F112" s="118"/>
      <c r="G112" s="118"/>
      <c r="H112" s="118"/>
      <c r="R112"/>
      <c r="S112">
        <v>1700000</v>
      </c>
      <c r="T112">
        <v>800000</v>
      </c>
      <c r="U112"/>
      <c r="V112" s="20"/>
    </row>
    <row r="113" spans="1:22" x14ac:dyDescent="0.25">
      <c r="A113" s="121" t="s">
        <v>49</v>
      </c>
      <c r="B113" s="121"/>
      <c r="C113" s="121"/>
      <c r="D113" s="121"/>
      <c r="E113" s="121"/>
      <c r="F113" s="118">
        <v>300000</v>
      </c>
      <c r="G113" s="118"/>
      <c r="H113" s="118"/>
      <c r="R113"/>
      <c r="S113">
        <v>1800000</v>
      </c>
      <c r="T113">
        <v>900000</v>
      </c>
      <c r="U113"/>
    </row>
    <row r="114" spans="1:22" s="31" customFormat="1" x14ac:dyDescent="0.25">
      <c r="A114" s="206" t="s">
        <v>50</v>
      </c>
      <c r="B114" s="206"/>
      <c r="C114" s="206"/>
      <c r="D114" s="206"/>
      <c r="E114" s="206"/>
      <c r="F114" s="118">
        <f>F103*0.8</f>
        <v>5200</v>
      </c>
      <c r="G114" s="118"/>
      <c r="H114" s="118"/>
      <c r="R114" s="18"/>
      <c r="S114" s="18"/>
      <c r="T114">
        <v>1000000</v>
      </c>
      <c r="U114"/>
      <c r="V114" s="18"/>
    </row>
    <row r="115" spans="1:22" s="32" customFormat="1" ht="15.75" customHeight="1" x14ac:dyDescent="0.25">
      <c r="A115" s="205" t="s">
        <v>72</v>
      </c>
      <c r="B115" s="205"/>
      <c r="C115" s="205"/>
      <c r="D115" s="205"/>
      <c r="E115" s="205"/>
      <c r="F115" s="205"/>
      <c r="G115" s="205"/>
      <c r="H115" s="205"/>
      <c r="R115"/>
      <c r="S115" s="18"/>
      <c r="T115"/>
      <c r="U115"/>
      <c r="V115" s="18"/>
    </row>
    <row r="116" spans="1:22" s="32" customFormat="1" ht="15.75" customHeight="1" x14ac:dyDescent="0.25">
      <c r="A116" s="120" t="s">
        <v>51</v>
      </c>
      <c r="B116" s="120"/>
      <c r="C116" s="127" t="s">
        <v>75</v>
      </c>
      <c r="D116" s="127"/>
      <c r="E116" s="125" t="s">
        <v>52</v>
      </c>
      <c r="F116" s="125"/>
      <c r="G116" s="120" t="s">
        <v>53</v>
      </c>
      <c r="H116" s="120"/>
      <c r="R116"/>
      <c r="S116" s="18"/>
      <c r="T116"/>
      <c r="U116" s="18"/>
      <c r="V116" s="18"/>
    </row>
    <row r="117" spans="1:22" s="32" customFormat="1" x14ac:dyDescent="0.25">
      <c r="A117" s="126" t="s">
        <v>396</v>
      </c>
      <c r="B117" s="126"/>
      <c r="C117" s="144">
        <f>COUNT(D132:D139)</f>
        <v>8</v>
      </c>
      <c r="D117" s="145"/>
      <c r="E117" s="144">
        <f>SUM(F132:F139)</f>
        <v>1596.94704</v>
      </c>
      <c r="F117" s="145"/>
      <c r="G117" s="144">
        <f>SUM(H132:H139)</f>
        <v>2395.42056</v>
      </c>
      <c r="H117" s="145"/>
      <c r="R117"/>
      <c r="S117" s="18"/>
      <c r="T117"/>
      <c r="U117" s="18"/>
      <c r="V117" s="18"/>
    </row>
    <row r="118" spans="1:22" s="32" customFormat="1" x14ac:dyDescent="0.25">
      <c r="A118" s="126" t="s">
        <v>397</v>
      </c>
      <c r="B118" s="126"/>
      <c r="C118" s="144">
        <f>COUNT(D142:D156)</f>
        <v>15</v>
      </c>
      <c r="D118" s="145"/>
      <c r="E118" s="144">
        <f>SUM(F142:F156)</f>
        <v>2554.7277599999998</v>
      </c>
      <c r="F118" s="145"/>
      <c r="G118" s="144">
        <f>SUM(H142:H156)</f>
        <v>3832.0916399999996</v>
      </c>
      <c r="H118" s="145"/>
      <c r="R118"/>
      <c r="S118" s="18"/>
      <c r="T118"/>
      <c r="U118" s="18"/>
      <c r="V118" s="18"/>
    </row>
    <row r="119" spans="1:22" s="32" customFormat="1" x14ac:dyDescent="0.25">
      <c r="A119" s="205" t="s">
        <v>150</v>
      </c>
      <c r="B119" s="205"/>
      <c r="C119" s="245">
        <f>SUM(C117:C118)</f>
        <v>23</v>
      </c>
      <c r="D119" s="127"/>
      <c r="E119" s="245">
        <f>SUM(E117:E118)</f>
        <v>4151.6747999999998</v>
      </c>
      <c r="F119" s="127"/>
      <c r="G119" s="245">
        <f>SUM(G117:G118)</f>
        <v>6227.5121999999992</v>
      </c>
      <c r="H119" s="127"/>
      <c r="R119"/>
      <c r="S119" s="18"/>
      <c r="T119"/>
      <c r="U119" s="18"/>
      <c r="V119" s="18"/>
    </row>
    <row r="120" spans="1:22" s="32" customFormat="1" x14ac:dyDescent="0.25">
      <c r="A120" s="205" t="s">
        <v>67</v>
      </c>
      <c r="B120" s="205"/>
      <c r="C120" s="205"/>
      <c r="D120" s="205"/>
      <c r="E120" s="205"/>
      <c r="F120" s="205"/>
      <c r="G120" s="205"/>
      <c r="H120" s="205"/>
      <c r="T120"/>
    </row>
    <row r="121" spans="1:22" s="32" customFormat="1" ht="15.75" customHeight="1" x14ac:dyDescent="0.25">
      <c r="A121" s="120" t="s">
        <v>51</v>
      </c>
      <c r="B121" s="120"/>
      <c r="C121" s="127" t="s">
        <v>75</v>
      </c>
      <c r="D121" s="127"/>
      <c r="E121" s="125" t="s">
        <v>52</v>
      </c>
      <c r="F121" s="125"/>
      <c r="G121" s="120" t="s">
        <v>53</v>
      </c>
      <c r="H121" s="120"/>
      <c r="T121"/>
    </row>
    <row r="122" spans="1:22" s="32" customFormat="1" ht="15.75" customHeight="1" x14ac:dyDescent="0.25">
      <c r="A122" s="126" t="s">
        <v>396</v>
      </c>
      <c r="B122" s="126"/>
      <c r="C122" s="144">
        <f>COUNT(F164:F169)+COUNT(F171:F176)*6+COUNT(F178:F183)*13+COUNT(F185:F186,F188:F190)*3</f>
        <v>135</v>
      </c>
      <c r="D122" s="144"/>
      <c r="E122" s="144">
        <f>SUM(F164:F169)+SUM(F171:F176)*6+SUM(F178:F183)*13+SUM(F185:F186,F188:F190)*3</f>
        <v>66820.221000000005</v>
      </c>
      <c r="F122" s="144"/>
      <c r="G122" s="144">
        <f>SUM(H164:H169)+SUM(H171:H176)*6+SUM(H178:H183)*13+SUM(H185:H186,H188:H190)*3</f>
        <v>97062.366102</v>
      </c>
      <c r="H122" s="144"/>
      <c r="T122"/>
    </row>
    <row r="123" spans="1:22" s="32" customFormat="1" x14ac:dyDescent="0.25">
      <c r="A123" s="126" t="s">
        <v>397</v>
      </c>
      <c r="B123" s="126"/>
      <c r="C123" s="144">
        <f>COUNT(F194:F199)+COUNT(F201:F206)*6+COUNT(F208:F213)*13+COUNT(F215:F220)*3</f>
        <v>138</v>
      </c>
      <c r="D123" s="144"/>
      <c r="E123" s="144">
        <f>SUM(F194:F199)+SUM(F201:F206)*6+SUM(F208:F213)*13+SUM(F215:F220)*3</f>
        <v>77983.888319999998</v>
      </c>
      <c r="F123" s="144"/>
      <c r="G123" s="144">
        <f>SUM(H194:H199)+SUM(H201:H206)*6+SUM(H208:H213)*13+SUM(H215:H220)*3</f>
        <v>113429.967261</v>
      </c>
      <c r="H123" s="144"/>
      <c r="T123"/>
    </row>
    <row r="124" spans="1:22" s="32" customFormat="1" ht="16.5" thickBot="1" x14ac:dyDescent="0.3">
      <c r="A124" s="244" t="s">
        <v>150</v>
      </c>
      <c r="B124" s="244"/>
      <c r="C124" s="146">
        <f>SUM(C122:C123)</f>
        <v>273</v>
      </c>
      <c r="D124" s="147"/>
      <c r="E124" s="146">
        <f>SUM(E122:E123)</f>
        <v>144804.10931999999</v>
      </c>
      <c r="F124" s="147"/>
      <c r="G124" s="146">
        <f>SUM(G122:G123)</f>
        <v>210492.33336300001</v>
      </c>
      <c r="H124" s="147"/>
      <c r="T124"/>
    </row>
    <row r="125" spans="1:22" s="32" customFormat="1" ht="16.5" thickBot="1" x14ac:dyDescent="0.3">
      <c r="A125" s="171" t="s">
        <v>167</v>
      </c>
      <c r="B125" s="172"/>
      <c r="C125" s="173">
        <f>C119+C124</f>
        <v>296</v>
      </c>
      <c r="D125" s="173"/>
      <c r="E125" s="174">
        <f>E119+E124</f>
        <v>148955.78412</v>
      </c>
      <c r="F125" s="174"/>
      <c r="G125" s="235">
        <f>G119+G124</f>
        <v>216719.84556300001</v>
      </c>
      <c r="H125" s="236"/>
      <c r="T125"/>
    </row>
    <row r="126" spans="1:22" s="31" customFormat="1" x14ac:dyDescent="0.25">
      <c r="A126" s="180" t="s">
        <v>54</v>
      </c>
      <c r="B126" s="180"/>
      <c r="C126" s="180"/>
      <c r="D126" s="180"/>
      <c r="E126" s="180"/>
      <c r="F126" s="180"/>
      <c r="G126" s="180"/>
      <c r="H126" s="180"/>
      <c r="T126" s="32"/>
    </row>
    <row r="127" spans="1:22" x14ac:dyDescent="0.25">
      <c r="A127" s="119" t="s">
        <v>175</v>
      </c>
      <c r="B127" s="119"/>
      <c r="C127" s="119"/>
      <c r="D127" s="119"/>
      <c r="E127" s="119"/>
      <c r="F127" s="119"/>
      <c r="G127" s="119"/>
      <c r="H127" s="119"/>
      <c r="T127" s="32"/>
    </row>
    <row r="128" spans="1:22" ht="47.25" customHeight="1" x14ac:dyDescent="0.25">
      <c r="A128" s="112" t="s">
        <v>380</v>
      </c>
      <c r="B128" s="113"/>
      <c r="C128" s="142" t="s">
        <v>55</v>
      </c>
      <c r="D128" s="142" t="s">
        <v>232</v>
      </c>
      <c r="E128" s="175" t="s">
        <v>156</v>
      </c>
      <c r="F128" s="142" t="s">
        <v>56</v>
      </c>
      <c r="G128" s="175" t="s">
        <v>57</v>
      </c>
      <c r="H128" s="89" t="s">
        <v>148</v>
      </c>
      <c r="T128" s="32"/>
    </row>
    <row r="129" spans="1:20" s="34" customFormat="1" x14ac:dyDescent="0.25">
      <c r="A129" s="114"/>
      <c r="B129" s="115"/>
      <c r="C129" s="143"/>
      <c r="D129" s="143"/>
      <c r="E129" s="176"/>
      <c r="F129" s="143"/>
      <c r="G129" s="176"/>
      <c r="H129" s="90">
        <v>0.5</v>
      </c>
      <c r="T129" s="32"/>
    </row>
    <row r="130" spans="1:20" s="81" customFormat="1" x14ac:dyDescent="0.25">
      <c r="A130" s="109" t="s">
        <v>393</v>
      </c>
      <c r="B130" s="110"/>
      <c r="C130" s="110"/>
      <c r="D130" s="110"/>
      <c r="E130" s="110"/>
      <c r="F130" s="110"/>
      <c r="G130" s="110"/>
      <c r="H130" s="111"/>
      <c r="J130" s="33"/>
      <c r="T130" s="32"/>
    </row>
    <row r="131" spans="1:20" s="34" customFormat="1" x14ac:dyDescent="0.25">
      <c r="A131" s="109" t="s">
        <v>349</v>
      </c>
      <c r="B131" s="110"/>
      <c r="C131" s="110"/>
      <c r="D131" s="110"/>
      <c r="E131" s="110"/>
      <c r="F131" s="110"/>
      <c r="G131" s="110"/>
      <c r="H131" s="111"/>
      <c r="J131" s="33"/>
      <c r="T131" s="32"/>
    </row>
    <row r="132" spans="1:20" s="34" customFormat="1" ht="15.75" customHeight="1" x14ac:dyDescent="0.25">
      <c r="A132" s="99">
        <v>1</v>
      </c>
      <c r="B132" s="100"/>
      <c r="C132" s="39" t="s">
        <v>350</v>
      </c>
      <c r="D132" s="80">
        <f>(22.8)*10.764</f>
        <v>245.41919999999999</v>
      </c>
      <c r="E132" s="39">
        <v>0</v>
      </c>
      <c r="F132" s="57">
        <f>D132+(IF(E132&lt;201,E132,IF(E132&lt;301,E132/2,E132/3)))</f>
        <v>245.41919999999999</v>
      </c>
      <c r="G132" s="58">
        <v>0</v>
      </c>
      <c r="H132" s="57">
        <f>(F132+(IF(G132&lt;101,G132,IF(G132&lt;201,G132/2,IF(G132&lt;=301,G132/3,G132/4)))))*(($H$129)+1)</f>
        <v>368.12879999999996</v>
      </c>
      <c r="I132" s="33"/>
      <c r="J132" s="80">
        <v>10.763999999999999</v>
      </c>
      <c r="L132" s="101"/>
      <c r="M132" s="101"/>
      <c r="N132" s="33"/>
      <c r="T132" s="32"/>
    </row>
    <row r="133" spans="1:20" s="34" customFormat="1" ht="15.75" customHeight="1" x14ac:dyDescent="0.25">
      <c r="A133" s="99">
        <f>A132+1</f>
        <v>2</v>
      </c>
      <c r="B133" s="100"/>
      <c r="C133" s="80" t="s">
        <v>350</v>
      </c>
      <c r="D133" s="80">
        <f>(17.31)*10.764</f>
        <v>186.32483999999997</v>
      </c>
      <c r="E133" s="39">
        <v>0</v>
      </c>
      <c r="F133" s="57">
        <f t="shared" ref="F133:F135" si="0">D133+(IF(E133&lt;201,E133,IF(E133&lt;301,E133/2,E133/3)))</f>
        <v>186.32483999999997</v>
      </c>
      <c r="G133" s="50">
        <v>0</v>
      </c>
      <c r="H133" s="57">
        <f t="shared" ref="H133:H135" si="1">(F133+(IF(G133&lt;101,G133,IF(G133&lt;201,G133/2,IF(G133&lt;=301,G133/3,G133/4)))))*(($H$129)+1)</f>
        <v>279.48725999999994</v>
      </c>
      <c r="I133" s="33">
        <f>2.46*6.9</f>
        <v>16.974</v>
      </c>
      <c r="L133" s="101"/>
      <c r="M133" s="101"/>
      <c r="N133" s="33"/>
      <c r="T133" s="31"/>
    </row>
    <row r="134" spans="1:20" s="34" customFormat="1" ht="15.75" customHeight="1" x14ac:dyDescent="0.25">
      <c r="A134" s="99">
        <f>A133+1</f>
        <v>3</v>
      </c>
      <c r="B134" s="100"/>
      <c r="C134" s="80" t="s">
        <v>350</v>
      </c>
      <c r="D134" s="80">
        <f>(20.02)*10.764</f>
        <v>215.49527999999998</v>
      </c>
      <c r="E134" s="39">
        <v>0</v>
      </c>
      <c r="F134" s="57">
        <f t="shared" si="0"/>
        <v>215.49527999999998</v>
      </c>
      <c r="G134" s="50">
        <v>0</v>
      </c>
      <c r="H134" s="57">
        <f t="shared" si="1"/>
        <v>323.24291999999997</v>
      </c>
      <c r="I134" s="33"/>
      <c r="L134" s="101"/>
      <c r="M134" s="101"/>
      <c r="N134" s="33"/>
      <c r="T134" s="18"/>
    </row>
    <row r="135" spans="1:20" s="34" customFormat="1" ht="15.75" customHeight="1" x14ac:dyDescent="0.25">
      <c r="A135" s="99">
        <f>A134+1</f>
        <v>4</v>
      </c>
      <c r="B135" s="100"/>
      <c r="C135" s="80" t="s">
        <v>350</v>
      </c>
      <c r="D135" s="80">
        <f>(20.2)*10.764</f>
        <v>217.43279999999999</v>
      </c>
      <c r="E135" s="39">
        <v>0</v>
      </c>
      <c r="F135" s="57">
        <f t="shared" si="0"/>
        <v>217.43279999999999</v>
      </c>
      <c r="G135" s="50">
        <v>0</v>
      </c>
      <c r="H135" s="57">
        <f t="shared" si="1"/>
        <v>326.14919999999995</v>
      </c>
      <c r="I135" s="33">
        <f>2.75*7.35</f>
        <v>20.212499999999999</v>
      </c>
      <c r="L135" s="101"/>
      <c r="M135" s="101"/>
      <c r="N135" s="33"/>
      <c r="T135" s="18"/>
    </row>
    <row r="136" spans="1:20" s="81" customFormat="1" ht="15.75" customHeight="1" x14ac:dyDescent="0.25">
      <c r="A136" s="99">
        <f t="shared" ref="A136:A149" si="2">A135+1</f>
        <v>5</v>
      </c>
      <c r="B136" s="100"/>
      <c r="C136" s="80" t="s">
        <v>350</v>
      </c>
      <c r="D136" s="80">
        <f>(16.53)*10.764</f>
        <v>177.92892000000001</v>
      </c>
      <c r="E136" s="80">
        <v>0</v>
      </c>
      <c r="F136" s="80">
        <f>D136+(IF(E136&lt;201,E136,IF(E136&lt;301,E136/2,E136/3)))</f>
        <v>177.92892000000001</v>
      </c>
      <c r="G136" s="58">
        <v>0</v>
      </c>
      <c r="H136" s="80">
        <f>(F136+(IF(G136&lt;101,G136,IF(G136&lt;201,G136/2,IF(G136&lt;=301,G136/3,G136/4)))))*(($H$129)+1)</f>
        <v>266.89337999999998</v>
      </c>
      <c r="I136" s="33"/>
      <c r="L136" s="101"/>
      <c r="M136" s="101"/>
      <c r="N136" s="33"/>
      <c r="T136" s="32"/>
    </row>
    <row r="137" spans="1:20" s="81" customFormat="1" ht="15.75" customHeight="1" x14ac:dyDescent="0.25">
      <c r="A137" s="99">
        <f t="shared" si="2"/>
        <v>6</v>
      </c>
      <c r="B137" s="100"/>
      <c r="C137" s="80" t="s">
        <v>350</v>
      </c>
      <c r="D137" s="80">
        <f>(16.53)*10.764</f>
        <v>177.92892000000001</v>
      </c>
      <c r="E137" s="80">
        <v>0</v>
      </c>
      <c r="F137" s="80">
        <f t="shared" ref="F137:F139" si="3">D137+(IF(E137&lt;201,E137,IF(E137&lt;301,E137/2,E137/3)))</f>
        <v>177.92892000000001</v>
      </c>
      <c r="G137" s="80">
        <v>0</v>
      </c>
      <c r="H137" s="80">
        <f t="shared" ref="H137:H139" si="4">(F137+(IF(G137&lt;101,G137,IF(G137&lt;201,G137/2,IF(G137&lt;=301,G137/3,G137/4)))))*(($H$129)+1)</f>
        <v>266.89337999999998</v>
      </c>
      <c r="I137" s="33"/>
      <c r="L137" s="101"/>
      <c r="M137" s="101"/>
      <c r="N137" s="33"/>
      <c r="T137" s="31"/>
    </row>
    <row r="138" spans="1:20" s="81" customFormat="1" ht="15.75" customHeight="1" x14ac:dyDescent="0.25">
      <c r="A138" s="99">
        <f t="shared" si="2"/>
        <v>7</v>
      </c>
      <c r="B138" s="100"/>
      <c r="C138" s="80" t="s">
        <v>350</v>
      </c>
      <c r="D138" s="80">
        <f>(17.67)*10.764</f>
        <v>190.19988000000001</v>
      </c>
      <c r="E138" s="80">
        <v>0</v>
      </c>
      <c r="F138" s="80">
        <f t="shared" si="3"/>
        <v>190.19988000000001</v>
      </c>
      <c r="G138" s="80">
        <v>0</v>
      </c>
      <c r="H138" s="80">
        <f t="shared" si="4"/>
        <v>285.29982000000001</v>
      </c>
      <c r="I138" s="33">
        <f>2.42*7.15</f>
        <v>17.303000000000001</v>
      </c>
      <c r="L138" s="101"/>
      <c r="M138" s="101"/>
      <c r="N138" s="33"/>
      <c r="T138" s="18"/>
    </row>
    <row r="139" spans="1:20" s="81" customFormat="1" ht="15.75" customHeight="1" x14ac:dyDescent="0.25">
      <c r="A139" s="99">
        <f t="shared" si="2"/>
        <v>8</v>
      </c>
      <c r="B139" s="100"/>
      <c r="C139" s="80" t="s">
        <v>350</v>
      </c>
      <c r="D139" s="80">
        <f>(17.3)*10.764</f>
        <v>186.21719999999999</v>
      </c>
      <c r="E139" s="80">
        <v>0</v>
      </c>
      <c r="F139" s="80">
        <f t="shared" si="3"/>
        <v>186.21719999999999</v>
      </c>
      <c r="G139" s="80">
        <v>0</v>
      </c>
      <c r="H139" s="80">
        <f t="shared" si="4"/>
        <v>279.32579999999996</v>
      </c>
      <c r="I139" s="33"/>
      <c r="L139" s="101"/>
      <c r="M139" s="101"/>
      <c r="N139" s="33"/>
      <c r="T139" s="18"/>
    </row>
    <row r="140" spans="1:20" s="95" customFormat="1" x14ac:dyDescent="0.25">
      <c r="A140" s="109" t="s">
        <v>392</v>
      </c>
      <c r="B140" s="110"/>
      <c r="C140" s="110"/>
      <c r="D140" s="110"/>
      <c r="E140" s="110"/>
      <c r="F140" s="110"/>
      <c r="G140" s="110"/>
      <c r="H140" s="111"/>
      <c r="J140" s="33"/>
      <c r="T140" s="32"/>
    </row>
    <row r="141" spans="1:20" s="95" customFormat="1" x14ac:dyDescent="0.25">
      <c r="A141" s="109" t="s">
        <v>349</v>
      </c>
      <c r="B141" s="110"/>
      <c r="C141" s="110"/>
      <c r="D141" s="110"/>
      <c r="E141" s="110"/>
      <c r="F141" s="110"/>
      <c r="G141" s="110"/>
      <c r="H141" s="111"/>
      <c r="J141" s="33"/>
      <c r="T141" s="32"/>
    </row>
    <row r="142" spans="1:20" s="81" customFormat="1" ht="15.75" customHeight="1" x14ac:dyDescent="0.25">
      <c r="A142" s="99">
        <f>A139+1</f>
        <v>9</v>
      </c>
      <c r="B142" s="100"/>
      <c r="C142" s="80" t="s">
        <v>350</v>
      </c>
      <c r="D142" s="80">
        <f>(17.89)*10.764</f>
        <v>192.56796</v>
      </c>
      <c r="E142" s="80">
        <v>0</v>
      </c>
      <c r="F142" s="80">
        <f>D142+(IF(E142&lt;201,E142,IF(E142&lt;301,E142/2,E142/3)))</f>
        <v>192.56796</v>
      </c>
      <c r="G142" s="58">
        <v>0</v>
      </c>
      <c r="H142" s="80">
        <f>(F142+(IF(G142&lt;101,G142,IF(G142&lt;201,G142/2,IF(G142&lt;=301,G142/3,G142/4)))))*(($H$129)+1)</f>
        <v>288.85194000000001</v>
      </c>
      <c r="I142" s="33"/>
      <c r="L142" s="101"/>
      <c r="M142" s="101"/>
      <c r="N142" s="33"/>
      <c r="T142" s="32"/>
    </row>
    <row r="143" spans="1:20" s="81" customFormat="1" ht="15.75" customHeight="1" x14ac:dyDescent="0.25">
      <c r="A143" s="99">
        <f t="shared" si="2"/>
        <v>10</v>
      </c>
      <c r="B143" s="100"/>
      <c r="C143" s="80" t="s">
        <v>350</v>
      </c>
      <c r="D143" s="80">
        <f>(14.94)*10.764</f>
        <v>160.81415999999999</v>
      </c>
      <c r="E143" s="80">
        <v>0</v>
      </c>
      <c r="F143" s="80">
        <f t="shared" ref="F143:F145" si="5">D143+(IF(E143&lt;201,E143,IF(E143&lt;301,E143/2,E143/3)))</f>
        <v>160.81415999999999</v>
      </c>
      <c r="G143" s="80">
        <v>0</v>
      </c>
      <c r="H143" s="80">
        <f t="shared" ref="H143:H145" si="6">(F143+(IF(G143&lt;101,G143,IF(G143&lt;201,G143/2,IF(G143&lt;=301,G143/3,G143/4)))))*(($H$129)+1)</f>
        <v>241.22123999999997</v>
      </c>
      <c r="I143" s="33"/>
      <c r="L143" s="101"/>
      <c r="M143" s="101"/>
      <c r="N143" s="33"/>
      <c r="T143" s="31"/>
    </row>
    <row r="144" spans="1:20" s="81" customFormat="1" ht="15.75" customHeight="1" x14ac:dyDescent="0.25">
      <c r="A144" s="99">
        <f t="shared" si="2"/>
        <v>11</v>
      </c>
      <c r="B144" s="100"/>
      <c r="C144" s="80" t="s">
        <v>350</v>
      </c>
      <c r="D144" s="80">
        <f>(18.1)*10.764</f>
        <v>194.82840000000002</v>
      </c>
      <c r="E144" s="80">
        <v>0</v>
      </c>
      <c r="F144" s="80">
        <f t="shared" si="5"/>
        <v>194.82840000000002</v>
      </c>
      <c r="G144" s="80">
        <v>0</v>
      </c>
      <c r="H144" s="80">
        <f t="shared" si="6"/>
        <v>292.24260000000004</v>
      </c>
      <c r="I144" s="33"/>
      <c r="L144" s="101"/>
      <c r="M144" s="101"/>
      <c r="N144" s="33"/>
      <c r="T144" s="18"/>
    </row>
    <row r="145" spans="1:20" s="81" customFormat="1" ht="15.75" customHeight="1" x14ac:dyDescent="0.25">
      <c r="A145" s="99">
        <f t="shared" si="2"/>
        <v>12</v>
      </c>
      <c r="B145" s="100"/>
      <c r="C145" s="80" t="s">
        <v>350</v>
      </c>
      <c r="D145" s="80">
        <f>(18.1)*10.764</f>
        <v>194.82840000000002</v>
      </c>
      <c r="E145" s="80">
        <v>0</v>
      </c>
      <c r="F145" s="80">
        <f t="shared" si="5"/>
        <v>194.82840000000002</v>
      </c>
      <c r="G145" s="80">
        <v>0</v>
      </c>
      <c r="H145" s="80">
        <f t="shared" si="6"/>
        <v>292.24260000000004</v>
      </c>
      <c r="I145" s="33"/>
      <c r="L145" s="101"/>
      <c r="M145" s="101"/>
      <c r="N145" s="33"/>
      <c r="T145" s="18"/>
    </row>
    <row r="146" spans="1:20" s="81" customFormat="1" ht="15.75" customHeight="1" x14ac:dyDescent="0.25">
      <c r="A146" s="99">
        <f t="shared" si="2"/>
        <v>13</v>
      </c>
      <c r="B146" s="100"/>
      <c r="C146" s="80" t="s">
        <v>350</v>
      </c>
      <c r="D146" s="80">
        <f>(14.45)*10.764</f>
        <v>155.53979999999999</v>
      </c>
      <c r="E146" s="80">
        <v>0</v>
      </c>
      <c r="F146" s="80">
        <f>D146+(IF(E146&lt;201,E146,IF(E146&lt;301,E146/2,E146/3)))</f>
        <v>155.53979999999999</v>
      </c>
      <c r="G146" s="58">
        <v>0</v>
      </c>
      <c r="H146" s="80">
        <f>(F146+(IF(G146&lt;101,G146,IF(G146&lt;201,G146/2,IF(G146&lt;=301,G146/3,G146/4)))))*(($H$129)+1)</f>
        <v>233.30969999999996</v>
      </c>
      <c r="I146" s="33"/>
      <c r="L146" s="101"/>
      <c r="M146" s="101"/>
      <c r="N146" s="33"/>
      <c r="T146" s="32"/>
    </row>
    <row r="147" spans="1:20" s="81" customFormat="1" ht="15.75" customHeight="1" x14ac:dyDescent="0.25">
      <c r="A147" s="99">
        <f t="shared" si="2"/>
        <v>14</v>
      </c>
      <c r="B147" s="100"/>
      <c r="C147" s="80" t="s">
        <v>350</v>
      </c>
      <c r="D147" s="80">
        <f>(17.32)*10.764</f>
        <v>186.43248</v>
      </c>
      <c r="E147" s="80">
        <v>0</v>
      </c>
      <c r="F147" s="80">
        <f t="shared" ref="F147:F149" si="7">D147+(IF(E147&lt;201,E147,IF(E147&lt;301,E147/2,E147/3)))</f>
        <v>186.43248</v>
      </c>
      <c r="G147" s="80">
        <v>0</v>
      </c>
      <c r="H147" s="80">
        <f t="shared" ref="H147:H149" si="8">(F147+(IF(G147&lt;101,G147,IF(G147&lt;201,G147/2,IF(G147&lt;=301,G147/3,G147/4)))))*(($H$129)+1)</f>
        <v>279.64872000000003</v>
      </c>
      <c r="I147" s="33"/>
      <c r="L147" s="101"/>
      <c r="M147" s="101"/>
      <c r="N147" s="33"/>
      <c r="T147" s="31"/>
    </row>
    <row r="148" spans="1:20" s="81" customFormat="1" ht="15.75" customHeight="1" x14ac:dyDescent="0.25">
      <c r="A148" s="99">
        <f t="shared" si="2"/>
        <v>15</v>
      </c>
      <c r="B148" s="100"/>
      <c r="C148" s="80" t="s">
        <v>350</v>
      </c>
      <c r="D148" s="80">
        <f>(13.41)*10.764</f>
        <v>144.34523999999999</v>
      </c>
      <c r="E148" s="80">
        <v>0</v>
      </c>
      <c r="F148" s="80">
        <f t="shared" si="7"/>
        <v>144.34523999999999</v>
      </c>
      <c r="G148" s="80">
        <v>0</v>
      </c>
      <c r="H148" s="80">
        <f t="shared" si="8"/>
        <v>216.51785999999998</v>
      </c>
      <c r="I148" s="33"/>
      <c r="L148" s="101"/>
      <c r="M148" s="101"/>
      <c r="N148" s="33"/>
      <c r="T148" s="18"/>
    </row>
    <row r="149" spans="1:20" s="81" customFormat="1" ht="15.75" customHeight="1" x14ac:dyDescent="0.25">
      <c r="A149" s="99">
        <f t="shared" si="2"/>
        <v>16</v>
      </c>
      <c r="B149" s="100"/>
      <c r="C149" s="80" t="s">
        <v>350</v>
      </c>
      <c r="D149" s="80">
        <f>(15.21)*10.764</f>
        <v>163.72044</v>
      </c>
      <c r="E149" s="80">
        <v>0</v>
      </c>
      <c r="F149" s="80">
        <f t="shared" si="7"/>
        <v>163.72044</v>
      </c>
      <c r="G149" s="80">
        <v>0</v>
      </c>
      <c r="H149" s="80">
        <f t="shared" si="8"/>
        <v>245.58065999999999</v>
      </c>
      <c r="I149" s="33"/>
      <c r="L149" s="101"/>
      <c r="M149" s="101"/>
      <c r="N149" s="33"/>
      <c r="T149" s="18"/>
    </row>
    <row r="150" spans="1:20" s="81" customFormat="1" ht="15.75" customHeight="1" x14ac:dyDescent="0.25">
      <c r="A150" s="99">
        <f t="shared" ref="A150:A153" si="9">A149+1</f>
        <v>17</v>
      </c>
      <c r="B150" s="100"/>
      <c r="C150" s="80" t="s">
        <v>350</v>
      </c>
      <c r="D150" s="80">
        <f>(14.18)*10.764</f>
        <v>152.63351999999998</v>
      </c>
      <c r="E150" s="80">
        <v>0</v>
      </c>
      <c r="F150" s="80">
        <f>D150+(IF(E150&lt;201,E150,IF(E150&lt;301,E150/2,E150/3)))</f>
        <v>152.63351999999998</v>
      </c>
      <c r="G150" s="58">
        <v>0</v>
      </c>
      <c r="H150" s="80">
        <f>(F150+(IF(G150&lt;101,G150,IF(G150&lt;201,G150/2,IF(G150&lt;=301,G150/3,G150/4)))))*(($H$129)+1)</f>
        <v>228.95027999999996</v>
      </c>
      <c r="I150" s="33"/>
      <c r="L150" s="101"/>
      <c r="M150" s="101"/>
      <c r="N150" s="33"/>
      <c r="T150" s="32"/>
    </row>
    <row r="151" spans="1:20" s="81" customFormat="1" ht="15.75" customHeight="1" x14ac:dyDescent="0.25">
      <c r="A151" s="99">
        <f t="shared" si="9"/>
        <v>18</v>
      </c>
      <c r="B151" s="100"/>
      <c r="C151" s="80" t="s">
        <v>350</v>
      </c>
      <c r="D151" s="80">
        <f>(15.07)*10.764</f>
        <v>162.21348</v>
      </c>
      <c r="E151" s="80">
        <v>0</v>
      </c>
      <c r="F151" s="80">
        <f t="shared" ref="F151:F153" si="10">D151+(IF(E151&lt;201,E151,IF(E151&lt;301,E151/2,E151/3)))</f>
        <v>162.21348</v>
      </c>
      <c r="G151" s="80">
        <v>0</v>
      </c>
      <c r="H151" s="80">
        <f t="shared" ref="H151:H153" si="11">(F151+(IF(G151&lt;101,G151,IF(G151&lt;201,G151/2,IF(G151&lt;=301,G151/3,G151/4)))))*(($H$129)+1)</f>
        <v>243.32022000000001</v>
      </c>
      <c r="I151" s="33"/>
      <c r="L151" s="101"/>
      <c r="M151" s="101"/>
      <c r="N151" s="33"/>
      <c r="T151" s="31"/>
    </row>
    <row r="152" spans="1:20" s="81" customFormat="1" ht="15.75" customHeight="1" x14ac:dyDescent="0.25">
      <c r="A152" s="99">
        <f t="shared" si="9"/>
        <v>19</v>
      </c>
      <c r="B152" s="100"/>
      <c r="C152" s="80" t="s">
        <v>350</v>
      </c>
      <c r="D152" s="80">
        <f>(14.94)*10.764</f>
        <v>160.81415999999999</v>
      </c>
      <c r="E152" s="80">
        <v>0</v>
      </c>
      <c r="F152" s="80">
        <f t="shared" si="10"/>
        <v>160.81415999999999</v>
      </c>
      <c r="G152" s="80">
        <v>0</v>
      </c>
      <c r="H152" s="80">
        <f t="shared" si="11"/>
        <v>241.22123999999997</v>
      </c>
      <c r="I152" s="33"/>
      <c r="L152" s="101"/>
      <c r="M152" s="101"/>
      <c r="N152" s="33"/>
      <c r="T152" s="18"/>
    </row>
    <row r="153" spans="1:20" s="81" customFormat="1" ht="15.75" customHeight="1" x14ac:dyDescent="0.25">
      <c r="A153" s="99">
        <f t="shared" si="9"/>
        <v>20</v>
      </c>
      <c r="B153" s="100"/>
      <c r="C153" s="80" t="s">
        <v>350</v>
      </c>
      <c r="D153" s="80">
        <f>(16.86)*10.764</f>
        <v>181.48103999999998</v>
      </c>
      <c r="E153" s="80">
        <v>0</v>
      </c>
      <c r="F153" s="80">
        <f t="shared" si="10"/>
        <v>181.48103999999998</v>
      </c>
      <c r="G153" s="80">
        <v>0</v>
      </c>
      <c r="H153" s="80">
        <f t="shared" si="11"/>
        <v>272.22155999999995</v>
      </c>
      <c r="I153" s="33"/>
      <c r="L153" s="101"/>
      <c r="M153" s="101"/>
      <c r="N153" s="33"/>
      <c r="T153" s="18"/>
    </row>
    <row r="154" spans="1:20" s="81" customFormat="1" ht="15.75" customHeight="1" x14ac:dyDescent="0.25">
      <c r="A154" s="99">
        <f t="shared" ref="A154:A156" si="12">A153+1</f>
        <v>21</v>
      </c>
      <c r="B154" s="100"/>
      <c r="C154" s="80" t="s">
        <v>350</v>
      </c>
      <c r="D154" s="80">
        <f>(16.86)*10.764</f>
        <v>181.48103999999998</v>
      </c>
      <c r="E154" s="80">
        <v>0</v>
      </c>
      <c r="F154" s="80">
        <f>D154+(IF(E154&lt;201,E154,IF(E154&lt;301,E154/2,E154/3)))</f>
        <v>181.48103999999998</v>
      </c>
      <c r="G154" s="58">
        <v>0</v>
      </c>
      <c r="H154" s="80">
        <f>(F154+(IF(G154&lt;101,G154,IF(G154&lt;201,G154/2,IF(G154&lt;=301,G154/3,G154/4)))))*(($H$129)+1)</f>
        <v>272.22155999999995</v>
      </c>
      <c r="I154" s="33">
        <f>2.75*6</f>
        <v>16.5</v>
      </c>
      <c r="L154" s="101"/>
      <c r="M154" s="101"/>
      <c r="N154" s="33"/>
      <c r="T154" s="32"/>
    </row>
    <row r="155" spans="1:20" s="81" customFormat="1" ht="15.75" customHeight="1" x14ac:dyDescent="0.25">
      <c r="A155" s="99">
        <f t="shared" si="12"/>
        <v>22</v>
      </c>
      <c r="B155" s="100"/>
      <c r="C155" s="80" t="s">
        <v>350</v>
      </c>
      <c r="D155" s="80">
        <f>(14.76)*10.764</f>
        <v>158.87663999999998</v>
      </c>
      <c r="E155" s="80">
        <v>0</v>
      </c>
      <c r="F155" s="80">
        <f t="shared" ref="F155:F156" si="13">D155+(IF(E155&lt;201,E155,IF(E155&lt;301,E155/2,E155/3)))</f>
        <v>158.87663999999998</v>
      </c>
      <c r="G155" s="80">
        <v>0</v>
      </c>
      <c r="H155" s="80">
        <f t="shared" ref="H155:H156" si="14">(F155+(IF(G155&lt;101,G155,IF(G155&lt;201,G155/2,IF(G155&lt;=301,G155/3,G155/4)))))*(($H$129)+1)</f>
        <v>238.31495999999999</v>
      </c>
      <c r="I155" s="33"/>
      <c r="L155" s="101"/>
      <c r="M155" s="101"/>
      <c r="N155" s="33"/>
      <c r="T155" s="31"/>
    </row>
    <row r="156" spans="1:20" s="81" customFormat="1" ht="15.75" customHeight="1" x14ac:dyDescent="0.25">
      <c r="A156" s="99">
        <f t="shared" si="12"/>
        <v>23</v>
      </c>
      <c r="B156" s="100"/>
      <c r="C156" s="80" t="s">
        <v>350</v>
      </c>
      <c r="D156" s="80">
        <f>(15.25)*10.764</f>
        <v>164.15099999999998</v>
      </c>
      <c r="E156" s="80">
        <v>0</v>
      </c>
      <c r="F156" s="80">
        <f t="shared" si="13"/>
        <v>164.15099999999998</v>
      </c>
      <c r="G156" s="80">
        <v>0</v>
      </c>
      <c r="H156" s="80">
        <f t="shared" si="14"/>
        <v>246.22649999999999</v>
      </c>
      <c r="I156" s="33"/>
      <c r="L156" s="101"/>
      <c r="M156" s="101"/>
      <c r="N156" s="33"/>
      <c r="T156" s="18"/>
    </row>
    <row r="157" spans="1:20" s="34" customFormat="1" x14ac:dyDescent="0.25">
      <c r="A157" s="99"/>
      <c r="B157" s="102"/>
      <c r="C157" s="102"/>
      <c r="D157" s="102"/>
      <c r="E157" s="102"/>
      <c r="F157" s="102"/>
      <c r="G157" s="102"/>
      <c r="H157" s="100"/>
      <c r="I157" s="33"/>
      <c r="N157" s="33"/>
    </row>
    <row r="158" spans="1:20" ht="47.25" customHeight="1" x14ac:dyDescent="0.25">
      <c r="A158" s="181" t="s">
        <v>118</v>
      </c>
      <c r="B158" s="247" t="s">
        <v>387</v>
      </c>
      <c r="C158" s="142" t="s">
        <v>55</v>
      </c>
      <c r="D158" s="142" t="s">
        <v>378</v>
      </c>
      <c r="E158" s="142" t="s">
        <v>231</v>
      </c>
      <c r="F158" s="142" t="s">
        <v>56</v>
      </c>
      <c r="G158" s="175" t="s">
        <v>57</v>
      </c>
      <c r="H158" s="89" t="s">
        <v>148</v>
      </c>
      <c r="I158" s="33"/>
      <c r="T158" s="34"/>
    </row>
    <row r="159" spans="1:20" s="34" customFormat="1" x14ac:dyDescent="0.25">
      <c r="A159" s="182"/>
      <c r="B159" s="248"/>
      <c r="C159" s="143"/>
      <c r="D159" s="143"/>
      <c r="E159" s="143"/>
      <c r="F159" s="143"/>
      <c r="G159" s="176"/>
      <c r="H159" s="90">
        <v>0.45</v>
      </c>
      <c r="I159" s="33"/>
    </row>
    <row r="160" spans="1:20" s="81" customFormat="1" x14ac:dyDescent="0.25">
      <c r="A160" s="103" t="s">
        <v>394</v>
      </c>
      <c r="B160" s="104"/>
      <c r="C160" s="104"/>
      <c r="D160" s="104"/>
      <c r="E160" s="104"/>
      <c r="F160" s="104"/>
      <c r="G160" s="104"/>
      <c r="H160" s="105"/>
      <c r="J160" s="33"/>
      <c r="T160" s="32"/>
    </row>
    <row r="161" spans="1:20" s="95" customFormat="1" x14ac:dyDescent="0.25">
      <c r="A161" s="103" t="s">
        <v>388</v>
      </c>
      <c r="B161" s="104"/>
      <c r="C161" s="104"/>
      <c r="D161" s="104"/>
      <c r="E161" s="104"/>
      <c r="F161" s="104"/>
      <c r="G161" s="104"/>
      <c r="H161" s="105"/>
      <c r="J161" s="33"/>
      <c r="T161" s="32"/>
    </row>
    <row r="162" spans="1:20" s="81" customFormat="1" x14ac:dyDescent="0.25">
      <c r="A162" s="103" t="s">
        <v>349</v>
      </c>
      <c r="B162" s="104"/>
      <c r="C162" s="104"/>
      <c r="D162" s="104"/>
      <c r="E162" s="104"/>
      <c r="F162" s="104"/>
      <c r="G162" s="104"/>
      <c r="H162" s="105"/>
      <c r="J162" s="33"/>
      <c r="T162" s="32"/>
    </row>
    <row r="163" spans="1:20" s="81" customFormat="1" x14ac:dyDescent="0.25">
      <c r="A163" s="106" t="s">
        <v>355</v>
      </c>
      <c r="B163" s="106"/>
      <c r="C163" s="106"/>
      <c r="D163" s="106"/>
      <c r="E163" s="106"/>
      <c r="F163" s="106"/>
      <c r="G163" s="106"/>
      <c r="H163" s="106"/>
      <c r="I163" s="33"/>
      <c r="L163" s="101"/>
      <c r="M163" s="101"/>
    </row>
    <row r="164" spans="1:20" s="81" customFormat="1" x14ac:dyDescent="0.25">
      <c r="A164" s="99">
        <v>6</v>
      </c>
      <c r="B164" s="100"/>
      <c r="C164" s="80" t="s">
        <v>351</v>
      </c>
      <c r="D164" s="80">
        <f>(50.98)*10.764</f>
        <v>548.74871999999993</v>
      </c>
      <c r="E164" s="80">
        <v>0</v>
      </c>
      <c r="F164" s="80">
        <f t="shared" ref="F164:F169" si="15">D164+E164</f>
        <v>548.74871999999993</v>
      </c>
      <c r="G164" s="80">
        <f>(2.75*2.5+5.41*1.2+2.315*4)*10.764</f>
        <v>243.557028</v>
      </c>
      <c r="H164" s="80">
        <f t="shared" ref="H164:H169" si="16">F164*(($H$159)+1)+(IF(G164&lt;101,G164,IF(G164&lt;201,G164/2,IF(G164&lt;=301,G164/3,G164/4))))</f>
        <v>876.87131999999997</v>
      </c>
      <c r="I164" s="33"/>
      <c r="N164" s="33"/>
    </row>
    <row r="165" spans="1:20" s="81" customFormat="1" x14ac:dyDescent="0.25">
      <c r="A165" s="99">
        <f t="shared" ref="A165:A169" si="17">A164+1</f>
        <v>7</v>
      </c>
      <c r="B165" s="100"/>
      <c r="C165" s="80" t="s">
        <v>351</v>
      </c>
      <c r="D165" s="80">
        <f>(48.18)*10.764</f>
        <v>518.60951999999997</v>
      </c>
      <c r="E165" s="80">
        <v>0</v>
      </c>
      <c r="F165" s="80">
        <f t="shared" si="15"/>
        <v>518.60951999999997</v>
      </c>
      <c r="G165" s="80">
        <f>(1.42*2.85+(1.42+5.41)*2+2.75*2.5+1.2*0.85)*10.764</f>
        <v>275.579928</v>
      </c>
      <c r="H165" s="80">
        <f t="shared" si="16"/>
        <v>843.84377999999992</v>
      </c>
      <c r="I165" s="33"/>
      <c r="N165" s="33"/>
    </row>
    <row r="166" spans="1:20" s="81" customFormat="1" x14ac:dyDescent="0.25">
      <c r="A166" s="99">
        <f t="shared" si="17"/>
        <v>8</v>
      </c>
      <c r="B166" s="100"/>
      <c r="C166" s="80" t="s">
        <v>354</v>
      </c>
      <c r="D166" s="80">
        <f>(36.83)*10.764</f>
        <v>396.43811999999997</v>
      </c>
      <c r="E166" s="80">
        <v>0</v>
      </c>
      <c r="F166" s="80">
        <f t="shared" si="15"/>
        <v>396.43811999999997</v>
      </c>
      <c r="G166" s="80">
        <v>0</v>
      </c>
      <c r="H166" s="80">
        <f t="shared" si="16"/>
        <v>574.83527399999991</v>
      </c>
      <c r="I166" s="33"/>
      <c r="N166" s="33"/>
    </row>
    <row r="167" spans="1:20" s="81" customFormat="1" x14ac:dyDescent="0.25">
      <c r="A167" s="99">
        <f t="shared" si="17"/>
        <v>9</v>
      </c>
      <c r="B167" s="100"/>
      <c r="C167" s="80" t="s">
        <v>351</v>
      </c>
      <c r="D167" s="80">
        <f>(44.72)*10.764</f>
        <v>481.36607999999995</v>
      </c>
      <c r="E167" s="80">
        <v>0</v>
      </c>
      <c r="F167" s="80">
        <f t="shared" si="15"/>
        <v>481.36607999999995</v>
      </c>
      <c r="G167" s="80">
        <v>0</v>
      </c>
      <c r="H167" s="80">
        <f t="shared" si="16"/>
        <v>697.98081599999989</v>
      </c>
      <c r="I167" s="33">
        <f>4.55*2.75+2.75*2.1+2.75*2.45+2.9*3.35+1.9*1.2+1.2*1.87+0.9*3.8</f>
        <v>42.684000000000005</v>
      </c>
      <c r="N167" s="33"/>
    </row>
    <row r="168" spans="1:20" s="81" customFormat="1" x14ac:dyDescent="0.25">
      <c r="A168" s="99">
        <f t="shared" si="17"/>
        <v>10</v>
      </c>
      <c r="B168" s="100"/>
      <c r="C168" s="80" t="s">
        <v>351</v>
      </c>
      <c r="D168" s="80">
        <f>(44.72)*10.764</f>
        <v>481.36607999999995</v>
      </c>
      <c r="E168" s="80">
        <v>0</v>
      </c>
      <c r="F168" s="80">
        <f t="shared" si="15"/>
        <v>481.36607999999995</v>
      </c>
      <c r="G168" s="80">
        <v>0</v>
      </c>
      <c r="H168" s="80">
        <f t="shared" si="16"/>
        <v>697.98081599999989</v>
      </c>
      <c r="I168" s="33"/>
      <c r="N168" s="33"/>
    </row>
    <row r="169" spans="1:20" s="81" customFormat="1" x14ac:dyDescent="0.25">
      <c r="A169" s="99">
        <f t="shared" si="17"/>
        <v>11</v>
      </c>
      <c r="B169" s="100"/>
      <c r="C169" s="80" t="s">
        <v>354</v>
      </c>
      <c r="D169" s="80">
        <f>(36.83)*10.764</f>
        <v>396.43811999999997</v>
      </c>
      <c r="E169" s="80">
        <v>0</v>
      </c>
      <c r="F169" s="80">
        <f t="shared" si="15"/>
        <v>396.43811999999997</v>
      </c>
      <c r="G169" s="80">
        <v>0</v>
      </c>
      <c r="H169" s="80">
        <f t="shared" si="16"/>
        <v>574.83527399999991</v>
      </c>
      <c r="I169" s="33"/>
      <c r="N169" s="33"/>
    </row>
    <row r="170" spans="1:20" s="95" customFormat="1" x14ac:dyDescent="0.25">
      <c r="A170" s="106" t="s">
        <v>382</v>
      </c>
      <c r="B170" s="106"/>
      <c r="C170" s="106"/>
      <c r="D170" s="106"/>
      <c r="E170" s="106"/>
      <c r="F170" s="106"/>
      <c r="G170" s="106"/>
      <c r="H170" s="106"/>
      <c r="I170" s="33"/>
      <c r="L170" s="101"/>
      <c r="M170" s="101"/>
    </row>
    <row r="171" spans="1:20" s="95" customFormat="1" ht="15.75" customHeight="1" x14ac:dyDescent="0.25">
      <c r="A171" s="99">
        <v>6</v>
      </c>
      <c r="B171" s="100"/>
      <c r="C171" s="94" t="s">
        <v>351</v>
      </c>
      <c r="D171" s="94">
        <f>(50.98)*10.764</f>
        <v>548.74871999999993</v>
      </c>
      <c r="E171" s="94">
        <v>0</v>
      </c>
      <c r="F171" s="94">
        <f t="shared" ref="F171:F176" si="18">D171+E171</f>
        <v>548.74871999999993</v>
      </c>
      <c r="G171" s="94">
        <v>0</v>
      </c>
      <c r="H171" s="94">
        <f t="shared" ref="H171:H176" si="19">F171*(($H$159)+1)+(IF(G171&lt;101,G171,IF(G171&lt;201,G171/2,IF(G171&lt;=301,G171/3,G171/4))))</f>
        <v>795.68564399999991</v>
      </c>
      <c r="I171" s="33"/>
      <c r="L171" s="101"/>
      <c r="M171" s="101"/>
      <c r="N171" s="33"/>
    </row>
    <row r="172" spans="1:20" s="95" customFormat="1" ht="15.75" customHeight="1" x14ac:dyDescent="0.25">
      <c r="A172" s="99">
        <f t="shared" ref="A172:A176" si="20">A171+1</f>
        <v>7</v>
      </c>
      <c r="B172" s="100"/>
      <c r="C172" s="94" t="s">
        <v>351</v>
      </c>
      <c r="D172" s="94">
        <f>(48.18)*10.764</f>
        <v>518.60951999999997</v>
      </c>
      <c r="E172" s="94">
        <v>0</v>
      </c>
      <c r="F172" s="94">
        <f t="shared" si="18"/>
        <v>518.60951999999997</v>
      </c>
      <c r="G172" s="94">
        <v>0</v>
      </c>
      <c r="H172" s="94">
        <f t="shared" si="19"/>
        <v>751.98380399999996</v>
      </c>
      <c r="I172" s="33"/>
      <c r="L172" s="101"/>
      <c r="M172" s="101"/>
      <c r="N172" s="33"/>
    </row>
    <row r="173" spans="1:20" s="95" customFormat="1" ht="15.75" customHeight="1" x14ac:dyDescent="0.25">
      <c r="A173" s="99">
        <f t="shared" si="20"/>
        <v>8</v>
      </c>
      <c r="B173" s="100"/>
      <c r="C173" s="94" t="s">
        <v>354</v>
      </c>
      <c r="D173" s="94">
        <f>(36.83)*10.764</f>
        <v>396.43811999999997</v>
      </c>
      <c r="E173" s="94">
        <v>0</v>
      </c>
      <c r="F173" s="94">
        <f t="shared" si="18"/>
        <v>396.43811999999997</v>
      </c>
      <c r="G173" s="94">
        <v>0</v>
      </c>
      <c r="H173" s="94">
        <f t="shared" si="19"/>
        <v>574.83527399999991</v>
      </c>
      <c r="I173" s="33"/>
      <c r="L173" s="101"/>
      <c r="M173" s="101"/>
      <c r="N173" s="33"/>
      <c r="T173" s="18"/>
    </row>
    <row r="174" spans="1:20" s="95" customFormat="1" ht="15.75" customHeight="1" x14ac:dyDescent="0.25">
      <c r="A174" s="99">
        <f t="shared" si="20"/>
        <v>9</v>
      </c>
      <c r="B174" s="100"/>
      <c r="C174" s="94" t="s">
        <v>351</v>
      </c>
      <c r="D174" s="94">
        <f>(44.72)*10.764</f>
        <v>481.36607999999995</v>
      </c>
      <c r="E174" s="94">
        <v>0</v>
      </c>
      <c r="F174" s="94">
        <f t="shared" si="18"/>
        <v>481.36607999999995</v>
      </c>
      <c r="G174" s="94">
        <v>0</v>
      </c>
      <c r="H174" s="94">
        <f t="shared" si="19"/>
        <v>697.98081599999989</v>
      </c>
      <c r="I174" s="33"/>
      <c r="L174" s="101"/>
      <c r="M174" s="101"/>
      <c r="N174" s="33"/>
    </row>
    <row r="175" spans="1:20" s="95" customFormat="1" ht="15.75" customHeight="1" x14ac:dyDescent="0.25">
      <c r="A175" s="99">
        <f t="shared" si="20"/>
        <v>10</v>
      </c>
      <c r="B175" s="100"/>
      <c r="C175" s="94" t="s">
        <v>351</v>
      </c>
      <c r="D175" s="94">
        <f>(44.72)*10.764</f>
        <v>481.36607999999995</v>
      </c>
      <c r="E175" s="94">
        <v>0</v>
      </c>
      <c r="F175" s="94">
        <f t="shared" si="18"/>
        <v>481.36607999999995</v>
      </c>
      <c r="G175" s="94">
        <v>0</v>
      </c>
      <c r="H175" s="94">
        <f t="shared" si="19"/>
        <v>697.98081599999989</v>
      </c>
      <c r="I175" s="33"/>
      <c r="L175" s="101"/>
      <c r="M175" s="101"/>
      <c r="N175" s="33"/>
    </row>
    <row r="176" spans="1:20" s="95" customFormat="1" ht="15.75" customHeight="1" x14ac:dyDescent="0.25">
      <c r="A176" s="99">
        <f t="shared" si="20"/>
        <v>11</v>
      </c>
      <c r="B176" s="100"/>
      <c r="C176" s="94" t="s">
        <v>354</v>
      </c>
      <c r="D176" s="94">
        <f>(36.83)*10.764</f>
        <v>396.43811999999997</v>
      </c>
      <c r="E176" s="94">
        <v>0</v>
      </c>
      <c r="F176" s="94">
        <f t="shared" si="18"/>
        <v>396.43811999999997</v>
      </c>
      <c r="G176" s="94">
        <v>0</v>
      </c>
      <c r="H176" s="94">
        <f t="shared" si="19"/>
        <v>574.83527399999991</v>
      </c>
      <c r="I176" s="33"/>
      <c r="L176" s="101"/>
      <c r="M176" s="101"/>
      <c r="N176" s="33"/>
    </row>
    <row r="177" spans="1:20" s="95" customFormat="1" x14ac:dyDescent="0.25">
      <c r="A177" s="106" t="s">
        <v>383</v>
      </c>
      <c r="B177" s="106"/>
      <c r="C177" s="106"/>
      <c r="D177" s="106"/>
      <c r="E177" s="106"/>
      <c r="F177" s="106"/>
      <c r="G177" s="106"/>
      <c r="H177" s="106"/>
      <c r="I177" s="33"/>
      <c r="L177" s="101"/>
      <c r="M177" s="101"/>
    </row>
    <row r="178" spans="1:20" s="95" customFormat="1" ht="15.75" customHeight="1" x14ac:dyDescent="0.25">
      <c r="A178" s="99">
        <v>6</v>
      </c>
      <c r="B178" s="100"/>
      <c r="C178" s="94" t="s">
        <v>351</v>
      </c>
      <c r="D178" s="94">
        <f>(50.98)*10.764</f>
        <v>548.74871999999993</v>
      </c>
      <c r="E178" s="94">
        <f>3.55*10.764</f>
        <v>38.212199999999996</v>
      </c>
      <c r="F178" s="94">
        <f t="shared" ref="F178:F183" si="21">D178+E178</f>
        <v>586.96091999999999</v>
      </c>
      <c r="G178" s="94">
        <v>0</v>
      </c>
      <c r="H178" s="94">
        <f t="shared" ref="H178:H183" si="22">F178*(($H$159)+1)+(IF(G178&lt;101,G178,IF(G178&lt;201,G178/2,IF(G178&lt;=301,G178/3,G178/4))))</f>
        <v>851.09333399999991</v>
      </c>
      <c r="I178" s="33"/>
      <c r="L178" s="101"/>
      <c r="M178" s="101"/>
      <c r="N178" s="33"/>
    </row>
    <row r="179" spans="1:20" s="95" customFormat="1" ht="15.75" customHeight="1" x14ac:dyDescent="0.25">
      <c r="A179" s="99">
        <f t="shared" ref="A179:A183" si="23">A178+1</f>
        <v>7</v>
      </c>
      <c r="B179" s="100"/>
      <c r="C179" s="94" t="s">
        <v>351</v>
      </c>
      <c r="D179" s="94">
        <f>(48.18)*10.764</f>
        <v>518.60951999999997</v>
      </c>
      <c r="E179" s="94">
        <f>3.55*10.764</f>
        <v>38.212199999999996</v>
      </c>
      <c r="F179" s="94">
        <f t="shared" si="21"/>
        <v>556.82171999999991</v>
      </c>
      <c r="G179" s="94">
        <v>0</v>
      </c>
      <c r="H179" s="94">
        <f t="shared" si="22"/>
        <v>807.39149399999985</v>
      </c>
      <c r="I179" s="33"/>
      <c r="L179" s="101"/>
      <c r="M179" s="101"/>
      <c r="N179" s="33"/>
    </row>
    <row r="180" spans="1:20" s="95" customFormat="1" ht="15.75" customHeight="1" x14ac:dyDescent="0.25">
      <c r="A180" s="99">
        <f t="shared" si="23"/>
        <v>8</v>
      </c>
      <c r="B180" s="100"/>
      <c r="C180" s="94" t="s">
        <v>354</v>
      </c>
      <c r="D180" s="94">
        <f>(36.83)*10.764</f>
        <v>396.43811999999997</v>
      </c>
      <c r="E180" s="94">
        <f>3.3*10.764</f>
        <v>35.521199999999993</v>
      </c>
      <c r="F180" s="94">
        <f t="shared" si="21"/>
        <v>431.95931999999993</v>
      </c>
      <c r="G180" s="94">
        <v>0</v>
      </c>
      <c r="H180" s="94">
        <f t="shared" si="22"/>
        <v>626.34101399999986</v>
      </c>
      <c r="I180" s="33"/>
      <c r="L180" s="101"/>
      <c r="M180" s="101"/>
      <c r="N180" s="33"/>
      <c r="T180" s="18"/>
    </row>
    <row r="181" spans="1:20" s="95" customFormat="1" ht="15.75" customHeight="1" x14ac:dyDescent="0.25">
      <c r="A181" s="99">
        <f t="shared" si="23"/>
        <v>9</v>
      </c>
      <c r="B181" s="100"/>
      <c r="C181" s="94" t="s">
        <v>351</v>
      </c>
      <c r="D181" s="94">
        <f>(44.72)*10.764</f>
        <v>481.36607999999995</v>
      </c>
      <c r="E181" s="94">
        <f>3.3*10.764</f>
        <v>35.521199999999993</v>
      </c>
      <c r="F181" s="94">
        <f t="shared" si="21"/>
        <v>516.88727999999992</v>
      </c>
      <c r="G181" s="94">
        <v>0</v>
      </c>
      <c r="H181" s="94">
        <f t="shared" si="22"/>
        <v>749.48655599999984</v>
      </c>
      <c r="I181" s="33"/>
      <c r="L181" s="101"/>
      <c r="M181" s="101"/>
      <c r="N181" s="33"/>
    </row>
    <row r="182" spans="1:20" s="95" customFormat="1" ht="15.75" customHeight="1" x14ac:dyDescent="0.25">
      <c r="A182" s="99">
        <f t="shared" si="23"/>
        <v>10</v>
      </c>
      <c r="B182" s="100"/>
      <c r="C182" s="94" t="s">
        <v>351</v>
      </c>
      <c r="D182" s="94">
        <f>(44.72)*10.764</f>
        <v>481.36607999999995</v>
      </c>
      <c r="E182" s="94">
        <f>2.75*10.764</f>
        <v>29.600999999999999</v>
      </c>
      <c r="F182" s="94">
        <f t="shared" si="21"/>
        <v>510.96707999999995</v>
      </c>
      <c r="G182" s="94">
        <v>0</v>
      </c>
      <c r="H182" s="94">
        <f t="shared" si="22"/>
        <v>740.90226599999994</v>
      </c>
      <c r="I182" s="33"/>
      <c r="L182" s="101"/>
      <c r="M182" s="101"/>
      <c r="N182" s="33"/>
    </row>
    <row r="183" spans="1:20" s="95" customFormat="1" ht="15.75" customHeight="1" x14ac:dyDescent="0.25">
      <c r="A183" s="99">
        <f t="shared" si="23"/>
        <v>11</v>
      </c>
      <c r="B183" s="100"/>
      <c r="C183" s="94" t="s">
        <v>354</v>
      </c>
      <c r="D183" s="94">
        <f>(36.83)*10.764</f>
        <v>396.43811999999997</v>
      </c>
      <c r="E183" s="94">
        <f>2.06*10.764</f>
        <v>22.173839999999998</v>
      </c>
      <c r="F183" s="94">
        <f t="shared" si="21"/>
        <v>418.61195999999995</v>
      </c>
      <c r="G183" s="94">
        <v>0</v>
      </c>
      <c r="H183" s="94">
        <f t="shared" si="22"/>
        <v>606.9873419999999</v>
      </c>
      <c r="I183" s="33"/>
      <c r="L183" s="101"/>
      <c r="M183" s="101"/>
      <c r="N183" s="33"/>
    </row>
    <row r="184" spans="1:20" s="95" customFormat="1" x14ac:dyDescent="0.25">
      <c r="A184" s="106" t="s">
        <v>358</v>
      </c>
      <c r="B184" s="106"/>
      <c r="C184" s="106"/>
      <c r="D184" s="106"/>
      <c r="E184" s="106"/>
      <c r="F184" s="106"/>
      <c r="G184" s="106"/>
      <c r="H184" s="106"/>
      <c r="I184" s="33"/>
      <c r="L184" s="101"/>
      <c r="M184" s="101"/>
    </row>
    <row r="185" spans="1:20" s="95" customFormat="1" ht="15.75" customHeight="1" x14ac:dyDescent="0.25">
      <c r="A185" s="99">
        <v>6</v>
      </c>
      <c r="B185" s="100"/>
      <c r="C185" s="94" t="s">
        <v>351</v>
      </c>
      <c r="D185" s="94">
        <f>(50.98)*10.764</f>
        <v>548.74871999999993</v>
      </c>
      <c r="E185" s="94">
        <f>3.55*10.764</f>
        <v>38.212199999999996</v>
      </c>
      <c r="F185" s="94">
        <f t="shared" ref="F185:F186" si="24">D185+E185</f>
        <v>586.96091999999999</v>
      </c>
      <c r="G185" s="94">
        <v>0</v>
      </c>
      <c r="H185" s="94">
        <f t="shared" ref="H185:H186" si="25">F185*(($H$159)+1)+(IF(G185&lt;101,G185,IF(G185&lt;201,G185/2,IF(G185&lt;=301,G185/3,G185/4))))</f>
        <v>851.09333399999991</v>
      </c>
      <c r="I185" s="33"/>
      <c r="L185" s="101"/>
      <c r="M185" s="101"/>
      <c r="N185" s="33"/>
    </row>
    <row r="186" spans="1:20" s="95" customFormat="1" ht="15.75" customHeight="1" x14ac:dyDescent="0.25">
      <c r="A186" s="99">
        <f t="shared" ref="A186:A190" si="26">A185+1</f>
        <v>7</v>
      </c>
      <c r="B186" s="100"/>
      <c r="C186" s="94" t="s">
        <v>351</v>
      </c>
      <c r="D186" s="94">
        <f>(48.18)*10.764</f>
        <v>518.60951999999997</v>
      </c>
      <c r="E186" s="94">
        <f>3.55*10.764</f>
        <v>38.212199999999996</v>
      </c>
      <c r="F186" s="94">
        <f t="shared" si="24"/>
        <v>556.82171999999991</v>
      </c>
      <c r="G186" s="94">
        <v>0</v>
      </c>
      <c r="H186" s="94">
        <f t="shared" si="25"/>
        <v>807.39149399999985</v>
      </c>
      <c r="I186" s="33"/>
      <c r="L186" s="101"/>
      <c r="M186" s="101"/>
      <c r="N186" s="33"/>
    </row>
    <row r="187" spans="1:20" s="95" customFormat="1" ht="15.75" customHeight="1" x14ac:dyDescent="0.25">
      <c r="A187" s="99">
        <f t="shared" si="26"/>
        <v>8</v>
      </c>
      <c r="B187" s="100"/>
      <c r="C187" s="99" t="s">
        <v>359</v>
      </c>
      <c r="D187" s="102"/>
      <c r="E187" s="102"/>
      <c r="F187" s="102"/>
      <c r="G187" s="102"/>
      <c r="H187" s="100"/>
      <c r="I187" s="33"/>
      <c r="L187" s="101"/>
      <c r="M187" s="101"/>
      <c r="N187" s="33"/>
      <c r="T187" s="18"/>
    </row>
    <row r="188" spans="1:20" s="95" customFormat="1" ht="15.75" customHeight="1" x14ac:dyDescent="0.25">
      <c r="A188" s="99">
        <f t="shared" si="26"/>
        <v>9</v>
      </c>
      <c r="B188" s="100"/>
      <c r="C188" s="94" t="s">
        <v>351</v>
      </c>
      <c r="D188" s="94">
        <f>(44.72)*10.764</f>
        <v>481.36607999999995</v>
      </c>
      <c r="E188" s="94">
        <f>3.3*10.764</f>
        <v>35.521199999999993</v>
      </c>
      <c r="F188" s="94">
        <f>D188+E188</f>
        <v>516.88727999999992</v>
      </c>
      <c r="G188" s="94">
        <v>0</v>
      </c>
      <c r="H188" s="94">
        <f>F188*(($H$159)+1)+(IF(G188&lt;101,G188,IF(G188&lt;201,G188/2,IF(G188&lt;=301,G188/3,G188/4))))</f>
        <v>749.48655599999984</v>
      </c>
      <c r="I188" s="33"/>
      <c r="L188" s="101"/>
      <c r="M188" s="101"/>
      <c r="N188" s="33"/>
    </row>
    <row r="189" spans="1:20" s="95" customFormat="1" ht="15.75" customHeight="1" x14ac:dyDescent="0.25">
      <c r="A189" s="99">
        <f t="shared" si="26"/>
        <v>10</v>
      </c>
      <c r="B189" s="100"/>
      <c r="C189" s="94" t="s">
        <v>351</v>
      </c>
      <c r="D189" s="94">
        <f>(44.72)*10.764</f>
        <v>481.36607999999995</v>
      </c>
      <c r="E189" s="94">
        <f>2.75*10.764</f>
        <v>29.600999999999999</v>
      </c>
      <c r="F189" s="94">
        <f>D189+E189</f>
        <v>510.96707999999995</v>
      </c>
      <c r="G189" s="94">
        <v>0</v>
      </c>
      <c r="H189" s="94">
        <f>F189*(($H$159)+1)+(IF(G189&lt;101,G189,IF(G189&lt;201,G189/2,IF(G189&lt;=301,G189/3,G189/4))))</f>
        <v>740.90226599999994</v>
      </c>
      <c r="I189" s="33"/>
      <c r="L189" s="101"/>
      <c r="M189" s="101"/>
      <c r="N189" s="33"/>
    </row>
    <row r="190" spans="1:20" s="95" customFormat="1" ht="15.75" customHeight="1" x14ac:dyDescent="0.25">
      <c r="A190" s="99">
        <f t="shared" si="26"/>
        <v>11</v>
      </c>
      <c r="B190" s="100"/>
      <c r="C190" s="94" t="s">
        <v>354</v>
      </c>
      <c r="D190" s="94">
        <f>(36.83)*10.764</f>
        <v>396.43811999999997</v>
      </c>
      <c r="E190" s="94">
        <f>2.06*10.764</f>
        <v>22.173839999999998</v>
      </c>
      <c r="F190" s="94">
        <f>D190+E190</f>
        <v>418.61195999999995</v>
      </c>
      <c r="G190" s="94">
        <v>0</v>
      </c>
      <c r="H190" s="94">
        <f>F190*(($H$159)+1)+(IF(G190&lt;101,G190,IF(G190&lt;201,G190/2,IF(G190&lt;=301,G190/3,G190/4))))</f>
        <v>606.9873419999999</v>
      </c>
      <c r="I190" s="33"/>
      <c r="K190" s="95">
        <f>3375000/H190</f>
        <v>5560.2477456605684</v>
      </c>
      <c r="L190" s="101"/>
      <c r="M190" s="101"/>
      <c r="N190" s="33"/>
    </row>
    <row r="191" spans="1:20" s="95" customFormat="1" x14ac:dyDescent="0.25">
      <c r="A191" s="103" t="s">
        <v>389</v>
      </c>
      <c r="B191" s="104"/>
      <c r="C191" s="104"/>
      <c r="D191" s="104"/>
      <c r="E191" s="104"/>
      <c r="F191" s="104"/>
      <c r="G191" s="104"/>
      <c r="H191" s="105"/>
      <c r="J191" s="33"/>
      <c r="T191" s="32"/>
    </row>
    <row r="192" spans="1:20" s="95" customFormat="1" x14ac:dyDescent="0.25">
      <c r="A192" s="103" t="s">
        <v>349</v>
      </c>
      <c r="B192" s="104"/>
      <c r="C192" s="104"/>
      <c r="D192" s="104"/>
      <c r="E192" s="104"/>
      <c r="F192" s="104"/>
      <c r="G192" s="104"/>
      <c r="H192" s="105"/>
      <c r="J192" s="33"/>
      <c r="T192" s="32"/>
    </row>
    <row r="193" spans="1:20" s="95" customFormat="1" x14ac:dyDescent="0.25">
      <c r="A193" s="106" t="s">
        <v>355</v>
      </c>
      <c r="B193" s="106"/>
      <c r="C193" s="106"/>
      <c r="D193" s="106"/>
      <c r="E193" s="106"/>
      <c r="F193" s="106"/>
      <c r="G193" s="106"/>
      <c r="H193" s="106"/>
      <c r="I193" s="33"/>
      <c r="L193" s="101"/>
      <c r="M193" s="101"/>
    </row>
    <row r="194" spans="1:20" s="95" customFormat="1" x14ac:dyDescent="0.25">
      <c r="A194" s="99">
        <v>1</v>
      </c>
      <c r="B194" s="100"/>
      <c r="C194" s="94" t="s">
        <v>351</v>
      </c>
      <c r="D194" s="94">
        <f>(46.31)*10.764</f>
        <v>498.48084</v>
      </c>
      <c r="E194" s="94">
        <v>0</v>
      </c>
      <c r="F194" s="94">
        <f t="shared" ref="F194:F199" si="27">D194+E194</f>
        <v>498.48084</v>
      </c>
      <c r="G194" s="94">
        <f>(0.8*3.5)*10.764</f>
        <v>30.139200000000002</v>
      </c>
      <c r="H194" s="94">
        <f t="shared" ref="H194:H199" si="28">F194*(($H$159)+1)+(IF(G194&lt;101,G194,IF(G194&lt;201,G194/2,IF(G194&lt;=301,G194/3,G194/4))))</f>
        <v>752.93641799999989</v>
      </c>
      <c r="I194" s="33">
        <f>4.55*2.75+2.75*2.1+2.75*2.45+2.9*3.35+1.9*1.2+1.9*1.2+2*0.85+3.4*0.9</f>
        <v>44.060000000000009</v>
      </c>
      <c r="N194" s="33"/>
    </row>
    <row r="195" spans="1:20" s="95" customFormat="1" x14ac:dyDescent="0.25">
      <c r="A195" s="99">
        <f>A194+1</f>
        <v>2</v>
      </c>
      <c r="B195" s="100"/>
      <c r="C195" s="94" t="s">
        <v>351</v>
      </c>
      <c r="D195" s="94">
        <f>(46.31)*10.764</f>
        <v>498.48084</v>
      </c>
      <c r="E195" s="94">
        <v>0</v>
      </c>
      <c r="F195" s="94">
        <f t="shared" si="27"/>
        <v>498.48084</v>
      </c>
      <c r="G195" s="94">
        <f>(2.75*2.5+1.2*5.11+2.85*2.02+1.2*2.02+0.8*3.5)*10.764</f>
        <v>258.20683200000002</v>
      </c>
      <c r="H195" s="94">
        <f t="shared" si="28"/>
        <v>808.86616199999992</v>
      </c>
      <c r="I195" s="33"/>
      <c r="N195" s="33"/>
    </row>
    <row r="196" spans="1:20" s="95" customFormat="1" x14ac:dyDescent="0.25">
      <c r="A196" s="99">
        <f t="shared" ref="A196:A198" si="29">A195+1</f>
        <v>3</v>
      </c>
      <c r="B196" s="100"/>
      <c r="C196" s="94" t="s">
        <v>351</v>
      </c>
      <c r="D196" s="94">
        <f>(51.2)*10.764</f>
        <v>551.11680000000001</v>
      </c>
      <c r="E196" s="94">
        <v>0</v>
      </c>
      <c r="F196" s="94">
        <f t="shared" si="27"/>
        <v>551.11680000000001</v>
      </c>
      <c r="G196" s="94">
        <f>(2.75*2.5+1*5.41+3.85*2.24)*10.764</f>
        <v>225.06447599999998</v>
      </c>
      <c r="H196" s="94">
        <f t="shared" si="28"/>
        <v>874.140852</v>
      </c>
      <c r="I196" s="33"/>
      <c r="N196" s="33"/>
    </row>
    <row r="197" spans="1:20" s="95" customFormat="1" x14ac:dyDescent="0.25">
      <c r="A197" s="99">
        <f t="shared" si="29"/>
        <v>4</v>
      </c>
      <c r="B197" s="100"/>
      <c r="C197" s="94" t="s">
        <v>353</v>
      </c>
      <c r="D197" s="94">
        <f>(70.01)*10.764</f>
        <v>753.58763999999996</v>
      </c>
      <c r="E197" s="94">
        <v>0</v>
      </c>
      <c r="F197" s="94">
        <f t="shared" si="27"/>
        <v>753.58763999999996</v>
      </c>
      <c r="G197" s="94">
        <f>(2.75*1.95+2*3.35+1*3.3)*10.764</f>
        <v>165.36195000000001</v>
      </c>
      <c r="H197" s="94">
        <f t="shared" si="28"/>
        <v>1175.383053</v>
      </c>
      <c r="I197" s="33"/>
      <c r="N197" s="33"/>
    </row>
    <row r="198" spans="1:20" s="95" customFormat="1" x14ac:dyDescent="0.25">
      <c r="A198" s="99">
        <f t="shared" si="29"/>
        <v>5</v>
      </c>
      <c r="B198" s="100"/>
      <c r="C198" s="94" t="s">
        <v>351</v>
      </c>
      <c r="D198" s="94">
        <f>(50.98)*10.764</f>
        <v>548.74871999999993</v>
      </c>
      <c r="E198" s="94">
        <v>0</v>
      </c>
      <c r="F198" s="94">
        <f t="shared" si="27"/>
        <v>548.74871999999993</v>
      </c>
      <c r="G198" s="94">
        <f>(2.75*1.95+5.41*1.2+2.315*4+1.2*0.85)*10.764</f>
        <v>238.25575799999999</v>
      </c>
      <c r="H198" s="94">
        <f t="shared" si="28"/>
        <v>875.10422999999992</v>
      </c>
      <c r="I198" s="33"/>
      <c r="N198" s="33"/>
    </row>
    <row r="199" spans="1:20" s="95" customFormat="1" x14ac:dyDescent="0.25">
      <c r="A199" s="99">
        <v>12</v>
      </c>
      <c r="B199" s="100"/>
      <c r="C199" s="94" t="s">
        <v>354</v>
      </c>
      <c r="D199" s="94">
        <f>(36.83)*10.764</f>
        <v>396.43811999999997</v>
      </c>
      <c r="E199" s="94">
        <v>0</v>
      </c>
      <c r="F199" s="94">
        <f t="shared" si="27"/>
        <v>396.43811999999997</v>
      </c>
      <c r="G199" s="94">
        <v>0</v>
      </c>
      <c r="H199" s="94">
        <f t="shared" si="28"/>
        <v>574.83527399999991</v>
      </c>
      <c r="I199" s="33">
        <f>2.75*4.55+2.35*2.65+2.75*3.65+1.85*1.2+1.2*1.92+2.6*0.9</f>
        <v>35.641500000000001</v>
      </c>
      <c r="N199" s="33"/>
    </row>
    <row r="200" spans="1:20" s="81" customFormat="1" x14ac:dyDescent="0.25">
      <c r="A200" s="106" t="s">
        <v>382</v>
      </c>
      <c r="B200" s="106"/>
      <c r="C200" s="106"/>
      <c r="D200" s="106"/>
      <c r="E200" s="106"/>
      <c r="F200" s="106"/>
      <c r="G200" s="106"/>
      <c r="H200" s="106"/>
      <c r="I200" s="33"/>
      <c r="L200" s="101"/>
      <c r="M200" s="101"/>
    </row>
    <row r="201" spans="1:20" s="81" customFormat="1" ht="15.75" customHeight="1" x14ac:dyDescent="0.25">
      <c r="A201" s="99">
        <v>1</v>
      </c>
      <c r="B201" s="100"/>
      <c r="C201" s="80" t="s">
        <v>351</v>
      </c>
      <c r="D201" s="80">
        <f>(46.31)*10.764</f>
        <v>498.48084</v>
      </c>
      <c r="E201" s="80">
        <v>0</v>
      </c>
      <c r="F201" s="80">
        <f t="shared" ref="F201:F206" si="30">D201+E201</f>
        <v>498.48084</v>
      </c>
      <c r="G201" s="80">
        <v>0</v>
      </c>
      <c r="H201" s="80">
        <f t="shared" ref="H201:H206" si="31">F201*(($H$159)+1)+(IF(G201&lt;101,G201,IF(G201&lt;201,G201/2,IF(G201&lt;=301,G201/3,G201/4))))</f>
        <v>722.79721799999993</v>
      </c>
      <c r="I201" s="33"/>
      <c r="L201" s="101"/>
      <c r="M201" s="101"/>
      <c r="N201" s="33"/>
    </row>
    <row r="202" spans="1:20" s="81" customFormat="1" ht="15.75" customHeight="1" x14ac:dyDescent="0.25">
      <c r="A202" s="99">
        <f>A201+1</f>
        <v>2</v>
      </c>
      <c r="B202" s="100"/>
      <c r="C202" s="80" t="s">
        <v>351</v>
      </c>
      <c r="D202" s="80">
        <f>(46.31)*10.764</f>
        <v>498.48084</v>
      </c>
      <c r="E202" s="80">
        <v>0</v>
      </c>
      <c r="F202" s="80">
        <f t="shared" si="30"/>
        <v>498.48084</v>
      </c>
      <c r="G202" s="80">
        <v>0</v>
      </c>
      <c r="H202" s="80">
        <f t="shared" si="31"/>
        <v>722.79721799999993</v>
      </c>
      <c r="I202" s="33"/>
      <c r="L202" s="101"/>
      <c r="M202" s="101"/>
      <c r="N202" s="33"/>
    </row>
    <row r="203" spans="1:20" s="81" customFormat="1" ht="15.75" customHeight="1" x14ac:dyDescent="0.25">
      <c r="A203" s="99">
        <f t="shared" ref="A203:A205" si="32">A202+1</f>
        <v>3</v>
      </c>
      <c r="B203" s="100"/>
      <c r="C203" s="80" t="s">
        <v>351</v>
      </c>
      <c r="D203" s="80">
        <f>(51.7)*10.764</f>
        <v>556.49879999999996</v>
      </c>
      <c r="E203" s="80">
        <v>0</v>
      </c>
      <c r="F203" s="80">
        <f t="shared" si="30"/>
        <v>556.49879999999996</v>
      </c>
      <c r="G203" s="80">
        <v>0</v>
      </c>
      <c r="H203" s="80">
        <f t="shared" si="31"/>
        <v>806.92325999999991</v>
      </c>
      <c r="I203" s="33"/>
      <c r="L203" s="101"/>
      <c r="M203" s="101"/>
      <c r="N203" s="33"/>
    </row>
    <row r="204" spans="1:20" s="81" customFormat="1" ht="15.75" customHeight="1" x14ac:dyDescent="0.25">
      <c r="A204" s="99">
        <f t="shared" si="32"/>
        <v>4</v>
      </c>
      <c r="B204" s="100"/>
      <c r="C204" s="80" t="s">
        <v>353</v>
      </c>
      <c r="D204" s="80">
        <f>(70.01)*10.764</f>
        <v>753.58763999999996</v>
      </c>
      <c r="E204" s="80">
        <v>0</v>
      </c>
      <c r="F204" s="80">
        <f t="shared" si="30"/>
        <v>753.58763999999996</v>
      </c>
      <c r="G204" s="80">
        <v>0</v>
      </c>
      <c r="H204" s="80">
        <f t="shared" si="31"/>
        <v>1092.702078</v>
      </c>
      <c r="I204" s="33"/>
      <c r="L204" s="101"/>
      <c r="M204" s="101"/>
      <c r="N204" s="33"/>
      <c r="T204" s="18"/>
    </row>
    <row r="205" spans="1:20" s="81" customFormat="1" ht="15.75" customHeight="1" x14ac:dyDescent="0.25">
      <c r="A205" s="99">
        <f t="shared" si="32"/>
        <v>5</v>
      </c>
      <c r="B205" s="100"/>
      <c r="C205" s="80" t="s">
        <v>351</v>
      </c>
      <c r="D205" s="80">
        <f>(50.98)*10.764</f>
        <v>548.74871999999993</v>
      </c>
      <c r="E205" s="80">
        <v>0</v>
      </c>
      <c r="F205" s="80">
        <f t="shared" si="30"/>
        <v>548.74871999999993</v>
      </c>
      <c r="G205" s="80">
        <v>0</v>
      </c>
      <c r="H205" s="80">
        <f t="shared" si="31"/>
        <v>795.68564399999991</v>
      </c>
      <c r="I205" s="33"/>
      <c r="L205" s="101"/>
      <c r="M205" s="101"/>
      <c r="N205" s="33"/>
    </row>
    <row r="206" spans="1:20" s="81" customFormat="1" ht="15.75" customHeight="1" x14ac:dyDescent="0.25">
      <c r="A206" s="99">
        <v>12</v>
      </c>
      <c r="B206" s="100"/>
      <c r="C206" s="80" t="s">
        <v>354</v>
      </c>
      <c r="D206" s="80">
        <f>(36.83)*10.764</f>
        <v>396.43811999999997</v>
      </c>
      <c r="E206" s="80">
        <v>0</v>
      </c>
      <c r="F206" s="80">
        <f t="shared" si="30"/>
        <v>396.43811999999997</v>
      </c>
      <c r="G206" s="80">
        <v>0</v>
      </c>
      <c r="H206" s="80">
        <f t="shared" si="31"/>
        <v>574.83527399999991</v>
      </c>
      <c r="I206" s="33"/>
      <c r="L206" s="101"/>
      <c r="M206" s="101"/>
      <c r="N206" s="33"/>
      <c r="T206" s="18"/>
    </row>
    <row r="207" spans="1:20" s="85" customFormat="1" x14ac:dyDescent="0.25">
      <c r="A207" s="106" t="s">
        <v>383</v>
      </c>
      <c r="B207" s="106"/>
      <c r="C207" s="106"/>
      <c r="D207" s="106"/>
      <c r="E207" s="106"/>
      <c r="F207" s="106"/>
      <c r="G207" s="106"/>
      <c r="H207" s="106"/>
      <c r="I207" s="33"/>
      <c r="L207" s="101"/>
      <c r="M207" s="101"/>
    </row>
    <row r="208" spans="1:20" s="85" customFormat="1" ht="15.75" customHeight="1" x14ac:dyDescent="0.25">
      <c r="A208" s="99">
        <v>1</v>
      </c>
      <c r="B208" s="100"/>
      <c r="C208" s="86" t="s">
        <v>351</v>
      </c>
      <c r="D208" s="86">
        <f>(46.31)*10.764</f>
        <v>498.48084</v>
      </c>
      <c r="E208" s="86">
        <f>2.75*10.764</f>
        <v>29.600999999999999</v>
      </c>
      <c r="F208" s="86">
        <f t="shared" ref="F208:F213" si="33">D208+E208</f>
        <v>528.08184000000006</v>
      </c>
      <c r="G208" s="86">
        <v>0</v>
      </c>
      <c r="H208" s="86">
        <f t="shared" ref="H208:H213" si="34">F208*(($H$159)+1)+(IF(G208&lt;101,G208,IF(G208&lt;201,G208/2,IF(G208&lt;=301,G208/3,G208/4))))</f>
        <v>765.71866800000009</v>
      </c>
      <c r="I208" s="33"/>
      <c r="L208" s="101"/>
      <c r="M208" s="101"/>
      <c r="N208" s="33"/>
    </row>
    <row r="209" spans="1:20" s="85" customFormat="1" ht="15.75" customHeight="1" x14ac:dyDescent="0.25">
      <c r="A209" s="99">
        <f>A208+1</f>
        <v>2</v>
      </c>
      <c r="B209" s="100"/>
      <c r="C209" s="86" t="s">
        <v>351</v>
      </c>
      <c r="D209" s="86">
        <f>(46.31)*10.764</f>
        <v>498.48084</v>
      </c>
      <c r="E209" s="86">
        <f>3.3*10.764</f>
        <v>35.521199999999993</v>
      </c>
      <c r="F209" s="86">
        <f t="shared" si="33"/>
        <v>534.00203999999997</v>
      </c>
      <c r="G209" s="86">
        <v>0</v>
      </c>
      <c r="H209" s="86">
        <f t="shared" si="34"/>
        <v>774.30295799999988</v>
      </c>
      <c r="I209" s="33"/>
      <c r="L209" s="101"/>
      <c r="M209" s="101"/>
      <c r="N209" s="33"/>
    </row>
    <row r="210" spans="1:20" s="85" customFormat="1" ht="15.75" customHeight="1" x14ac:dyDescent="0.25">
      <c r="A210" s="99">
        <f t="shared" ref="A210:A212" si="35">A209+1</f>
        <v>3</v>
      </c>
      <c r="B210" s="100"/>
      <c r="C210" s="86" t="s">
        <v>351</v>
      </c>
      <c r="D210" s="86">
        <f>(51.7)*10.764</f>
        <v>556.49879999999996</v>
      </c>
      <c r="E210" s="86">
        <f>3.3*10.764</f>
        <v>35.521199999999993</v>
      </c>
      <c r="F210" s="86">
        <f t="shared" si="33"/>
        <v>592.02</v>
      </c>
      <c r="G210" s="86">
        <v>0</v>
      </c>
      <c r="H210" s="86">
        <f t="shared" si="34"/>
        <v>858.42899999999997</v>
      </c>
      <c r="I210" s="33"/>
      <c r="L210" s="101"/>
      <c r="M210" s="101"/>
      <c r="N210" s="33"/>
    </row>
    <row r="211" spans="1:20" s="85" customFormat="1" ht="15.75" customHeight="1" x14ac:dyDescent="0.25">
      <c r="A211" s="99">
        <f t="shared" si="35"/>
        <v>4</v>
      </c>
      <c r="B211" s="100"/>
      <c r="C211" s="86" t="s">
        <v>353</v>
      </c>
      <c r="D211" s="86">
        <f>(70.01)*10.764</f>
        <v>753.58763999999996</v>
      </c>
      <c r="E211" s="86">
        <f>3.55*10.764</f>
        <v>38.212199999999996</v>
      </c>
      <c r="F211" s="86">
        <f t="shared" si="33"/>
        <v>791.7998399999999</v>
      </c>
      <c r="G211" s="86">
        <v>0</v>
      </c>
      <c r="H211" s="86">
        <f t="shared" si="34"/>
        <v>1148.1097679999998</v>
      </c>
      <c r="I211" s="33"/>
      <c r="L211" s="101"/>
      <c r="M211" s="101"/>
      <c r="N211" s="33"/>
      <c r="T211" s="18"/>
    </row>
    <row r="212" spans="1:20" s="85" customFormat="1" ht="15.75" customHeight="1" x14ac:dyDescent="0.25">
      <c r="A212" s="99">
        <f t="shared" si="35"/>
        <v>5</v>
      </c>
      <c r="B212" s="100"/>
      <c r="C212" s="86" t="s">
        <v>351</v>
      </c>
      <c r="D212" s="86">
        <f>(50.98)*10.764</f>
        <v>548.74871999999993</v>
      </c>
      <c r="E212" s="86">
        <f>3.55*10.764</f>
        <v>38.212199999999996</v>
      </c>
      <c r="F212" s="86">
        <f t="shared" si="33"/>
        <v>586.96091999999999</v>
      </c>
      <c r="G212" s="86">
        <v>0</v>
      </c>
      <c r="H212" s="86">
        <f t="shared" si="34"/>
        <v>851.09333399999991</v>
      </c>
      <c r="I212" s="33"/>
      <c r="L212" s="101"/>
      <c r="M212" s="101"/>
      <c r="N212" s="33"/>
    </row>
    <row r="213" spans="1:20" s="85" customFormat="1" ht="15.75" customHeight="1" x14ac:dyDescent="0.25">
      <c r="A213" s="99">
        <v>12</v>
      </c>
      <c r="B213" s="100"/>
      <c r="C213" s="86" t="s">
        <v>354</v>
      </c>
      <c r="D213" s="86">
        <f>(36.83)*10.764</f>
        <v>396.43811999999997</v>
      </c>
      <c r="E213" s="86">
        <f>2.06*10.764</f>
        <v>22.173839999999998</v>
      </c>
      <c r="F213" s="86">
        <f t="shared" si="33"/>
        <v>418.61195999999995</v>
      </c>
      <c r="G213" s="86">
        <v>0</v>
      </c>
      <c r="H213" s="86">
        <f t="shared" si="34"/>
        <v>606.9873419999999</v>
      </c>
      <c r="I213" s="33"/>
      <c r="L213" s="101"/>
      <c r="M213" s="101"/>
      <c r="N213" s="33"/>
      <c r="T213" s="18"/>
    </row>
    <row r="214" spans="1:20" s="81" customFormat="1" x14ac:dyDescent="0.25">
      <c r="A214" s="106" t="s">
        <v>395</v>
      </c>
      <c r="B214" s="106"/>
      <c r="C214" s="106"/>
      <c r="D214" s="106"/>
      <c r="E214" s="106"/>
      <c r="F214" s="106"/>
      <c r="G214" s="106"/>
      <c r="H214" s="106"/>
      <c r="I214" s="33"/>
      <c r="L214" s="101"/>
      <c r="M214" s="101"/>
    </row>
    <row r="215" spans="1:20" s="34" customFormat="1" ht="15.75" customHeight="1" x14ac:dyDescent="0.25">
      <c r="A215" s="99">
        <v>1</v>
      </c>
      <c r="B215" s="100"/>
      <c r="C215" s="39" t="s">
        <v>351</v>
      </c>
      <c r="D215" s="80">
        <f>(46.31)*10.764</f>
        <v>498.48084</v>
      </c>
      <c r="E215" s="86">
        <f>2.75*10.764</f>
        <v>29.600999999999999</v>
      </c>
      <c r="F215" s="39">
        <f t="shared" ref="F215:F219" si="36">D215+E215</f>
        <v>528.08184000000006</v>
      </c>
      <c r="G215" s="50">
        <v>0</v>
      </c>
      <c r="H215" s="50">
        <f t="shared" ref="H215:H219" si="37">F215*(($H$159)+1)+(IF(G215&lt;101,G215,IF(G215&lt;201,G215/2,IF(G215&lt;=301,G215/3,G215/4))))</f>
        <v>765.71866800000009</v>
      </c>
      <c r="I215" s="33"/>
      <c r="L215" s="101"/>
      <c r="M215" s="101"/>
      <c r="N215" s="33"/>
    </row>
    <row r="216" spans="1:20" s="34" customFormat="1" ht="15.75" customHeight="1" x14ac:dyDescent="0.25">
      <c r="A216" s="99">
        <f>A215+1</f>
        <v>2</v>
      </c>
      <c r="B216" s="100"/>
      <c r="C216" s="80" t="s">
        <v>351</v>
      </c>
      <c r="D216" s="80">
        <f>(46.31)*10.764</f>
        <v>498.48084</v>
      </c>
      <c r="E216" s="86">
        <f>3.3*10.764</f>
        <v>35.521199999999993</v>
      </c>
      <c r="F216" s="50">
        <f t="shared" si="36"/>
        <v>534.00203999999997</v>
      </c>
      <c r="G216" s="50">
        <v>0</v>
      </c>
      <c r="H216" s="50">
        <f t="shared" si="37"/>
        <v>774.30295799999988</v>
      </c>
      <c r="I216" s="33"/>
      <c r="L216" s="101"/>
      <c r="M216" s="101"/>
      <c r="N216" s="33"/>
    </row>
    <row r="217" spans="1:20" s="34" customFormat="1" ht="15.75" customHeight="1" x14ac:dyDescent="0.25">
      <c r="A217" s="99">
        <f t="shared" ref="A217:A219" si="38">A216+1</f>
        <v>3</v>
      </c>
      <c r="B217" s="100"/>
      <c r="C217" s="80" t="s">
        <v>351</v>
      </c>
      <c r="D217" s="80">
        <f>(51.7)*10.764</f>
        <v>556.49879999999996</v>
      </c>
      <c r="E217" s="86">
        <f>3.3*10.764</f>
        <v>35.521199999999993</v>
      </c>
      <c r="F217" s="50">
        <f t="shared" si="36"/>
        <v>592.02</v>
      </c>
      <c r="G217" s="50">
        <v>0</v>
      </c>
      <c r="H217" s="50">
        <f t="shared" si="37"/>
        <v>858.42899999999997</v>
      </c>
      <c r="I217" s="33"/>
      <c r="L217" s="101"/>
      <c r="M217" s="101"/>
      <c r="N217" s="33"/>
    </row>
    <row r="218" spans="1:20" s="34" customFormat="1" ht="15.75" customHeight="1" x14ac:dyDescent="0.25">
      <c r="A218" s="99">
        <f t="shared" si="38"/>
        <v>4</v>
      </c>
      <c r="B218" s="100"/>
      <c r="C218" s="39" t="s">
        <v>353</v>
      </c>
      <c r="D218" s="80">
        <f>(70.01)*10.764</f>
        <v>753.58763999999996</v>
      </c>
      <c r="E218" s="86">
        <f>3.55*10.764</f>
        <v>38.212199999999996</v>
      </c>
      <c r="F218" s="50">
        <f t="shared" si="36"/>
        <v>791.7998399999999</v>
      </c>
      <c r="G218" s="50">
        <v>0</v>
      </c>
      <c r="H218" s="50">
        <f t="shared" si="37"/>
        <v>1148.1097679999998</v>
      </c>
      <c r="I218" s="33"/>
      <c r="L218" s="101"/>
      <c r="M218" s="101"/>
      <c r="N218" s="33"/>
      <c r="T218" s="18"/>
    </row>
    <row r="219" spans="1:20" s="81" customFormat="1" ht="15.75" customHeight="1" x14ac:dyDescent="0.25">
      <c r="A219" s="99">
        <f t="shared" si="38"/>
        <v>5</v>
      </c>
      <c r="B219" s="100"/>
      <c r="C219" s="80" t="s">
        <v>351</v>
      </c>
      <c r="D219" s="80">
        <f>(50.98)*10.764</f>
        <v>548.74871999999993</v>
      </c>
      <c r="E219" s="86">
        <f>3.55*10.764</f>
        <v>38.212199999999996</v>
      </c>
      <c r="F219" s="80">
        <f t="shared" si="36"/>
        <v>586.96091999999999</v>
      </c>
      <c r="G219" s="80">
        <v>0</v>
      </c>
      <c r="H219" s="80">
        <f t="shared" si="37"/>
        <v>851.09333399999991</v>
      </c>
      <c r="I219" s="33"/>
      <c r="L219" s="101"/>
      <c r="M219" s="101"/>
      <c r="N219" s="33"/>
    </row>
    <row r="220" spans="1:20" s="81" customFormat="1" ht="15.75" customHeight="1" x14ac:dyDescent="0.25">
      <c r="A220" s="99">
        <v>12</v>
      </c>
      <c r="B220" s="100"/>
      <c r="C220" s="80" t="s">
        <v>354</v>
      </c>
      <c r="D220" s="80">
        <f>(36.83)*10.764</f>
        <v>396.43811999999997</v>
      </c>
      <c r="E220" s="86">
        <f>2.06*10.764</f>
        <v>22.173839999999998</v>
      </c>
      <c r="F220" s="80">
        <f>D220+E220</f>
        <v>418.61195999999995</v>
      </c>
      <c r="G220" s="80">
        <v>0</v>
      </c>
      <c r="H220" s="80">
        <f>F220*(($H$159)+1)+(IF(G220&lt;101,G220,IF(G220&lt;201,G220/2,IF(G220&lt;=301,G220/3,G220/4))))</f>
        <v>606.9873419999999</v>
      </c>
      <c r="I220" s="33"/>
      <c r="K220" s="81" t="e">
        <f>383200000/#REF!</f>
        <v>#REF!</v>
      </c>
      <c r="L220" s="101"/>
      <c r="M220" s="101"/>
      <c r="N220" s="33"/>
      <c r="T220" s="18"/>
    </row>
    <row r="221" spans="1:20" s="34" customFormat="1" hidden="1" x14ac:dyDescent="0.25">
      <c r="A221" s="106" t="s">
        <v>117</v>
      </c>
      <c r="B221" s="106"/>
      <c r="C221" s="106"/>
      <c r="D221" s="106"/>
      <c r="E221" s="106"/>
      <c r="F221" s="106"/>
      <c r="G221" s="106"/>
      <c r="H221" s="106"/>
      <c r="I221" s="33"/>
      <c r="L221" s="101"/>
      <c r="M221" s="101"/>
    </row>
    <row r="222" spans="1:20" s="34" customFormat="1" hidden="1" x14ac:dyDescent="0.25">
      <c r="A222" s="141">
        <f>LEFT(A221,SUM(LEN(A221)-LEN(SUBSTITUTE(A221,{"0","1","2","3","4","5","6","7","8","9"},""))))*100+1</f>
        <v>201</v>
      </c>
      <c r="B222" s="141"/>
      <c r="C222" s="39"/>
      <c r="D222" s="39"/>
      <c r="E222" s="50">
        <v>0</v>
      </c>
      <c r="F222" s="50">
        <f>D222+E222</f>
        <v>0</v>
      </c>
      <c r="G222" s="50">
        <v>0</v>
      </c>
      <c r="H222" s="50">
        <f>F222*(($H$159)+1)+(IF(G222&lt;101,G222,IF(G222&lt;201,G222/2,IF(G222&lt;=301,G222/3,G222/4))))</f>
        <v>0</v>
      </c>
      <c r="I222" s="33"/>
      <c r="N222" s="33"/>
    </row>
    <row r="223" spans="1:20" s="34" customFormat="1" hidden="1" x14ac:dyDescent="0.25">
      <c r="A223" s="141">
        <f>A222+1</f>
        <v>202</v>
      </c>
      <c r="B223" s="141"/>
      <c r="C223" s="39"/>
      <c r="D223" s="39"/>
      <c r="E223" s="50">
        <v>0</v>
      </c>
      <c r="F223" s="50">
        <f>D223+E223</f>
        <v>0</v>
      </c>
      <c r="G223" s="50">
        <v>0</v>
      </c>
      <c r="H223" s="50">
        <f>F223*(($H$159)+1)+(IF(G223&lt;101,G223,IF(G223&lt;201,G223/2,IF(G223&lt;=301,G223/3,G223/4))))</f>
        <v>0</v>
      </c>
      <c r="I223" s="33"/>
      <c r="N223" s="33"/>
    </row>
    <row r="224" spans="1:20" s="34" customFormat="1" hidden="1" x14ac:dyDescent="0.25">
      <c r="A224" s="141">
        <f>A223+1</f>
        <v>203</v>
      </c>
      <c r="B224" s="141"/>
      <c r="C224" s="39"/>
      <c r="D224" s="39"/>
      <c r="E224" s="50">
        <v>0</v>
      </c>
      <c r="F224" s="50">
        <f>D224+E224</f>
        <v>0</v>
      </c>
      <c r="G224" s="50">
        <v>0</v>
      </c>
      <c r="H224" s="50">
        <f>F224*(($H$159)+1)+(IF(G224&lt;101,G224,IF(G224&lt;201,G224/2,IF(G224&lt;=301,G224/3,G224/4))))</f>
        <v>0</v>
      </c>
      <c r="I224" s="33"/>
      <c r="N224" s="33"/>
    </row>
    <row r="225" spans="1:14" s="34" customFormat="1" hidden="1" x14ac:dyDescent="0.25">
      <c r="A225" s="141">
        <f>A224+1</f>
        <v>204</v>
      </c>
      <c r="B225" s="141"/>
      <c r="C225" s="39"/>
      <c r="D225" s="39"/>
      <c r="E225" s="50">
        <v>0</v>
      </c>
      <c r="F225" s="50">
        <f>D225+E225</f>
        <v>0</v>
      </c>
      <c r="G225" s="50">
        <v>0</v>
      </c>
      <c r="H225" s="50">
        <f>F225*(($H$159)+1)+(IF(G225&lt;101,G225,IF(G225&lt;201,G225/2,IF(G225&lt;=301,G225/3,G225/4))))</f>
        <v>0</v>
      </c>
      <c r="I225" s="33"/>
      <c r="N225" s="33"/>
    </row>
    <row r="226" spans="1:14" s="34" customFormat="1" hidden="1" x14ac:dyDescent="0.25">
      <c r="A226" s="141">
        <f>A225+1</f>
        <v>205</v>
      </c>
      <c r="B226" s="141"/>
      <c r="C226" s="39"/>
      <c r="D226" s="39"/>
      <c r="E226" s="50">
        <v>0</v>
      </c>
      <c r="F226" s="50">
        <f>D226+E226</f>
        <v>0</v>
      </c>
      <c r="G226" s="50">
        <v>0</v>
      </c>
      <c r="H226" s="50">
        <f>F226*(($H$159)+1)+(IF(G226&lt;101,G226,IF(G226&lt;201,G226/2,IF(G226&lt;=301,G226/3,G226/4))))</f>
        <v>0</v>
      </c>
      <c r="I226" s="33"/>
      <c r="N226" s="33"/>
    </row>
    <row r="227" spans="1:14" s="34" customFormat="1" ht="15.75" hidden="1" customHeight="1" x14ac:dyDescent="0.25">
      <c r="A227" s="103" t="s">
        <v>149</v>
      </c>
      <c r="B227" s="104"/>
      <c r="C227" s="104"/>
      <c r="D227" s="104"/>
      <c r="E227" s="104"/>
      <c r="F227" s="104"/>
      <c r="G227" s="104"/>
      <c r="H227" s="105"/>
      <c r="I227" s="33"/>
    </row>
    <row r="228" spans="1:14" s="34" customFormat="1" ht="15.75" hidden="1" customHeight="1" x14ac:dyDescent="0.25">
      <c r="A228" s="99" t="str">
        <f ca="1">(SUMPRODUCT(MID(0&amp;(LEFT(A227,SUM(LEN(A227)-LEN(SUBSTITUTE(A227,{"0","1","2"},""))))), LARGE(INDEX(ISNUMBER(--MID((LEFT(A227,SUM(LEN(A227)-LEN(SUBSTITUTE(A227,{"0","1","2"},""))))), ROW(INDIRECT("1:"&amp;LEN((LEFT(A227,SUM(LEN(A227)-LEN(SUBSTITUTE(A227,{"0","1","2"},"")))))))), 1)) * ROW(INDIRECT("1:"&amp;LEN((LEFT(A227,SUM(LEN(A227)-LEN(SUBSTITUTE(A227,{"0","1","2"},"")))))))), 0), ROW(INDIRECT("1:"&amp;LEN((LEFT(A227,SUM(LEN(A227)-LEN(SUBSTITUTE(A227,{"0","1","2"},"")))))))))+1, 1) * 10^ROW(INDIRECT("1:"&amp;LEN((LEFT(A227,SUM(LEN(A227)-LEN(SUBSTITUTE(A227,{"0","1","2"},""))))))))/10))*100+1&amp;""&amp;" ,.., "&amp;""&amp;(SUMPRODUCT(MID(0&amp;(--TRIM(RIGHT(SUBSTITUTE(LEFT(A227,_xlfn.AGGREGATE(16,6,FIND({0,1,2,3,4,5,6,7,8,9},A227,ROW(INDIRECT("1:"&amp;LEN(A227)))),1))," ",REPT(" ",LEN(A227))),LEN(A227)))), LARGE(INDEX(ISNUMBER(--MID((--TRIM(RIGHT(SUBSTITUTE(LEFT(A227,_xlfn.AGGREGATE(16,6,FIND({0,1,2,3,4,5,6,7,8,9},A227,ROW(INDIRECT("1:"&amp;LEN(A227)))),1))," ",REPT(" ",LEN(A227))),LEN(A227)))), ROW(INDIRECT("1:"&amp;LEN((--TRIM(RIGHT(SUBSTITUTE(LEFT(A227,_xlfn.AGGREGATE(16,6,FIND({0,1,2,3,4,5,6,7,8,9},A227,ROW(INDIRECT("1:"&amp;LEN(A227)))),1))," ",REPT(" ",LEN(A227))),LEN(A227))))))), 1)) * ROW(INDIRECT("1:"&amp;LEN((--TRIM(RIGHT(SUBSTITUTE(LEFT(A227,_xlfn.AGGREGATE(16,6,FIND({0,1,2,3,4,5,6,7,8,9},A227,ROW(INDIRECT("1:"&amp;LEN(A227)))),1))," ",REPT(" ",LEN(A227))),LEN(A227))))))), 0), ROW(INDIRECT("1:"&amp;LEN((--TRIM(RIGHT(SUBSTITUTE(LEFT(A227,_xlfn.AGGREGATE(16,6,FIND({0,1,2,3,4,5,6,7,8,9},A227,ROW(INDIRECT("1:"&amp;LEN(A227)))),1))," ",REPT(" ",LEN(A227))),LEN(A227))))))))+1, 1) * 10^ROW(INDIRECT("1:"&amp;LEN((--TRIM(RIGHT(SUBSTITUTE(LEFT(A227,_xlfn.AGGREGATE(16,6,FIND({0,1,2,3,4,5,6,7,8,9},A227,ROW(INDIRECT("1:"&amp;LEN(A227)))),1))," ",REPT(" ",LEN(A227))),LEN(A227)))))))/10))*100+1</f>
        <v>301 ,.., 1501</v>
      </c>
      <c r="B228" s="100"/>
      <c r="C228" s="39"/>
      <c r="D228" s="39"/>
      <c r="E228" s="50">
        <v>0</v>
      </c>
      <c r="F228" s="50">
        <f>D228+E228</f>
        <v>0</v>
      </c>
      <c r="G228" s="50">
        <v>0</v>
      </c>
      <c r="H228" s="50">
        <f>F228*(($H$159)+1)+(IF(G228&lt;101,G228,IF(G228&lt;201,G228/2,IF(G228&lt;=301,G228/3,G228/4))))</f>
        <v>0</v>
      </c>
      <c r="I228" s="33"/>
    </row>
    <row r="229" spans="1:14" s="34" customFormat="1" ht="15.75" hidden="1" customHeight="1" x14ac:dyDescent="0.25">
      <c r="A229" s="99" t="str">
        <f ca="1">(SUMPRODUCT(MID(0&amp;(LEFT(A228,SUM(LEN(A228)-LEN(SUBSTITUTE(A228,{"0","1","2"},""))))), LARGE(INDEX(ISNUMBER(--MID((LEFT(A228,SUM(LEN(A228)-LEN(SUBSTITUTE(A228,{"0","1","2"},""))))), ROW(INDIRECT("1:"&amp;LEN((LEFT(A228,SUM(LEN(A228)-LEN(SUBSTITUTE(A228,{"0","1","2"},"")))))))), 1)) * ROW(INDIRECT("1:"&amp;LEN((LEFT(A228,SUM(LEN(A228)-LEN(SUBSTITUTE(A228,{"0","1","2"},"")))))))), 0), ROW(INDIRECT("1:"&amp;LEN((LEFT(A228,SUM(LEN(A228)-LEN(SUBSTITUTE(A228,{"0","1","2"},"")))))))))+1, 1) * 10^ROW(INDIRECT("1:"&amp;LEN((LEFT(A228,SUM(LEN(A228)-LEN(SUBSTITUTE(A228,{"0","1","2"},""))))))))/10))*1+1&amp;""&amp;" ,.., "&amp;""&amp;(SUMPRODUCT(MID(0&amp;(--TRIM(RIGHT(SUBSTITUTE(LEFT(A228,_xlfn.AGGREGATE(16,6,FIND({0,1,2,3,4,5,6,7,8,9},A228,ROW(INDIRECT("1:"&amp;LEN(A228)))),1))," ",REPT(" ",LEN(A228))),LEN(A228)))), LARGE(INDEX(ISNUMBER(--MID((--TRIM(RIGHT(SUBSTITUTE(LEFT(A228,_xlfn.AGGREGATE(16,6,FIND({0,1,2,3,4,5,6,7,8,9},A228,ROW(INDIRECT("1:"&amp;LEN(A228)))),1))," ",REPT(" ",LEN(A228))),LEN(A228)))), ROW(INDIRECT("1:"&amp;LEN((--TRIM(RIGHT(SUBSTITUTE(LEFT(A228,_xlfn.AGGREGATE(16,6,FIND({0,1,2,3,4,5,6,7,8,9},A228,ROW(INDIRECT("1:"&amp;LEN(A228)))),1))," ",REPT(" ",LEN(A228))),LEN(A228))))))), 1)) * ROW(INDIRECT("1:"&amp;LEN((--TRIM(RIGHT(SUBSTITUTE(LEFT(A228,_xlfn.AGGREGATE(16,6,FIND({0,1,2,3,4,5,6,7,8,9},A228,ROW(INDIRECT("1:"&amp;LEN(A228)))),1))," ",REPT(" ",LEN(A228))),LEN(A228))))))), 0), ROW(INDIRECT("1:"&amp;LEN((--TRIM(RIGHT(SUBSTITUTE(LEFT(A228,_xlfn.AGGREGATE(16,6,FIND({0,1,2,3,4,5,6,7,8,9},A228,ROW(INDIRECT("1:"&amp;LEN(A228)))),1))," ",REPT(" ",LEN(A228))),LEN(A228))))))))+1, 1) * 10^ROW(INDIRECT("1:"&amp;LEN((--TRIM(RIGHT(SUBSTITUTE(LEFT(A228,_xlfn.AGGREGATE(16,6,FIND({0,1,2,3,4,5,6,7,8,9},A228,ROW(INDIRECT("1:"&amp;LEN(A228)))),1))," ",REPT(" ",LEN(A228))),LEN(A228)))))))/10))*1+1</f>
        <v>302 ,.., 1502</v>
      </c>
      <c r="B229" s="100"/>
      <c r="C229" s="39"/>
      <c r="D229" s="39"/>
      <c r="E229" s="50">
        <v>0</v>
      </c>
      <c r="F229" s="50">
        <f>D229+E229</f>
        <v>0</v>
      </c>
      <c r="G229" s="50">
        <v>0</v>
      </c>
      <c r="H229" s="50">
        <f>F229*(($H$159)+1)+(IF(G229&lt;101,G229,IF(G229&lt;201,G229/2,IF(G229&lt;=301,G229/3,G229/4))))</f>
        <v>0</v>
      </c>
      <c r="I229" s="33"/>
    </row>
    <row r="230" spans="1:14" s="34" customFormat="1" ht="15.75" hidden="1" customHeight="1" x14ac:dyDescent="0.25">
      <c r="A230" s="99" t="str">
        <f ca="1">(SUMPRODUCT(MID(0&amp;(LEFT(A229,SUM(LEN(A229)-LEN(SUBSTITUTE(A229,{"0","1","2"},""))))), LARGE(INDEX(ISNUMBER(--MID((LEFT(A229,SUM(LEN(A229)-LEN(SUBSTITUTE(A229,{"0","1","2"},""))))), ROW(INDIRECT("1:"&amp;LEN((LEFT(A229,SUM(LEN(A229)-LEN(SUBSTITUTE(A229,{"0","1","2"},"")))))))), 1)) * ROW(INDIRECT("1:"&amp;LEN((LEFT(A229,SUM(LEN(A229)-LEN(SUBSTITUTE(A229,{"0","1","2"},"")))))))), 0), ROW(INDIRECT("1:"&amp;LEN((LEFT(A229,SUM(LEN(A229)-LEN(SUBSTITUTE(A229,{"0","1","2"},"")))))))))+1, 1) * 10^ROW(INDIRECT("1:"&amp;LEN((LEFT(A229,SUM(LEN(A229)-LEN(SUBSTITUTE(A229,{"0","1","2"},""))))))))/10))*1+1&amp;""&amp;" ,.., "&amp;""&amp;(SUMPRODUCT(MID(0&amp;(--TRIM(RIGHT(SUBSTITUTE(LEFT(A229,_xlfn.AGGREGATE(16,6,FIND({0,1,2,3,4,5,6,7,8,9},A229,ROW(INDIRECT("1:"&amp;LEN(A229)))),1))," ",REPT(" ",LEN(A229))),LEN(A229)))), LARGE(INDEX(ISNUMBER(--MID((--TRIM(RIGHT(SUBSTITUTE(LEFT(A229,_xlfn.AGGREGATE(16,6,FIND({0,1,2,3,4,5,6,7,8,9},A229,ROW(INDIRECT("1:"&amp;LEN(A229)))),1))," ",REPT(" ",LEN(A229))),LEN(A229)))), ROW(INDIRECT("1:"&amp;LEN((--TRIM(RIGHT(SUBSTITUTE(LEFT(A229,_xlfn.AGGREGATE(16,6,FIND({0,1,2,3,4,5,6,7,8,9},A229,ROW(INDIRECT("1:"&amp;LEN(A229)))),1))," ",REPT(" ",LEN(A229))),LEN(A229))))))), 1)) * ROW(INDIRECT("1:"&amp;LEN((--TRIM(RIGHT(SUBSTITUTE(LEFT(A229,_xlfn.AGGREGATE(16,6,FIND({0,1,2,3,4,5,6,7,8,9},A229,ROW(INDIRECT("1:"&amp;LEN(A229)))),1))," ",REPT(" ",LEN(A229))),LEN(A229))))))), 0), ROW(INDIRECT("1:"&amp;LEN((--TRIM(RIGHT(SUBSTITUTE(LEFT(A229,_xlfn.AGGREGATE(16,6,FIND({0,1,2,3,4,5,6,7,8,9},A229,ROW(INDIRECT("1:"&amp;LEN(A229)))),1))," ",REPT(" ",LEN(A229))),LEN(A229))))))))+1, 1) * 10^ROW(INDIRECT("1:"&amp;LEN((--TRIM(RIGHT(SUBSTITUTE(LEFT(A229,_xlfn.AGGREGATE(16,6,FIND({0,1,2,3,4,5,6,7,8,9},A229,ROW(INDIRECT("1:"&amp;LEN(A229)))),1))," ",REPT(" ",LEN(A229))),LEN(A229)))))))/10))*1+1</f>
        <v>303 ,.., 1503</v>
      </c>
      <c r="B230" s="100"/>
      <c r="C230" s="39"/>
      <c r="D230" s="39"/>
      <c r="E230" s="50">
        <v>0</v>
      </c>
      <c r="F230" s="50">
        <f>D230+E230</f>
        <v>0</v>
      </c>
      <c r="G230" s="50">
        <v>0</v>
      </c>
      <c r="H230" s="50">
        <f>F230*(($H$159)+1)+(IF(G230&lt;101,G230,IF(G230&lt;201,G230/2,IF(G230&lt;=301,G230/3,G230/4))))</f>
        <v>0</v>
      </c>
      <c r="I230" s="33"/>
    </row>
    <row r="231" spans="1:14" s="34" customFormat="1" ht="15.75" hidden="1" customHeight="1" x14ac:dyDescent="0.25">
      <c r="A231" s="99" t="str">
        <f ca="1">(SUMPRODUCT(MID(0&amp;(LEFT(A230,SUM(LEN(A230)-LEN(SUBSTITUTE(A230,{"0","1","2"},""))))), LARGE(INDEX(ISNUMBER(--MID((LEFT(A230,SUM(LEN(A230)-LEN(SUBSTITUTE(A230,{"0","1","2"},""))))), ROW(INDIRECT("1:"&amp;LEN((LEFT(A230,SUM(LEN(A230)-LEN(SUBSTITUTE(A230,{"0","1","2"},"")))))))), 1)) * ROW(INDIRECT("1:"&amp;LEN((LEFT(A230,SUM(LEN(A230)-LEN(SUBSTITUTE(A230,{"0","1","2"},"")))))))), 0), ROW(INDIRECT("1:"&amp;LEN((LEFT(A230,SUM(LEN(A230)-LEN(SUBSTITUTE(A230,{"0","1","2"},"")))))))))+1, 1) * 10^ROW(INDIRECT("1:"&amp;LEN((LEFT(A230,SUM(LEN(A230)-LEN(SUBSTITUTE(A230,{"0","1","2"},""))))))))/10))*1+1&amp;""&amp;" ,.., "&amp;""&amp;(SUMPRODUCT(MID(0&amp;(--TRIM(RIGHT(SUBSTITUTE(LEFT(A230,_xlfn.AGGREGATE(16,6,FIND({0,1,2,3,4,5,6,7,8,9},A230,ROW(INDIRECT("1:"&amp;LEN(A230)))),1))," ",REPT(" ",LEN(A230))),LEN(A230)))), LARGE(INDEX(ISNUMBER(--MID((--TRIM(RIGHT(SUBSTITUTE(LEFT(A230,_xlfn.AGGREGATE(16,6,FIND({0,1,2,3,4,5,6,7,8,9},A230,ROW(INDIRECT("1:"&amp;LEN(A230)))),1))," ",REPT(" ",LEN(A230))),LEN(A230)))), ROW(INDIRECT("1:"&amp;LEN((--TRIM(RIGHT(SUBSTITUTE(LEFT(A230,_xlfn.AGGREGATE(16,6,FIND({0,1,2,3,4,5,6,7,8,9},A230,ROW(INDIRECT("1:"&amp;LEN(A230)))),1))," ",REPT(" ",LEN(A230))),LEN(A230))))))), 1)) * ROW(INDIRECT("1:"&amp;LEN((--TRIM(RIGHT(SUBSTITUTE(LEFT(A230,_xlfn.AGGREGATE(16,6,FIND({0,1,2,3,4,5,6,7,8,9},A230,ROW(INDIRECT("1:"&amp;LEN(A230)))),1))," ",REPT(" ",LEN(A230))),LEN(A230))))))), 0), ROW(INDIRECT("1:"&amp;LEN((--TRIM(RIGHT(SUBSTITUTE(LEFT(A230,_xlfn.AGGREGATE(16,6,FIND({0,1,2,3,4,5,6,7,8,9},A230,ROW(INDIRECT("1:"&amp;LEN(A230)))),1))," ",REPT(" ",LEN(A230))),LEN(A230))))))))+1, 1) * 10^ROW(INDIRECT("1:"&amp;LEN((--TRIM(RIGHT(SUBSTITUTE(LEFT(A230,_xlfn.AGGREGATE(16,6,FIND({0,1,2,3,4,5,6,7,8,9},A230,ROW(INDIRECT("1:"&amp;LEN(A230)))),1))," ",REPT(" ",LEN(A230))),LEN(A230)))))))/10))*1+1</f>
        <v>304 ,.., 1504</v>
      </c>
      <c r="B231" s="100"/>
      <c r="C231" s="39"/>
      <c r="D231" s="39"/>
      <c r="E231" s="50">
        <v>0</v>
      </c>
      <c r="F231" s="50">
        <f>D231+E231</f>
        <v>0</v>
      </c>
      <c r="G231" s="50">
        <v>0</v>
      </c>
      <c r="H231" s="50">
        <f>F231*(($H$159)+1)+(IF(G231&lt;101,G231,IF(G231&lt;201,G231/2,IF(G231&lt;=301,G231/3,G231/4))))</f>
        <v>0</v>
      </c>
      <c r="I231" s="33"/>
    </row>
    <row r="232" spans="1:14" s="34" customFormat="1" ht="15.75" hidden="1" customHeight="1" x14ac:dyDescent="0.25">
      <c r="A232" s="99" t="str">
        <f ca="1">(SUMPRODUCT(MID(0&amp;(LEFT(A231,SUM(LEN(A231)-LEN(SUBSTITUTE(A231,{"0","1","2"},""))))), LARGE(INDEX(ISNUMBER(--MID((LEFT(A231,SUM(LEN(A231)-LEN(SUBSTITUTE(A231,{"0","1","2"},""))))), ROW(INDIRECT("1:"&amp;LEN((LEFT(A231,SUM(LEN(A231)-LEN(SUBSTITUTE(A231,{"0","1","2"},"")))))))), 1)) * ROW(INDIRECT("1:"&amp;LEN((LEFT(A231,SUM(LEN(A231)-LEN(SUBSTITUTE(A231,{"0","1","2"},"")))))))), 0), ROW(INDIRECT("1:"&amp;LEN((LEFT(A231,SUM(LEN(A231)-LEN(SUBSTITUTE(A231,{"0","1","2"},"")))))))))+1, 1) * 10^ROW(INDIRECT("1:"&amp;LEN((LEFT(A231,SUM(LEN(A231)-LEN(SUBSTITUTE(A231,{"0","1","2"},""))))))))/10))*1+1&amp;""&amp;" ,.., "&amp;""&amp;(SUMPRODUCT(MID(0&amp;(--TRIM(RIGHT(SUBSTITUTE(LEFT(A231,_xlfn.AGGREGATE(16,6,FIND({0,1,2,3,4,5,6,7,8,9},A231,ROW(INDIRECT("1:"&amp;LEN(A231)))),1))," ",REPT(" ",LEN(A231))),LEN(A231)))), LARGE(INDEX(ISNUMBER(--MID((--TRIM(RIGHT(SUBSTITUTE(LEFT(A231,_xlfn.AGGREGATE(16,6,FIND({0,1,2,3,4,5,6,7,8,9},A231,ROW(INDIRECT("1:"&amp;LEN(A231)))),1))," ",REPT(" ",LEN(A231))),LEN(A231)))), ROW(INDIRECT("1:"&amp;LEN((--TRIM(RIGHT(SUBSTITUTE(LEFT(A231,_xlfn.AGGREGATE(16,6,FIND({0,1,2,3,4,5,6,7,8,9},A231,ROW(INDIRECT("1:"&amp;LEN(A231)))),1))," ",REPT(" ",LEN(A231))),LEN(A231))))))), 1)) * ROW(INDIRECT("1:"&amp;LEN((--TRIM(RIGHT(SUBSTITUTE(LEFT(A231,_xlfn.AGGREGATE(16,6,FIND({0,1,2,3,4,5,6,7,8,9},A231,ROW(INDIRECT("1:"&amp;LEN(A231)))),1))," ",REPT(" ",LEN(A231))),LEN(A231))))))), 0), ROW(INDIRECT("1:"&amp;LEN((--TRIM(RIGHT(SUBSTITUTE(LEFT(A231,_xlfn.AGGREGATE(16,6,FIND({0,1,2,3,4,5,6,7,8,9},A231,ROW(INDIRECT("1:"&amp;LEN(A231)))),1))," ",REPT(" ",LEN(A231))),LEN(A231))))))))+1, 1) * 10^ROW(INDIRECT("1:"&amp;LEN((--TRIM(RIGHT(SUBSTITUTE(LEFT(A231,_xlfn.AGGREGATE(16,6,FIND({0,1,2,3,4,5,6,7,8,9},A231,ROW(INDIRECT("1:"&amp;LEN(A231)))),1))," ",REPT(" ",LEN(A231))),LEN(A231)))))))/10))*1+1</f>
        <v>305 ,.., 1505</v>
      </c>
      <c r="B232" s="100"/>
      <c r="C232" s="39"/>
      <c r="D232" s="39"/>
      <c r="E232" s="50">
        <v>0</v>
      </c>
      <c r="F232" s="50">
        <f>D232+E232</f>
        <v>0</v>
      </c>
      <c r="G232" s="50">
        <v>0</v>
      </c>
      <c r="H232" s="50">
        <f>F232*(($H$159)+1)+(IF(G232&lt;101,G232,IF(G232&lt;201,G232/2,IF(G232&lt;=301,G232/3,G232/4))))</f>
        <v>0</v>
      </c>
      <c r="I232" s="33"/>
    </row>
    <row r="233" spans="1:14" s="34" customFormat="1" hidden="1" x14ac:dyDescent="0.25">
      <c r="A233" s="103" t="s">
        <v>143</v>
      </c>
      <c r="B233" s="104"/>
      <c r="C233" s="104"/>
      <c r="D233" s="104"/>
      <c r="E233" s="104"/>
      <c r="F233" s="104"/>
      <c r="G233" s="104"/>
      <c r="H233" s="105"/>
      <c r="I233" s="33"/>
    </row>
    <row r="234" spans="1:14" s="34" customFormat="1" ht="15.75" hidden="1" customHeight="1" x14ac:dyDescent="0.25">
      <c r="A234" s="99" t="str">
        <f ca="1">(SUMPRODUCT(MID(0&amp;(LEFT(A233,SUM(LEN(A233)-LEN(SUBSTITUTE(A233,{"0","1","2"},""))))), LARGE(INDEX(ISNUMBER(--MID((LEFT(A233,SUM(LEN(A233)-LEN(SUBSTITUTE(A233,{"0","1","2"},""))))), ROW(INDIRECT("1:"&amp;LEN((LEFT(A233,SUM(LEN(A233)-LEN(SUBSTITUTE(A233,{"0","1","2"},"")))))))), 1)) * ROW(INDIRECT("1:"&amp;LEN((LEFT(A233,SUM(LEN(A233)-LEN(SUBSTITUTE(A233,{"0","1","2"},"")))))))), 0), ROW(INDIRECT("1:"&amp;LEN((LEFT(A233,SUM(LEN(A233)-LEN(SUBSTITUTE(A233,{"0","1","2"},"")))))))))+1, 1) * 10^ROW(INDIRECT("1:"&amp;LEN((LEFT(A233,SUM(LEN(A233)-LEN(SUBSTITUTE(A233,{"0","1","2"},""))))))))/10))*100+1&amp;""&amp;" to "&amp;""&amp;(SUMPRODUCT(MID(0&amp;(--TRIM(RIGHT(SUBSTITUTE(LEFT(A233,_xlfn.AGGREGATE(16,6,FIND({0,1,2,3,4,5,6,7,8,9},A233,ROW(INDIRECT("1:"&amp;LEN(A233)))),1))," ",REPT(" ",LEN(A233))),LEN(A233)))), LARGE(INDEX(ISNUMBER(--MID((--TRIM(RIGHT(SUBSTITUTE(LEFT(A233,_xlfn.AGGREGATE(16,6,FIND({0,1,2,3,4,5,6,7,8,9},A233,ROW(INDIRECT("1:"&amp;LEN(A233)))),1))," ",REPT(" ",LEN(A233))),LEN(A233)))), ROW(INDIRECT("1:"&amp;LEN((--TRIM(RIGHT(SUBSTITUTE(LEFT(A233,_xlfn.AGGREGATE(16,6,FIND({0,1,2,3,4,5,6,7,8,9},A233,ROW(INDIRECT("1:"&amp;LEN(A233)))),1))," ",REPT(" ",LEN(A233))),LEN(A233))))))), 1)) * ROW(INDIRECT("1:"&amp;LEN((--TRIM(RIGHT(SUBSTITUTE(LEFT(A233,_xlfn.AGGREGATE(16,6,FIND({0,1,2,3,4,5,6,7,8,9},A233,ROW(INDIRECT("1:"&amp;LEN(A233)))),1))," ",REPT(" ",LEN(A233))),LEN(A233))))))), 0), ROW(INDIRECT("1:"&amp;LEN((--TRIM(RIGHT(SUBSTITUTE(LEFT(A233,_xlfn.AGGREGATE(16,6,FIND({0,1,2,3,4,5,6,7,8,9},A233,ROW(INDIRECT("1:"&amp;LEN(A233)))),1))," ",REPT(" ",LEN(A233))),LEN(A233))))))))+1, 1) * 10^ROW(INDIRECT("1:"&amp;LEN((--TRIM(RIGHT(SUBSTITUTE(LEFT(A233,_xlfn.AGGREGATE(16,6,FIND({0,1,2,3,4,5,6,7,8,9},A233,ROW(INDIRECT("1:"&amp;LEN(A233)))),1))," ",REPT(" ",LEN(A233))),LEN(A233)))))))/10))*100+1</f>
        <v>201 to 501</v>
      </c>
      <c r="B234" s="100"/>
      <c r="C234" s="39"/>
      <c r="D234" s="39"/>
      <c r="E234" s="50">
        <v>0</v>
      </c>
      <c r="F234" s="50">
        <f>D234+E234</f>
        <v>0</v>
      </c>
      <c r="G234" s="50">
        <v>0</v>
      </c>
      <c r="H234" s="50">
        <f>F234*(($H$159)+1)+(IF(G234&lt;101,G234,IF(G234&lt;201,G234/2,IF(G234&lt;=301,G234/3,G234/4))))</f>
        <v>0</v>
      </c>
      <c r="I234" s="33"/>
    </row>
    <row r="235" spans="1:14" s="34" customFormat="1" ht="15.75" hidden="1" customHeight="1" x14ac:dyDescent="0.25">
      <c r="A235" s="99" t="str">
        <f ca="1">(SUMPRODUCT(MID(0&amp;(LEFT(A234,SUM(LEN(A234)-LEN(SUBSTITUTE(A234,{"0","1","2"},""))))), LARGE(INDEX(ISNUMBER(--MID((LEFT(A234,SUM(LEN(A234)-LEN(SUBSTITUTE(A234,{"0","1","2"},""))))), ROW(INDIRECT("1:"&amp;LEN((LEFT(A234,SUM(LEN(A234)-LEN(SUBSTITUTE(A234,{"0","1","2"},"")))))))), 1)) * ROW(INDIRECT("1:"&amp;LEN((LEFT(A234,SUM(LEN(A234)-LEN(SUBSTITUTE(A234,{"0","1","2"},"")))))))), 0), ROW(INDIRECT("1:"&amp;LEN((LEFT(A234,SUM(LEN(A234)-LEN(SUBSTITUTE(A234,{"0","1","2"},"")))))))))+1, 1) * 10^ROW(INDIRECT("1:"&amp;LEN((LEFT(A234,SUM(LEN(A234)-LEN(SUBSTITUTE(A234,{"0","1","2"},""))))))))/10))*1+1&amp;""&amp;" to "&amp;""&amp;(SUMPRODUCT(MID(0&amp;(--TRIM(RIGHT(SUBSTITUTE(LEFT(A234,_xlfn.AGGREGATE(16,6,FIND({0,1,2,3,4,5,6,7,8,9},A234,ROW(INDIRECT("1:"&amp;LEN(A234)))),1))," ",REPT(" ",LEN(A234))),LEN(A234)))), LARGE(INDEX(ISNUMBER(--MID((--TRIM(RIGHT(SUBSTITUTE(LEFT(A234,_xlfn.AGGREGATE(16,6,FIND({0,1,2,3,4,5,6,7,8,9},A234,ROW(INDIRECT("1:"&amp;LEN(A234)))),1))," ",REPT(" ",LEN(A234))),LEN(A234)))), ROW(INDIRECT("1:"&amp;LEN((--TRIM(RIGHT(SUBSTITUTE(LEFT(A234,_xlfn.AGGREGATE(16,6,FIND({0,1,2,3,4,5,6,7,8,9},A234,ROW(INDIRECT("1:"&amp;LEN(A234)))),1))," ",REPT(" ",LEN(A234))),LEN(A234))))))), 1)) * ROW(INDIRECT("1:"&amp;LEN((--TRIM(RIGHT(SUBSTITUTE(LEFT(A234,_xlfn.AGGREGATE(16,6,FIND({0,1,2,3,4,5,6,7,8,9},A234,ROW(INDIRECT("1:"&amp;LEN(A234)))),1))," ",REPT(" ",LEN(A234))),LEN(A234))))))), 0), ROW(INDIRECT("1:"&amp;LEN((--TRIM(RIGHT(SUBSTITUTE(LEFT(A234,_xlfn.AGGREGATE(16,6,FIND({0,1,2,3,4,5,6,7,8,9},A234,ROW(INDIRECT("1:"&amp;LEN(A234)))),1))," ",REPT(" ",LEN(A234))),LEN(A234))))))))+1, 1) * 10^ROW(INDIRECT("1:"&amp;LEN((--TRIM(RIGHT(SUBSTITUTE(LEFT(A234,_xlfn.AGGREGATE(16,6,FIND({0,1,2,3,4,5,6,7,8,9},A234,ROW(INDIRECT("1:"&amp;LEN(A234)))),1))," ",REPT(" ",LEN(A234))),LEN(A234)))))))/10))*1+1</f>
        <v>202 to 502</v>
      </c>
      <c r="B235" s="100"/>
      <c r="C235" s="39"/>
      <c r="D235" s="39"/>
      <c r="E235" s="50">
        <v>0</v>
      </c>
      <c r="F235" s="50">
        <f>D235+E235</f>
        <v>0</v>
      </c>
      <c r="G235" s="50">
        <v>0</v>
      </c>
      <c r="H235" s="50">
        <f>F235*(($H$159)+1)+(IF(G235&lt;101,G235,IF(G235&lt;201,G235/2,IF(G235&lt;=301,G235/3,G235/4))))</f>
        <v>0</v>
      </c>
      <c r="I235" s="33"/>
    </row>
    <row r="236" spans="1:14" s="34" customFormat="1" ht="15.75" hidden="1" customHeight="1" x14ac:dyDescent="0.25">
      <c r="A236" s="99" t="str">
        <f ca="1">(SUMPRODUCT(MID(0&amp;(LEFT(A235,SUM(LEN(A235)-LEN(SUBSTITUTE(A235,{"0","1","2"},""))))), LARGE(INDEX(ISNUMBER(--MID((LEFT(A235,SUM(LEN(A235)-LEN(SUBSTITUTE(A235,{"0","1","2"},""))))), ROW(INDIRECT("1:"&amp;LEN((LEFT(A235,SUM(LEN(A235)-LEN(SUBSTITUTE(A235,{"0","1","2"},"")))))))), 1)) * ROW(INDIRECT("1:"&amp;LEN((LEFT(A235,SUM(LEN(A235)-LEN(SUBSTITUTE(A235,{"0","1","2"},"")))))))), 0), ROW(INDIRECT("1:"&amp;LEN((LEFT(A235,SUM(LEN(A235)-LEN(SUBSTITUTE(A235,{"0","1","2"},"")))))))))+1, 1) * 10^ROW(INDIRECT("1:"&amp;LEN((LEFT(A235,SUM(LEN(A235)-LEN(SUBSTITUTE(A235,{"0","1","2"},""))))))))/10))*1+1&amp;""&amp;" to "&amp;""&amp;(SUMPRODUCT(MID(0&amp;(--TRIM(RIGHT(SUBSTITUTE(LEFT(A235,_xlfn.AGGREGATE(16,6,FIND({0,1,2,3,4,5,6,7,8,9},A235,ROW(INDIRECT("1:"&amp;LEN(A235)))),1))," ",REPT(" ",LEN(A235))),LEN(A235)))), LARGE(INDEX(ISNUMBER(--MID((--TRIM(RIGHT(SUBSTITUTE(LEFT(A235,_xlfn.AGGREGATE(16,6,FIND({0,1,2,3,4,5,6,7,8,9},A235,ROW(INDIRECT("1:"&amp;LEN(A235)))),1))," ",REPT(" ",LEN(A235))),LEN(A235)))), ROW(INDIRECT("1:"&amp;LEN((--TRIM(RIGHT(SUBSTITUTE(LEFT(A235,_xlfn.AGGREGATE(16,6,FIND({0,1,2,3,4,5,6,7,8,9},A235,ROW(INDIRECT("1:"&amp;LEN(A235)))),1))," ",REPT(" ",LEN(A235))),LEN(A235))))))), 1)) * ROW(INDIRECT("1:"&amp;LEN((--TRIM(RIGHT(SUBSTITUTE(LEFT(A235,_xlfn.AGGREGATE(16,6,FIND({0,1,2,3,4,5,6,7,8,9},A235,ROW(INDIRECT("1:"&amp;LEN(A235)))),1))," ",REPT(" ",LEN(A235))),LEN(A235))))))), 0), ROW(INDIRECT("1:"&amp;LEN((--TRIM(RIGHT(SUBSTITUTE(LEFT(A235,_xlfn.AGGREGATE(16,6,FIND({0,1,2,3,4,5,6,7,8,9},A235,ROW(INDIRECT("1:"&amp;LEN(A235)))),1))," ",REPT(" ",LEN(A235))),LEN(A235))))))))+1, 1) * 10^ROW(INDIRECT("1:"&amp;LEN((--TRIM(RIGHT(SUBSTITUTE(LEFT(A235,_xlfn.AGGREGATE(16,6,FIND({0,1,2,3,4,5,6,7,8,9},A235,ROW(INDIRECT("1:"&amp;LEN(A235)))),1))," ",REPT(" ",LEN(A235))),LEN(A235)))))))/10))*1+1</f>
        <v>203 to 503</v>
      </c>
      <c r="B236" s="100"/>
      <c r="C236" s="39"/>
      <c r="D236" s="39"/>
      <c r="E236" s="50">
        <v>0</v>
      </c>
      <c r="F236" s="50">
        <f>D236+E236</f>
        <v>0</v>
      </c>
      <c r="G236" s="50">
        <v>0</v>
      </c>
      <c r="H236" s="50">
        <f>F236*(($H$159)+1)+(IF(G236&lt;101,G236,IF(G236&lt;201,G236/2,IF(G236&lt;=301,G236/3,G236/4))))</f>
        <v>0</v>
      </c>
      <c r="I236" s="33"/>
    </row>
    <row r="237" spans="1:14" s="34" customFormat="1" ht="15.75" hidden="1" customHeight="1" x14ac:dyDescent="0.25">
      <c r="A237" s="99" t="str">
        <f ca="1">(SUMPRODUCT(MID(0&amp;(LEFT(A236,SUM(LEN(A236)-LEN(SUBSTITUTE(A236,{"0","1","2"},""))))), LARGE(INDEX(ISNUMBER(--MID((LEFT(A236,SUM(LEN(A236)-LEN(SUBSTITUTE(A236,{"0","1","2"},""))))), ROW(INDIRECT("1:"&amp;LEN((LEFT(A236,SUM(LEN(A236)-LEN(SUBSTITUTE(A236,{"0","1","2"},"")))))))), 1)) * ROW(INDIRECT("1:"&amp;LEN((LEFT(A236,SUM(LEN(A236)-LEN(SUBSTITUTE(A236,{"0","1","2"},"")))))))), 0), ROW(INDIRECT("1:"&amp;LEN((LEFT(A236,SUM(LEN(A236)-LEN(SUBSTITUTE(A236,{"0","1","2"},"")))))))))+1, 1) * 10^ROW(INDIRECT("1:"&amp;LEN((LEFT(A236,SUM(LEN(A236)-LEN(SUBSTITUTE(A236,{"0","1","2"},""))))))))/10))*1+1&amp;""&amp;" to "&amp;""&amp;(SUMPRODUCT(MID(0&amp;(--TRIM(RIGHT(SUBSTITUTE(LEFT(A236,_xlfn.AGGREGATE(16,6,FIND({0,1,2,3,4,5,6,7,8,9},A236,ROW(INDIRECT("1:"&amp;LEN(A236)))),1))," ",REPT(" ",LEN(A236))),LEN(A236)))), LARGE(INDEX(ISNUMBER(--MID((--TRIM(RIGHT(SUBSTITUTE(LEFT(A236,_xlfn.AGGREGATE(16,6,FIND({0,1,2,3,4,5,6,7,8,9},A236,ROW(INDIRECT("1:"&amp;LEN(A236)))),1))," ",REPT(" ",LEN(A236))),LEN(A236)))), ROW(INDIRECT("1:"&amp;LEN((--TRIM(RIGHT(SUBSTITUTE(LEFT(A236,_xlfn.AGGREGATE(16,6,FIND({0,1,2,3,4,5,6,7,8,9},A236,ROW(INDIRECT("1:"&amp;LEN(A236)))),1))," ",REPT(" ",LEN(A236))),LEN(A236))))))), 1)) * ROW(INDIRECT("1:"&amp;LEN((--TRIM(RIGHT(SUBSTITUTE(LEFT(A236,_xlfn.AGGREGATE(16,6,FIND({0,1,2,3,4,5,6,7,8,9},A236,ROW(INDIRECT("1:"&amp;LEN(A236)))),1))," ",REPT(" ",LEN(A236))),LEN(A236))))))), 0), ROW(INDIRECT("1:"&amp;LEN((--TRIM(RIGHT(SUBSTITUTE(LEFT(A236,_xlfn.AGGREGATE(16,6,FIND({0,1,2,3,4,5,6,7,8,9},A236,ROW(INDIRECT("1:"&amp;LEN(A236)))),1))," ",REPT(" ",LEN(A236))),LEN(A236))))))))+1, 1) * 10^ROW(INDIRECT("1:"&amp;LEN((--TRIM(RIGHT(SUBSTITUTE(LEFT(A236,_xlfn.AGGREGATE(16,6,FIND({0,1,2,3,4,5,6,7,8,9},A236,ROW(INDIRECT("1:"&amp;LEN(A236)))),1))," ",REPT(" ",LEN(A236))),LEN(A236)))))))/10))*1+1</f>
        <v>204 to 504</v>
      </c>
      <c r="B237" s="100"/>
      <c r="C237" s="39"/>
      <c r="D237" s="39"/>
      <c r="E237" s="50">
        <v>0</v>
      </c>
      <c r="F237" s="50">
        <f>D237+E237</f>
        <v>0</v>
      </c>
      <c r="G237" s="50">
        <v>0</v>
      </c>
      <c r="H237" s="50">
        <f>F237*(($H$159)+1)+(IF(G237&lt;101,G237,IF(G237&lt;201,G237/2,IF(G237&lt;=301,G237/3,G237/4))))</f>
        <v>0</v>
      </c>
      <c r="I237" s="33"/>
    </row>
    <row r="238" spans="1:14" s="34" customFormat="1" ht="15.75" hidden="1" customHeight="1" x14ac:dyDescent="0.25">
      <c r="A238" s="99" t="str">
        <f ca="1">(SUMPRODUCT(MID(0&amp;(LEFT(A237,SUM(LEN(A237)-LEN(SUBSTITUTE(A237,{"0","1","2"},""))))), LARGE(INDEX(ISNUMBER(--MID((LEFT(A237,SUM(LEN(A237)-LEN(SUBSTITUTE(A237,{"0","1","2"},""))))), ROW(INDIRECT("1:"&amp;LEN((LEFT(A237,SUM(LEN(A237)-LEN(SUBSTITUTE(A237,{"0","1","2"},"")))))))), 1)) * ROW(INDIRECT("1:"&amp;LEN((LEFT(A237,SUM(LEN(A237)-LEN(SUBSTITUTE(A237,{"0","1","2"},"")))))))), 0), ROW(INDIRECT("1:"&amp;LEN((LEFT(A237,SUM(LEN(A237)-LEN(SUBSTITUTE(A237,{"0","1","2"},"")))))))))+1, 1) * 10^ROW(INDIRECT("1:"&amp;LEN((LEFT(A237,SUM(LEN(A237)-LEN(SUBSTITUTE(A237,{"0","1","2"},""))))))))/10))*1+1&amp;""&amp;" to "&amp;""&amp;(SUMPRODUCT(MID(0&amp;(--TRIM(RIGHT(SUBSTITUTE(LEFT(A237,_xlfn.AGGREGATE(16,6,FIND({0,1,2,3,4,5,6,7,8,9},A237,ROW(INDIRECT("1:"&amp;LEN(A237)))),1))," ",REPT(" ",LEN(A237))),LEN(A237)))), LARGE(INDEX(ISNUMBER(--MID((--TRIM(RIGHT(SUBSTITUTE(LEFT(A237,_xlfn.AGGREGATE(16,6,FIND({0,1,2,3,4,5,6,7,8,9},A237,ROW(INDIRECT("1:"&amp;LEN(A237)))),1))," ",REPT(" ",LEN(A237))),LEN(A237)))), ROW(INDIRECT("1:"&amp;LEN((--TRIM(RIGHT(SUBSTITUTE(LEFT(A237,_xlfn.AGGREGATE(16,6,FIND({0,1,2,3,4,5,6,7,8,9},A237,ROW(INDIRECT("1:"&amp;LEN(A237)))),1))," ",REPT(" ",LEN(A237))),LEN(A237))))))), 1)) * ROW(INDIRECT("1:"&amp;LEN((--TRIM(RIGHT(SUBSTITUTE(LEFT(A237,_xlfn.AGGREGATE(16,6,FIND({0,1,2,3,4,5,6,7,8,9},A237,ROW(INDIRECT("1:"&amp;LEN(A237)))),1))," ",REPT(" ",LEN(A237))),LEN(A237))))))), 0), ROW(INDIRECT("1:"&amp;LEN((--TRIM(RIGHT(SUBSTITUTE(LEFT(A237,_xlfn.AGGREGATE(16,6,FIND({0,1,2,3,4,5,6,7,8,9},A237,ROW(INDIRECT("1:"&amp;LEN(A237)))),1))," ",REPT(" ",LEN(A237))),LEN(A237))))))))+1, 1) * 10^ROW(INDIRECT("1:"&amp;LEN((--TRIM(RIGHT(SUBSTITUTE(LEFT(A237,_xlfn.AGGREGATE(16,6,FIND({0,1,2,3,4,5,6,7,8,9},A237,ROW(INDIRECT("1:"&amp;LEN(A237)))),1))," ",REPT(" ",LEN(A237))),LEN(A237)))))))/10))*1+1</f>
        <v>205 to 505</v>
      </c>
      <c r="B238" s="100"/>
      <c r="C238" s="39"/>
      <c r="D238" s="39"/>
      <c r="E238" s="50">
        <v>0</v>
      </c>
      <c r="F238" s="50">
        <f>D238+E238</f>
        <v>0</v>
      </c>
      <c r="G238" s="50">
        <v>0</v>
      </c>
      <c r="H238" s="50">
        <f>F238*(($H$159)+1)+(IF(G238&lt;101,G238,IF(G238&lt;201,G238/2,IF(G238&lt;=301,G238/3,G238/4))))</f>
        <v>0</v>
      </c>
      <c r="I238" s="33"/>
    </row>
    <row r="239" spans="1:14" s="34" customFormat="1" hidden="1" x14ac:dyDescent="0.25">
      <c r="A239" s="103" t="s">
        <v>144</v>
      </c>
      <c r="B239" s="104"/>
      <c r="C239" s="104"/>
      <c r="D239" s="104"/>
      <c r="E239" s="104"/>
      <c r="F239" s="104"/>
      <c r="G239" s="104"/>
      <c r="H239" s="105"/>
      <c r="I239" s="33"/>
    </row>
    <row r="240" spans="1:14" s="34" customFormat="1" ht="15.75" hidden="1" customHeight="1" x14ac:dyDescent="0.25">
      <c r="A240" s="99" t="str">
        <f ca="1">(SUMPRODUCT(MID(0&amp;(LEFT(A239,SUM(LEN(A239)-LEN(SUBSTITUTE(A239,{"0","1","2"},""))))), LARGE(INDEX(ISNUMBER(--MID((LEFT(A239,SUM(LEN(A239)-LEN(SUBSTITUTE(A239,{"0","1","2"},""))))), ROW(INDIRECT("1:"&amp;LEN((LEFT(A239,SUM(LEN(A239)-LEN(SUBSTITUTE(A239,{"0","1","2"},"")))))))), 1)) * ROW(INDIRECT("1:"&amp;LEN((LEFT(A239,SUM(LEN(A239)-LEN(SUBSTITUTE(A239,{"0","1","2"},"")))))))), 0), ROW(INDIRECT("1:"&amp;LEN((LEFT(A239,SUM(LEN(A239)-LEN(SUBSTITUTE(A239,{"0","1","2"},"")))))))))+1, 1) * 10^ROW(INDIRECT("1:"&amp;LEN((LEFT(A239,SUM(LEN(A239)-LEN(SUBSTITUTE(A239,{"0","1","2"},""))))))))/10))*100+1&amp;""&amp;" &amp; "&amp;""&amp;(SUMPRODUCT(MID(0&amp;(--TRIM(RIGHT(SUBSTITUTE(LEFT(A239,_xlfn.AGGREGATE(16,6,FIND({0,1,2,3,4,5,6,7,8,9},A239,ROW(INDIRECT("1:"&amp;LEN(A239)))),1))," ",REPT(" ",LEN(A239))),LEN(A239)))), LARGE(INDEX(ISNUMBER(--MID((--TRIM(RIGHT(SUBSTITUTE(LEFT(A239,_xlfn.AGGREGATE(16,6,FIND({0,1,2,3,4,5,6,7,8,9},A239,ROW(INDIRECT("1:"&amp;LEN(A239)))),1))," ",REPT(" ",LEN(A239))),LEN(A239)))), ROW(INDIRECT("1:"&amp;LEN((--TRIM(RIGHT(SUBSTITUTE(LEFT(A239,_xlfn.AGGREGATE(16,6,FIND({0,1,2,3,4,5,6,7,8,9},A239,ROW(INDIRECT("1:"&amp;LEN(A239)))),1))," ",REPT(" ",LEN(A239))),LEN(A239))))))), 1)) * ROW(INDIRECT("1:"&amp;LEN((--TRIM(RIGHT(SUBSTITUTE(LEFT(A239,_xlfn.AGGREGATE(16,6,FIND({0,1,2,3,4,5,6,7,8,9},A239,ROW(INDIRECT("1:"&amp;LEN(A239)))),1))," ",REPT(" ",LEN(A239))),LEN(A239))))))), 0), ROW(INDIRECT("1:"&amp;LEN((--TRIM(RIGHT(SUBSTITUTE(LEFT(A239,_xlfn.AGGREGATE(16,6,FIND({0,1,2,3,4,5,6,7,8,9},A239,ROW(INDIRECT("1:"&amp;LEN(A239)))),1))," ",REPT(" ",LEN(A239))),LEN(A239))))))))+1, 1) * 10^ROW(INDIRECT("1:"&amp;LEN((--TRIM(RIGHT(SUBSTITUTE(LEFT(A239,_xlfn.AGGREGATE(16,6,FIND({0,1,2,3,4,5,6,7,8,9},A239,ROW(INDIRECT("1:"&amp;LEN(A239)))),1))," ",REPT(" ",LEN(A239))),LEN(A239)))))))/10))*100+1</f>
        <v>201 &amp; 501</v>
      </c>
      <c r="B240" s="100"/>
      <c r="C240" s="39"/>
      <c r="D240" s="39"/>
      <c r="E240" s="50">
        <v>0</v>
      </c>
      <c r="F240" s="50">
        <f>D240+E240</f>
        <v>0</v>
      </c>
      <c r="G240" s="50">
        <v>0</v>
      </c>
      <c r="H240" s="50">
        <f>F240*(($H$159)+1)+(IF(G240&lt;101,G240,IF(G240&lt;201,G240/2,IF(G240&lt;=301,G240/3,G240/4))))</f>
        <v>0</v>
      </c>
      <c r="I240" s="33"/>
    </row>
    <row r="241" spans="1:20" s="34" customFormat="1" ht="15.75" hidden="1" customHeight="1" x14ac:dyDescent="0.25">
      <c r="A241" s="99" t="str">
        <f ca="1">(SUMPRODUCT(MID(0&amp;(LEFT(A240,SUM(LEN(A240)-LEN(SUBSTITUTE(A240,{"0","1","2"},""))))), LARGE(INDEX(ISNUMBER(--MID((LEFT(A240,SUM(LEN(A240)-LEN(SUBSTITUTE(A240,{"0","1","2"},""))))), ROW(INDIRECT("1:"&amp;LEN((LEFT(A240,SUM(LEN(A240)-LEN(SUBSTITUTE(A240,{"0","1","2"},"")))))))), 1)) * ROW(INDIRECT("1:"&amp;LEN((LEFT(A240,SUM(LEN(A240)-LEN(SUBSTITUTE(A240,{"0","1","2"},"")))))))), 0), ROW(INDIRECT("1:"&amp;LEN((LEFT(A240,SUM(LEN(A240)-LEN(SUBSTITUTE(A240,{"0","1","2"},"")))))))))+1, 1) * 10^ROW(INDIRECT("1:"&amp;LEN((LEFT(A240,SUM(LEN(A240)-LEN(SUBSTITUTE(A240,{"0","1","2"},""))))))))/10))*1+1&amp;""&amp;" &amp; "&amp;""&amp;(SUMPRODUCT(MID(0&amp;(--TRIM(RIGHT(SUBSTITUTE(LEFT(A240,_xlfn.AGGREGATE(16,6,FIND({0,1,2,3,4,5,6,7,8,9},A240,ROW(INDIRECT("1:"&amp;LEN(A240)))),1))," ",REPT(" ",LEN(A240))),LEN(A240)))), LARGE(INDEX(ISNUMBER(--MID((--TRIM(RIGHT(SUBSTITUTE(LEFT(A240,_xlfn.AGGREGATE(16,6,FIND({0,1,2,3,4,5,6,7,8,9},A240,ROW(INDIRECT("1:"&amp;LEN(A240)))),1))," ",REPT(" ",LEN(A240))),LEN(A240)))), ROW(INDIRECT("1:"&amp;LEN((--TRIM(RIGHT(SUBSTITUTE(LEFT(A240,_xlfn.AGGREGATE(16,6,FIND({0,1,2,3,4,5,6,7,8,9},A240,ROW(INDIRECT("1:"&amp;LEN(A240)))),1))," ",REPT(" ",LEN(A240))),LEN(A240))))))), 1)) * ROW(INDIRECT("1:"&amp;LEN((--TRIM(RIGHT(SUBSTITUTE(LEFT(A240,_xlfn.AGGREGATE(16,6,FIND({0,1,2,3,4,5,6,7,8,9},A240,ROW(INDIRECT("1:"&amp;LEN(A240)))),1))," ",REPT(" ",LEN(A240))),LEN(A240))))))), 0), ROW(INDIRECT("1:"&amp;LEN((--TRIM(RIGHT(SUBSTITUTE(LEFT(A240,_xlfn.AGGREGATE(16,6,FIND({0,1,2,3,4,5,6,7,8,9},A240,ROW(INDIRECT("1:"&amp;LEN(A240)))),1))," ",REPT(" ",LEN(A240))),LEN(A240))))))))+1, 1) * 10^ROW(INDIRECT("1:"&amp;LEN((--TRIM(RIGHT(SUBSTITUTE(LEFT(A240,_xlfn.AGGREGATE(16,6,FIND({0,1,2,3,4,5,6,7,8,9},A240,ROW(INDIRECT("1:"&amp;LEN(A240)))),1))," ",REPT(" ",LEN(A240))),LEN(A240)))))))/10))*1+1</f>
        <v>202 &amp; 502</v>
      </c>
      <c r="B241" s="100"/>
      <c r="C241" s="39"/>
      <c r="D241" s="39"/>
      <c r="E241" s="50">
        <v>0</v>
      </c>
      <c r="F241" s="50">
        <f>D241+E241</f>
        <v>0</v>
      </c>
      <c r="G241" s="50">
        <v>0</v>
      </c>
      <c r="H241" s="50">
        <f>F241*(($H$159)+1)+(IF(G241&lt;101,G241,IF(G241&lt;201,G241/2,IF(G241&lt;=301,G241/3,G241/4))))</f>
        <v>0</v>
      </c>
      <c r="I241" s="33"/>
    </row>
    <row r="242" spans="1:20" s="34" customFormat="1" ht="15.75" hidden="1" customHeight="1" x14ac:dyDescent="0.25">
      <c r="A242" s="99" t="str">
        <f ca="1">(SUMPRODUCT(MID(0&amp;(LEFT(A241,SUM(LEN(A241)-LEN(SUBSTITUTE(A241,{"0","1","2"},""))))), LARGE(INDEX(ISNUMBER(--MID((LEFT(A241,SUM(LEN(A241)-LEN(SUBSTITUTE(A241,{"0","1","2"},""))))), ROW(INDIRECT("1:"&amp;LEN((LEFT(A241,SUM(LEN(A241)-LEN(SUBSTITUTE(A241,{"0","1","2"},"")))))))), 1)) * ROW(INDIRECT("1:"&amp;LEN((LEFT(A241,SUM(LEN(A241)-LEN(SUBSTITUTE(A241,{"0","1","2"},"")))))))), 0), ROW(INDIRECT("1:"&amp;LEN((LEFT(A241,SUM(LEN(A241)-LEN(SUBSTITUTE(A241,{"0","1","2"},"")))))))))+1, 1) * 10^ROW(INDIRECT("1:"&amp;LEN((LEFT(A241,SUM(LEN(A241)-LEN(SUBSTITUTE(A241,{"0","1","2"},""))))))))/10))*1+1&amp;""&amp;" &amp; "&amp;""&amp;(SUMPRODUCT(MID(0&amp;(--TRIM(RIGHT(SUBSTITUTE(LEFT(A241,_xlfn.AGGREGATE(16,6,FIND({0,1,2,3,4,5,6,7,8,9},A241,ROW(INDIRECT("1:"&amp;LEN(A241)))),1))," ",REPT(" ",LEN(A241))),LEN(A241)))), LARGE(INDEX(ISNUMBER(--MID((--TRIM(RIGHT(SUBSTITUTE(LEFT(A241,_xlfn.AGGREGATE(16,6,FIND({0,1,2,3,4,5,6,7,8,9},A241,ROW(INDIRECT("1:"&amp;LEN(A241)))),1))," ",REPT(" ",LEN(A241))),LEN(A241)))), ROW(INDIRECT("1:"&amp;LEN((--TRIM(RIGHT(SUBSTITUTE(LEFT(A241,_xlfn.AGGREGATE(16,6,FIND({0,1,2,3,4,5,6,7,8,9},A241,ROW(INDIRECT("1:"&amp;LEN(A241)))),1))," ",REPT(" ",LEN(A241))),LEN(A241))))))), 1)) * ROW(INDIRECT("1:"&amp;LEN((--TRIM(RIGHT(SUBSTITUTE(LEFT(A241,_xlfn.AGGREGATE(16,6,FIND({0,1,2,3,4,5,6,7,8,9},A241,ROW(INDIRECT("1:"&amp;LEN(A241)))),1))," ",REPT(" ",LEN(A241))),LEN(A241))))))), 0), ROW(INDIRECT("1:"&amp;LEN((--TRIM(RIGHT(SUBSTITUTE(LEFT(A241,_xlfn.AGGREGATE(16,6,FIND({0,1,2,3,4,5,6,7,8,9},A241,ROW(INDIRECT("1:"&amp;LEN(A241)))),1))," ",REPT(" ",LEN(A241))),LEN(A241))))))))+1, 1) * 10^ROW(INDIRECT("1:"&amp;LEN((--TRIM(RIGHT(SUBSTITUTE(LEFT(A241,_xlfn.AGGREGATE(16,6,FIND({0,1,2,3,4,5,6,7,8,9},A241,ROW(INDIRECT("1:"&amp;LEN(A241)))),1))," ",REPT(" ",LEN(A241))),LEN(A241)))))))/10))*1+1</f>
        <v>203 &amp; 503</v>
      </c>
      <c r="B242" s="100"/>
      <c r="C242" s="39"/>
      <c r="D242" s="39"/>
      <c r="E242" s="50">
        <v>0</v>
      </c>
      <c r="F242" s="50">
        <f>D242+E242</f>
        <v>0</v>
      </c>
      <c r="G242" s="50">
        <v>0</v>
      </c>
      <c r="H242" s="50">
        <f>F242*(($H$159)+1)+(IF(G242&lt;101,G242,IF(G242&lt;201,G242/2,IF(G242&lt;=301,G242/3,G242/4))))</f>
        <v>0</v>
      </c>
      <c r="I242" s="33"/>
    </row>
    <row r="243" spans="1:20" s="34" customFormat="1" ht="15.75" hidden="1" customHeight="1" x14ac:dyDescent="0.25">
      <c r="A243" s="99" t="str">
        <f ca="1">(SUMPRODUCT(MID(0&amp;(LEFT(A242,SUM(LEN(A242)-LEN(SUBSTITUTE(A242,{"0","1","2"},""))))), LARGE(INDEX(ISNUMBER(--MID((LEFT(A242,SUM(LEN(A242)-LEN(SUBSTITUTE(A242,{"0","1","2"},""))))), ROW(INDIRECT("1:"&amp;LEN((LEFT(A242,SUM(LEN(A242)-LEN(SUBSTITUTE(A242,{"0","1","2"},"")))))))), 1)) * ROW(INDIRECT("1:"&amp;LEN((LEFT(A242,SUM(LEN(A242)-LEN(SUBSTITUTE(A242,{"0","1","2"},"")))))))), 0), ROW(INDIRECT("1:"&amp;LEN((LEFT(A242,SUM(LEN(A242)-LEN(SUBSTITUTE(A242,{"0","1","2"},"")))))))))+1, 1) * 10^ROW(INDIRECT("1:"&amp;LEN((LEFT(A242,SUM(LEN(A242)-LEN(SUBSTITUTE(A242,{"0","1","2"},""))))))))/10))*1+1&amp;""&amp;" &amp; "&amp;""&amp;(SUMPRODUCT(MID(0&amp;(--TRIM(RIGHT(SUBSTITUTE(LEFT(A242,_xlfn.AGGREGATE(16,6,FIND({0,1,2,3,4,5,6,7,8,9},A242,ROW(INDIRECT("1:"&amp;LEN(A242)))),1))," ",REPT(" ",LEN(A242))),LEN(A242)))), LARGE(INDEX(ISNUMBER(--MID((--TRIM(RIGHT(SUBSTITUTE(LEFT(A242,_xlfn.AGGREGATE(16,6,FIND({0,1,2,3,4,5,6,7,8,9},A242,ROW(INDIRECT("1:"&amp;LEN(A242)))),1))," ",REPT(" ",LEN(A242))),LEN(A242)))), ROW(INDIRECT("1:"&amp;LEN((--TRIM(RIGHT(SUBSTITUTE(LEFT(A242,_xlfn.AGGREGATE(16,6,FIND({0,1,2,3,4,5,6,7,8,9},A242,ROW(INDIRECT("1:"&amp;LEN(A242)))),1))," ",REPT(" ",LEN(A242))),LEN(A242))))))), 1)) * ROW(INDIRECT("1:"&amp;LEN((--TRIM(RIGHT(SUBSTITUTE(LEFT(A242,_xlfn.AGGREGATE(16,6,FIND({0,1,2,3,4,5,6,7,8,9},A242,ROW(INDIRECT("1:"&amp;LEN(A242)))),1))," ",REPT(" ",LEN(A242))),LEN(A242))))))), 0), ROW(INDIRECT("1:"&amp;LEN((--TRIM(RIGHT(SUBSTITUTE(LEFT(A242,_xlfn.AGGREGATE(16,6,FIND({0,1,2,3,4,5,6,7,8,9},A242,ROW(INDIRECT("1:"&amp;LEN(A242)))),1))," ",REPT(" ",LEN(A242))),LEN(A242))))))))+1, 1) * 10^ROW(INDIRECT("1:"&amp;LEN((--TRIM(RIGHT(SUBSTITUTE(LEFT(A242,_xlfn.AGGREGATE(16,6,FIND({0,1,2,3,4,5,6,7,8,9},A242,ROW(INDIRECT("1:"&amp;LEN(A242)))),1))," ",REPT(" ",LEN(A242))),LEN(A242)))))))/10))*1+1</f>
        <v>204 &amp; 504</v>
      </c>
      <c r="B243" s="100"/>
      <c r="C243" s="39"/>
      <c r="D243" s="39"/>
      <c r="E243" s="50">
        <v>0</v>
      </c>
      <c r="F243" s="50">
        <f>D243+E243</f>
        <v>0</v>
      </c>
      <c r="G243" s="50">
        <v>0</v>
      </c>
      <c r="H243" s="50">
        <f>F243*(($H$159)+1)+(IF(G243&lt;101,G243,IF(G243&lt;201,G243/2,IF(G243&lt;=301,G243/3,G243/4))))</f>
        <v>0</v>
      </c>
      <c r="I243" s="33"/>
    </row>
    <row r="244" spans="1:20" s="34" customFormat="1" ht="15.75" hidden="1" customHeight="1" x14ac:dyDescent="0.25">
      <c r="A244" s="99" t="str">
        <f ca="1">(SUMPRODUCT(MID(0&amp;(LEFT(A243,SUM(LEN(A243)-LEN(SUBSTITUTE(A243,{"0","1","2"},""))))), LARGE(INDEX(ISNUMBER(--MID((LEFT(A243,SUM(LEN(A243)-LEN(SUBSTITUTE(A243,{"0","1","2"},""))))), ROW(INDIRECT("1:"&amp;LEN((LEFT(A243,SUM(LEN(A243)-LEN(SUBSTITUTE(A243,{"0","1","2"},"")))))))), 1)) * ROW(INDIRECT("1:"&amp;LEN((LEFT(A243,SUM(LEN(A243)-LEN(SUBSTITUTE(A243,{"0","1","2"},"")))))))), 0), ROW(INDIRECT("1:"&amp;LEN((LEFT(A243,SUM(LEN(A243)-LEN(SUBSTITUTE(A243,{"0","1","2"},"")))))))))+1, 1) * 10^ROW(INDIRECT("1:"&amp;LEN((LEFT(A243,SUM(LEN(A243)-LEN(SUBSTITUTE(A243,{"0","1","2"},""))))))))/10))*1+1&amp;""&amp;" &amp; "&amp;""&amp;(SUMPRODUCT(MID(0&amp;(--TRIM(RIGHT(SUBSTITUTE(LEFT(A243,_xlfn.AGGREGATE(16,6,FIND({0,1,2,3,4,5,6,7,8,9},A243,ROW(INDIRECT("1:"&amp;LEN(A243)))),1))," ",REPT(" ",LEN(A243))),LEN(A243)))), LARGE(INDEX(ISNUMBER(--MID((--TRIM(RIGHT(SUBSTITUTE(LEFT(A243,_xlfn.AGGREGATE(16,6,FIND({0,1,2,3,4,5,6,7,8,9},A243,ROW(INDIRECT("1:"&amp;LEN(A243)))),1))," ",REPT(" ",LEN(A243))),LEN(A243)))), ROW(INDIRECT("1:"&amp;LEN((--TRIM(RIGHT(SUBSTITUTE(LEFT(A243,_xlfn.AGGREGATE(16,6,FIND({0,1,2,3,4,5,6,7,8,9},A243,ROW(INDIRECT("1:"&amp;LEN(A243)))),1))," ",REPT(" ",LEN(A243))),LEN(A243))))))), 1)) * ROW(INDIRECT("1:"&amp;LEN((--TRIM(RIGHT(SUBSTITUTE(LEFT(A243,_xlfn.AGGREGATE(16,6,FIND({0,1,2,3,4,5,6,7,8,9},A243,ROW(INDIRECT("1:"&amp;LEN(A243)))),1))," ",REPT(" ",LEN(A243))),LEN(A243))))))), 0), ROW(INDIRECT("1:"&amp;LEN((--TRIM(RIGHT(SUBSTITUTE(LEFT(A243,_xlfn.AGGREGATE(16,6,FIND({0,1,2,3,4,5,6,7,8,9},A243,ROW(INDIRECT("1:"&amp;LEN(A243)))),1))," ",REPT(" ",LEN(A243))),LEN(A243))))))))+1, 1) * 10^ROW(INDIRECT("1:"&amp;LEN((--TRIM(RIGHT(SUBSTITUTE(LEFT(A243,_xlfn.AGGREGATE(16,6,FIND({0,1,2,3,4,5,6,7,8,9},A243,ROW(INDIRECT("1:"&amp;LEN(A243)))),1))," ",REPT(" ",LEN(A243))),LEN(A243)))))))/10))*1+1</f>
        <v>205 &amp; 505</v>
      </c>
      <c r="B244" s="100"/>
      <c r="C244" s="39"/>
      <c r="D244" s="39"/>
      <c r="E244" s="50">
        <v>0</v>
      </c>
      <c r="F244" s="50">
        <f>D244+E244</f>
        <v>0</v>
      </c>
      <c r="G244" s="50">
        <v>0</v>
      </c>
      <c r="H244" s="50">
        <f>F244*(($H$159)+1)+(IF(G244&lt;101,G244,IF(G244&lt;201,G244/2,IF(G244&lt;=301,G244/3,G244/4))))</f>
        <v>0</v>
      </c>
      <c r="I244" s="33"/>
    </row>
    <row r="245" spans="1:20" s="32" customFormat="1" x14ac:dyDescent="0.25">
      <c r="A245" s="154" t="s">
        <v>65</v>
      </c>
      <c r="B245" s="154"/>
      <c r="C245" s="154"/>
      <c r="D245" s="154"/>
      <c r="E245" s="154"/>
      <c r="F245" s="154"/>
      <c r="G245" s="154"/>
      <c r="H245" s="154"/>
      <c r="T245" s="34"/>
    </row>
    <row r="246" spans="1:20" s="32" customFormat="1" x14ac:dyDescent="0.25">
      <c r="A246" s="41" t="s">
        <v>153</v>
      </c>
      <c r="B246" s="177" t="s">
        <v>404</v>
      </c>
      <c r="C246" s="178"/>
      <c r="D246" s="178"/>
      <c r="E246" s="178"/>
      <c r="F246" s="178"/>
      <c r="G246" s="178"/>
      <c r="H246" s="179"/>
      <c r="T246" s="34"/>
    </row>
    <row r="247" spans="1:20" s="32" customFormat="1" x14ac:dyDescent="0.25">
      <c r="A247" s="41" t="s">
        <v>153</v>
      </c>
      <c r="B247" s="177" t="str">
        <f>(IF(H158="Saleable area Loading :","We have considered Saleable area of Flats as per our Calculation.","We considered Saleable area of Flat as per Builder area Sheet."))</f>
        <v>We have considered Saleable area of Flats as per our Calculation.</v>
      </c>
      <c r="C247" s="178"/>
      <c r="D247" s="178"/>
      <c r="E247" s="178"/>
      <c r="F247" s="178"/>
      <c r="G247" s="178"/>
      <c r="H247" s="179"/>
      <c r="T247" s="34"/>
    </row>
    <row r="248" spans="1:20" s="32" customFormat="1" x14ac:dyDescent="0.25">
      <c r="A248" s="41" t="s">
        <v>153</v>
      </c>
      <c r="B248" s="177" t="str">
        <f>(IF(H128="Saleable area Loading :","We have considered Saleable area of Commercial as per our Calculation.","We considered Saleable area of Commercial as per Builder area Sheet."))</f>
        <v>We have considered Saleable area of Commercial as per our Calculation.</v>
      </c>
      <c r="C248" s="178"/>
      <c r="D248" s="178"/>
      <c r="E248" s="178"/>
      <c r="F248" s="178"/>
      <c r="G248" s="178"/>
      <c r="H248" s="179"/>
      <c r="T248" s="34"/>
    </row>
    <row r="249" spans="1:20" s="32" customFormat="1" x14ac:dyDescent="0.25">
      <c r="A249" s="41" t="s">
        <v>153</v>
      </c>
      <c r="B249" s="151" t="s">
        <v>120</v>
      </c>
      <c r="C249" s="152"/>
      <c r="D249" s="152"/>
      <c r="E249" s="152"/>
      <c r="F249" s="152"/>
      <c r="G249" s="152"/>
      <c r="H249" s="153"/>
      <c r="T249" s="34"/>
    </row>
    <row r="250" spans="1:20" s="32" customFormat="1" x14ac:dyDescent="0.25">
      <c r="A250" s="41" t="s">
        <v>153</v>
      </c>
      <c r="B250" s="151" t="s">
        <v>357</v>
      </c>
      <c r="C250" s="152"/>
      <c r="D250" s="152"/>
      <c r="E250" s="152"/>
      <c r="F250" s="152"/>
      <c r="G250" s="152"/>
      <c r="H250" s="153"/>
      <c r="T250" s="34"/>
    </row>
    <row r="251" spans="1:20" s="32" customFormat="1" x14ac:dyDescent="0.25">
      <c r="A251" s="41" t="s">
        <v>153</v>
      </c>
      <c r="B251" s="151" t="s">
        <v>152</v>
      </c>
      <c r="C251" s="152"/>
      <c r="D251" s="152"/>
      <c r="E251" s="152"/>
      <c r="F251" s="152"/>
      <c r="G251" s="152"/>
      <c r="H251" s="153"/>
    </row>
    <row r="252" spans="1:20" s="32" customFormat="1" x14ac:dyDescent="0.25">
      <c r="A252" s="41" t="s">
        <v>153</v>
      </c>
      <c r="B252" s="151" t="s">
        <v>121</v>
      </c>
      <c r="C252" s="152"/>
      <c r="D252" s="152"/>
      <c r="E252" s="152"/>
      <c r="F252" s="152"/>
      <c r="G252" s="152"/>
      <c r="H252" s="153"/>
    </row>
    <row r="253" spans="1:20" s="32" customFormat="1" ht="34.5" customHeight="1" x14ac:dyDescent="0.25">
      <c r="A253" s="41" t="s">
        <v>153</v>
      </c>
      <c r="B253" s="151" t="s">
        <v>154</v>
      </c>
      <c r="C253" s="152"/>
      <c r="D253" s="152"/>
      <c r="E253" s="152"/>
      <c r="F253" s="152"/>
      <c r="G253" s="152"/>
      <c r="H253" s="153"/>
    </row>
    <row r="254" spans="1:20" s="32" customFormat="1" x14ac:dyDescent="0.25">
      <c r="A254" s="41" t="s">
        <v>153</v>
      </c>
      <c r="B254" s="151" t="s">
        <v>122</v>
      </c>
      <c r="C254" s="152"/>
      <c r="D254" s="152"/>
      <c r="E254" s="152"/>
      <c r="F254" s="152"/>
      <c r="G254" s="152"/>
      <c r="H254" s="153"/>
    </row>
    <row r="255" spans="1:20" s="32" customFormat="1" ht="32.25" hidden="1" customHeight="1" x14ac:dyDescent="0.25">
      <c r="A255" s="47" t="s">
        <v>153</v>
      </c>
      <c r="B255" s="148" t="s">
        <v>177</v>
      </c>
      <c r="C255" s="149"/>
      <c r="D255" s="149"/>
      <c r="E255" s="149"/>
      <c r="F255" s="149"/>
      <c r="G255" s="149"/>
      <c r="H255" s="150"/>
    </row>
    <row r="256" spans="1:20" s="32" customFormat="1" hidden="1" x14ac:dyDescent="0.25">
      <c r="A256" s="78" t="s">
        <v>153</v>
      </c>
      <c r="B256" s="148" t="s">
        <v>233</v>
      </c>
      <c r="C256" s="149"/>
      <c r="D256" s="149"/>
      <c r="E256" s="149"/>
      <c r="F256" s="149"/>
      <c r="G256" s="149"/>
      <c r="H256" s="150"/>
    </row>
    <row r="257" spans="1:20" s="32" customFormat="1" ht="31.5" customHeight="1" x14ac:dyDescent="0.25">
      <c r="A257" s="51" t="s">
        <v>153</v>
      </c>
      <c r="B257" s="177" t="s">
        <v>346</v>
      </c>
      <c r="C257" s="178"/>
      <c r="D257" s="178"/>
      <c r="E257" s="178"/>
      <c r="F257" s="178"/>
      <c r="G257" s="178"/>
      <c r="H257" s="179"/>
    </row>
    <row r="258" spans="1:20" s="32" customFormat="1" ht="31.5" hidden="1" customHeight="1" x14ac:dyDescent="0.25">
      <c r="A258" s="79" t="s">
        <v>153</v>
      </c>
      <c r="B258" s="148" t="s">
        <v>356</v>
      </c>
      <c r="C258" s="149"/>
      <c r="D258" s="149"/>
      <c r="E258" s="149"/>
      <c r="F258" s="149"/>
      <c r="G258" s="149"/>
      <c r="H258" s="150"/>
      <c r="L258"/>
    </row>
    <row r="259" spans="1:20" s="32" customFormat="1" ht="36" customHeight="1" x14ac:dyDescent="0.25">
      <c r="A259" s="83" t="s">
        <v>153</v>
      </c>
      <c r="B259" s="177" t="s">
        <v>390</v>
      </c>
      <c r="C259" s="178"/>
      <c r="D259" s="178"/>
      <c r="E259" s="178"/>
      <c r="F259" s="178"/>
      <c r="G259" s="178"/>
      <c r="H259" s="179"/>
      <c r="L259"/>
    </row>
    <row r="260" spans="1:20" s="32" customFormat="1" ht="17.25" customHeight="1" x14ac:dyDescent="0.25">
      <c r="A260" s="96" t="s">
        <v>153</v>
      </c>
      <c r="B260" s="177" t="s">
        <v>402</v>
      </c>
      <c r="C260" s="178"/>
      <c r="D260" s="178"/>
      <c r="E260" s="178"/>
      <c r="F260" s="178"/>
      <c r="G260" s="178"/>
      <c r="H260" s="179"/>
      <c r="L260"/>
    </row>
    <row r="261" spans="1:20" x14ac:dyDescent="0.25">
      <c r="A261" s="161" t="s">
        <v>58</v>
      </c>
      <c r="B261" s="161"/>
      <c r="C261" s="161"/>
      <c r="D261" s="161"/>
      <c r="E261" s="161"/>
      <c r="F261" s="161"/>
      <c r="G261" s="161"/>
      <c r="H261" s="161"/>
      <c r="T261" s="32"/>
    </row>
    <row r="262" spans="1:20" x14ac:dyDescent="0.25">
      <c r="A262" s="121" t="s">
        <v>59</v>
      </c>
      <c r="B262" s="121"/>
      <c r="C262" s="121"/>
      <c r="D262" s="121"/>
      <c r="E262" s="121"/>
      <c r="F262" s="121"/>
      <c r="G262" s="121"/>
      <c r="H262" s="121"/>
      <c r="T262" s="32"/>
    </row>
    <row r="263" spans="1:20" ht="15.75" customHeight="1" x14ac:dyDescent="0.25">
      <c r="A263" s="140" t="s">
        <v>60</v>
      </c>
      <c r="B263" s="140"/>
      <c r="C263" s="140"/>
      <c r="D263" s="140"/>
      <c r="E263" s="140"/>
      <c r="F263" s="140"/>
      <c r="G263" s="140"/>
      <c r="H263" s="140"/>
      <c r="J263"/>
      <c r="T263" s="32"/>
    </row>
    <row r="264" spans="1:20" x14ac:dyDescent="0.25">
      <c r="A264" s="121" t="s">
        <v>61</v>
      </c>
      <c r="B264" s="121"/>
      <c r="C264" s="121"/>
      <c r="D264" s="121"/>
      <c r="E264" s="121"/>
      <c r="F264" s="121"/>
      <c r="G264" s="121"/>
      <c r="H264" s="121"/>
      <c r="T264" s="32"/>
    </row>
    <row r="265" spans="1:20" x14ac:dyDescent="0.25">
      <c r="A265" s="121" t="s">
        <v>62</v>
      </c>
      <c r="B265" s="121"/>
      <c r="C265" s="121"/>
      <c r="D265" s="121"/>
      <c r="E265" s="121"/>
      <c r="F265" s="121"/>
      <c r="G265" s="121"/>
      <c r="H265" s="121"/>
      <c r="T265" s="32"/>
    </row>
    <row r="266" spans="1:20" x14ac:dyDescent="0.25">
      <c r="A266" s="121" t="s">
        <v>123</v>
      </c>
      <c r="B266" s="121"/>
      <c r="C266" s="121"/>
      <c r="D266" s="121"/>
      <c r="E266" s="121"/>
      <c r="F266" s="121"/>
      <c r="G266" s="121"/>
      <c r="H266" s="121"/>
      <c r="T266" s="32"/>
    </row>
    <row r="267" spans="1:20" ht="33.950000000000003" customHeight="1" x14ac:dyDescent="0.25">
      <c r="A267" s="128" t="s">
        <v>124</v>
      </c>
      <c r="B267" s="128"/>
      <c r="C267" s="128"/>
      <c r="D267" s="128"/>
      <c r="E267" s="128"/>
      <c r="F267" s="128"/>
      <c r="G267" s="128"/>
      <c r="H267" s="128"/>
    </row>
    <row r="268" spans="1:20" x14ac:dyDescent="0.25">
      <c r="A268" s="203" t="s">
        <v>74</v>
      </c>
      <c r="B268" s="203"/>
      <c r="C268" s="203" t="s">
        <v>363</v>
      </c>
      <c r="D268" s="203"/>
      <c r="E268" s="203" t="s">
        <v>104</v>
      </c>
      <c r="F268" s="203"/>
      <c r="G268" s="204" t="s">
        <v>403</v>
      </c>
      <c r="H268" s="204"/>
    </row>
    <row r="269" spans="1:20" x14ac:dyDescent="0.25">
      <c r="A269" s="202" t="s">
        <v>76</v>
      </c>
      <c r="B269" s="202"/>
      <c r="C269" s="202"/>
      <c r="D269" s="202"/>
      <c r="E269" s="202"/>
      <c r="F269" s="202"/>
      <c r="G269" s="202"/>
      <c r="H269" s="202"/>
    </row>
    <row r="270" spans="1:20" x14ac:dyDescent="0.25">
      <c r="A270" s="202"/>
      <c r="B270" s="202"/>
      <c r="C270" s="202"/>
      <c r="D270" s="202"/>
      <c r="E270" s="202"/>
      <c r="F270" s="202"/>
      <c r="G270" s="202"/>
      <c r="H270" s="202"/>
    </row>
    <row r="271" spans="1:20" x14ac:dyDescent="0.25">
      <c r="A271" s="202"/>
      <c r="B271" s="202"/>
      <c r="C271" s="202"/>
      <c r="D271" s="202"/>
      <c r="E271" s="202"/>
      <c r="F271" s="202"/>
      <c r="G271" s="202"/>
      <c r="H271" s="202"/>
    </row>
    <row r="272" spans="1:20" x14ac:dyDescent="0.25">
      <c r="A272" s="202"/>
      <c r="B272" s="202"/>
      <c r="C272" s="202"/>
      <c r="D272" s="202"/>
      <c r="E272" s="202"/>
      <c r="F272" s="202"/>
      <c r="G272" s="202"/>
      <c r="H272" s="202"/>
    </row>
    <row r="273" spans="1:8" x14ac:dyDescent="0.25">
      <c r="A273" s="35" t="s">
        <v>63</v>
      </c>
      <c r="B273" s="36"/>
      <c r="C273" s="36"/>
      <c r="D273" s="35" t="str">
        <f>E9</f>
        <v>Ruturaj Classic</v>
      </c>
      <c r="F273" s="36"/>
      <c r="G273" s="36"/>
      <c r="H273" s="36"/>
    </row>
    <row r="274" spans="1:8" x14ac:dyDescent="0.25">
      <c r="A274" s="36"/>
      <c r="B274" s="36"/>
      <c r="C274" s="36"/>
      <c r="D274" s="36"/>
      <c r="E274" s="36"/>
      <c r="F274" s="36"/>
      <c r="G274" s="36"/>
      <c r="H274" s="36"/>
    </row>
    <row r="275" spans="1:8" x14ac:dyDescent="0.25">
      <c r="A275" s="36"/>
      <c r="B275" s="36"/>
      <c r="C275" s="36"/>
      <c r="D275" s="36"/>
      <c r="E275" s="36"/>
      <c r="F275" s="36"/>
      <c r="G275" s="36"/>
      <c r="H275" s="36"/>
    </row>
    <row r="276" spans="1:8" ht="15" customHeight="1" x14ac:dyDescent="0.25"/>
    <row r="317" spans="1:1" x14ac:dyDescent="0.25">
      <c r="A317" s="38" t="s">
        <v>164</v>
      </c>
    </row>
    <row r="361" spans="1:1" x14ac:dyDescent="0.25">
      <c r="A361" s="38" t="s">
        <v>64</v>
      </c>
    </row>
  </sheetData>
  <mergeCells count="481">
    <mergeCell ref="L171:M171"/>
    <mergeCell ref="L172:M172"/>
    <mergeCell ref="L173:M173"/>
    <mergeCell ref="L170:M170"/>
    <mergeCell ref="A174:B174"/>
    <mergeCell ref="A175:B175"/>
    <mergeCell ref="A176:B176"/>
    <mergeCell ref="A183:B183"/>
    <mergeCell ref="A194:B194"/>
    <mergeCell ref="L213:M213"/>
    <mergeCell ref="L211:M211"/>
    <mergeCell ref="L212:M212"/>
    <mergeCell ref="L189:M189"/>
    <mergeCell ref="L190:M190"/>
    <mergeCell ref="L202:M202"/>
    <mergeCell ref="A193:H193"/>
    <mergeCell ref="L193:M193"/>
    <mergeCell ref="B248:H248"/>
    <mergeCell ref="A195:B195"/>
    <mergeCell ref="A196:B196"/>
    <mergeCell ref="A197:B197"/>
    <mergeCell ref="A198:B198"/>
    <mergeCell ref="A199:B199"/>
    <mergeCell ref="L200:M200"/>
    <mergeCell ref="L221:M221"/>
    <mergeCell ref="A226:B226"/>
    <mergeCell ref="A223:B223"/>
    <mergeCell ref="A224:B224"/>
    <mergeCell ref="A234:B234"/>
    <mergeCell ref="L218:M218"/>
    <mergeCell ref="L215:M215"/>
    <mergeCell ref="L216:M216"/>
    <mergeCell ref="L156:M156"/>
    <mergeCell ref="A160:H160"/>
    <mergeCell ref="A157:H157"/>
    <mergeCell ref="B158:B159"/>
    <mergeCell ref="A147:B147"/>
    <mergeCell ref="A148:B148"/>
    <mergeCell ref="A149:B149"/>
    <mergeCell ref="A150:B150"/>
    <mergeCell ref="B260:H260"/>
    <mergeCell ref="B258:H258"/>
    <mergeCell ref="L220:M220"/>
    <mergeCell ref="A163:H163"/>
    <mergeCell ref="L163:M163"/>
    <mergeCell ref="L201:M201"/>
    <mergeCell ref="A207:H207"/>
    <mergeCell ref="L203:M203"/>
    <mergeCell ref="L204:M204"/>
    <mergeCell ref="L206:M206"/>
    <mergeCell ref="L207:M207"/>
    <mergeCell ref="L208:M208"/>
    <mergeCell ref="L209:M209"/>
    <mergeCell ref="L210:M210"/>
    <mergeCell ref="B257:H257"/>
    <mergeCell ref="A232:B232"/>
    <mergeCell ref="A104:E104"/>
    <mergeCell ref="D128:D129"/>
    <mergeCell ref="A106:E106"/>
    <mergeCell ref="G121:H121"/>
    <mergeCell ref="A123:B123"/>
    <mergeCell ref="C123:D123"/>
    <mergeCell ref="L154:M154"/>
    <mergeCell ref="L155:M155"/>
    <mergeCell ref="L146:M146"/>
    <mergeCell ref="L147:M147"/>
    <mergeCell ref="L148:M148"/>
    <mergeCell ref="L149:M149"/>
    <mergeCell ref="L150:M150"/>
    <mergeCell ref="L139:M139"/>
    <mergeCell ref="L142:M142"/>
    <mergeCell ref="A102:E102"/>
    <mergeCell ref="F106:H106"/>
    <mergeCell ref="E121:F121"/>
    <mergeCell ref="C128:C129"/>
    <mergeCell ref="L143:M143"/>
    <mergeCell ref="L144:M144"/>
    <mergeCell ref="L145:M145"/>
    <mergeCell ref="A103:E103"/>
    <mergeCell ref="A130:H130"/>
    <mergeCell ref="L136:M136"/>
    <mergeCell ref="L137:M137"/>
    <mergeCell ref="L138:M138"/>
    <mergeCell ref="L135:M135"/>
    <mergeCell ref="L134:M134"/>
    <mergeCell ref="L133:M133"/>
    <mergeCell ref="L132:M132"/>
    <mergeCell ref="A110:E110"/>
    <mergeCell ref="F105:H105"/>
    <mergeCell ref="A109:E109"/>
    <mergeCell ref="A131:H131"/>
    <mergeCell ref="E128:E129"/>
    <mergeCell ref="F104:H104"/>
    <mergeCell ref="A71:C71"/>
    <mergeCell ref="D72:H72"/>
    <mergeCell ref="A92:B92"/>
    <mergeCell ref="G91:H91"/>
    <mergeCell ref="A100:B100"/>
    <mergeCell ref="A101:B101"/>
    <mergeCell ref="A96:B96"/>
    <mergeCell ref="A107:E107"/>
    <mergeCell ref="A124:B124"/>
    <mergeCell ref="A93:B93"/>
    <mergeCell ref="E124:F124"/>
    <mergeCell ref="A112:E112"/>
    <mergeCell ref="G124:H124"/>
    <mergeCell ref="C118:D118"/>
    <mergeCell ref="E118:F118"/>
    <mergeCell ref="G118:H118"/>
    <mergeCell ref="A119:B119"/>
    <mergeCell ref="C119:D119"/>
    <mergeCell ref="E119:F119"/>
    <mergeCell ref="G119:H119"/>
    <mergeCell ref="A95:B95"/>
    <mergeCell ref="E91:F91"/>
    <mergeCell ref="A98:B98"/>
    <mergeCell ref="A90:B90"/>
    <mergeCell ref="L217:M217"/>
    <mergeCell ref="L219:M219"/>
    <mergeCell ref="A40:B40"/>
    <mergeCell ref="C40:H40"/>
    <mergeCell ref="F128:F129"/>
    <mergeCell ref="C117:D117"/>
    <mergeCell ref="E117:F117"/>
    <mergeCell ref="C158:C159"/>
    <mergeCell ref="G158:G159"/>
    <mergeCell ref="G125:H125"/>
    <mergeCell ref="C55:H55"/>
    <mergeCell ref="C49:H49"/>
    <mergeCell ref="F102:H102"/>
    <mergeCell ref="F107:H107"/>
    <mergeCell ref="A108:E108"/>
    <mergeCell ref="F108:H108"/>
    <mergeCell ref="A69:C69"/>
    <mergeCell ref="D69:H69"/>
    <mergeCell ref="C90:H90"/>
    <mergeCell ref="A70:C70"/>
    <mergeCell ref="D70:H70"/>
    <mergeCell ref="A73:C73"/>
    <mergeCell ref="D73:H73"/>
    <mergeCell ref="A44:D44"/>
    <mergeCell ref="A38:H38"/>
    <mergeCell ref="A37:B37"/>
    <mergeCell ref="C37:E37"/>
    <mergeCell ref="A42:D42"/>
    <mergeCell ref="E42:H42"/>
    <mergeCell ref="A41:H41"/>
    <mergeCell ref="A67:C67"/>
    <mergeCell ref="A68:C68"/>
    <mergeCell ref="D67:H67"/>
    <mergeCell ref="F37:H37"/>
    <mergeCell ref="C51:E51"/>
    <mergeCell ref="C50:E50"/>
    <mergeCell ref="G50:H50"/>
    <mergeCell ref="A51:B51"/>
    <mergeCell ref="G56:H56"/>
    <mergeCell ref="A58:B59"/>
    <mergeCell ref="C58:E58"/>
    <mergeCell ref="G58:H58"/>
    <mergeCell ref="G51:H51"/>
    <mergeCell ref="A39:B39"/>
    <mergeCell ref="C39:H39"/>
    <mergeCell ref="A46:D46"/>
    <mergeCell ref="A47:D47"/>
    <mergeCell ref="D68:H68"/>
    <mergeCell ref="E44:H44"/>
    <mergeCell ref="E45:H45"/>
    <mergeCell ref="E46:H46"/>
    <mergeCell ref="E47:H47"/>
    <mergeCell ref="C57:H57"/>
    <mergeCell ref="C59:H59"/>
    <mergeCell ref="A48:H48"/>
    <mergeCell ref="D64:H64"/>
    <mergeCell ref="A64:C64"/>
    <mergeCell ref="A45:D45"/>
    <mergeCell ref="A49:B49"/>
    <mergeCell ref="C52:E52"/>
    <mergeCell ref="A52:B53"/>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C20:D20"/>
    <mergeCell ref="E20:F20"/>
    <mergeCell ref="G20:H20"/>
    <mergeCell ref="A21:B21"/>
    <mergeCell ref="C21:D21"/>
    <mergeCell ref="E21:F21"/>
    <mergeCell ref="G21:H21"/>
    <mergeCell ref="A22:B22"/>
    <mergeCell ref="C22:D22"/>
    <mergeCell ref="E22:F22"/>
    <mergeCell ref="G22:H22"/>
    <mergeCell ref="E14:H14"/>
    <mergeCell ref="A105:E105"/>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69:H272"/>
    <mergeCell ref="A268:B268"/>
    <mergeCell ref="E268:F268"/>
    <mergeCell ref="C268:D268"/>
    <mergeCell ref="G268:H268"/>
    <mergeCell ref="A115:H115"/>
    <mergeCell ref="A113:E113"/>
    <mergeCell ref="F113:H113"/>
    <mergeCell ref="A114:E114"/>
    <mergeCell ref="F114:H114"/>
    <mergeCell ref="A221:H221"/>
    <mergeCell ref="A122:B122"/>
    <mergeCell ref="A230:B230"/>
    <mergeCell ref="A117:B117"/>
    <mergeCell ref="A264:H264"/>
    <mergeCell ref="A120:H120"/>
    <mergeCell ref="A267:H267"/>
    <mergeCell ref="A265:H265"/>
    <mergeCell ref="A261:H261"/>
    <mergeCell ref="A262:H262"/>
    <mergeCell ref="B259:H259"/>
    <mergeCell ref="F158:F159"/>
    <mergeCell ref="A239:H239"/>
    <mergeCell ref="A240:B240"/>
    <mergeCell ref="A74:B74"/>
    <mergeCell ref="C74:H74"/>
    <mergeCell ref="A76:B76"/>
    <mergeCell ref="C76:H76"/>
    <mergeCell ref="A77:B77"/>
    <mergeCell ref="G77:H77"/>
    <mergeCell ref="A78:B78"/>
    <mergeCell ref="E78:F87"/>
    <mergeCell ref="G78:H87"/>
    <mergeCell ref="A79:B79"/>
    <mergeCell ref="A80:B80"/>
    <mergeCell ref="A81:B81"/>
    <mergeCell ref="A82:B82"/>
    <mergeCell ref="A83:B83"/>
    <mergeCell ref="A84:B84"/>
    <mergeCell ref="A85:B85"/>
    <mergeCell ref="A86:B86"/>
    <mergeCell ref="A228:B228"/>
    <mergeCell ref="B255:H255"/>
    <mergeCell ref="A125:B125"/>
    <mergeCell ref="C125:D125"/>
    <mergeCell ref="E125:F125"/>
    <mergeCell ref="B254:H254"/>
    <mergeCell ref="B252:H252"/>
    <mergeCell ref="G128:G129"/>
    <mergeCell ref="A235:B235"/>
    <mergeCell ref="A200:H200"/>
    <mergeCell ref="B246:H246"/>
    <mergeCell ref="B247:H247"/>
    <mergeCell ref="B249:H249"/>
    <mergeCell ref="B251:H251"/>
    <mergeCell ref="B253:H253"/>
    <mergeCell ref="A236:B236"/>
    <mergeCell ref="A225:B225"/>
    <mergeCell ref="A126:H126"/>
    <mergeCell ref="A158:A159"/>
    <mergeCell ref="A142:B142"/>
    <mergeCell ref="A143:B143"/>
    <mergeCell ref="A144:B144"/>
    <mergeCell ref="A145:B145"/>
    <mergeCell ref="A146:B146"/>
    <mergeCell ref="A65:C66"/>
    <mergeCell ref="D65:H65"/>
    <mergeCell ref="G52:H52"/>
    <mergeCell ref="A61:H61"/>
    <mergeCell ref="A62:C62"/>
    <mergeCell ref="A63:C63"/>
    <mergeCell ref="D63:H63"/>
    <mergeCell ref="G60:H60"/>
    <mergeCell ref="A54:B55"/>
    <mergeCell ref="C54:E54"/>
    <mergeCell ref="G54:H54"/>
    <mergeCell ref="A56:B57"/>
    <mergeCell ref="C56:E56"/>
    <mergeCell ref="A266:H266"/>
    <mergeCell ref="A263:H263"/>
    <mergeCell ref="A222:B222"/>
    <mergeCell ref="A121:B121"/>
    <mergeCell ref="D158:D159"/>
    <mergeCell ref="E158:E159"/>
    <mergeCell ref="F103:H103"/>
    <mergeCell ref="G117:H117"/>
    <mergeCell ref="F109:H109"/>
    <mergeCell ref="C116:D116"/>
    <mergeCell ref="C124:D124"/>
    <mergeCell ref="A162:H162"/>
    <mergeCell ref="A231:B231"/>
    <mergeCell ref="B256:H256"/>
    <mergeCell ref="B250:H250"/>
    <mergeCell ref="A245:H245"/>
    <mergeCell ref="A237:B237"/>
    <mergeCell ref="A238:B238"/>
    <mergeCell ref="A233:H233"/>
    <mergeCell ref="A227:H227"/>
    <mergeCell ref="A242:B242"/>
    <mergeCell ref="A241:B241"/>
    <mergeCell ref="A244:B244"/>
    <mergeCell ref="A243:B243"/>
    <mergeCell ref="I15:P15"/>
    <mergeCell ref="F112:H112"/>
    <mergeCell ref="F110:H110"/>
    <mergeCell ref="A229:B229"/>
    <mergeCell ref="A127:H127"/>
    <mergeCell ref="G116:H116"/>
    <mergeCell ref="A111:E111"/>
    <mergeCell ref="A60:B60"/>
    <mergeCell ref="C60:E60"/>
    <mergeCell ref="D62:H62"/>
    <mergeCell ref="F111:H111"/>
    <mergeCell ref="E116:F116"/>
    <mergeCell ref="A116:B116"/>
    <mergeCell ref="A118:B118"/>
    <mergeCell ref="C121:D121"/>
    <mergeCell ref="D71:H71"/>
    <mergeCell ref="A72:C72"/>
    <mergeCell ref="E43:H43"/>
    <mergeCell ref="A43:D43"/>
    <mergeCell ref="A97:B97"/>
    <mergeCell ref="A50:B50"/>
    <mergeCell ref="C53:H53"/>
    <mergeCell ref="D66:H66"/>
    <mergeCell ref="E77:F77"/>
    <mergeCell ref="A87:B87"/>
    <mergeCell ref="A140:H140"/>
    <mergeCell ref="A141:H141"/>
    <mergeCell ref="A128:B129"/>
    <mergeCell ref="A132:B132"/>
    <mergeCell ref="A133:B133"/>
    <mergeCell ref="A134:B134"/>
    <mergeCell ref="A135:B135"/>
    <mergeCell ref="A136:B136"/>
    <mergeCell ref="A137:B137"/>
    <mergeCell ref="A138:B138"/>
    <mergeCell ref="A139:B139"/>
    <mergeCell ref="A88:B88"/>
    <mergeCell ref="C88:H88"/>
    <mergeCell ref="A91:B91"/>
    <mergeCell ref="A94:B94"/>
    <mergeCell ref="E92:F101"/>
    <mergeCell ref="G92:H101"/>
    <mergeCell ref="A99:B99"/>
    <mergeCell ref="E123:F123"/>
    <mergeCell ref="G123:H123"/>
    <mergeCell ref="C122:D122"/>
    <mergeCell ref="E122:F122"/>
    <mergeCell ref="G122:H122"/>
    <mergeCell ref="L174:M174"/>
    <mergeCell ref="L175:M175"/>
    <mergeCell ref="L176:M176"/>
    <mergeCell ref="L177:M177"/>
    <mergeCell ref="A151:B151"/>
    <mergeCell ref="A152:B152"/>
    <mergeCell ref="A153:B153"/>
    <mergeCell ref="A154:B154"/>
    <mergeCell ref="A155:B155"/>
    <mergeCell ref="A156:B156"/>
    <mergeCell ref="A161:H161"/>
    <mergeCell ref="A164:B164"/>
    <mergeCell ref="A165:B165"/>
    <mergeCell ref="A166:B166"/>
    <mergeCell ref="A167:B167"/>
    <mergeCell ref="A168:B168"/>
    <mergeCell ref="A169:B169"/>
    <mergeCell ref="A170:H170"/>
    <mergeCell ref="A171:B171"/>
    <mergeCell ref="A172:B172"/>
    <mergeCell ref="A173:B173"/>
    <mergeCell ref="L151:M151"/>
    <mergeCell ref="L152:M152"/>
    <mergeCell ref="L153:M153"/>
    <mergeCell ref="A177:H177"/>
    <mergeCell ref="L178:M178"/>
    <mergeCell ref="L179:M179"/>
    <mergeCell ref="L180:M180"/>
    <mergeCell ref="L181:M181"/>
    <mergeCell ref="L182:M182"/>
    <mergeCell ref="L183:M183"/>
    <mergeCell ref="L184:M184"/>
    <mergeCell ref="A178:B178"/>
    <mergeCell ref="A179:B179"/>
    <mergeCell ref="A180:B180"/>
    <mergeCell ref="A181:B181"/>
    <mergeCell ref="A182:B182"/>
    <mergeCell ref="A184:H184"/>
    <mergeCell ref="L186:M186"/>
    <mergeCell ref="C187:H187"/>
    <mergeCell ref="A185:B185"/>
    <mergeCell ref="A186:B186"/>
    <mergeCell ref="A187:B187"/>
    <mergeCell ref="A188:B188"/>
    <mergeCell ref="A189:B189"/>
    <mergeCell ref="A215:B215"/>
    <mergeCell ref="A216:B216"/>
    <mergeCell ref="A190:B190"/>
    <mergeCell ref="A201:B201"/>
    <mergeCell ref="A202:B202"/>
    <mergeCell ref="A203:B203"/>
    <mergeCell ref="A204:B204"/>
    <mergeCell ref="A205:B205"/>
    <mergeCell ref="A206:B206"/>
    <mergeCell ref="A191:H191"/>
    <mergeCell ref="A192:H192"/>
    <mergeCell ref="L185:M185"/>
    <mergeCell ref="A214:H214"/>
    <mergeCell ref="L214:M214"/>
    <mergeCell ref="L205:M205"/>
    <mergeCell ref="L187:M187"/>
    <mergeCell ref="L188:M188"/>
    <mergeCell ref="A217:B217"/>
    <mergeCell ref="A218:B218"/>
    <mergeCell ref="A219:B219"/>
    <mergeCell ref="A220:B220"/>
    <mergeCell ref="A208:B208"/>
    <mergeCell ref="A209:B209"/>
    <mergeCell ref="A210:B210"/>
    <mergeCell ref="A211:B211"/>
    <mergeCell ref="A212:B212"/>
    <mergeCell ref="A213:B213"/>
  </mergeCells>
  <dataValidations count="16">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28:E129">
      <formula1>"Attached Loft area,Attached Otla area,Attached Mezzanine area"</formula1>
    </dataValidation>
    <dataValidation type="list" allowBlank="1" showInputMessage="1" showErrorMessage="1" sqref="G268:H268">
      <formula1>"Kunal Kadam,Pranita Mhatre,Shruti Fule,Pooja Kawale,Gaurav Panchal,Shruti Tathare, Hitakshi Mhatre, Sachin Sawant"</formula1>
    </dataValidation>
    <dataValidation type="list" allowBlank="1" showInputMessage="1" showErrorMessage="1" sqref="F102:H102">
      <formula1>"On Saleable Area,On Builtup Area,On Carpet Area,On Plot Area"</formula1>
    </dataValidation>
    <dataValidation type="list" allowBlank="1" showInputMessage="1" showErrorMessage="1" sqref="F113:H113">
      <formula1>OFFSET($S$102,1,MATCH($G20,$S$102:$W$102,0)-1,15,1)</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8:E159">
      <formula1>"Fungible area,Balcony Area,Chajja Area,Cornice Area,AP Area,WS Area"</formula1>
    </dataValidation>
    <dataValidation type="list" allowBlank="1" showInputMessage="1" showErrorMessage="1" sqref="H129 H159">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97 C83">
      <formula1>0</formula1>
      <formula2>H75</formula2>
    </dataValidation>
    <dataValidation type="list" allowBlank="1" showInputMessage="1" showErrorMessage="1" sqref="H128 H158">
      <formula1>"Saleable area Loading :,Builder Saleable Area"</formula1>
    </dataValidation>
    <dataValidation type="list" allowBlank="1" showInputMessage="1" showErrorMessage="1" sqref="D128:D129 D158:D159">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6" manualBreakCount="6">
    <brk id="73" max="7" man="1"/>
    <brk id="119" max="7" man="1"/>
    <brk id="157" max="7" man="1"/>
    <brk id="272" max="16383" man="1"/>
    <brk id="316" max="16383" man="1"/>
    <brk id="360"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31" zoomScale="85" zoomScaleNormal="85" workbookViewId="0">
      <selection activeCell="B15" sqref="B15"/>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49" t="s">
        <v>105</v>
      </c>
      <c r="C3" s="249"/>
      <c r="D3" s="249"/>
      <c r="E3" s="249"/>
      <c r="F3" s="249"/>
      <c r="G3" s="249"/>
      <c r="H3" s="249"/>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8"/>
      <c r="C4" s="48" t="s">
        <v>11</v>
      </c>
      <c r="D4" s="49" t="s">
        <v>178</v>
      </c>
      <c r="E4" s="49" t="s">
        <v>188</v>
      </c>
      <c r="F4" s="49" t="s">
        <v>173</v>
      </c>
      <c r="G4" s="49" t="s">
        <v>193</v>
      </c>
      <c r="H4" s="49" t="s">
        <v>211</v>
      </c>
      <c r="J4" t="s">
        <v>193</v>
      </c>
      <c r="K4" t="s">
        <v>209</v>
      </c>
    </row>
    <row r="5" spans="2:11" x14ac:dyDescent="0.25">
      <c r="B5" s="48"/>
      <c r="C5" s="48"/>
      <c r="D5" s="49" t="s">
        <v>179</v>
      </c>
      <c r="E5" s="49" t="s">
        <v>186</v>
      </c>
      <c r="F5" s="49" t="s">
        <v>208</v>
      </c>
      <c r="G5" s="49" t="s">
        <v>194</v>
      </c>
      <c r="H5" s="49" t="s">
        <v>212</v>
      </c>
    </row>
    <row r="6" spans="2:11" x14ac:dyDescent="0.25">
      <c r="B6" s="48"/>
      <c r="C6" s="48"/>
      <c r="D6" s="49" t="s">
        <v>180</v>
      </c>
      <c r="E6" s="49" t="s">
        <v>187</v>
      </c>
      <c r="F6" s="49" t="s">
        <v>209</v>
      </c>
      <c r="G6" s="49" t="s">
        <v>195</v>
      </c>
      <c r="H6" s="49" t="s">
        <v>225</v>
      </c>
    </row>
    <row r="7" spans="2:11" x14ac:dyDescent="0.25">
      <c r="B7" s="48"/>
      <c r="C7" s="48"/>
      <c r="D7" s="49" t="s">
        <v>181</v>
      </c>
      <c r="E7" s="49" t="s">
        <v>189</v>
      </c>
      <c r="F7" s="49" t="s">
        <v>210</v>
      </c>
      <c r="G7" s="49" t="s">
        <v>196</v>
      </c>
      <c r="H7" s="49" t="s">
        <v>213</v>
      </c>
    </row>
    <row r="8" spans="2:11" x14ac:dyDescent="0.25">
      <c r="B8" s="48"/>
      <c r="C8" s="48"/>
      <c r="D8" s="49" t="s">
        <v>182</v>
      </c>
      <c r="E8" s="49" t="s">
        <v>190</v>
      </c>
      <c r="F8" s="49"/>
      <c r="G8" s="49" t="s">
        <v>197</v>
      </c>
      <c r="H8" s="49" t="s">
        <v>214</v>
      </c>
    </row>
    <row r="9" spans="2:11" x14ac:dyDescent="0.25">
      <c r="B9" s="48"/>
      <c r="C9" s="48"/>
      <c r="D9" s="49" t="s">
        <v>183</v>
      </c>
      <c r="E9" s="49" t="s">
        <v>188</v>
      </c>
      <c r="F9" s="49"/>
      <c r="G9" s="49" t="s">
        <v>198</v>
      </c>
      <c r="H9" s="49" t="s">
        <v>215</v>
      </c>
    </row>
    <row r="10" spans="2:11" x14ac:dyDescent="0.25">
      <c r="B10" s="48"/>
      <c r="C10" s="48"/>
      <c r="D10" s="49" t="s">
        <v>184</v>
      </c>
      <c r="E10" s="49" t="s">
        <v>191</v>
      </c>
      <c r="F10" s="49"/>
      <c r="G10" s="49" t="s">
        <v>199</v>
      </c>
      <c r="H10" s="49" t="s">
        <v>216</v>
      </c>
    </row>
    <row r="11" spans="2:11" x14ac:dyDescent="0.25">
      <c r="B11" s="48"/>
      <c r="C11" s="48"/>
      <c r="D11" s="49" t="s">
        <v>185</v>
      </c>
      <c r="E11" s="49" t="s">
        <v>192</v>
      </c>
      <c r="F11" s="49"/>
      <c r="G11" s="49" t="s">
        <v>200</v>
      </c>
      <c r="H11" s="49" t="s">
        <v>217</v>
      </c>
    </row>
    <row r="12" spans="2:11" x14ac:dyDescent="0.25">
      <c r="B12" s="48"/>
      <c r="C12" s="48"/>
      <c r="D12" s="49"/>
      <c r="E12" s="49"/>
      <c r="F12" s="49"/>
      <c r="G12" s="49" t="s">
        <v>201</v>
      </c>
      <c r="H12" s="49" t="s">
        <v>218</v>
      </c>
    </row>
    <row r="13" spans="2:11" x14ac:dyDescent="0.25">
      <c r="B13" s="48"/>
      <c r="C13" s="48"/>
      <c r="D13" s="49"/>
      <c r="E13" s="49"/>
      <c r="F13" s="49"/>
      <c r="G13" s="49" t="s">
        <v>202</v>
      </c>
      <c r="H13" s="49" t="s">
        <v>219</v>
      </c>
    </row>
    <row r="14" spans="2:11" x14ac:dyDescent="0.25">
      <c r="B14" s="48"/>
      <c r="C14" s="48"/>
      <c r="D14" s="49"/>
      <c r="E14" s="49"/>
      <c r="F14" s="49"/>
      <c r="G14" s="49" t="s">
        <v>203</v>
      </c>
      <c r="H14" s="49" t="s">
        <v>220</v>
      </c>
    </row>
    <row r="15" spans="2:11" x14ac:dyDescent="0.25">
      <c r="B15" s="48"/>
      <c r="C15" s="48"/>
      <c r="D15" s="49"/>
      <c r="E15" s="49"/>
      <c r="F15" s="49"/>
      <c r="G15" s="49" t="s">
        <v>204</v>
      </c>
      <c r="H15" s="49" t="s">
        <v>221</v>
      </c>
    </row>
    <row r="16" spans="2:11" x14ac:dyDescent="0.25">
      <c r="B16" s="48"/>
      <c r="C16" s="48"/>
      <c r="D16" s="49"/>
      <c r="E16" s="49"/>
      <c r="F16" s="49"/>
      <c r="G16" s="49" t="s">
        <v>205</v>
      </c>
      <c r="H16" s="49" t="s">
        <v>222</v>
      </c>
    </row>
    <row r="17" spans="2:8" x14ac:dyDescent="0.25">
      <c r="B17" s="48"/>
      <c r="C17" s="48"/>
      <c r="D17" s="49"/>
      <c r="E17" s="49"/>
      <c r="F17" s="49"/>
      <c r="G17" s="49" t="s">
        <v>206</v>
      </c>
      <c r="H17" s="49" t="s">
        <v>223</v>
      </c>
    </row>
    <row r="18" spans="2:8" x14ac:dyDescent="0.25">
      <c r="B18" s="48"/>
      <c r="C18" s="48"/>
      <c r="D18" s="49"/>
      <c r="E18" s="49"/>
      <c r="F18" s="49"/>
      <c r="G18" s="49" t="s">
        <v>207</v>
      </c>
      <c r="H18" s="49" t="s">
        <v>224</v>
      </c>
    </row>
    <row r="24" spans="2:8" x14ac:dyDescent="0.25">
      <c r="C24" t="s">
        <v>170</v>
      </c>
    </row>
    <row r="25" spans="2:8" x14ac:dyDescent="0.25">
      <c r="C25" t="s">
        <v>226</v>
      </c>
    </row>
    <row r="26" spans="2:8" x14ac:dyDescent="0.25">
      <c r="C26" t="s">
        <v>227</v>
      </c>
    </row>
    <row r="27" spans="2:8" x14ac:dyDescent="0.25">
      <c r="C27" t="s">
        <v>228</v>
      </c>
    </row>
    <row r="28" spans="2:8" x14ac:dyDescent="0.25">
      <c r="C28" t="s">
        <v>229</v>
      </c>
    </row>
    <row r="29" spans="2:8" x14ac:dyDescent="0.25">
      <c r="C29" t="s">
        <v>230</v>
      </c>
    </row>
    <row r="30" spans="2:8" x14ac:dyDescent="0.25">
      <c r="C30" t="s">
        <v>170</v>
      </c>
    </row>
    <row r="33" spans="3:11" x14ac:dyDescent="0.25">
      <c r="J33">
        <v>1</v>
      </c>
      <c r="K33">
        <v>2</v>
      </c>
    </row>
    <row r="34" spans="3:11" x14ac:dyDescent="0.25">
      <c r="C34" s="52" t="s">
        <v>237</v>
      </c>
      <c r="D34" s="49" t="s">
        <v>235</v>
      </c>
      <c r="E34" s="49" t="s">
        <v>240</v>
      </c>
      <c r="F34" s="49" t="s">
        <v>238</v>
      </c>
      <c r="G34" s="49" t="s">
        <v>239</v>
      </c>
      <c r="H34" s="49" t="s">
        <v>241</v>
      </c>
      <c r="J34" t="s">
        <v>193</v>
      </c>
      <c r="K34" t="s">
        <v>209</v>
      </c>
    </row>
    <row r="35" spans="3:11" x14ac:dyDescent="0.25">
      <c r="C35" s="48" t="s">
        <v>236</v>
      </c>
      <c r="D35" s="49" t="s">
        <v>171</v>
      </c>
      <c r="E35" s="49" t="s">
        <v>245</v>
      </c>
      <c r="F35" s="49" t="s">
        <v>247</v>
      </c>
      <c r="G35" s="49" t="s">
        <v>249</v>
      </c>
      <c r="H35" s="49"/>
    </row>
    <row r="36" spans="3:11" x14ac:dyDescent="0.25">
      <c r="C36" s="48"/>
      <c r="D36" s="49" t="s">
        <v>242</v>
      </c>
      <c r="E36" s="49" t="s">
        <v>246</v>
      </c>
      <c r="F36" s="49" t="s">
        <v>248</v>
      </c>
      <c r="G36" s="49" t="s">
        <v>250</v>
      </c>
      <c r="H36" s="49"/>
    </row>
    <row r="37" spans="3:11" x14ac:dyDescent="0.25">
      <c r="C37" s="48"/>
      <c r="D37" s="49" t="s">
        <v>243</v>
      </c>
      <c r="E37" s="49"/>
      <c r="F37" s="49"/>
      <c r="G37" s="49" t="s">
        <v>251</v>
      </c>
      <c r="H37" s="49"/>
    </row>
    <row r="38" spans="3:11" x14ac:dyDescent="0.25">
      <c r="C38" s="48"/>
      <c r="D38" s="49" t="s">
        <v>244</v>
      </c>
      <c r="E38" s="49"/>
      <c r="F38" s="49"/>
      <c r="G38" s="49" t="s">
        <v>251</v>
      </c>
      <c r="H38" s="49"/>
    </row>
    <row r="39" spans="3:11" x14ac:dyDescent="0.25">
      <c r="C39" s="48"/>
      <c r="D39" s="49"/>
      <c r="E39" s="49"/>
      <c r="F39" s="49"/>
      <c r="G39" s="49" t="s">
        <v>252</v>
      </c>
      <c r="H39" s="49"/>
    </row>
    <row r="40" spans="3:11" x14ac:dyDescent="0.25">
      <c r="C40" s="48"/>
      <c r="D40" s="49"/>
      <c r="E40" s="49"/>
      <c r="F40" s="49"/>
      <c r="G40" s="49" t="s">
        <v>253</v>
      </c>
      <c r="H40" s="49"/>
    </row>
    <row r="41" spans="3:11" x14ac:dyDescent="0.25">
      <c r="C41" s="48"/>
      <c r="D41" s="49"/>
      <c r="E41" s="49"/>
      <c r="F41" s="49"/>
      <c r="G41" s="49"/>
      <c r="H41" s="49"/>
    </row>
    <row r="43" spans="3:11" x14ac:dyDescent="0.25">
      <c r="C43" t="s">
        <v>254</v>
      </c>
    </row>
    <row r="44" spans="3:11" x14ac:dyDescent="0.25">
      <c r="C44" t="s">
        <v>173</v>
      </c>
      <c r="D44" t="s">
        <v>255</v>
      </c>
    </row>
    <row r="45" spans="3:11" x14ac:dyDescent="0.25">
      <c r="D45" t="s">
        <v>256</v>
      </c>
    </row>
    <row r="46" spans="3:11" x14ac:dyDescent="0.25">
      <c r="D46" t="s">
        <v>257</v>
      </c>
    </row>
    <row r="47" spans="3:11" x14ac:dyDescent="0.25">
      <c r="D47" t="s">
        <v>258</v>
      </c>
    </row>
    <row r="48" spans="3:11" x14ac:dyDescent="0.25">
      <c r="D48" t="s">
        <v>259</v>
      </c>
    </row>
    <row r="49" spans="3:4" x14ac:dyDescent="0.25">
      <c r="C49" t="s">
        <v>178</v>
      </c>
      <c r="D49" t="s">
        <v>260</v>
      </c>
    </row>
    <row r="50" spans="3:4" x14ac:dyDescent="0.25">
      <c r="D50" t="s">
        <v>261</v>
      </c>
    </row>
    <row r="51" spans="3:4" x14ac:dyDescent="0.25">
      <c r="D51" t="s">
        <v>262</v>
      </c>
    </row>
    <row r="52" spans="3:4" x14ac:dyDescent="0.25">
      <c r="D52" t="s">
        <v>265</v>
      </c>
    </row>
    <row r="53" spans="3:4" x14ac:dyDescent="0.25">
      <c r="D53" t="s">
        <v>263</v>
      </c>
    </row>
    <row r="54" spans="3:4" x14ac:dyDescent="0.25">
      <c r="D54" t="s">
        <v>264</v>
      </c>
    </row>
    <row r="55" spans="3:4" x14ac:dyDescent="0.25">
      <c r="D55" t="s">
        <v>266</v>
      </c>
    </row>
    <row r="56" spans="3:4" x14ac:dyDescent="0.25">
      <c r="D56" t="s">
        <v>267</v>
      </c>
    </row>
    <row r="57" spans="3:4" x14ac:dyDescent="0.25">
      <c r="D57" t="s">
        <v>268</v>
      </c>
    </row>
    <row r="58" spans="3:4" x14ac:dyDescent="0.25">
      <c r="D58" t="s">
        <v>270</v>
      </c>
    </row>
    <row r="59" spans="3:4" x14ac:dyDescent="0.25">
      <c r="D59" t="s">
        <v>279</v>
      </c>
    </row>
    <row r="60" spans="3:4" x14ac:dyDescent="0.25">
      <c r="C60" t="s">
        <v>193</v>
      </c>
      <c r="D60" t="s">
        <v>271</v>
      </c>
    </row>
    <row r="61" spans="3:4" x14ac:dyDescent="0.25">
      <c r="D61" t="s">
        <v>269</v>
      </c>
    </row>
    <row r="62" spans="3:4" x14ac:dyDescent="0.25">
      <c r="D62" t="s">
        <v>259</v>
      </c>
    </row>
    <row r="63" spans="3:4" x14ac:dyDescent="0.25">
      <c r="D63" t="s">
        <v>272</v>
      </c>
    </row>
    <row r="64" spans="3:4" x14ac:dyDescent="0.25">
      <c r="D64" t="s">
        <v>273</v>
      </c>
    </row>
    <row r="65" spans="3:4" x14ac:dyDescent="0.25">
      <c r="D65" t="s">
        <v>274</v>
      </c>
    </row>
    <row r="66" spans="3:4" x14ac:dyDescent="0.25">
      <c r="D66" t="s">
        <v>275</v>
      </c>
    </row>
    <row r="67" spans="3:4" x14ac:dyDescent="0.25">
      <c r="C67" t="s">
        <v>188</v>
      </c>
      <c r="D67" t="s">
        <v>276</v>
      </c>
    </row>
    <row r="68" spans="3:4" x14ac:dyDescent="0.25">
      <c r="D68" t="s">
        <v>277</v>
      </c>
    </row>
    <row r="69" spans="3:4" x14ac:dyDescent="0.25">
      <c r="D69" t="s">
        <v>278</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17" workbookViewId="0">
      <selection activeCell="C22" sqref="C22"/>
    </sheetView>
  </sheetViews>
  <sheetFormatPr defaultRowHeight="15" x14ac:dyDescent="0.25"/>
  <cols>
    <col min="2" max="2" width="3" bestFit="1" customWidth="1"/>
    <col min="3" max="3" width="155.28515625" customWidth="1"/>
  </cols>
  <sheetData>
    <row r="2" spans="2:3" ht="15" customHeight="1" x14ac:dyDescent="0.25">
      <c r="B2" s="53">
        <v>1</v>
      </c>
      <c r="C2" s="56" t="s">
        <v>285</v>
      </c>
    </row>
    <row r="3" spans="2:3" x14ac:dyDescent="0.25">
      <c r="B3" s="53">
        <v>2</v>
      </c>
      <c r="C3" s="54" t="s">
        <v>286</v>
      </c>
    </row>
    <row r="4" spans="2:3" x14ac:dyDescent="0.25">
      <c r="B4" s="53">
        <v>3</v>
      </c>
      <c r="C4" s="55" t="s">
        <v>287</v>
      </c>
    </row>
    <row r="5" spans="2:3" x14ac:dyDescent="0.25">
      <c r="B5" s="53">
        <v>4</v>
      </c>
      <c r="C5" s="54" t="s">
        <v>288</v>
      </c>
    </row>
    <row r="6" spans="2:3" x14ac:dyDescent="0.25">
      <c r="B6" s="53">
        <v>5</v>
      </c>
      <c r="C6" s="55" t="s">
        <v>289</v>
      </c>
    </row>
    <row r="7" spans="2:3" ht="30" x14ac:dyDescent="0.25">
      <c r="B7" s="53">
        <v>6</v>
      </c>
      <c r="C7" s="54" t="s">
        <v>290</v>
      </c>
    </row>
    <row r="8" spans="2:3" ht="75" x14ac:dyDescent="0.25">
      <c r="B8" s="53">
        <v>7</v>
      </c>
      <c r="C8" s="54" t="s">
        <v>291</v>
      </c>
    </row>
    <row r="9" spans="2:3" x14ac:dyDescent="0.25">
      <c r="B9" s="53">
        <v>8</v>
      </c>
      <c r="C9" s="55" t="s">
        <v>292</v>
      </c>
    </row>
    <row r="10" spans="2:3" x14ac:dyDescent="0.25">
      <c r="B10" s="53">
        <v>9</v>
      </c>
      <c r="C10" s="55" t="s">
        <v>293</v>
      </c>
    </row>
    <row r="11" spans="2:3" x14ac:dyDescent="0.25">
      <c r="B11" s="53">
        <v>10</v>
      </c>
      <c r="C11" s="55" t="s">
        <v>294</v>
      </c>
    </row>
    <row r="12" spans="2:3" x14ac:dyDescent="0.25">
      <c r="B12" s="53">
        <v>11</v>
      </c>
      <c r="C12" s="55" t="s">
        <v>295</v>
      </c>
    </row>
    <row r="13" spans="2:3" x14ac:dyDescent="0.25">
      <c r="B13" s="53">
        <v>12</v>
      </c>
      <c r="C13" s="55" t="s">
        <v>296</v>
      </c>
    </row>
    <row r="14" spans="2:3" x14ac:dyDescent="0.25">
      <c r="B14" s="53">
        <v>13</v>
      </c>
      <c r="C14" s="55" t="s">
        <v>297</v>
      </c>
    </row>
    <row r="15" spans="2:3" x14ac:dyDescent="0.25">
      <c r="B15" s="53">
        <v>14</v>
      </c>
      <c r="C15" s="55" t="s">
        <v>287</v>
      </c>
    </row>
    <row r="16" spans="2:3" x14ac:dyDescent="0.25">
      <c r="B16" s="53">
        <v>15</v>
      </c>
      <c r="C16" s="55" t="s">
        <v>299</v>
      </c>
    </row>
    <row r="17" spans="2:3" ht="31.5" customHeight="1" x14ac:dyDescent="0.25">
      <c r="B17" s="76">
        <v>16</v>
      </c>
      <c r="C17" s="61" t="s">
        <v>300</v>
      </c>
    </row>
    <row r="18" spans="2:3" x14ac:dyDescent="0.25">
      <c r="B18" s="60">
        <v>17</v>
      </c>
      <c r="C18" s="61" t="s">
        <v>301</v>
      </c>
    </row>
    <row r="19" spans="2:3" x14ac:dyDescent="0.25">
      <c r="B19" s="59">
        <v>18</v>
      </c>
      <c r="C19" s="53" t="s">
        <v>302</v>
      </c>
    </row>
    <row r="20" spans="2:3" x14ac:dyDescent="0.25">
      <c r="B20" s="60">
        <v>19</v>
      </c>
      <c r="C20" s="53" t="s">
        <v>338</v>
      </c>
    </row>
    <row r="21" spans="2:3" x14ac:dyDescent="0.25">
      <c r="B21" s="62">
        <v>20</v>
      </c>
      <c r="C21" s="53" t="s">
        <v>303</v>
      </c>
    </row>
    <row r="22" spans="2:3" x14ac:dyDescent="0.25">
      <c r="B22" s="60">
        <v>21</v>
      </c>
      <c r="C22" s="53" t="s">
        <v>302</v>
      </c>
    </row>
    <row r="23" spans="2:3" s="70" customFormat="1" ht="29.25" customHeight="1" x14ac:dyDescent="0.25">
      <c r="B23" s="69">
        <v>22</v>
      </c>
      <c r="C23" s="56" t="s">
        <v>330</v>
      </c>
    </row>
    <row r="24" spans="2:3" s="70" customFormat="1" ht="30.75" customHeight="1" x14ac:dyDescent="0.25">
      <c r="B24" s="71">
        <v>23</v>
      </c>
      <c r="C24" s="56" t="s">
        <v>331</v>
      </c>
    </row>
    <row r="25" spans="2:3" x14ac:dyDescent="0.25">
      <c r="B25" s="62">
        <v>24</v>
      </c>
      <c r="C25" s="53" t="s">
        <v>334</v>
      </c>
    </row>
    <row r="26" spans="2:3" x14ac:dyDescent="0.25">
      <c r="B26" s="60">
        <v>25</v>
      </c>
      <c r="C26" s="53" t="s">
        <v>332</v>
      </c>
    </row>
    <row r="27" spans="2:3" x14ac:dyDescent="0.25">
      <c r="B27" s="71">
        <v>26</v>
      </c>
      <c r="C27" s="62" t="s">
        <v>333</v>
      </c>
    </row>
    <row r="28" spans="2:3" x14ac:dyDescent="0.25">
      <c r="B28" s="72">
        <v>27</v>
      </c>
      <c r="C28" s="53" t="s">
        <v>335</v>
      </c>
    </row>
    <row r="29" spans="2:3" ht="60" x14ac:dyDescent="0.25">
      <c r="B29" s="75">
        <v>28</v>
      </c>
      <c r="C29" s="54" t="s">
        <v>336</v>
      </c>
    </row>
    <row r="30" spans="2:3" x14ac:dyDescent="0.25">
      <c r="B30" s="71">
        <v>29</v>
      </c>
      <c r="C30" s="53" t="s">
        <v>337</v>
      </c>
    </row>
    <row r="31" spans="2:3" x14ac:dyDescent="0.25">
      <c r="B31" s="77">
        <v>30</v>
      </c>
      <c r="C31" s="53"/>
    </row>
    <row r="32" spans="2:3" x14ac:dyDescent="0.25">
      <c r="B32" s="71">
        <v>31</v>
      </c>
      <c r="C32" s="53"/>
    </row>
    <row r="33" spans="2:3" x14ac:dyDescent="0.25">
      <c r="B33" s="71">
        <v>32</v>
      </c>
      <c r="C33" s="53"/>
    </row>
    <row r="34" spans="2:3" x14ac:dyDescent="0.25">
      <c r="B34" s="77">
        <v>33</v>
      </c>
      <c r="C34" s="53"/>
    </row>
    <row r="35" spans="2:3" x14ac:dyDescent="0.25">
      <c r="B35" s="71">
        <v>34</v>
      </c>
      <c r="C35" s="53"/>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RowHeight="15" x14ac:dyDescent="0.25"/>
  <cols>
    <col min="1" max="1" width="9.140625" style="48"/>
    <col min="2" max="2" width="12.28515625" style="48" customWidth="1"/>
    <col min="3" max="16384" width="9.140625" style="48"/>
  </cols>
  <sheetData>
    <row r="2" spans="1:12" x14ac:dyDescent="0.25">
      <c r="B2" s="63" t="s">
        <v>304</v>
      </c>
      <c r="C2" s="250"/>
      <c r="D2" s="250"/>
    </row>
    <row r="3" spans="1:12" x14ac:dyDescent="0.25">
      <c r="D3" s="64"/>
      <c r="E3" s="64"/>
      <c r="F3" s="64"/>
      <c r="G3" s="64"/>
      <c r="H3" s="64"/>
      <c r="I3" s="64"/>
    </row>
    <row r="4" spans="1:12" x14ac:dyDescent="0.25">
      <c r="A4" s="63" t="s">
        <v>66</v>
      </c>
      <c r="B4" s="65" t="s">
        <v>305</v>
      </c>
      <c r="C4" s="251" t="s">
        <v>306</v>
      </c>
      <c r="D4" s="251"/>
      <c r="E4" s="251"/>
      <c r="F4" s="65"/>
      <c r="G4" s="252" t="s">
        <v>307</v>
      </c>
      <c r="H4" s="252"/>
      <c r="I4" s="252"/>
      <c r="J4" s="253" t="s">
        <v>308</v>
      </c>
      <c r="K4" s="253"/>
      <c r="L4" s="253"/>
    </row>
    <row r="5" spans="1:12" x14ac:dyDescent="0.25">
      <c r="A5" s="63"/>
      <c r="B5" s="65"/>
      <c r="C5" s="65" t="s">
        <v>309</v>
      </c>
      <c r="D5" s="65" t="s">
        <v>310</v>
      </c>
      <c r="E5" s="65" t="s">
        <v>311</v>
      </c>
      <c r="F5" s="65"/>
      <c r="G5" s="65" t="s">
        <v>309</v>
      </c>
      <c r="H5" s="65" t="s">
        <v>310</v>
      </c>
      <c r="I5" s="65" t="s">
        <v>311</v>
      </c>
      <c r="J5" s="65" t="s">
        <v>309</v>
      </c>
      <c r="K5" s="65" t="s">
        <v>310</v>
      </c>
      <c r="L5" s="65" t="s">
        <v>311</v>
      </c>
    </row>
    <row r="6" spans="1:12" x14ac:dyDescent="0.25">
      <c r="B6" s="49" t="s">
        <v>312</v>
      </c>
      <c r="C6" s="49"/>
      <c r="D6" s="49"/>
      <c r="E6" s="49">
        <f>C6*D6</f>
        <v>0</v>
      </c>
      <c r="F6" s="49" t="s">
        <v>329</v>
      </c>
      <c r="G6" s="49"/>
      <c r="H6" s="49"/>
      <c r="I6" s="49">
        <f>G6*H6</f>
        <v>0</v>
      </c>
      <c r="J6" s="49"/>
      <c r="K6" s="49"/>
      <c r="L6" s="49">
        <f>J6*K6</f>
        <v>0</v>
      </c>
    </row>
    <row r="7" spans="1:12" x14ac:dyDescent="0.25">
      <c r="B7" s="49"/>
      <c r="C7" s="49"/>
      <c r="D7" s="49"/>
      <c r="E7" s="49">
        <f t="shared" ref="E7:E41" si="0">C7*D7</f>
        <v>0</v>
      </c>
      <c r="F7" s="49" t="s">
        <v>329</v>
      </c>
      <c r="G7" s="49"/>
      <c r="H7" s="49"/>
      <c r="I7" s="49">
        <f t="shared" ref="I7:I35" si="1">G7*H7</f>
        <v>0</v>
      </c>
      <c r="J7" s="49"/>
      <c r="K7" s="49"/>
      <c r="L7" s="49">
        <f t="shared" ref="L7:L35" si="2">J7*K7</f>
        <v>0</v>
      </c>
    </row>
    <row r="8" spans="1:12" x14ac:dyDescent="0.25">
      <c r="B8" s="49"/>
      <c r="C8" s="49"/>
      <c r="D8" s="49"/>
      <c r="E8" s="49">
        <f t="shared" si="0"/>
        <v>0</v>
      </c>
      <c r="F8" s="49"/>
      <c r="G8" s="49"/>
      <c r="H8" s="49"/>
      <c r="I8" s="49">
        <f t="shared" si="1"/>
        <v>0</v>
      </c>
      <c r="J8" s="49"/>
      <c r="K8" s="49"/>
      <c r="L8" s="49">
        <f t="shared" si="2"/>
        <v>0</v>
      </c>
    </row>
    <row r="9" spans="1:12" x14ac:dyDescent="0.25">
      <c r="B9" s="49"/>
      <c r="C9" s="49"/>
      <c r="D9" s="49"/>
      <c r="E9" s="49">
        <f t="shared" si="0"/>
        <v>0</v>
      </c>
      <c r="F9" s="49" t="s">
        <v>313</v>
      </c>
      <c r="G9" s="49"/>
      <c r="H9" s="49"/>
      <c r="I9" s="49">
        <f t="shared" si="1"/>
        <v>0</v>
      </c>
      <c r="J9" s="49"/>
      <c r="K9" s="49"/>
      <c r="L9" s="49">
        <f t="shared" si="2"/>
        <v>0</v>
      </c>
    </row>
    <row r="10" spans="1:12" x14ac:dyDescent="0.25">
      <c r="B10" s="49" t="s">
        <v>314</v>
      </c>
      <c r="C10" s="49"/>
      <c r="D10" s="49"/>
      <c r="E10" s="49">
        <f t="shared" si="0"/>
        <v>0</v>
      </c>
      <c r="F10" s="49" t="s">
        <v>313</v>
      </c>
      <c r="G10" s="49"/>
      <c r="H10" s="49"/>
      <c r="I10" s="49">
        <f t="shared" si="1"/>
        <v>0</v>
      </c>
      <c r="J10" s="49"/>
      <c r="K10" s="49"/>
      <c r="L10" s="49">
        <f t="shared" si="2"/>
        <v>0</v>
      </c>
    </row>
    <row r="11" spans="1:12" x14ac:dyDescent="0.25">
      <c r="B11" s="49"/>
      <c r="C11" s="49"/>
      <c r="D11" s="49"/>
      <c r="E11" s="49">
        <f t="shared" si="0"/>
        <v>0</v>
      </c>
      <c r="F11" s="49" t="s">
        <v>315</v>
      </c>
      <c r="G11" s="49"/>
      <c r="H11" s="49"/>
      <c r="I11" s="49">
        <f t="shared" si="1"/>
        <v>0</v>
      </c>
      <c r="J11" s="49"/>
      <c r="K11" s="49"/>
      <c r="L11" s="49">
        <f t="shared" si="2"/>
        <v>0</v>
      </c>
    </row>
    <row r="12" spans="1:12" x14ac:dyDescent="0.25">
      <c r="B12" s="49"/>
      <c r="C12" s="49"/>
      <c r="D12" s="49"/>
      <c r="E12" s="49">
        <f t="shared" si="0"/>
        <v>0</v>
      </c>
      <c r="F12" s="49"/>
      <c r="G12" s="49"/>
      <c r="H12" s="49"/>
      <c r="I12" s="49">
        <f t="shared" si="1"/>
        <v>0</v>
      </c>
      <c r="J12" s="49"/>
      <c r="K12" s="49"/>
      <c r="L12" s="49">
        <f t="shared" si="2"/>
        <v>0</v>
      </c>
    </row>
    <row r="13" spans="1:12" x14ac:dyDescent="0.25">
      <c r="B13" s="49"/>
      <c r="C13" s="49"/>
      <c r="D13" s="49"/>
      <c r="E13" s="49">
        <f t="shared" si="0"/>
        <v>0</v>
      </c>
      <c r="F13" s="49"/>
      <c r="G13" s="49"/>
      <c r="H13" s="49"/>
      <c r="I13" s="49">
        <f t="shared" si="1"/>
        <v>0</v>
      </c>
      <c r="J13" s="49"/>
      <c r="K13" s="49"/>
      <c r="L13" s="49">
        <f t="shared" si="2"/>
        <v>0</v>
      </c>
    </row>
    <row r="14" spans="1:12" x14ac:dyDescent="0.25">
      <c r="B14" s="49" t="s">
        <v>316</v>
      </c>
      <c r="C14" s="49"/>
      <c r="D14" s="49"/>
      <c r="E14" s="49">
        <f t="shared" si="0"/>
        <v>0</v>
      </c>
      <c r="F14" s="49" t="s">
        <v>313</v>
      </c>
      <c r="G14" s="49"/>
      <c r="H14" s="49"/>
      <c r="I14" s="49">
        <f t="shared" si="1"/>
        <v>0</v>
      </c>
      <c r="J14" s="49"/>
      <c r="K14" s="49"/>
      <c r="L14" s="49">
        <f t="shared" si="2"/>
        <v>0</v>
      </c>
    </row>
    <row r="15" spans="1:12" x14ac:dyDescent="0.25">
      <c r="B15" s="49"/>
      <c r="C15" s="49"/>
      <c r="D15" s="49"/>
      <c r="E15" s="49">
        <f t="shared" si="0"/>
        <v>0</v>
      </c>
      <c r="F15" s="49" t="s">
        <v>315</v>
      </c>
      <c r="G15" s="49"/>
      <c r="H15" s="49"/>
      <c r="I15" s="49">
        <f t="shared" si="1"/>
        <v>0</v>
      </c>
      <c r="J15" s="49"/>
      <c r="K15" s="49"/>
      <c r="L15" s="49">
        <f t="shared" si="2"/>
        <v>0</v>
      </c>
    </row>
    <row r="16" spans="1:12" x14ac:dyDescent="0.25">
      <c r="B16" s="49"/>
      <c r="C16" s="49"/>
      <c r="D16" s="49"/>
      <c r="E16" s="49">
        <f t="shared" si="0"/>
        <v>0</v>
      </c>
      <c r="F16" s="49"/>
      <c r="G16" s="49"/>
      <c r="H16" s="49"/>
      <c r="I16" s="49">
        <f t="shared" si="1"/>
        <v>0</v>
      </c>
      <c r="J16" s="49"/>
      <c r="K16" s="49"/>
      <c r="L16" s="49">
        <f t="shared" si="2"/>
        <v>0</v>
      </c>
    </row>
    <row r="17" spans="2:12" x14ac:dyDescent="0.25">
      <c r="B17" s="49"/>
      <c r="C17" s="49"/>
      <c r="D17" s="49"/>
      <c r="E17" s="49">
        <f t="shared" si="0"/>
        <v>0</v>
      </c>
      <c r="F17" s="49"/>
      <c r="G17" s="49"/>
      <c r="H17" s="49"/>
      <c r="I17" s="49">
        <f t="shared" si="1"/>
        <v>0</v>
      </c>
      <c r="J17" s="49"/>
      <c r="K17" s="49"/>
      <c r="L17" s="49">
        <f t="shared" si="2"/>
        <v>0</v>
      </c>
    </row>
    <row r="18" spans="2:12" x14ac:dyDescent="0.25">
      <c r="B18" s="49" t="s">
        <v>317</v>
      </c>
      <c r="C18" s="49"/>
      <c r="D18" s="49"/>
      <c r="E18" s="49">
        <f t="shared" si="0"/>
        <v>0</v>
      </c>
      <c r="F18" s="49" t="s">
        <v>313</v>
      </c>
      <c r="G18" s="49"/>
      <c r="H18" s="49"/>
      <c r="I18" s="49">
        <f t="shared" si="1"/>
        <v>0</v>
      </c>
      <c r="J18" s="49"/>
      <c r="K18" s="49"/>
      <c r="L18" s="49">
        <f t="shared" si="2"/>
        <v>0</v>
      </c>
    </row>
    <row r="19" spans="2:12" x14ac:dyDescent="0.25">
      <c r="B19" s="49"/>
      <c r="C19" s="49"/>
      <c r="D19" s="49"/>
      <c r="E19" s="49">
        <f t="shared" si="0"/>
        <v>0</v>
      </c>
      <c r="F19" s="49" t="s">
        <v>315</v>
      </c>
      <c r="G19" s="49"/>
      <c r="H19" s="49"/>
      <c r="I19" s="49">
        <f t="shared" si="1"/>
        <v>0</v>
      </c>
      <c r="J19" s="49"/>
      <c r="K19" s="49"/>
      <c r="L19" s="49">
        <f t="shared" si="2"/>
        <v>0</v>
      </c>
    </row>
    <row r="20" spans="2:12" x14ac:dyDescent="0.25">
      <c r="B20" s="49"/>
      <c r="C20" s="49"/>
      <c r="D20" s="49"/>
      <c r="E20" s="49">
        <f t="shared" si="0"/>
        <v>0</v>
      </c>
      <c r="F20" s="49"/>
      <c r="G20" s="49"/>
      <c r="H20" s="49"/>
      <c r="I20" s="49">
        <f t="shared" si="1"/>
        <v>0</v>
      </c>
      <c r="J20" s="49"/>
      <c r="K20" s="49"/>
      <c r="L20" s="49">
        <f t="shared" si="2"/>
        <v>0</v>
      </c>
    </row>
    <row r="21" spans="2:12" x14ac:dyDescent="0.25">
      <c r="B21" s="49" t="s">
        <v>318</v>
      </c>
      <c r="C21" s="49"/>
      <c r="D21" s="49"/>
      <c r="E21" s="49">
        <f t="shared" si="0"/>
        <v>0</v>
      </c>
      <c r="F21" s="49" t="s">
        <v>313</v>
      </c>
      <c r="G21" s="49"/>
      <c r="H21" s="49"/>
      <c r="I21" s="49">
        <f t="shared" si="1"/>
        <v>0</v>
      </c>
      <c r="J21" s="49"/>
      <c r="K21" s="49"/>
      <c r="L21" s="49">
        <f t="shared" si="2"/>
        <v>0</v>
      </c>
    </row>
    <row r="22" spans="2:12" x14ac:dyDescent="0.25">
      <c r="B22" s="49"/>
      <c r="C22" s="49"/>
      <c r="D22" s="49"/>
      <c r="E22" s="49">
        <f t="shared" si="0"/>
        <v>0</v>
      </c>
      <c r="F22" s="49" t="s">
        <v>315</v>
      </c>
      <c r="G22" s="49"/>
      <c r="H22" s="49"/>
      <c r="I22" s="49">
        <f t="shared" si="1"/>
        <v>0</v>
      </c>
      <c r="J22" s="49"/>
      <c r="K22" s="49"/>
      <c r="L22" s="49">
        <f t="shared" si="2"/>
        <v>0</v>
      </c>
    </row>
    <row r="23" spans="2:12" x14ac:dyDescent="0.25">
      <c r="B23" s="49"/>
      <c r="C23" s="49"/>
      <c r="D23" s="49"/>
      <c r="E23" s="49">
        <f t="shared" si="0"/>
        <v>0</v>
      </c>
      <c r="F23" s="49"/>
      <c r="G23" s="49"/>
      <c r="H23" s="49"/>
      <c r="I23" s="49">
        <f t="shared" si="1"/>
        <v>0</v>
      </c>
      <c r="J23" s="49"/>
      <c r="K23" s="49"/>
      <c r="L23" s="49">
        <f t="shared" si="2"/>
        <v>0</v>
      </c>
    </row>
    <row r="24" spans="2:12" x14ac:dyDescent="0.25">
      <c r="B24" s="49" t="s">
        <v>319</v>
      </c>
      <c r="C24" s="49"/>
      <c r="D24" s="49"/>
      <c r="E24" s="49">
        <f t="shared" si="0"/>
        <v>0</v>
      </c>
      <c r="F24" s="49" t="s">
        <v>320</v>
      </c>
      <c r="G24" s="49"/>
      <c r="H24" s="49"/>
      <c r="I24" s="49">
        <f t="shared" si="1"/>
        <v>0</v>
      </c>
      <c r="J24" s="49"/>
      <c r="K24" s="49"/>
      <c r="L24" s="49">
        <f t="shared" si="2"/>
        <v>0</v>
      </c>
    </row>
    <row r="25" spans="2:12" x14ac:dyDescent="0.25">
      <c r="B25" s="49"/>
      <c r="C25" s="49"/>
      <c r="D25" s="49"/>
      <c r="E25" s="49">
        <f t="shared" ref="E25:E27" si="3">C25*D25</f>
        <v>0</v>
      </c>
      <c r="F25" s="49" t="s">
        <v>320</v>
      </c>
      <c r="G25" s="49"/>
      <c r="H25" s="49"/>
      <c r="I25" s="49">
        <f t="shared" ref="I25:I27" si="4">G25*H25</f>
        <v>0</v>
      </c>
      <c r="J25" s="49"/>
      <c r="K25" s="49"/>
      <c r="L25" s="49">
        <f t="shared" ref="L25:L27" si="5">J25*K25</f>
        <v>0</v>
      </c>
    </row>
    <row r="26" spans="2:12" x14ac:dyDescent="0.25">
      <c r="B26" s="49"/>
      <c r="C26" s="49"/>
      <c r="D26" s="49"/>
      <c r="E26" s="49">
        <f t="shared" si="3"/>
        <v>0</v>
      </c>
      <c r="F26" s="49" t="s">
        <v>320</v>
      </c>
      <c r="G26" s="49"/>
      <c r="H26" s="49"/>
      <c r="I26" s="49">
        <f t="shared" si="4"/>
        <v>0</v>
      </c>
      <c r="J26" s="49"/>
      <c r="K26" s="49"/>
      <c r="L26" s="49">
        <f t="shared" si="5"/>
        <v>0</v>
      </c>
    </row>
    <row r="27" spans="2:12" x14ac:dyDescent="0.25">
      <c r="B27" s="49"/>
      <c r="C27" s="49"/>
      <c r="D27" s="49"/>
      <c r="E27" s="49">
        <f t="shared" si="3"/>
        <v>0</v>
      </c>
      <c r="F27" s="49" t="s">
        <v>320</v>
      </c>
      <c r="G27" s="49"/>
      <c r="H27" s="49"/>
      <c r="I27" s="49">
        <f t="shared" si="4"/>
        <v>0</v>
      </c>
      <c r="J27" s="49"/>
      <c r="K27" s="49"/>
      <c r="L27" s="49">
        <f t="shared" si="5"/>
        <v>0</v>
      </c>
    </row>
    <row r="28" spans="2:12" x14ac:dyDescent="0.25">
      <c r="B28" s="49" t="s">
        <v>321</v>
      </c>
      <c r="C28" s="49"/>
      <c r="D28" s="49"/>
      <c r="E28" s="49">
        <f t="shared" si="0"/>
        <v>0</v>
      </c>
      <c r="F28" s="49" t="s">
        <v>320</v>
      </c>
      <c r="G28" s="49"/>
      <c r="H28" s="49"/>
      <c r="I28" s="49">
        <f t="shared" si="1"/>
        <v>0</v>
      </c>
      <c r="J28" s="49"/>
      <c r="K28" s="49"/>
      <c r="L28" s="49">
        <f t="shared" si="2"/>
        <v>0</v>
      </c>
    </row>
    <row r="29" spans="2:12" x14ac:dyDescent="0.25">
      <c r="B29" s="49" t="s">
        <v>322</v>
      </c>
      <c r="C29" s="49"/>
      <c r="D29" s="49"/>
      <c r="E29" s="49">
        <f t="shared" si="0"/>
        <v>0</v>
      </c>
      <c r="F29" s="49" t="s">
        <v>320</v>
      </c>
      <c r="G29" s="49"/>
      <c r="H29" s="49"/>
      <c r="I29" s="49">
        <f t="shared" si="1"/>
        <v>0</v>
      </c>
      <c r="J29" s="49"/>
      <c r="K29" s="49"/>
      <c r="L29" s="49">
        <f t="shared" si="2"/>
        <v>0</v>
      </c>
    </row>
    <row r="30" spans="2:12" x14ac:dyDescent="0.25">
      <c r="B30" s="49" t="s">
        <v>326</v>
      </c>
      <c r="C30" s="49"/>
      <c r="D30" s="49"/>
      <c r="E30" s="49">
        <f t="shared" si="0"/>
        <v>0</v>
      </c>
      <c r="F30" s="49"/>
      <c r="G30" s="49"/>
      <c r="H30" s="49"/>
      <c r="I30" s="49">
        <f t="shared" si="1"/>
        <v>0</v>
      </c>
      <c r="J30" s="49"/>
      <c r="K30" s="49"/>
      <c r="L30" s="49">
        <f t="shared" si="2"/>
        <v>0</v>
      </c>
    </row>
    <row r="31" spans="2:12" x14ac:dyDescent="0.25">
      <c r="B31" s="49"/>
      <c r="C31" s="49"/>
      <c r="D31" s="49"/>
      <c r="E31" s="49">
        <f t="shared" ref="E31:E32" si="6">C31*D31</f>
        <v>0</v>
      </c>
      <c r="F31" s="49"/>
      <c r="G31" s="49"/>
      <c r="H31" s="49"/>
      <c r="I31" s="49">
        <f t="shared" ref="I31:I32" si="7">G31*H31</f>
        <v>0</v>
      </c>
      <c r="J31" s="49"/>
      <c r="K31" s="49"/>
      <c r="L31" s="49">
        <f t="shared" ref="L31:L32" si="8">J31*K31</f>
        <v>0</v>
      </c>
    </row>
    <row r="32" spans="2:12" x14ac:dyDescent="0.25">
      <c r="B32" s="49"/>
      <c r="C32" s="49"/>
      <c r="D32" s="49"/>
      <c r="E32" s="49">
        <f t="shared" si="6"/>
        <v>0</v>
      </c>
      <c r="F32" s="49"/>
      <c r="G32" s="49"/>
      <c r="H32" s="49"/>
      <c r="I32" s="49">
        <f t="shared" si="7"/>
        <v>0</v>
      </c>
      <c r="J32" s="49"/>
      <c r="K32" s="49"/>
      <c r="L32" s="49">
        <f t="shared" si="8"/>
        <v>0</v>
      </c>
    </row>
    <row r="33" spans="2:12" x14ac:dyDescent="0.25">
      <c r="B33" s="49" t="s">
        <v>323</v>
      </c>
      <c r="C33" s="49"/>
      <c r="D33" s="49"/>
      <c r="E33" s="49">
        <f t="shared" si="0"/>
        <v>0</v>
      </c>
      <c r="F33" s="49"/>
      <c r="G33" s="49"/>
      <c r="H33" s="49"/>
      <c r="I33" s="49">
        <f t="shared" si="1"/>
        <v>0</v>
      </c>
      <c r="J33" s="49"/>
      <c r="K33" s="49"/>
      <c r="L33" s="49">
        <f t="shared" si="2"/>
        <v>0</v>
      </c>
    </row>
    <row r="34" spans="2:12" x14ac:dyDescent="0.25">
      <c r="B34" s="49" t="s">
        <v>327</v>
      </c>
      <c r="C34" s="49"/>
      <c r="D34" s="49"/>
      <c r="E34" s="49">
        <f t="shared" si="0"/>
        <v>0</v>
      </c>
      <c r="F34" s="49"/>
      <c r="G34" s="49"/>
      <c r="H34" s="49"/>
      <c r="I34" s="49">
        <f t="shared" si="1"/>
        <v>0</v>
      </c>
      <c r="J34" s="49"/>
      <c r="K34" s="49"/>
      <c r="L34" s="49">
        <f t="shared" si="2"/>
        <v>0</v>
      </c>
    </row>
    <row r="35" spans="2:12" x14ac:dyDescent="0.25">
      <c r="B35" s="49" t="s">
        <v>324</v>
      </c>
      <c r="C35" s="49"/>
      <c r="D35" s="49"/>
      <c r="E35" s="49">
        <f t="shared" si="0"/>
        <v>0</v>
      </c>
      <c r="F35" s="49"/>
      <c r="G35" s="49"/>
      <c r="H35" s="49"/>
      <c r="I35" s="49">
        <f t="shared" si="1"/>
        <v>0</v>
      </c>
      <c r="J35" s="49"/>
      <c r="K35" s="49"/>
      <c r="L35" s="49">
        <f t="shared" si="2"/>
        <v>0</v>
      </c>
    </row>
    <row r="36" spans="2:12" x14ac:dyDescent="0.25">
      <c r="B36" s="49" t="s">
        <v>325</v>
      </c>
      <c r="C36" s="49"/>
      <c r="D36" s="49"/>
      <c r="E36" s="49">
        <f t="shared" si="0"/>
        <v>0</v>
      </c>
      <c r="F36" s="49"/>
      <c r="G36" s="49"/>
      <c r="H36" s="49"/>
      <c r="I36" s="49">
        <f>G36*H36</f>
        <v>0</v>
      </c>
      <c r="J36" s="49"/>
      <c r="K36" s="49"/>
      <c r="L36" s="49">
        <f>J36*K36</f>
        <v>0</v>
      </c>
    </row>
    <row r="37" spans="2:12" x14ac:dyDescent="0.25">
      <c r="B37" s="49"/>
      <c r="C37" s="49"/>
      <c r="D37" s="49"/>
      <c r="E37" s="49">
        <f t="shared" ref="E37:E38" si="9">C37*D37</f>
        <v>0</v>
      </c>
      <c r="F37" s="49"/>
      <c r="G37" s="49"/>
      <c r="H37" s="49"/>
      <c r="I37" s="49">
        <f t="shared" ref="I37:I38" si="10">G37*H37</f>
        <v>0</v>
      </c>
      <c r="J37" s="49"/>
      <c r="K37" s="49"/>
      <c r="L37" s="49">
        <f t="shared" ref="L37:L38" si="11">J37*K37</f>
        <v>0</v>
      </c>
    </row>
    <row r="38" spans="2:12" x14ac:dyDescent="0.25">
      <c r="B38" s="49" t="s">
        <v>328</v>
      </c>
      <c r="C38" s="49"/>
      <c r="D38" s="49"/>
      <c r="E38" s="49">
        <f t="shared" si="9"/>
        <v>0</v>
      </c>
      <c r="F38" s="49"/>
      <c r="G38" s="49"/>
      <c r="H38" s="49"/>
      <c r="I38" s="49">
        <f t="shared" si="10"/>
        <v>0</v>
      </c>
      <c r="J38" s="49"/>
      <c r="K38" s="49"/>
      <c r="L38" s="49">
        <f t="shared" si="11"/>
        <v>0</v>
      </c>
    </row>
    <row r="39" spans="2:12" x14ac:dyDescent="0.25">
      <c r="B39" s="49"/>
      <c r="C39" s="49"/>
      <c r="D39" s="49"/>
      <c r="E39" s="49">
        <f t="shared" si="0"/>
        <v>0</v>
      </c>
      <c r="F39" s="49"/>
      <c r="G39" s="49"/>
      <c r="H39" s="49"/>
      <c r="I39" s="49">
        <f>G39*H39</f>
        <v>0</v>
      </c>
      <c r="J39" s="49"/>
      <c r="K39" s="49"/>
      <c r="L39" s="49">
        <f>J39*K39</f>
        <v>0</v>
      </c>
    </row>
    <row r="40" spans="2:12" x14ac:dyDescent="0.25">
      <c r="B40" s="49"/>
      <c r="C40" s="49"/>
      <c r="D40" s="49"/>
      <c r="E40" s="49">
        <f t="shared" si="0"/>
        <v>0</v>
      </c>
      <c r="F40" s="49"/>
      <c r="G40" s="49"/>
      <c r="H40" s="49"/>
      <c r="I40" s="49">
        <f>G40*H40</f>
        <v>0</v>
      </c>
      <c r="J40" s="49"/>
      <c r="K40" s="49"/>
      <c r="L40" s="49">
        <f>J40*K40</f>
        <v>0</v>
      </c>
    </row>
    <row r="41" spans="2:12" x14ac:dyDescent="0.25">
      <c r="B41" s="49"/>
      <c r="C41" s="49"/>
      <c r="D41" s="49"/>
      <c r="E41" s="49">
        <f t="shared" si="0"/>
        <v>0</v>
      </c>
      <c r="F41" s="49"/>
      <c r="G41" s="49"/>
      <c r="H41" s="49"/>
      <c r="I41" s="49">
        <f>G41*H41</f>
        <v>0</v>
      </c>
      <c r="J41" s="49"/>
      <c r="K41" s="49"/>
      <c r="L41" s="49">
        <f>J41*K41</f>
        <v>0</v>
      </c>
    </row>
    <row r="42" spans="2:12" x14ac:dyDescent="0.25">
      <c r="B42" s="49" t="s">
        <v>150</v>
      </c>
      <c r="C42" s="49"/>
      <c r="D42" s="49">
        <f>E42*10.764</f>
        <v>0</v>
      </c>
      <c r="E42" s="68">
        <f>SUM(E6:E41)</f>
        <v>0</v>
      </c>
      <c r="F42" s="49"/>
      <c r="G42" s="49"/>
      <c r="H42" s="49">
        <f>I42*10.764</f>
        <v>0</v>
      </c>
      <c r="I42" s="67">
        <f>SUM(I6:I41)</f>
        <v>0</v>
      </c>
      <c r="J42" s="49"/>
      <c r="K42" s="49">
        <f>L42*10.764</f>
        <v>0</v>
      </c>
      <c r="L42" s="66">
        <f>SUM(L6:L41)</f>
        <v>0</v>
      </c>
    </row>
    <row r="44" spans="2:12" x14ac:dyDescent="0.25">
      <c r="D44" s="48">
        <f>D42+H42</f>
        <v>0</v>
      </c>
      <c r="E44" s="48">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2025-07-11T13:02:35Z</cp:lastPrinted>
  <dcterms:created xsi:type="dcterms:W3CDTF">2019-07-16T09:29:46Z</dcterms:created>
  <dcterms:modified xsi:type="dcterms:W3CDTF">2025-07-11T13:02:38Z</dcterms:modified>
</cp:coreProperties>
</file>