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July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Report!$A$1:$H$307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3" i="1" l="1"/>
  <c r="H94" i="1"/>
  <c r="D100" i="1" l="1"/>
  <c r="D104" i="1"/>
  <c r="D102" i="1"/>
  <c r="D106" i="1"/>
  <c r="D99" i="1"/>
  <c r="E97" i="1"/>
  <c r="D101" i="1"/>
  <c r="D105" i="1"/>
  <c r="D98" i="1"/>
  <c r="D103" i="1"/>
  <c r="G191" i="1"/>
  <c r="G186" i="1"/>
  <c r="G181" i="1"/>
  <c r="G171" i="1"/>
  <c r="G162" i="1"/>
  <c r="G153" i="1"/>
  <c r="G145" i="1"/>
  <c r="G138" i="1"/>
  <c r="D178" i="1"/>
  <c r="F178" i="1" s="1"/>
  <c r="D177" i="1"/>
  <c r="F177" i="1" s="1"/>
  <c r="D176" i="1"/>
  <c r="F176" i="1" s="1"/>
  <c r="D175" i="1"/>
  <c r="F175" i="1" s="1"/>
  <c r="D173" i="1"/>
  <c r="F173" i="1" s="1"/>
  <c r="D172" i="1"/>
  <c r="F172" i="1" s="1"/>
  <c r="D171" i="1"/>
  <c r="F171" i="1" s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J148" i="1"/>
  <c r="D163" i="1"/>
  <c r="F163" i="1" s="1"/>
  <c r="K147" i="1"/>
  <c r="J147" i="1"/>
  <c r="D162" i="1"/>
  <c r="F162" i="1" s="1"/>
  <c r="D150" i="1"/>
  <c r="F150" i="1" s="1"/>
  <c r="D149" i="1"/>
  <c r="F149" i="1" s="1"/>
  <c r="D148" i="1"/>
  <c r="F148" i="1" s="1"/>
  <c r="D147" i="1"/>
  <c r="F147" i="1" s="1"/>
  <c r="D145" i="1"/>
  <c r="F145" i="1" s="1"/>
  <c r="D143" i="1"/>
  <c r="F143" i="1" s="1"/>
  <c r="D142" i="1"/>
  <c r="F142" i="1" s="1"/>
  <c r="D141" i="1"/>
  <c r="F141" i="1" s="1"/>
  <c r="D140" i="1"/>
  <c r="F140" i="1" s="1"/>
  <c r="D139" i="1"/>
  <c r="F139" i="1" s="1"/>
  <c r="D138" i="1"/>
  <c r="F138" i="1" s="1"/>
  <c r="D184" i="1"/>
  <c r="F184" i="1" s="1"/>
  <c r="D183" i="1"/>
  <c r="F183" i="1" s="1"/>
  <c r="D182" i="1"/>
  <c r="F182" i="1" s="1"/>
  <c r="D181" i="1"/>
  <c r="F181" i="1" s="1"/>
  <c r="D160" i="1"/>
  <c r="F160" i="1" s="1"/>
  <c r="D159" i="1"/>
  <c r="F159" i="1" s="1"/>
  <c r="D158" i="1"/>
  <c r="F158" i="1" s="1"/>
  <c r="D157" i="1"/>
  <c r="F157" i="1" s="1"/>
  <c r="D156" i="1"/>
  <c r="F156" i="1" s="1"/>
  <c r="D155" i="1"/>
  <c r="F155" i="1" s="1"/>
  <c r="J139" i="1"/>
  <c r="K138" i="1"/>
  <c r="J138" i="1"/>
  <c r="D153" i="1"/>
  <c r="F153" i="1" s="1"/>
  <c r="G122" i="1" l="1"/>
  <c r="C122" i="1"/>
  <c r="E122" i="1"/>
  <c r="E3" i="1"/>
  <c r="D201" i="1"/>
  <c r="D200" i="1"/>
  <c r="F200" i="1" s="1"/>
  <c r="D198" i="1"/>
  <c r="F198" i="1" s="1"/>
  <c r="D197" i="1"/>
  <c r="F197" i="1" s="1"/>
  <c r="G200" i="1"/>
  <c r="G201" i="1" s="1"/>
  <c r="G197" i="1"/>
  <c r="G198" i="1" s="1"/>
  <c r="D194" i="1"/>
  <c r="F194" i="1" s="1"/>
  <c r="D193" i="1"/>
  <c r="F193" i="1" s="1"/>
  <c r="D192" i="1"/>
  <c r="D191" i="1"/>
  <c r="D189" i="1"/>
  <c r="F189" i="1" s="1"/>
  <c r="D188" i="1"/>
  <c r="F188" i="1" s="1"/>
  <c r="D187" i="1"/>
  <c r="F187" i="1" s="1"/>
  <c r="D186" i="1"/>
  <c r="D136" i="1"/>
  <c r="F136" i="1" s="1"/>
  <c r="D135" i="1"/>
  <c r="F135" i="1" s="1"/>
  <c r="D134" i="1"/>
  <c r="F134" i="1" s="1"/>
  <c r="D133" i="1"/>
  <c r="F133" i="1" s="1"/>
  <c r="D132" i="1"/>
  <c r="F132" i="1" l="1"/>
  <c r="G121" i="1" s="1"/>
  <c r="E121" i="1"/>
  <c r="C121" i="1"/>
  <c r="F186" i="1"/>
  <c r="C123" i="1"/>
  <c r="E123" i="1"/>
  <c r="F201" i="1"/>
  <c r="C124" i="1" l="1"/>
  <c r="E124" i="1"/>
  <c r="F192" i="1"/>
  <c r="F191" i="1"/>
  <c r="G131" i="1"/>
  <c r="G123" i="1" l="1"/>
  <c r="G124" i="1" s="1"/>
  <c r="F118" i="1"/>
  <c r="B204" i="1" l="1"/>
  <c r="C14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5" i="1"/>
  <c r="J90" i="1"/>
  <c r="J89" i="1"/>
  <c r="J88" i="1"/>
  <c r="J87" i="1"/>
  <c r="J76" i="1"/>
  <c r="J75" i="1"/>
  <c r="J74" i="1"/>
  <c r="J73" i="1"/>
  <c r="D53" i="1"/>
  <c r="G48" i="1"/>
  <c r="C48" i="1"/>
  <c r="E41" i="1"/>
  <c r="E42" i="1" s="1"/>
  <c r="E25" i="1"/>
  <c r="E23" i="1"/>
  <c r="E7" i="1"/>
  <c r="D59" i="1"/>
  <c r="H66" i="1"/>
  <c r="D78" i="1" l="1"/>
  <c r="D76" i="1"/>
  <c r="D75" i="1"/>
  <c r="D74" i="1"/>
  <c r="D72" i="1"/>
  <c r="D71" i="1"/>
  <c r="D77" i="1"/>
  <c r="D73" i="1"/>
  <c r="J69" i="1"/>
  <c r="J70" i="1"/>
  <c r="J68" i="1"/>
  <c r="J71" i="1"/>
  <c r="J72" i="1" s="1"/>
  <c r="J77" i="1" s="1"/>
  <c r="J85" i="1"/>
  <c r="J83" i="1"/>
  <c r="J84" i="1"/>
  <c r="C97" i="1" s="1"/>
  <c r="J82" i="1"/>
  <c r="G97" i="1" l="1"/>
  <c r="D97" i="1"/>
  <c r="J78" i="1"/>
  <c r="D70" i="1"/>
  <c r="J86" i="1"/>
  <c r="E69" i="1"/>
  <c r="D69" i="1"/>
  <c r="H80" i="1"/>
  <c r="D92" i="1" l="1"/>
  <c r="D91" i="1"/>
  <c r="D87" i="1"/>
  <c r="G83" i="1"/>
  <c r="D86" i="1"/>
  <c r="E83" i="1"/>
  <c r="D89" i="1"/>
  <c r="D85" i="1"/>
  <c r="D83" i="1"/>
  <c r="D88" i="1"/>
  <c r="D84" i="1"/>
  <c r="D90" i="1"/>
  <c r="G69" i="1"/>
  <c r="D63" i="1" s="1"/>
  <c r="F64" i="1" s="1"/>
  <c r="J91" i="1"/>
  <c r="I65" i="1"/>
  <c r="C67" i="1" s="1"/>
  <c r="J92" i="1" l="1"/>
  <c r="D64" i="1"/>
  <c r="I79" i="1" l="1"/>
  <c r="C95" i="1" s="1"/>
  <c r="C81" i="1" l="1"/>
</calcChain>
</file>

<file path=xl/sharedStrings.xml><?xml version="1.0" encoding="utf-8"?>
<sst xmlns="http://schemas.openxmlformats.org/spreadsheetml/2006/main" count="441" uniqueCount="251">
  <si>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</si>
  <si>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</si>
  <si>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</si>
  <si>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</si>
  <si>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</si>
  <si>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</si>
  <si>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</si>
  <si>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</si>
  <si>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</si>
  <si>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</si>
  <si>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</si>
  <si>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</si>
  <si>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</si>
  <si>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</si>
  <si>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</si>
  <si>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</si>
  <si>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</si>
  <si>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</si>
  <si>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</si>
  <si>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</si>
  <si>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</si>
  <si>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</si>
  <si>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</si>
  <si>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</si>
  <si>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</si>
  <si>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</si>
  <si>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</si>
  <si>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</si>
  <si>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</si>
  <si>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</si>
  <si>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</si>
  <si>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</si>
  <si>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</si>
  <si>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</si>
  <si>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</si>
  <si>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</si>
  <si>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</si>
  <si>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</si>
  <si>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</si>
  <si>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</si>
  <si>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</si>
  <si>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</si>
  <si>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</si>
  <si>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</si>
  <si>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</si>
  <si>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</si>
  <si>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</si>
  <si>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</si>
  <si>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</si>
  <si>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</si>
  <si>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</si>
  <si>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</si>
  <si>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</si>
  <si>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</si>
  <si>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</si>
  <si>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</si>
  <si>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</si>
  <si>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</si>
  <si>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</si>
  <si>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</si>
  <si>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</si>
  <si>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</si>
  <si>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</si>
  <si>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</si>
  <si>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</si>
  <si>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</si>
  <si>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</si>
  <si>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</si>
  <si>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</si>
  <si>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</si>
  <si>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</si>
  <si>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</si>
  <si>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</si>
  <si>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</si>
  <si>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</si>
  <si>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</si>
  <si>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</si>
  <si>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</si>
  <si>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</si>
  <si>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</si>
  <si>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</si>
  <si>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</si>
  <si>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</si>
  <si>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</si>
  <si>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</si>
  <si>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</si>
  <si>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</si>
  <si>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</si>
  <si>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</si>
  <si>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</si>
  <si>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</si>
  <si>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</si>
  <si>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</si>
  <si>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</si>
  <si>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</si>
  <si>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</si>
  <si>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</si>
  <si>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</si>
  <si>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</si>
  <si>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</si>
  <si>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</si>
  <si>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</si>
  <si>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</si>
  <si>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</si>
  <si>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</si>
  <si>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</si>
  <si>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</si>
  <si>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</si>
  <si>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</si>
  <si>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</si>
  <si>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</si>
  <si>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</si>
  <si>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</si>
  <si>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</si>
  <si>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</si>
  <si>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</si>
  <si>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</si>
  <si>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</si>
  <si>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</si>
  <si>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</si>
  <si>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</si>
  <si>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</si>
  <si>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</si>
  <si>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</si>
  <si>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</si>
  <si>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</si>
  <si>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</si>
  <si>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</si>
  <si>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</si>
  <si>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</si>
  <si>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</si>
  <si>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</si>
  <si>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</si>
  <si>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</si>
  <si>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</si>
  <si>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</si>
  <si>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</si>
  <si>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</si>
  <si>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</si>
  <si>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</si>
  <si>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</si>
  <si>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</si>
  <si>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</si>
  <si>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</si>
  <si>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</si>
  <si>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</si>
  <si>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</si>
  <si>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</si>
  <si>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</si>
  <si>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</si>
  <si>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</si>
  <si>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</si>
  <si>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</si>
  <si>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</si>
  <si>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</si>
  <si>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</si>
  <si>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</si>
  <si>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</si>
  <si>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</si>
  <si>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</si>
  <si>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</si>
  <si>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</si>
  <si>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Flat Per Sq. Ft.</t>
  </si>
  <si>
    <t>On Saleable Area</t>
  </si>
  <si>
    <t>Legal Charges</t>
  </si>
  <si>
    <t>Axis Goregaon</t>
  </si>
  <si>
    <t>Sai Baba Nagar</t>
  </si>
  <si>
    <t>9822891458 / 9922904313</t>
  </si>
  <si>
    <t>Approved Plans, CC.</t>
  </si>
  <si>
    <t>P99000031872</t>
  </si>
  <si>
    <t>Virar</t>
  </si>
  <si>
    <t>Vasai</t>
  </si>
  <si>
    <t>Palghar</t>
  </si>
  <si>
    <t>1.3 KM from Virar Railway Station</t>
  </si>
  <si>
    <t>Survey No</t>
  </si>
  <si>
    <t>Nana nani park road</t>
  </si>
  <si>
    <t>Lambodar Co-operative Housing Society</t>
  </si>
  <si>
    <t>Residential</t>
  </si>
  <si>
    <t>Lambodar CHS</t>
  </si>
  <si>
    <t>Open land</t>
  </si>
  <si>
    <t>Digambar Apartment</t>
  </si>
  <si>
    <t>3 Wings</t>
  </si>
  <si>
    <t>Vasai-Virar City Municipal Corporation (VVCMC)</t>
  </si>
  <si>
    <t>1BHK</t>
  </si>
  <si>
    <t>2BHK</t>
  </si>
  <si>
    <t>Refuge Area</t>
  </si>
  <si>
    <t>Sale Flat</t>
  </si>
  <si>
    <t>Mhada Flat</t>
  </si>
  <si>
    <t>M/s.Ved Ganga</t>
  </si>
  <si>
    <t>We considered Gross carpet area = Net carpet + Enclose balcony + F.B Area.</t>
  </si>
  <si>
    <t xml:space="preserve">Wing A, B &amp; C </t>
  </si>
  <si>
    <t>VVCMC/TP/RDP/VP-6203/231/2022-23</t>
  </si>
  <si>
    <t>Wing  A, B &amp; C = G/St + 1st to 14th Floor.</t>
  </si>
  <si>
    <t>VVCMC/TP/AMEND/VP/6203/229/2022-23</t>
  </si>
  <si>
    <t>Wing A, B &amp; C = G/St + 1st to 14th Floor</t>
  </si>
  <si>
    <t>Wing A &amp; B = G/St + 1st to 14th Floor</t>
  </si>
  <si>
    <t>Wing C = G/St + 1st to 14th Floor</t>
  </si>
  <si>
    <t>Ground Floor for Residential</t>
  </si>
  <si>
    <t>Society Office/Entrance Lobby</t>
  </si>
  <si>
    <t>Entrance Lobby/Driver Room</t>
  </si>
  <si>
    <t>1RK</t>
  </si>
  <si>
    <t>`</t>
  </si>
  <si>
    <t>1st to 7th &amp; 9th to 12th, 14th Floor</t>
  </si>
  <si>
    <t>8th Floor &amp; 13th Floor (Part Refuge Area)</t>
  </si>
  <si>
    <t>Wing D</t>
  </si>
  <si>
    <t>Construction work is in process at the time of Visit.</t>
  </si>
  <si>
    <t xml:space="preserve">1st to 7th Floor </t>
  </si>
  <si>
    <t>Flats - 264</t>
  </si>
  <si>
    <t>Wing D (Drafted) 28/11/2022</t>
  </si>
  <si>
    <t>We have updated CC &amp; approved Floor plans for Wing A, B &amp; C (on 28/11/2022).</t>
  </si>
  <si>
    <t>124, H.No. 1, S.No. 125, H.No. 7</t>
  </si>
  <si>
    <t>Hide</t>
  </si>
  <si>
    <t xml:space="preserve">Navnath Bhatkar
</t>
  </si>
  <si>
    <r>
      <t xml:space="preserve">Flat No.
</t>
    </r>
    <r>
      <rPr>
        <b/>
        <sz val="11"/>
        <color rgb="FF000000"/>
        <rFont val="Times New Roman"/>
        <family val="1"/>
      </rPr>
      <t>(Sale Plan)</t>
    </r>
  </si>
  <si>
    <t>A1</t>
  </si>
  <si>
    <t>B7</t>
  </si>
  <si>
    <t>B8</t>
  </si>
  <si>
    <t>B1</t>
  </si>
  <si>
    <t>C4</t>
  </si>
  <si>
    <t>C1</t>
  </si>
  <si>
    <t>C2</t>
  </si>
  <si>
    <t>C3</t>
  </si>
  <si>
    <t>B2</t>
  </si>
  <si>
    <t>B3</t>
  </si>
  <si>
    <t>B4</t>
  </si>
  <si>
    <t>B5</t>
  </si>
  <si>
    <t>B6</t>
  </si>
  <si>
    <t>A2</t>
  </si>
  <si>
    <t>A3</t>
  </si>
  <si>
    <t>A4</t>
  </si>
  <si>
    <t>A5</t>
  </si>
  <si>
    <t>A6</t>
  </si>
  <si>
    <t>Wing A</t>
  </si>
  <si>
    <t>Wing B</t>
  </si>
  <si>
    <t>Wing  C</t>
  </si>
  <si>
    <t>Wing C</t>
  </si>
  <si>
    <t xml:space="preserve">8th Floor &amp; 13th Floor </t>
  </si>
  <si>
    <t>As per RERA - 31/12/2026</t>
  </si>
  <si>
    <t>Location Link</t>
  </si>
  <si>
    <t>https://goo.gl/maps/KhSgXamNKicexYrC9</t>
  </si>
  <si>
    <t xml:space="preserve">Undertaking :  </t>
  </si>
  <si>
    <t>Office No. 1031, Wing J, Akshar Business Park, Plot No. 03 Sector 25, Near APMC Market,
Vashi, Navi Mumbai, Maharashtra 400703 TEL: 022-46090378/79/80                                                                                                     Email : vsjcapf@gmail.com. Web site : www.vsjadon.com</t>
  </si>
  <si>
    <t>On site we met Miss.Sangita : 9822891458.</t>
  </si>
  <si>
    <t>Site Person - Contact Details (Name &amp; Contact No.)</t>
  </si>
  <si>
    <t>Mr. Pooja 9822891458</t>
  </si>
  <si>
    <t>Virar East</t>
  </si>
  <si>
    <t>Wing B = G/St + 1st to 14th Floor</t>
  </si>
  <si>
    <t>Rate 5200 to  5700 + OC  150000 + Park 2L Trupti Verbal and cost sheet</t>
  </si>
  <si>
    <t>Recommended Rates / Other charges of the Property have been revised on 17/12/2024.</t>
  </si>
  <si>
    <t>Vitrified tiles flooring, Kitchen Platform, Decorative Entrance</t>
  </si>
  <si>
    <t>Shruti Tathare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</si>
</sst>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9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7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9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12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23" fillId="0" borderId="0" xfId="1" applyFont="1"/>
    <xf numFmtId="0" fontId="7" fillId="0" borderId="10" xfId="1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7" fillId="0" borderId="11" xfId="1" applyFont="1" applyBorder="1"/>
    <xf numFmtId="0" fontId="17" fillId="0" borderId="11" xfId="0" applyFont="1" applyBorder="1" applyProtection="1">
      <protection hidden="1"/>
    </xf>
    <xf numFmtId="1" fontId="0" fillId="0" borderId="11" xfId="0" applyNumberFormat="1" applyBorder="1"/>
    <xf numFmtId="1" fontId="0" fillId="0" borderId="11" xfId="0" applyNumberFormat="1" applyBorder="1" applyAlignment="1">
      <alignment horizontal="right"/>
    </xf>
    <xf numFmtId="1" fontId="0" fillId="0" borderId="13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2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19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30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9" fontId="12" fillId="0" borderId="13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2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2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2" fillId="0" borderId="31" xfId="1" applyFont="1" applyBorder="1" applyAlignment="1" applyProtection="1">
      <alignment horizontal="center" vertical="top" wrapText="1"/>
      <protection locked="0"/>
    </xf>
    <xf numFmtId="0" fontId="12" fillId="0" borderId="8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7" xfId="0" applyNumberFormat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horizontal="center" vertical="center" wrapText="1"/>
      <protection locked="0"/>
    </xf>
    <xf numFmtId="1" fontId="10" fillId="0" borderId="7" xfId="0" applyNumberFormat="1" applyFont="1" applyBorder="1" applyAlignment="1" applyProtection="1">
      <alignment horizontal="center" vertical="top" wrapText="1"/>
      <protection locked="0"/>
    </xf>
    <xf numFmtId="1" fontId="10" fillId="0" borderId="8" xfId="0" applyNumberFormat="1" applyFont="1" applyBorder="1" applyAlignment="1" applyProtection="1">
      <alignment horizontal="center" vertical="top" wrapText="1"/>
      <protection locked="0"/>
    </xf>
    <xf numFmtId="1" fontId="10" fillId="0" borderId="7" xfId="0" applyNumberFormat="1" applyFont="1" applyBorder="1" applyAlignment="1" applyProtection="1">
      <alignment horizontal="center" vertical="center"/>
      <protection locked="0"/>
    </xf>
    <xf numFmtId="1" fontId="10" fillId="0" borderId="8" xfId="0" applyNumberFormat="1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34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34" xfId="1" applyFont="1" applyBorder="1" applyAlignment="1" applyProtection="1">
      <alignment horizontal="center" vertical="top" wrapText="1"/>
      <protection locked="0"/>
    </xf>
    <xf numFmtId="0" fontId="8" fillId="0" borderId="17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center" vertical="top"/>
      <protection locked="0"/>
    </xf>
    <xf numFmtId="0" fontId="12" fillId="0" borderId="32" xfId="1" applyFont="1" applyBorder="1" applyAlignment="1" applyProtection="1">
      <alignment horizontal="center" vertical="top" wrapText="1"/>
      <protection locked="0"/>
    </xf>
    <xf numFmtId="0" fontId="12" fillId="0" borderId="33" xfId="1" applyFont="1" applyBorder="1" applyAlignment="1" applyProtection="1">
      <alignment horizontal="center" vertical="top" wrapText="1"/>
      <protection locked="0"/>
    </xf>
    <xf numFmtId="0" fontId="13" fillId="0" borderId="31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2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4" fillId="0" borderId="7" xfId="10" applyBorder="1" applyAlignment="1" applyProtection="1">
      <alignment horizontal="left"/>
      <protection locked="0"/>
    </xf>
    <xf numFmtId="0" fontId="7" fillId="0" borderId="22" xfId="1" applyFont="1" applyBorder="1" applyAlignment="1" applyProtection="1">
      <alignment horizontal="left"/>
      <protection locked="0"/>
    </xf>
    <xf numFmtId="0" fontId="7" fillId="0" borderId="8" xfId="1" applyFont="1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269</xdr:row>
      <xdr:rowOff>9525</xdr:rowOff>
    </xdr:from>
    <xdr:to>
      <xdr:col>7</xdr:col>
      <xdr:colOff>182053</xdr:colOff>
      <xdr:row>287</xdr:row>
      <xdr:rowOff>49424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8175" y="52549425"/>
          <a:ext cx="5658928" cy="364034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638175</xdr:colOff>
      <xdr:row>287</xdr:row>
      <xdr:rowOff>159789</xdr:rowOff>
    </xdr:from>
    <xdr:to>
      <xdr:col>7</xdr:col>
      <xdr:colOff>182053</xdr:colOff>
      <xdr:row>305</xdr:row>
      <xdr:rowOff>182431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8175" y="53517107"/>
          <a:ext cx="5232901" cy="360750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8</xdr:col>
      <xdr:colOff>953407</xdr:colOff>
      <xdr:row>220</xdr:row>
      <xdr:rowOff>36285</xdr:rowOff>
    </xdr:from>
    <xdr:ext cx="288541" cy="311496"/>
    <xdr:sp macro="" textlink="">
      <xdr:nvSpPr>
        <xdr:cNvPr id="31" name="TextBox 30"/>
        <xdr:cNvSpPr txBox="1"/>
      </xdr:nvSpPr>
      <xdr:spPr>
        <a:xfrm>
          <a:off x="7457621" y="43660785"/>
          <a:ext cx="288541" cy="3114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</a:p>
      </xdr:txBody>
    </xdr:sp>
    <xdr:clientData/>
  </xdr:oneCellAnchor>
  <xdr:oneCellAnchor>
    <xdr:from>
      <xdr:col>8</xdr:col>
      <xdr:colOff>503400</xdr:colOff>
      <xdr:row>219</xdr:row>
      <xdr:rowOff>63500</xdr:rowOff>
    </xdr:from>
    <xdr:ext cx="288541" cy="311496"/>
    <xdr:sp macro="" textlink="">
      <xdr:nvSpPr>
        <xdr:cNvPr id="32" name="TextBox 31"/>
        <xdr:cNvSpPr txBox="1"/>
      </xdr:nvSpPr>
      <xdr:spPr>
        <a:xfrm>
          <a:off x="7007614" y="43483893"/>
          <a:ext cx="288541" cy="3114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</a:t>
          </a:r>
        </a:p>
      </xdr:txBody>
    </xdr:sp>
    <xdr:clientData/>
  </xdr:oneCellAnchor>
  <xdr:oneCellAnchor>
    <xdr:from>
      <xdr:col>8</xdr:col>
      <xdr:colOff>1428623</xdr:colOff>
      <xdr:row>216</xdr:row>
      <xdr:rowOff>49893</xdr:rowOff>
    </xdr:from>
    <xdr:ext cx="258663" cy="317500"/>
    <xdr:sp macro="" textlink="">
      <xdr:nvSpPr>
        <xdr:cNvPr id="33" name="TextBox 32"/>
        <xdr:cNvSpPr txBox="1"/>
      </xdr:nvSpPr>
      <xdr:spPr>
        <a:xfrm>
          <a:off x="7932837" y="42857964"/>
          <a:ext cx="258663" cy="3175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</a:t>
          </a:r>
        </a:p>
      </xdr:txBody>
    </xdr:sp>
    <xdr:clientData/>
  </xdr:oneCellAnchor>
  <xdr:oneCellAnchor>
    <xdr:from>
      <xdr:col>8</xdr:col>
      <xdr:colOff>1294385</xdr:colOff>
      <xdr:row>239</xdr:row>
      <xdr:rowOff>18529</xdr:rowOff>
    </xdr:from>
    <xdr:ext cx="288541" cy="311496"/>
    <xdr:sp macro="" textlink="">
      <xdr:nvSpPr>
        <xdr:cNvPr id="34" name="TextBox 33"/>
        <xdr:cNvSpPr txBox="1"/>
      </xdr:nvSpPr>
      <xdr:spPr>
        <a:xfrm>
          <a:off x="7827414" y="49145117"/>
          <a:ext cx="288541" cy="3114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</a:t>
          </a:r>
        </a:p>
      </xdr:txBody>
    </xdr:sp>
    <xdr:clientData/>
  </xdr:oneCellAnchor>
  <xdr:twoCellAnchor>
    <xdr:from>
      <xdr:col>0</xdr:col>
      <xdr:colOff>95250</xdr:colOff>
      <xdr:row>225</xdr:row>
      <xdr:rowOff>76199</xdr:rowOff>
    </xdr:from>
    <xdr:to>
      <xdr:col>7</xdr:col>
      <xdr:colOff>742950</xdr:colOff>
      <xdr:row>262</xdr:row>
      <xdr:rowOff>112124</xdr:rowOff>
    </xdr:to>
    <xdr:grpSp>
      <xdr:nvGrpSpPr>
        <xdr:cNvPr id="7" name="Group 6"/>
        <xdr:cNvGrpSpPr/>
      </xdr:nvGrpSpPr>
      <xdr:grpSpPr>
        <a:xfrm>
          <a:off x="95250" y="42605324"/>
          <a:ext cx="6343650" cy="7436850"/>
          <a:chOff x="95250" y="45634274"/>
          <a:chExt cx="6343650" cy="7436850"/>
        </a:xfrm>
      </xdr:grpSpPr>
      <xdr:grpSp>
        <xdr:nvGrpSpPr>
          <xdr:cNvPr id="5" name="Group 4"/>
          <xdr:cNvGrpSpPr/>
        </xdr:nvGrpSpPr>
        <xdr:grpSpPr>
          <a:xfrm>
            <a:off x="95250" y="45634274"/>
            <a:ext cx="6343650" cy="7436850"/>
            <a:chOff x="95250" y="45634274"/>
            <a:chExt cx="6343650" cy="7436850"/>
          </a:xfrm>
        </xdr:grpSpPr>
        <xdr:pic>
          <xdr:nvPicPr>
            <xdr:cNvPr id="22" name="Picture 21" descr="https://vsjcllp.vsjadon.com/upload/insp-239892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05375" y="51063525"/>
              <a:ext cx="1504131" cy="200759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3" name="Picture 22" descr="https://vsjcllp.vsjadon.com/upload/insp-239892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95775" y="48472725"/>
              <a:ext cx="1868084" cy="24933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5" name="Picture 24" descr="https://vsjcllp.vsjadon.com/upload/insp-239892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38375" y="45643799"/>
              <a:ext cx="2057400" cy="274606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7" name="Picture 26" descr="https://vsjcllp.vsjadon.com/upload/insp-239892-84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81500" y="45643799"/>
              <a:ext cx="2057400" cy="274606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8" name="Picture 27" descr="https://vsjcllp.vsjadon.com/upload/insp-239892-86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5250" y="45634274"/>
              <a:ext cx="2057400" cy="274606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9" name="Picture 28" descr="https://vsjcllp.vsjadon.com/upload/insp-239892-86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33550" y="51063525"/>
              <a:ext cx="1504131" cy="200759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0" name="Picture 29" descr="https://vsjcllp.vsjadon.com/upload/insp-239892-87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43150" y="48472725"/>
              <a:ext cx="1868084" cy="24933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5" name="Picture 34" descr="https://vsjcllp.vsjadon.com/upload/insp-239892-102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1000" y="48472725"/>
              <a:ext cx="1868084" cy="24933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6" name="Picture 35" descr="https://vsjcllp.vsjadon.com/upload/insp-239892-88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14700" y="51063525"/>
              <a:ext cx="1504131" cy="200759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7" name="Picture 36" descr="https://vsjcllp.vsjadon.com/upload/insp-239892-916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350" y="51063525"/>
              <a:ext cx="1504131" cy="200759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1" name="TextBox 35"/>
          <xdr:cNvSpPr txBox="1"/>
        </xdr:nvSpPr>
        <xdr:spPr>
          <a:xfrm>
            <a:off x="3571875" y="48101249"/>
            <a:ext cx="713780" cy="271738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rPr>
              <a:t>Wing</a:t>
            </a:r>
            <a:r>
              <a:rPr lang="en-US" sz="1200" b="1" cap="none" spc="0" baseline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rPr>
              <a:t> B</a:t>
            </a:r>
            <a:endParaRPr lang="en-IN" sz="12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2" name="TextBox 35"/>
          <xdr:cNvSpPr txBox="1"/>
        </xdr:nvSpPr>
        <xdr:spPr>
          <a:xfrm>
            <a:off x="104775" y="48091724"/>
            <a:ext cx="713780" cy="271738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rPr>
              <a:t>Wing</a:t>
            </a:r>
            <a:r>
              <a:rPr lang="en-US" sz="1200" b="1" cap="none" spc="0" baseline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rPr>
              <a:t> A</a:t>
            </a:r>
            <a:endParaRPr lang="en-IN" sz="12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9" name="TextBox 35"/>
          <xdr:cNvSpPr txBox="1"/>
        </xdr:nvSpPr>
        <xdr:spPr>
          <a:xfrm>
            <a:off x="4391025" y="48110774"/>
            <a:ext cx="713780" cy="271738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2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rPr>
              <a:t>Wing</a:t>
            </a:r>
            <a:r>
              <a:rPr lang="en-US" sz="1200" b="1" cap="none" spc="0" baseline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rPr>
              <a:t> C</a:t>
            </a:r>
            <a:endParaRPr lang="en-IN" sz="1200" b="1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hSgXamNKicexYrC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268"/>
  <sheetViews>
    <sheetView tabSelected="1" view="pageBreakPreview" topLeftCell="A59" zoomScaleNormal="100" zoomScaleSheetLayoutView="100" zoomScalePageLayoutView="106" workbookViewId="0">
      <selection activeCell="I101" sqref="I101"/>
    </sheetView>
  </sheetViews>
  <sheetFormatPr defaultColWidth="9.140625" defaultRowHeight="15.75" x14ac:dyDescent="0.25"/>
  <cols>
    <col min="1" max="1" width="11.42578125" style="41" customWidth="1"/>
    <col min="2" max="2" width="12" style="41" customWidth="1"/>
    <col min="3" max="3" width="12.7109375" style="41" customWidth="1"/>
    <col min="4" max="4" width="14.140625" style="41" customWidth="1"/>
    <col min="5" max="7" width="11.7109375" style="41" customWidth="1"/>
    <col min="8" max="8" width="12.42578125" style="41" customWidth="1"/>
    <col min="9" max="9" width="33.1406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65" t="s">
        <v>241</v>
      </c>
      <c r="B1" s="165"/>
      <c r="C1" s="165"/>
      <c r="D1" s="165"/>
      <c r="E1" s="165"/>
      <c r="F1" s="165"/>
      <c r="G1" s="165"/>
      <c r="H1" s="165"/>
    </row>
    <row r="2" spans="1:8" ht="16.5" customHeight="1" x14ac:dyDescent="0.25">
      <c r="A2" s="107" t="s">
        <v>0</v>
      </c>
      <c r="B2" s="107"/>
      <c r="C2" s="107"/>
      <c r="D2" s="107"/>
      <c r="E2" s="107"/>
      <c r="F2" s="107"/>
      <c r="G2" s="107"/>
      <c r="H2" s="107"/>
    </row>
    <row r="3" spans="1:8" x14ac:dyDescent="0.25">
      <c r="A3" s="61" t="s">
        <v>1</v>
      </c>
      <c r="B3" s="61"/>
      <c r="C3" s="61"/>
      <c r="D3" s="61"/>
      <c r="E3" s="166" t="str">
        <f ca="1">TEXT(TODAY(),"DD/MM/YYYY")</f>
        <v>11/07/2025</v>
      </c>
      <c r="F3" s="61"/>
      <c r="G3" s="61"/>
      <c r="H3" s="61"/>
    </row>
    <row r="4" spans="1:8" ht="15" customHeight="1" x14ac:dyDescent="0.25">
      <c r="A4" s="61" t="s">
        <v>2</v>
      </c>
      <c r="B4" s="61"/>
      <c r="C4" s="61"/>
      <c r="D4" s="61"/>
      <c r="E4" s="61" t="s">
        <v>165</v>
      </c>
      <c r="F4" s="61"/>
      <c r="G4" s="61"/>
      <c r="H4" s="61"/>
    </row>
    <row r="5" spans="1:8" x14ac:dyDescent="0.25">
      <c r="A5" s="61" t="s">
        <v>3</v>
      </c>
      <c r="B5" s="61"/>
      <c r="C5" s="61"/>
      <c r="D5" s="61"/>
      <c r="E5" s="166">
        <v>45846</v>
      </c>
      <c r="F5" s="166"/>
      <c r="G5" s="166"/>
      <c r="H5" s="166"/>
    </row>
    <row r="6" spans="1:8" x14ac:dyDescent="0.25">
      <c r="A6" s="61" t="s">
        <v>4</v>
      </c>
      <c r="B6" s="61"/>
      <c r="C6" s="61"/>
      <c r="D6" s="61"/>
      <c r="E6" s="61" t="s">
        <v>188</v>
      </c>
      <c r="F6" s="61"/>
      <c r="G6" s="61"/>
      <c r="H6" s="61"/>
    </row>
    <row r="7" spans="1:8" x14ac:dyDescent="0.25">
      <c r="A7" s="61" t="s">
        <v>5</v>
      </c>
      <c r="B7" s="61"/>
      <c r="C7" s="61"/>
      <c r="D7" s="61"/>
      <c r="E7" s="61" t="str">
        <f>E6</f>
        <v>M/s.Ved Ganga</v>
      </c>
      <c r="F7" s="61"/>
      <c r="G7" s="61"/>
      <c r="H7" s="61"/>
    </row>
    <row r="8" spans="1:8" x14ac:dyDescent="0.25">
      <c r="A8" s="61" t="s">
        <v>6</v>
      </c>
      <c r="B8" s="61"/>
      <c r="C8" s="61"/>
      <c r="D8" s="61"/>
      <c r="E8" s="71" t="s">
        <v>166</v>
      </c>
      <c r="F8" s="71"/>
      <c r="G8" s="71"/>
      <c r="H8" s="71"/>
    </row>
    <row r="9" spans="1:8" x14ac:dyDescent="0.25">
      <c r="A9" s="61" t="s">
        <v>125</v>
      </c>
      <c r="B9" s="61"/>
      <c r="C9" s="61"/>
      <c r="D9" s="61"/>
      <c r="E9" s="61" t="s">
        <v>167</v>
      </c>
      <c r="F9" s="61"/>
      <c r="G9" s="61"/>
      <c r="H9" s="61"/>
    </row>
    <row r="10" spans="1:8" x14ac:dyDescent="0.25">
      <c r="A10" s="61" t="s">
        <v>243</v>
      </c>
      <c r="B10" s="61"/>
      <c r="C10" s="61"/>
      <c r="D10" s="61"/>
      <c r="E10" s="61" t="s">
        <v>244</v>
      </c>
      <c r="F10" s="61"/>
      <c r="G10" s="61"/>
      <c r="H10" s="61"/>
    </row>
    <row r="11" spans="1:8" x14ac:dyDescent="0.25">
      <c r="A11" s="61" t="s">
        <v>7</v>
      </c>
      <c r="B11" s="61"/>
      <c r="C11" s="61"/>
      <c r="D11" s="61"/>
      <c r="E11" s="61" t="s">
        <v>190</v>
      </c>
      <c r="F11" s="61"/>
      <c r="G11" s="61"/>
      <c r="H11" s="61"/>
    </row>
    <row r="12" spans="1:8" x14ac:dyDescent="0.25">
      <c r="A12" s="61" t="s">
        <v>8</v>
      </c>
      <c r="B12" s="61"/>
      <c r="C12" s="61"/>
      <c r="D12" s="61"/>
      <c r="E12" s="144" t="s">
        <v>168</v>
      </c>
      <c r="F12" s="144"/>
      <c r="G12" s="144"/>
      <c r="H12" s="144"/>
    </row>
    <row r="13" spans="1:8" x14ac:dyDescent="0.25">
      <c r="A13" s="61" t="s">
        <v>9</v>
      </c>
      <c r="B13" s="61"/>
      <c r="C13" s="61"/>
      <c r="D13" s="61"/>
      <c r="E13" s="144" t="s">
        <v>169</v>
      </c>
      <c r="F13" s="61"/>
      <c r="G13" s="61"/>
      <c r="H13" s="61"/>
    </row>
    <row r="14" spans="1:8" ht="49.5" customHeight="1" x14ac:dyDescent="0.25">
      <c r="A14" s="144" t="s">
        <v>10</v>
      </c>
      <c r="B14" s="144"/>
      <c r="C14" s="144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Sai Baba Nagar, Survey No.124, H.No. 1, S.No. 125, H.No. 7, near Lambodar Co-operative Housing Society, Nana nani park road, Virar, Virar East, Vasai, Palghar - 401305.</v>
      </c>
      <c r="D14" s="144"/>
      <c r="E14" s="144"/>
      <c r="F14" s="144"/>
      <c r="G14" s="144"/>
      <c r="H14" s="144"/>
    </row>
    <row r="15" spans="1:8" ht="15.75" customHeight="1" x14ac:dyDescent="0.25">
      <c r="A15" s="144" t="s">
        <v>174</v>
      </c>
      <c r="B15" s="144"/>
      <c r="C15" s="144" t="s">
        <v>210</v>
      </c>
      <c r="D15" s="144"/>
      <c r="E15" s="144"/>
      <c r="F15" s="144"/>
      <c r="G15" s="144"/>
      <c r="H15" s="144"/>
    </row>
    <row r="16" spans="1:8" x14ac:dyDescent="0.25">
      <c r="A16" s="143" t="s">
        <v>11</v>
      </c>
      <c r="B16" s="143"/>
      <c r="C16" s="61" t="s">
        <v>175</v>
      </c>
      <c r="D16" s="61"/>
      <c r="E16" s="143" t="s">
        <v>76</v>
      </c>
      <c r="F16" s="143"/>
      <c r="G16" s="144" t="s">
        <v>170</v>
      </c>
      <c r="H16" s="144"/>
    </row>
    <row r="17" spans="1:8" x14ac:dyDescent="0.25">
      <c r="A17" s="120" t="s">
        <v>13</v>
      </c>
      <c r="B17" s="120"/>
      <c r="C17" s="144" t="s">
        <v>245</v>
      </c>
      <c r="D17" s="144"/>
      <c r="E17" s="143" t="s">
        <v>12</v>
      </c>
      <c r="F17" s="143"/>
      <c r="G17" s="164" t="s">
        <v>172</v>
      </c>
      <c r="H17" s="164"/>
    </row>
    <row r="18" spans="1:8" x14ac:dyDescent="0.25">
      <c r="A18" s="120" t="s">
        <v>77</v>
      </c>
      <c r="B18" s="120"/>
      <c r="C18" s="144" t="s">
        <v>171</v>
      </c>
      <c r="D18" s="144"/>
      <c r="E18" s="143" t="s">
        <v>14</v>
      </c>
      <c r="F18" s="143"/>
      <c r="G18" s="144">
        <v>401305</v>
      </c>
      <c r="H18" s="144"/>
    </row>
    <row r="19" spans="1:8" ht="34.5" customHeight="1" x14ac:dyDescent="0.25">
      <c r="A19" s="120" t="s">
        <v>126</v>
      </c>
      <c r="B19" s="120"/>
      <c r="C19" s="144" t="s">
        <v>176</v>
      </c>
      <c r="D19" s="144"/>
      <c r="E19" s="143" t="s">
        <v>15</v>
      </c>
      <c r="F19" s="143"/>
      <c r="G19" s="144" t="s">
        <v>173</v>
      </c>
      <c r="H19" s="144"/>
    </row>
    <row r="20" spans="1:8" ht="18.75" customHeight="1" x14ac:dyDescent="0.25">
      <c r="A20" s="143" t="s">
        <v>79</v>
      </c>
      <c r="B20" s="143"/>
      <c r="C20" s="143"/>
      <c r="D20" s="143"/>
      <c r="E20" s="61" t="s">
        <v>16</v>
      </c>
      <c r="F20" s="61"/>
      <c r="G20" s="61"/>
      <c r="H20" s="61"/>
    </row>
    <row r="21" spans="1:8" ht="15" customHeight="1" x14ac:dyDescent="0.25">
      <c r="A21" s="143"/>
      <c r="B21" s="143"/>
      <c r="C21" s="143"/>
      <c r="D21" s="143"/>
      <c r="E21" s="61"/>
      <c r="F21" s="61"/>
      <c r="G21" s="61"/>
      <c r="H21" s="61"/>
    </row>
    <row r="22" spans="1:8" ht="15" customHeight="1" x14ac:dyDescent="0.25">
      <c r="A22" s="143" t="s">
        <v>17</v>
      </c>
      <c r="B22" s="143"/>
      <c r="C22" s="143"/>
      <c r="D22" s="143"/>
      <c r="E22" s="144" t="s">
        <v>18</v>
      </c>
      <c r="F22" s="144"/>
      <c r="G22" s="144"/>
      <c r="H22" s="144"/>
    </row>
    <row r="23" spans="1:8" x14ac:dyDescent="0.25">
      <c r="A23" s="120" t="s">
        <v>19</v>
      </c>
      <c r="B23" s="120"/>
      <c r="C23" s="120"/>
      <c r="D23" s="120"/>
      <c r="E23" s="144" t="str">
        <f>IF(AND(G17="Mumbai"),"Upper Class","Middle Class")</f>
        <v>Middle Class</v>
      </c>
      <c r="F23" s="144"/>
      <c r="G23" s="144"/>
      <c r="H23" s="144"/>
    </row>
    <row r="24" spans="1:8" ht="15.75" customHeight="1" x14ac:dyDescent="0.25">
      <c r="A24" s="120" t="s">
        <v>20</v>
      </c>
      <c r="B24" s="120"/>
      <c r="C24" s="120"/>
      <c r="D24" s="120"/>
      <c r="E24" s="144" t="s">
        <v>21</v>
      </c>
      <c r="F24" s="144"/>
      <c r="G24" s="144"/>
      <c r="H24" s="144"/>
    </row>
    <row r="25" spans="1:8" x14ac:dyDescent="0.25">
      <c r="A25" s="120" t="s">
        <v>22</v>
      </c>
      <c r="B25" s="120"/>
      <c r="C25" s="120"/>
      <c r="D25" s="120"/>
      <c r="E25" s="144" t="str">
        <f>IF(AND(G17="Mumbai"),"Developed","Developing")</f>
        <v>Developing</v>
      </c>
      <c r="F25" s="144"/>
      <c r="G25" s="144"/>
      <c r="H25" s="144"/>
    </row>
    <row r="26" spans="1:8" ht="15.75" customHeight="1" x14ac:dyDescent="0.25">
      <c r="A26" s="120" t="s">
        <v>23</v>
      </c>
      <c r="B26" s="120"/>
      <c r="C26" s="120"/>
      <c r="D26" s="120"/>
      <c r="E26" s="144" t="s">
        <v>24</v>
      </c>
      <c r="F26" s="144"/>
      <c r="G26" s="144"/>
      <c r="H26" s="144"/>
    </row>
    <row r="27" spans="1:8" ht="15" customHeight="1" x14ac:dyDescent="0.25">
      <c r="A27" s="120" t="s">
        <v>84</v>
      </c>
      <c r="B27" s="120"/>
      <c r="C27" s="120"/>
      <c r="D27" s="120"/>
      <c r="E27" s="144" t="s">
        <v>85</v>
      </c>
      <c r="F27" s="144"/>
      <c r="G27" s="144"/>
      <c r="H27" s="144"/>
    </row>
    <row r="28" spans="1:8" ht="15.75" customHeight="1" x14ac:dyDescent="0.25">
      <c r="A28" s="120" t="s">
        <v>35</v>
      </c>
      <c r="B28" s="120"/>
      <c r="C28" s="120"/>
      <c r="D28" s="120"/>
      <c r="E28" s="144" t="s">
        <v>177</v>
      </c>
      <c r="F28" s="144"/>
      <c r="G28" s="144"/>
      <c r="H28" s="144"/>
    </row>
    <row r="29" spans="1:8" s="22" customFormat="1" x14ac:dyDescent="0.25">
      <c r="A29" s="120" t="s">
        <v>96</v>
      </c>
      <c r="B29" s="120"/>
      <c r="C29" s="120"/>
      <c r="D29" s="120"/>
      <c r="E29" s="144" t="s">
        <v>36</v>
      </c>
      <c r="F29" s="144"/>
      <c r="G29" s="144"/>
      <c r="H29" s="144"/>
    </row>
    <row r="30" spans="1:8" s="22" customFormat="1" x14ac:dyDescent="0.25">
      <c r="A30" s="163" t="s">
        <v>97</v>
      </c>
      <c r="B30" s="163"/>
      <c r="C30" s="155" t="s">
        <v>29</v>
      </c>
      <c r="D30" s="155"/>
      <c r="E30" s="155"/>
      <c r="F30" s="155" t="s">
        <v>31</v>
      </c>
      <c r="G30" s="155"/>
      <c r="H30" s="155"/>
    </row>
    <row r="31" spans="1:8" x14ac:dyDescent="0.25">
      <c r="A31" s="157" t="s">
        <v>25</v>
      </c>
      <c r="B31" s="157" t="s">
        <v>30</v>
      </c>
      <c r="C31" s="154" t="s">
        <v>30</v>
      </c>
      <c r="D31" s="154"/>
      <c r="E31" s="154"/>
      <c r="F31" s="154" t="s">
        <v>178</v>
      </c>
      <c r="G31" s="154"/>
      <c r="H31" s="154"/>
    </row>
    <row r="32" spans="1:8" s="22" customFormat="1" x14ac:dyDescent="0.25">
      <c r="A32" s="157" t="s">
        <v>26</v>
      </c>
      <c r="B32" s="157" t="s">
        <v>30</v>
      </c>
      <c r="C32" s="154" t="s">
        <v>30</v>
      </c>
      <c r="D32" s="154"/>
      <c r="E32" s="154"/>
      <c r="F32" s="154" t="s">
        <v>179</v>
      </c>
      <c r="G32" s="154"/>
      <c r="H32" s="154"/>
    </row>
    <row r="33" spans="1:8" x14ac:dyDescent="0.25">
      <c r="A33" s="157" t="s">
        <v>28</v>
      </c>
      <c r="B33" s="157" t="s">
        <v>30</v>
      </c>
      <c r="C33" s="154" t="s">
        <v>30</v>
      </c>
      <c r="D33" s="154"/>
      <c r="E33" s="154"/>
      <c r="F33" s="154" t="s">
        <v>180</v>
      </c>
      <c r="G33" s="154"/>
      <c r="H33" s="154"/>
    </row>
    <row r="34" spans="1:8" x14ac:dyDescent="0.25">
      <c r="A34" s="157" t="s">
        <v>27</v>
      </c>
      <c r="B34" s="157" t="s">
        <v>30</v>
      </c>
      <c r="C34" s="154" t="s">
        <v>30</v>
      </c>
      <c r="D34" s="154"/>
      <c r="E34" s="154"/>
      <c r="F34" s="154" t="s">
        <v>175</v>
      </c>
      <c r="G34" s="154"/>
      <c r="H34" s="154"/>
    </row>
    <row r="35" spans="1:8" ht="15.75" customHeight="1" x14ac:dyDescent="0.25">
      <c r="A35" s="120" t="s">
        <v>32</v>
      </c>
      <c r="B35" s="120"/>
      <c r="C35" s="120"/>
      <c r="D35" s="120"/>
      <c r="E35" s="120"/>
      <c r="F35" s="120"/>
      <c r="G35" s="120"/>
      <c r="H35" s="120"/>
    </row>
    <row r="36" spans="1:8" ht="15.75" customHeight="1" x14ac:dyDescent="0.25">
      <c r="A36" s="107" t="s">
        <v>33</v>
      </c>
      <c r="B36" s="107"/>
      <c r="C36" s="156">
        <v>19.450132</v>
      </c>
      <c r="D36" s="156"/>
      <c r="E36" s="107" t="s">
        <v>34</v>
      </c>
      <c r="F36" s="107"/>
      <c r="G36" s="162">
        <v>72.822108</v>
      </c>
      <c r="H36" s="162"/>
    </row>
    <row r="37" spans="1:8" x14ac:dyDescent="0.25">
      <c r="A37" s="107" t="s">
        <v>238</v>
      </c>
      <c r="B37" s="107"/>
      <c r="C37" s="159" t="s">
        <v>239</v>
      </c>
      <c r="D37" s="160"/>
      <c r="E37" s="160"/>
      <c r="F37" s="160"/>
      <c r="G37" s="160"/>
      <c r="H37" s="161"/>
    </row>
    <row r="38" spans="1:8" x14ac:dyDescent="0.25">
      <c r="A38" s="158" t="s">
        <v>37</v>
      </c>
      <c r="B38" s="158"/>
      <c r="C38" s="158"/>
      <c r="D38" s="158"/>
      <c r="E38" s="158"/>
      <c r="F38" s="158"/>
      <c r="G38" s="158"/>
      <c r="H38" s="158"/>
    </row>
    <row r="39" spans="1:8" x14ac:dyDescent="0.25">
      <c r="A39" s="120" t="s">
        <v>38</v>
      </c>
      <c r="B39" s="120"/>
      <c r="C39" s="120"/>
      <c r="D39" s="120"/>
      <c r="E39" s="142">
        <v>7021.75</v>
      </c>
      <c r="F39" s="142"/>
      <c r="G39" s="142"/>
      <c r="H39" s="142"/>
    </row>
    <row r="40" spans="1:8" x14ac:dyDescent="0.25">
      <c r="A40" s="120" t="s">
        <v>39</v>
      </c>
      <c r="B40" s="120"/>
      <c r="C40" s="120"/>
      <c r="D40" s="120"/>
      <c r="E40" s="149">
        <v>1.1000000000000001</v>
      </c>
      <c r="F40" s="149"/>
      <c r="G40" s="149"/>
      <c r="H40" s="149"/>
    </row>
    <row r="41" spans="1:8" x14ac:dyDescent="0.25">
      <c r="A41" s="120" t="s">
        <v>40</v>
      </c>
      <c r="B41" s="120"/>
      <c r="C41" s="120"/>
      <c r="D41" s="120"/>
      <c r="E41" s="149">
        <f>E43/E39-E40</f>
        <v>1.2737188022928758</v>
      </c>
      <c r="F41" s="149"/>
      <c r="G41" s="149"/>
      <c r="H41" s="149"/>
    </row>
    <row r="42" spans="1:8" x14ac:dyDescent="0.25">
      <c r="A42" s="120" t="s">
        <v>41</v>
      </c>
      <c r="B42" s="120"/>
      <c r="C42" s="120"/>
      <c r="D42" s="120"/>
      <c r="E42" s="149">
        <f>E40+E41</f>
        <v>2.3737188022928759</v>
      </c>
      <c r="F42" s="149"/>
      <c r="G42" s="149"/>
      <c r="H42" s="149"/>
    </row>
    <row r="43" spans="1:8" x14ac:dyDescent="0.25">
      <c r="A43" s="120" t="s">
        <v>95</v>
      </c>
      <c r="B43" s="120"/>
      <c r="C43" s="120"/>
      <c r="D43" s="120"/>
      <c r="E43" s="150">
        <v>16667.66</v>
      </c>
      <c r="F43" s="150"/>
      <c r="G43" s="150"/>
      <c r="H43" s="150"/>
    </row>
    <row r="44" spans="1:8" x14ac:dyDescent="0.25">
      <c r="A44" s="61" t="s">
        <v>42</v>
      </c>
      <c r="B44" s="61"/>
      <c r="C44" s="61"/>
      <c r="D44" s="61"/>
      <c r="E44" s="61" t="s">
        <v>181</v>
      </c>
      <c r="F44" s="61"/>
      <c r="G44" s="61"/>
      <c r="H44" s="61"/>
    </row>
    <row r="45" spans="1:8" x14ac:dyDescent="0.25">
      <c r="A45" s="158" t="s">
        <v>43</v>
      </c>
      <c r="B45" s="158"/>
      <c r="C45" s="158"/>
      <c r="D45" s="158"/>
      <c r="E45" s="158"/>
      <c r="F45" s="158"/>
      <c r="G45" s="158"/>
      <c r="H45" s="158"/>
    </row>
    <row r="46" spans="1:8" ht="32.25" customHeight="1" x14ac:dyDescent="0.25">
      <c r="A46" s="151" t="s">
        <v>155</v>
      </c>
      <c r="B46" s="153"/>
      <c r="C46" s="115" t="s">
        <v>182</v>
      </c>
      <c r="D46" s="116"/>
      <c r="E46" s="116"/>
      <c r="F46" s="116"/>
      <c r="G46" s="116"/>
      <c r="H46" s="117"/>
    </row>
    <row r="47" spans="1:8" ht="32.25" customHeight="1" x14ac:dyDescent="0.25">
      <c r="A47" s="151" t="s">
        <v>44</v>
      </c>
      <c r="B47" s="153"/>
      <c r="C47" s="151" t="s">
        <v>193</v>
      </c>
      <c r="D47" s="152"/>
      <c r="E47" s="153"/>
      <c r="F47" s="20" t="s">
        <v>45</v>
      </c>
      <c r="G47" s="171">
        <v>44769</v>
      </c>
      <c r="H47" s="153"/>
    </row>
    <row r="48" spans="1:8" s="23" customFormat="1" ht="32.25" customHeight="1" x14ac:dyDescent="0.25">
      <c r="A48" s="151" t="s">
        <v>46</v>
      </c>
      <c r="B48" s="153"/>
      <c r="C48" s="151" t="str">
        <f>C47</f>
        <v>VVCMC/TP/AMEND/VP/6203/229/2022-23</v>
      </c>
      <c r="D48" s="152"/>
      <c r="E48" s="153"/>
      <c r="F48" s="20" t="s">
        <v>45</v>
      </c>
      <c r="G48" s="171">
        <f>G47</f>
        <v>44769</v>
      </c>
      <c r="H48" s="172"/>
    </row>
    <row r="49" spans="1:14" s="23" customFormat="1" x14ac:dyDescent="0.25">
      <c r="A49" s="173" t="s">
        <v>159</v>
      </c>
      <c r="B49" s="174"/>
      <c r="C49" s="151" t="s">
        <v>191</v>
      </c>
      <c r="D49" s="152"/>
      <c r="E49" s="153"/>
      <c r="F49" s="20" t="s">
        <v>45</v>
      </c>
      <c r="G49" s="171">
        <v>44769</v>
      </c>
      <c r="H49" s="172"/>
    </row>
    <row r="50" spans="1:14" x14ac:dyDescent="0.25">
      <c r="A50" s="175"/>
      <c r="B50" s="176"/>
      <c r="C50" s="151" t="s">
        <v>192</v>
      </c>
      <c r="D50" s="152"/>
      <c r="E50" s="152"/>
      <c r="F50" s="152"/>
      <c r="G50" s="152"/>
      <c r="H50" s="153"/>
    </row>
    <row r="51" spans="1:14" x14ac:dyDescent="0.25">
      <c r="A51" s="132" t="s">
        <v>47</v>
      </c>
      <c r="B51" s="177"/>
      <c r="C51" s="132" t="s">
        <v>110</v>
      </c>
      <c r="D51" s="133"/>
      <c r="E51" s="177"/>
      <c r="F51" s="46" t="s">
        <v>45</v>
      </c>
      <c r="G51" s="115" t="s">
        <v>30</v>
      </c>
      <c r="H51" s="117"/>
    </row>
    <row r="52" spans="1:14" x14ac:dyDescent="0.25">
      <c r="A52" s="178" t="s">
        <v>49</v>
      </c>
      <c r="B52" s="178"/>
      <c r="C52" s="178"/>
      <c r="D52" s="178"/>
      <c r="E52" s="178"/>
      <c r="F52" s="178"/>
      <c r="G52" s="178"/>
      <c r="H52" s="178"/>
    </row>
    <row r="53" spans="1:14" x14ac:dyDescent="0.25">
      <c r="A53" s="144" t="s">
        <v>94</v>
      </c>
      <c r="B53" s="144"/>
      <c r="C53" s="144"/>
      <c r="D53" s="61">
        <f>E43</f>
        <v>16667.66</v>
      </c>
      <c r="E53" s="61"/>
      <c r="F53" s="61"/>
      <c r="G53" s="61"/>
      <c r="H53" s="61"/>
      <c r="I53" s="24"/>
    </row>
    <row r="54" spans="1:14" x14ac:dyDescent="0.25">
      <c r="A54" s="144" t="s">
        <v>50</v>
      </c>
      <c r="B54" s="61"/>
      <c r="C54" s="61"/>
      <c r="D54" s="61" t="s">
        <v>207</v>
      </c>
      <c r="E54" s="61"/>
      <c r="F54" s="61"/>
      <c r="G54" s="61"/>
      <c r="H54" s="61"/>
    </row>
    <row r="55" spans="1:14" ht="15.75" customHeight="1" x14ac:dyDescent="0.25">
      <c r="A55" s="168" t="s">
        <v>51</v>
      </c>
      <c r="B55" s="169"/>
      <c r="C55" s="170"/>
      <c r="D55" s="146" t="s">
        <v>194</v>
      </c>
      <c r="E55" s="167"/>
      <c r="F55" s="167"/>
      <c r="G55" s="167"/>
      <c r="H55" s="167"/>
    </row>
    <row r="56" spans="1:14" ht="15.75" customHeight="1" x14ac:dyDescent="0.25">
      <c r="A56" s="168" t="s">
        <v>92</v>
      </c>
      <c r="B56" s="169"/>
      <c r="C56" s="169"/>
      <c r="D56" s="61" t="s">
        <v>195</v>
      </c>
      <c r="E56" s="61"/>
      <c r="F56" s="61"/>
      <c r="G56" s="61"/>
      <c r="H56" s="61"/>
    </row>
    <row r="57" spans="1:14" ht="15.75" customHeight="1" x14ac:dyDescent="0.25">
      <c r="A57" s="189"/>
      <c r="B57" s="190"/>
      <c r="C57" s="190"/>
      <c r="D57" s="61" t="s">
        <v>196</v>
      </c>
      <c r="E57" s="61"/>
      <c r="F57" s="61"/>
      <c r="G57" s="61"/>
      <c r="H57" s="61"/>
      <c r="J57" s="25"/>
      <c r="K57" s="24"/>
      <c r="N57" s="24"/>
    </row>
    <row r="58" spans="1:14" ht="15.75" customHeight="1" x14ac:dyDescent="0.25">
      <c r="A58" s="61" t="s">
        <v>48</v>
      </c>
      <c r="B58" s="61"/>
      <c r="C58" s="61"/>
      <c r="D58" s="144" t="s">
        <v>237</v>
      </c>
      <c r="E58" s="144"/>
      <c r="F58" s="144"/>
      <c r="G58" s="144"/>
      <c r="H58" s="144"/>
      <c r="N58" s="24"/>
    </row>
    <row r="59" spans="1:14" ht="15.75" customHeight="1" x14ac:dyDescent="0.25">
      <c r="A59" s="61" t="s">
        <v>90</v>
      </c>
      <c r="B59" s="61"/>
      <c r="C59" s="61"/>
      <c r="D59" s="148" t="str">
        <f>(IF(G51="NA","60 Years After Completion",IF(G51&lt;&gt;"NA",""&amp;60-ROUNDDOWN((E3-G51)/360,0)&amp;" Years"," ")))</f>
        <v>60 Years After Completion</v>
      </c>
      <c r="E59" s="148"/>
      <c r="F59" s="148"/>
      <c r="G59" s="148"/>
      <c r="H59" s="148"/>
      <c r="J59" s="16"/>
      <c r="K59" s="16"/>
    </row>
    <row r="60" spans="1:14" ht="15" hidden="1" customHeight="1" x14ac:dyDescent="0.25">
      <c r="A60" s="120" t="s">
        <v>91</v>
      </c>
      <c r="B60" s="120"/>
      <c r="C60" s="120"/>
      <c r="D60" s="143" t="s">
        <v>24</v>
      </c>
      <c r="E60" s="143"/>
      <c r="F60" s="143"/>
      <c r="G60" s="143"/>
      <c r="H60" s="143"/>
    </row>
    <row r="61" spans="1:14" x14ac:dyDescent="0.25">
      <c r="A61" s="120" t="s">
        <v>78</v>
      </c>
      <c r="B61" s="120"/>
      <c r="C61" s="120"/>
      <c r="D61" s="144" t="s">
        <v>249</v>
      </c>
      <c r="E61" s="143"/>
      <c r="F61" s="143"/>
      <c r="G61" s="143"/>
      <c r="H61" s="143"/>
      <c r="I61" s="26"/>
      <c r="J61" s="26"/>
      <c r="K61" s="26"/>
      <c r="L61" s="26"/>
      <c r="M61" s="26"/>
      <c r="N61" s="26"/>
    </row>
    <row r="62" spans="1:14" ht="15.75" customHeight="1" x14ac:dyDescent="0.25">
      <c r="A62" s="143" t="s">
        <v>152</v>
      </c>
      <c r="B62" s="143"/>
      <c r="C62" s="143"/>
      <c r="D62" s="143" t="s">
        <v>30</v>
      </c>
      <c r="E62" s="143"/>
      <c r="F62" s="143"/>
      <c r="G62" s="143"/>
      <c r="H62" s="143"/>
      <c r="J62" s="16"/>
    </row>
    <row r="63" spans="1:14" x14ac:dyDescent="0.25">
      <c r="A63" s="147" t="s">
        <v>89</v>
      </c>
      <c r="B63" s="147"/>
      <c r="C63" s="147"/>
      <c r="D63" s="146" t="str">
        <f ca="1">(IF(G69&gt;95%,"Nothing",IF(G69&gt;0%,"Cement, Aggregate, Steel, etc",IF(G69=0%,"Work not yet Started"))))</f>
        <v>Cement, Aggregate, Steel, etc</v>
      </c>
      <c r="E63" s="146"/>
      <c r="F63" s="146"/>
      <c r="G63" s="146"/>
      <c r="H63" s="146"/>
    </row>
    <row r="64" spans="1:14" ht="32.25" customHeight="1" thickBot="1" x14ac:dyDescent="0.3">
      <c r="A64" s="145" t="s">
        <v>123</v>
      </c>
      <c r="B64" s="145"/>
      <c r="C64" s="145"/>
      <c r="D64" s="146" t="str">
        <f ca="1">(IF(D63="Nothing","Yes",IF(D63="Cement, Aggregate, Steel, etc","Under Construction",IF(D63="Work not yet Started","Work not yet Started"))))</f>
        <v>Under Construction</v>
      </c>
      <c r="E64" s="146"/>
      <c r="F64" s="146" t="str">
        <f ca="1">(IF(D63="Nothing","Yes",IF(D63="Cement, Aggregate, Steel, etc","Under Construction",IF(D63="Work not yet Started","Work not yet Started"))))</f>
        <v>Under Construction</v>
      </c>
      <c r="G64" s="146"/>
      <c r="H64" s="146"/>
    </row>
    <row r="65" spans="1:10" x14ac:dyDescent="0.25">
      <c r="A65" s="65" t="s">
        <v>144</v>
      </c>
      <c r="B65" s="66"/>
      <c r="C65" s="67" t="s">
        <v>195</v>
      </c>
      <c r="D65" s="68"/>
      <c r="E65" s="68"/>
      <c r="F65" s="68"/>
      <c r="G65" s="68"/>
      <c r="H65" s="69"/>
      <c r="I65" s="15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completed","0")))))))))))&amp;(IF(C71=(D66+F66+H66),", RCC Slab Completed",IF(C71&gt;0,", RCC upto "&amp;C71&amp;" Slab Completed",""))&amp;(IF(C72=H66,", Brickwork Completed",IF(C72&gt;0,", Brickwork upto "&amp;C72&amp;" Floor Completed",""))&amp;(IF(C73=H66,", Internal Plaster Completed",IF(C73&gt;0,", Internal Plaster upto "&amp;C73&amp;" Floor Completed",""))&amp;(IF(C74=H66,", External Plaster Completed",IF(C74&gt;0,", External Plaster upto "&amp;C74&amp;" Floor Completed",""))&amp;(IF(C75=H66,", Flooring Completed",IF(C75&gt;0,", Flooring upto "&amp;C75&amp;" Floor Completed",""))&amp;(IF(C76=H66,", Painting Completed",IF(C76&gt;0,", Painting upto "&amp;C76&amp;" Floor Completed",""))&amp;(IF(C77&gt;0,", Finishing upto "&amp;C77&amp;" Floor Completed","")&amp;(IF(C71&gt;0.5,".",""))))))))))))))</f>
        <v>Excavation work Completed. Plinth work completed, RCC Slab Completed, Brickwork Completed, Internal Plaster Completed, External Plaster Completed, Flooring upto 10 Floor Completed, Painting upto 8 Floor Completed, Finishing upto 2 Floor Completed.</v>
      </c>
      <c r="J65" s="27"/>
    </row>
    <row r="66" spans="1:10" x14ac:dyDescent="0.25">
      <c r="A66" s="18" t="s">
        <v>146</v>
      </c>
      <c r="B66" s="45">
        <v>0</v>
      </c>
      <c r="C66" s="45" t="s">
        <v>75</v>
      </c>
      <c r="D66" s="45">
        <v>1</v>
      </c>
      <c r="E66" s="45" t="s">
        <v>74</v>
      </c>
      <c r="F66" s="45">
        <v>0</v>
      </c>
      <c r="G66" s="45" t="s">
        <v>83</v>
      </c>
      <c r="H66" s="19">
        <f ca="1">--TRIM(RIGHT(SUBSTITUTE(LEFT(C65,_xlfn.AGGREGATE(16,6,FIND({0,1,2,3,4,5,6,7,8,9},C65,ROW(INDIRECT("1:"&amp;LEN(C65)))),1))," ",REPT(" ",LEN(C65))),LEN(C65)))</f>
        <v>14</v>
      </c>
      <c r="I66" s="16"/>
      <c r="J66" s="28"/>
    </row>
    <row r="67" spans="1:10" ht="63.75" customHeight="1" x14ac:dyDescent="0.25">
      <c r="A67" s="70" t="s">
        <v>93</v>
      </c>
      <c r="B67" s="71"/>
      <c r="C67" s="72" t="str">
        <f ca="1">(IF($G$51="NA",I65,"All work Completed. OC Received."))</f>
        <v>Excavation work Completed. Plinth work completed, RCC Slab Completed, Brickwork Completed, Internal Plaster Completed, External Plaster Completed, Flooring upto 10 Floor Completed, Painting upto 8 Floor Completed, Finishing upto 2 Floor Completed.</v>
      </c>
      <c r="D67" s="72"/>
      <c r="E67" s="72"/>
      <c r="F67" s="72"/>
      <c r="G67" s="72"/>
      <c r="H67" s="73"/>
      <c r="I67" s="16" t="s">
        <v>109</v>
      </c>
      <c r="J67" s="28"/>
    </row>
    <row r="68" spans="1:10" x14ac:dyDescent="0.25">
      <c r="A68" s="74" t="s">
        <v>52</v>
      </c>
      <c r="B68" s="75"/>
      <c r="C68" s="47" t="s">
        <v>143</v>
      </c>
      <c r="D68" s="47" t="s">
        <v>86</v>
      </c>
      <c r="E68" s="75" t="s">
        <v>88</v>
      </c>
      <c r="F68" s="75"/>
      <c r="G68" s="75" t="s">
        <v>87</v>
      </c>
      <c r="H68" s="76"/>
      <c r="I68" s="14" t="s">
        <v>145</v>
      </c>
      <c r="J68" s="29">
        <f ca="1">H66*25%</f>
        <v>3.5</v>
      </c>
    </row>
    <row r="69" spans="1:10" x14ac:dyDescent="0.25">
      <c r="A69" s="74" t="s">
        <v>132</v>
      </c>
      <c r="B69" s="75"/>
      <c r="C69" s="47">
        <v>14</v>
      </c>
      <c r="D69" s="48">
        <f ca="1">((100/H66)*C69)/100</f>
        <v>1</v>
      </c>
      <c r="E69" s="77">
        <f ca="1">(((C70/H66*10)+(40/(D66+F66+H66)*C71)+(7.5/(H66)*C72)+(7.5/(H66)*C73)+(10/H66*C74)+(10/H66*C75)+(5/H66*C76)+(5/H66*C77)+(5/H66*C78))/100)</f>
        <v>0.8571428571428571</v>
      </c>
      <c r="F69" s="78"/>
      <c r="G69" s="77">
        <f ca="1">((((C69/H66)*20)+((C70/H66)*25)+(30/(H66+F66+D66)*C71)+(5/H66*C72)+(5/H66*C73)+(5/H66*C74)+(5/H66*C75)+(0/H66*C76)+(0/H66*C77)+(5/H66*C78))/100)</f>
        <v>0.93571428571428572</v>
      </c>
      <c r="H69" s="83"/>
      <c r="I69" s="14" t="s">
        <v>104</v>
      </c>
      <c r="J69" s="30">
        <f ca="1">H66*50%</f>
        <v>7</v>
      </c>
    </row>
    <row r="70" spans="1:10" ht="15.75" customHeight="1" x14ac:dyDescent="0.25">
      <c r="A70" s="74" t="s">
        <v>53</v>
      </c>
      <c r="B70" s="75"/>
      <c r="C70" s="47">
        <v>14</v>
      </c>
      <c r="D70" s="48">
        <f ca="1">((100/H66)*C70)/100</f>
        <v>1</v>
      </c>
      <c r="E70" s="79"/>
      <c r="F70" s="80"/>
      <c r="G70" s="79"/>
      <c r="H70" s="84"/>
      <c r="I70" s="14" t="s">
        <v>105</v>
      </c>
      <c r="J70" s="30">
        <f ca="1">H66</f>
        <v>14</v>
      </c>
    </row>
    <row r="71" spans="1:10" ht="15.75" customHeight="1" x14ac:dyDescent="0.25">
      <c r="A71" s="74" t="s">
        <v>133</v>
      </c>
      <c r="B71" s="75"/>
      <c r="C71" s="47">
        <v>15</v>
      </c>
      <c r="D71" s="48">
        <f ca="1">((100/(D66+F66+H66))*C71)/100</f>
        <v>1</v>
      </c>
      <c r="E71" s="79"/>
      <c r="F71" s="80"/>
      <c r="G71" s="79"/>
      <c r="H71" s="84"/>
      <c r="I71" s="14" t="s">
        <v>106</v>
      </c>
      <c r="J71" s="31">
        <f ca="1">(IF(B66&gt;1,(H66/(B66+2)),H66/4))</f>
        <v>3.5</v>
      </c>
    </row>
    <row r="72" spans="1:10" ht="15.75" customHeight="1" x14ac:dyDescent="0.25">
      <c r="A72" s="74" t="s">
        <v>140</v>
      </c>
      <c r="B72" s="75" t="s">
        <v>134</v>
      </c>
      <c r="C72" s="47">
        <v>14</v>
      </c>
      <c r="D72" s="48">
        <f ca="1">((100/H66)*C72)/100</f>
        <v>1</v>
      </c>
      <c r="E72" s="79"/>
      <c r="F72" s="80"/>
      <c r="G72" s="79"/>
      <c r="H72" s="84"/>
      <c r="I72" s="14" t="s">
        <v>107</v>
      </c>
      <c r="J72" s="31">
        <f ca="1">(IF(B66&gt;1,(H66/(B66+2)+J71),H66/4+J71))</f>
        <v>7</v>
      </c>
    </row>
    <row r="73" spans="1:10" ht="15" customHeight="1" x14ac:dyDescent="0.25">
      <c r="A73" s="74" t="s">
        <v>141</v>
      </c>
      <c r="B73" s="75" t="s">
        <v>134</v>
      </c>
      <c r="C73" s="47">
        <v>14</v>
      </c>
      <c r="D73" s="48">
        <f ca="1">((100/H66)*C73)/100</f>
        <v>1</v>
      </c>
      <c r="E73" s="79"/>
      <c r="F73" s="80"/>
      <c r="G73" s="79"/>
      <c r="H73" s="84"/>
      <c r="I73" s="14" t="s">
        <v>150</v>
      </c>
      <c r="J73" s="31">
        <f>(IF(B66&gt;1,(H66/(B66+2)+J72),0))</f>
        <v>0</v>
      </c>
    </row>
    <row r="74" spans="1:10" ht="15.75" customHeight="1" x14ac:dyDescent="0.25">
      <c r="A74" s="74" t="s">
        <v>139</v>
      </c>
      <c r="B74" s="75" t="s">
        <v>136</v>
      </c>
      <c r="C74" s="47">
        <v>14</v>
      </c>
      <c r="D74" s="48">
        <f ca="1">((100/(H66))*C74)/100</f>
        <v>1</v>
      </c>
      <c r="E74" s="79"/>
      <c r="F74" s="80"/>
      <c r="G74" s="79"/>
      <c r="H74" s="84"/>
      <c r="I74" s="14" t="s">
        <v>147</v>
      </c>
      <c r="J74" s="31">
        <f>(IF(B66&gt;2,(H66/(B66+2)+J73),0))</f>
        <v>0</v>
      </c>
    </row>
    <row r="75" spans="1:10" ht="15.75" customHeight="1" x14ac:dyDescent="0.25">
      <c r="A75" s="74" t="s">
        <v>135</v>
      </c>
      <c r="B75" s="75" t="s">
        <v>135</v>
      </c>
      <c r="C75" s="47">
        <v>10</v>
      </c>
      <c r="D75" s="48">
        <f ca="1">((100/H66)*C75)/100</f>
        <v>0.7142857142857143</v>
      </c>
      <c r="E75" s="79"/>
      <c r="F75" s="80"/>
      <c r="G75" s="79"/>
      <c r="H75" s="84"/>
      <c r="I75" s="14" t="s">
        <v>148</v>
      </c>
      <c r="J75" s="32">
        <f>(IF(B66&gt;3,(H66/(B66+2)+J74),0))</f>
        <v>0</v>
      </c>
    </row>
    <row r="76" spans="1:10" ht="15.75" customHeight="1" x14ac:dyDescent="0.25">
      <c r="A76" s="74" t="s">
        <v>142</v>
      </c>
      <c r="B76" s="75"/>
      <c r="C76" s="47">
        <v>8</v>
      </c>
      <c r="D76" s="48">
        <f ca="1">((100/H66)*C76)/100</f>
        <v>0.57142857142857151</v>
      </c>
      <c r="E76" s="79"/>
      <c r="F76" s="80"/>
      <c r="G76" s="79"/>
      <c r="H76" s="84"/>
      <c r="I76" s="14" t="s">
        <v>149</v>
      </c>
      <c r="J76" s="31">
        <f>(IF(B66&gt;4,(H66/(B66+2)+J75),0))</f>
        <v>0</v>
      </c>
    </row>
    <row r="77" spans="1:10" x14ac:dyDescent="0.25">
      <c r="A77" s="74" t="s">
        <v>137</v>
      </c>
      <c r="B77" s="75" t="s">
        <v>137</v>
      </c>
      <c r="C77" s="47">
        <v>2</v>
      </c>
      <c r="D77" s="48">
        <f ca="1">((100/(H66))*C77)/100</f>
        <v>0.14285714285714288</v>
      </c>
      <c r="E77" s="79"/>
      <c r="F77" s="80"/>
      <c r="G77" s="79"/>
      <c r="H77" s="84"/>
      <c r="I77" s="14" t="s">
        <v>151</v>
      </c>
      <c r="J77" s="31">
        <f ca="1">(IF(B66=1,(H66/(B66+3)+J72),IF(B66=0,(H66/4+J72),IF(B66&gt;1,0))))</f>
        <v>10.5</v>
      </c>
    </row>
    <row r="78" spans="1:10" ht="15.75" customHeight="1" thickBot="1" x14ac:dyDescent="0.3">
      <c r="A78" s="86" t="s">
        <v>138</v>
      </c>
      <c r="B78" s="87"/>
      <c r="C78" s="49">
        <v>0</v>
      </c>
      <c r="D78" s="50">
        <f ca="1">((100/(H66))*C78)/100</f>
        <v>0</v>
      </c>
      <c r="E78" s="81"/>
      <c r="F78" s="82"/>
      <c r="G78" s="81"/>
      <c r="H78" s="85"/>
      <c r="I78" s="17" t="s">
        <v>108</v>
      </c>
      <c r="J78" s="33">
        <f ca="1">(IF(B66&gt;1.5,(H66/(B66+2)+J72+MAX(0,J73-J72)+MAX(0,J74-J73)+MAX(0,J75-J74)+MAX(0,J76-J75)+MAX(0,J77-J76)),IF(B66=1,(H66/(B66+3)+J77),IF(B66=0,H66/4+J77))))</f>
        <v>14</v>
      </c>
    </row>
    <row r="79" spans="1:10" hidden="1" x14ac:dyDescent="0.25">
      <c r="A79" s="65" t="s">
        <v>144</v>
      </c>
      <c r="B79" s="66"/>
      <c r="C79" s="67" t="s">
        <v>246</v>
      </c>
      <c r="D79" s="68"/>
      <c r="E79" s="68"/>
      <c r="F79" s="68"/>
      <c r="G79" s="68"/>
      <c r="H79" s="69"/>
      <c r="I79" s="15" t="str">
        <f ca="1">(IF(E97&gt;99%,"All work completed. Please provide OC.",IF(E97&gt;89.8%,"Plinth, RCC, Brick, Plaster, Flooring, Painting work Completed. Finishing work is in process.",IF(E97&lt;94%,(IF(C97=0,"Work not yet Started.",IF(D97=25%,"Piling work in process",IF(D97=50%,"Excavation work in process",IF(D97=100%,"Excavation work Completed. ","0")))&amp;(IF(C98=0%,"",IF(C98=J85,"Footing work is process",IF(C98=J86,"Footing work Completed",IF(C98=J87,"1st Basement Completed",IF(C98=J88,"1st &amp; 2nd Basement Completed",IF(C98=J89,"1st to 3rd Basement Completed",IF(C98=J90,"1st to 4th Basement Completed",IF(C98=J91,"Plinth work is process",IF(C98=J92,"Plinth work completed","0")))))))))))&amp;(IF(C99=(D94+F94+H94),", RCC Slab Completed",IF(C99&gt;0,", RCC upto "&amp;C99&amp;" Slab Completed",""))&amp;(IF(C100=H94,", Brickwork Completed",IF(C100&gt;0,", Brickwork upto "&amp;C100&amp;" Floor Completed",""))&amp;(IF(C101=H94,", Internal Plaster Completed",IF(C101&gt;0,", Internal Plaster upto "&amp;C101&amp;" Floor Completed",""))&amp;(IF(C102=H94,", External Plaster Completed",IF(C102&gt;0,", External Plaster upto "&amp;C102&amp;" Floor Completed",""))&amp;(IF(C103=H94,", Flooring Completed",IF(C103&gt;0,", Flooring upto "&amp;C103&amp;" Floor Completed",""))&amp;(IF(C104=H94,", Painting Completed",IF(C104&gt;0,", Painting upto "&amp;C104&amp;" Floor Completed",""))&amp;(IF(C105&gt;0,", Finishing upto "&amp;C105&amp;" Floor Completed","")&amp;(IF(C99&gt;0.5,".",""))))))))))))))</f>
        <v>Excavation work Completed. Plinth work completed, RCC Slab Completed, Brickwork Completed, Internal Plaster Completed, External Plaster upto 12 Floor Completed, Flooring upto 6 Floor Completed.</v>
      </c>
      <c r="J79" s="27"/>
    </row>
    <row r="80" spans="1:10" hidden="1" x14ac:dyDescent="0.25">
      <c r="A80" s="18" t="s">
        <v>146</v>
      </c>
      <c r="B80" s="60">
        <v>0</v>
      </c>
      <c r="C80" s="60" t="s">
        <v>75</v>
      </c>
      <c r="D80" s="60">
        <v>1</v>
      </c>
      <c r="E80" s="60" t="s">
        <v>74</v>
      </c>
      <c r="F80" s="60">
        <v>0</v>
      </c>
      <c r="G80" s="60" t="s">
        <v>83</v>
      </c>
      <c r="H80" s="19">
        <f ca="1">--TRIM(RIGHT(SUBSTITUTE(LEFT(C79,_xlfn.AGGREGATE(16,6,FIND({0,1,2,3,4,5,6,7,8,9},C79,ROW(INDIRECT("1:"&amp;LEN(C79)))),1))," ",REPT(" ",LEN(C79))),LEN(C79)))</f>
        <v>14</v>
      </c>
      <c r="I80" s="16"/>
      <c r="J80" s="28"/>
    </row>
    <row r="81" spans="1:10" ht="47.25" hidden="1" customHeight="1" x14ac:dyDescent="0.25">
      <c r="A81" s="70" t="s">
        <v>93</v>
      </c>
      <c r="B81" s="71"/>
      <c r="C81" s="72" t="str">
        <f ca="1">(IF($G$51="NA",I79,"All work Completed. OC Received."))</f>
        <v>Excavation work Completed. Plinth work completed, RCC Slab Completed, Brickwork Completed, Internal Plaster Completed, External Plaster upto 12 Floor Completed, Flooring upto 6 Floor Completed.</v>
      </c>
      <c r="D81" s="72"/>
      <c r="E81" s="72"/>
      <c r="F81" s="72"/>
      <c r="G81" s="72"/>
      <c r="H81" s="73"/>
      <c r="I81" s="16" t="s">
        <v>109</v>
      </c>
      <c r="J81" s="28"/>
    </row>
    <row r="82" spans="1:10" hidden="1" x14ac:dyDescent="0.25">
      <c r="A82" s="74" t="s">
        <v>52</v>
      </c>
      <c r="B82" s="75"/>
      <c r="C82" s="58" t="s">
        <v>143</v>
      </c>
      <c r="D82" s="58" t="s">
        <v>86</v>
      </c>
      <c r="E82" s="75" t="s">
        <v>88</v>
      </c>
      <c r="F82" s="75"/>
      <c r="G82" s="75" t="s">
        <v>87</v>
      </c>
      <c r="H82" s="76"/>
      <c r="I82" s="14" t="s">
        <v>145</v>
      </c>
      <c r="J82" s="29">
        <f ca="1">H94*25%</f>
        <v>3.5</v>
      </c>
    </row>
    <row r="83" spans="1:10" hidden="1" x14ac:dyDescent="0.25">
      <c r="A83" s="74" t="s">
        <v>132</v>
      </c>
      <c r="B83" s="75"/>
      <c r="C83" s="58">
        <v>14</v>
      </c>
      <c r="D83" s="48">
        <f ca="1">((100/H80)*C83)/100</f>
        <v>1</v>
      </c>
      <c r="E83" s="77">
        <f ca="1">(((C84/H80*10)+(40/(D80+F80+H80)*C85)+(7.5/(H80)*C86)+(7.5/(H80)*C87)+(10/H80*C88)+(10/H80*C89)+(5/H80*C90)+(5/H80*C91)+(5/H80*C92))/100)</f>
        <v>0.7678571428571429</v>
      </c>
      <c r="F83" s="78"/>
      <c r="G83" s="77">
        <f ca="1">((((C83/H80)*20)+((C84/H80)*25)+(30/(H80+F80+D80)*C85)+(5/H80*C86)+(5/H80*C87)+(5/H80*C88)+(5/H80*C89)+(0/H80*C90)+(0/H80*C91)+(5/H80*C92))/100)</f>
        <v>0.90714285714285703</v>
      </c>
      <c r="H83" s="83"/>
      <c r="I83" s="14" t="s">
        <v>104</v>
      </c>
      <c r="J83" s="30">
        <f ca="1">H94*50%</f>
        <v>7</v>
      </c>
    </row>
    <row r="84" spans="1:10" ht="15.75" hidden="1" customHeight="1" x14ac:dyDescent="0.25">
      <c r="A84" s="74" t="s">
        <v>53</v>
      </c>
      <c r="B84" s="75"/>
      <c r="C84" s="58">
        <v>14</v>
      </c>
      <c r="D84" s="48">
        <f ca="1">((100/H80)*C84)/100</f>
        <v>1</v>
      </c>
      <c r="E84" s="79"/>
      <c r="F84" s="80"/>
      <c r="G84" s="79"/>
      <c r="H84" s="84"/>
      <c r="I84" s="14" t="s">
        <v>105</v>
      </c>
      <c r="J84" s="30">
        <f ca="1">H94</f>
        <v>14</v>
      </c>
    </row>
    <row r="85" spans="1:10" ht="15.75" hidden="1" customHeight="1" x14ac:dyDescent="0.25">
      <c r="A85" s="74" t="s">
        <v>133</v>
      </c>
      <c r="B85" s="75"/>
      <c r="C85" s="58">
        <v>15</v>
      </c>
      <c r="D85" s="48">
        <f ca="1">((100/(D80+F80+H80))*C85)/100</f>
        <v>1</v>
      </c>
      <c r="E85" s="79"/>
      <c r="F85" s="80"/>
      <c r="G85" s="79"/>
      <c r="H85" s="84"/>
      <c r="I85" s="14" t="s">
        <v>106</v>
      </c>
      <c r="J85" s="31">
        <f ca="1">(IF(B94&gt;1,(H94/(B94+2)),H94/4))</f>
        <v>3.5</v>
      </c>
    </row>
    <row r="86" spans="1:10" ht="15.75" hidden="1" customHeight="1" x14ac:dyDescent="0.25">
      <c r="A86" s="74" t="s">
        <v>140</v>
      </c>
      <c r="B86" s="75" t="s">
        <v>134</v>
      </c>
      <c r="C86" s="58">
        <v>14</v>
      </c>
      <c r="D86" s="48">
        <f ca="1">((100/H80)*C86)/100</f>
        <v>1</v>
      </c>
      <c r="E86" s="79"/>
      <c r="F86" s="80"/>
      <c r="G86" s="79"/>
      <c r="H86" s="84"/>
      <c r="I86" s="14" t="s">
        <v>107</v>
      </c>
      <c r="J86" s="31">
        <f ca="1">(IF(B94&gt;1,(H94/(B94+2)+J85),H94/4+J85))</f>
        <v>7</v>
      </c>
    </row>
    <row r="87" spans="1:10" ht="15" hidden="1" customHeight="1" x14ac:dyDescent="0.25">
      <c r="A87" s="74" t="s">
        <v>141</v>
      </c>
      <c r="B87" s="75" t="s">
        <v>134</v>
      </c>
      <c r="C87" s="58">
        <v>14</v>
      </c>
      <c r="D87" s="48">
        <f ca="1">((100/H80)*C87)/100</f>
        <v>1</v>
      </c>
      <c r="E87" s="79"/>
      <c r="F87" s="80"/>
      <c r="G87" s="79"/>
      <c r="H87" s="84"/>
      <c r="I87" s="14" t="s">
        <v>150</v>
      </c>
      <c r="J87" s="31">
        <f>(IF(B94&gt;1,(H94/(B94+2)+J86),0))</f>
        <v>0</v>
      </c>
    </row>
    <row r="88" spans="1:10" ht="15.75" hidden="1" customHeight="1" x14ac:dyDescent="0.25">
      <c r="A88" s="74" t="s">
        <v>139</v>
      </c>
      <c r="B88" s="75" t="s">
        <v>136</v>
      </c>
      <c r="C88" s="58">
        <v>10</v>
      </c>
      <c r="D88" s="48">
        <f ca="1">((100/(H80))*C88)/100</f>
        <v>0.7142857142857143</v>
      </c>
      <c r="E88" s="79"/>
      <c r="F88" s="80"/>
      <c r="G88" s="79"/>
      <c r="H88" s="84"/>
      <c r="I88" s="14" t="s">
        <v>147</v>
      </c>
      <c r="J88" s="31">
        <f>(IF(B94&gt;2,(H94/(B94+2)+J87),0))</f>
        <v>0</v>
      </c>
    </row>
    <row r="89" spans="1:10" ht="15.75" hidden="1" customHeight="1" x14ac:dyDescent="0.25">
      <c r="A89" s="74" t="s">
        <v>135</v>
      </c>
      <c r="B89" s="75" t="s">
        <v>135</v>
      </c>
      <c r="C89" s="58">
        <v>6</v>
      </c>
      <c r="D89" s="48">
        <f ca="1">((100/H80)*C89)/100</f>
        <v>0.4285714285714286</v>
      </c>
      <c r="E89" s="79"/>
      <c r="F89" s="80"/>
      <c r="G89" s="79"/>
      <c r="H89" s="84"/>
      <c r="I89" s="14" t="s">
        <v>148</v>
      </c>
      <c r="J89" s="32">
        <f>(IF(B94&gt;3,(H94/(B94+2)+J88),0))</f>
        <v>0</v>
      </c>
    </row>
    <row r="90" spans="1:10" ht="15.75" hidden="1" customHeight="1" x14ac:dyDescent="0.25">
      <c r="A90" s="74" t="s">
        <v>142</v>
      </c>
      <c r="B90" s="75"/>
      <c r="C90" s="58">
        <v>1</v>
      </c>
      <c r="D90" s="48">
        <f ca="1">((100/H80)*C90)/100</f>
        <v>7.1428571428571438E-2</v>
      </c>
      <c r="E90" s="79"/>
      <c r="F90" s="80"/>
      <c r="G90" s="79"/>
      <c r="H90" s="84"/>
      <c r="I90" s="14" t="s">
        <v>149</v>
      </c>
      <c r="J90" s="31">
        <f>(IF(B94&gt;4,(H94/(B94+2)+J89),0))</f>
        <v>0</v>
      </c>
    </row>
    <row r="91" spans="1:10" hidden="1" x14ac:dyDescent="0.25">
      <c r="A91" s="74" t="s">
        <v>137</v>
      </c>
      <c r="B91" s="75" t="s">
        <v>137</v>
      </c>
      <c r="C91" s="58">
        <v>0</v>
      </c>
      <c r="D91" s="48">
        <f ca="1">((100/(H80))*C91)/100</f>
        <v>0</v>
      </c>
      <c r="E91" s="79"/>
      <c r="F91" s="80"/>
      <c r="G91" s="79"/>
      <c r="H91" s="84"/>
      <c r="I91" s="14" t="s">
        <v>151</v>
      </c>
      <c r="J91" s="31">
        <f ca="1">(IF(B94=1,(H94/(B94+3)+J86),IF(B94=0,(H94/4+J86),IF(B94&gt;1,0))))</f>
        <v>10.5</v>
      </c>
    </row>
    <row r="92" spans="1:10" ht="16.5" hidden="1" thickBot="1" x14ac:dyDescent="0.3">
      <c r="A92" s="86" t="s">
        <v>138</v>
      </c>
      <c r="B92" s="87"/>
      <c r="C92" s="59">
        <v>0</v>
      </c>
      <c r="D92" s="50">
        <f ca="1">((100/(H80))*C92)/100</f>
        <v>0</v>
      </c>
      <c r="E92" s="81"/>
      <c r="F92" s="82"/>
      <c r="G92" s="81"/>
      <c r="H92" s="85"/>
      <c r="I92" s="17" t="s">
        <v>108</v>
      </c>
      <c r="J92" s="33">
        <f ca="1">(IF(B94&gt;1.5,(H94/(B94+2)+J86+MAX(0,J87-J86)+MAX(0,J88-J87)+MAX(0,J89-J88)+MAX(0,J90-J89)+MAX(0,J91-J90)),IF(B94=1,(H94/(B94+3)+J91),IF(B94=0,H94/4+J91))))</f>
        <v>14</v>
      </c>
    </row>
    <row r="93" spans="1:10" ht="15.75" customHeight="1" x14ac:dyDescent="0.25">
      <c r="A93" s="65" t="s">
        <v>144</v>
      </c>
      <c r="B93" s="66"/>
      <c r="C93" s="67" t="str">
        <f>D57</f>
        <v>Wing C = G/St + 1st to 14th Floor</v>
      </c>
      <c r="D93" s="68"/>
      <c r="E93" s="68"/>
      <c r="F93" s="68"/>
      <c r="G93" s="68"/>
      <c r="H93" s="69"/>
    </row>
    <row r="94" spans="1:10" x14ac:dyDescent="0.25">
      <c r="A94" s="18" t="s">
        <v>146</v>
      </c>
      <c r="B94" s="60">
        <v>0</v>
      </c>
      <c r="C94" s="60" t="s">
        <v>75</v>
      </c>
      <c r="D94" s="60">
        <v>1</v>
      </c>
      <c r="E94" s="60" t="s">
        <v>74</v>
      </c>
      <c r="F94" s="60">
        <v>0</v>
      </c>
      <c r="G94" s="60" t="s">
        <v>83</v>
      </c>
      <c r="H94" s="19">
        <f ca="1">--TRIM(RIGHT(SUBSTITUTE(LEFT(C93,_xlfn.AGGREGATE(16,6,FIND({0,1,2,3,4,5,6,7,8,9},C93,ROW(INDIRECT("1:"&amp;LEN(C93)))),1))," ",REPT(" ",LEN(C93))),LEN(C93)))</f>
        <v>14</v>
      </c>
    </row>
    <row r="95" spans="1:10" ht="48.75" customHeight="1" x14ac:dyDescent="0.25">
      <c r="A95" s="141" t="s">
        <v>93</v>
      </c>
      <c r="B95" s="117"/>
      <c r="C95" s="132" t="str">
        <f ca="1">(IF($G$51="NA",I79,"All work Completed. OC Received."))</f>
        <v>Excavation work Completed. Plinth work completed, RCC Slab Completed, Brickwork Completed, Internal Plaster Completed, External Plaster upto 12 Floor Completed, Flooring upto 6 Floor Completed.</v>
      </c>
      <c r="D95" s="133"/>
      <c r="E95" s="133"/>
      <c r="F95" s="133"/>
      <c r="G95" s="133"/>
      <c r="H95" s="134"/>
    </row>
    <row r="96" spans="1:10" s="34" customFormat="1" ht="15.75" customHeight="1" x14ac:dyDescent="0.25">
      <c r="A96" s="118" t="s">
        <v>52</v>
      </c>
      <c r="B96" s="119"/>
      <c r="C96" s="58" t="s">
        <v>143</v>
      </c>
      <c r="D96" s="58" t="s">
        <v>86</v>
      </c>
      <c r="E96" s="135" t="s">
        <v>88</v>
      </c>
      <c r="F96" s="119"/>
      <c r="G96" s="135" t="s">
        <v>87</v>
      </c>
      <c r="H96" s="136"/>
    </row>
    <row r="97" spans="1:10" s="34" customFormat="1" x14ac:dyDescent="0.25">
      <c r="A97" s="118" t="s">
        <v>132</v>
      </c>
      <c r="B97" s="119"/>
      <c r="C97" s="58">
        <f ca="1">J84</f>
        <v>14</v>
      </c>
      <c r="D97" s="48">
        <f ca="1">((100/H94)*C97)/100</f>
        <v>1</v>
      </c>
      <c r="E97" s="77">
        <f ca="1">(((C98/H94*10)+(40/(D94+F94+H94)*C99)+(7.5/(H94)*C100)+(7.5/(H94)*C101)+(10/H94*C102)+(10/H94*C103)+(5/H94*C104)+(5/H94*C105)+(5/H94*C106))/100)</f>
        <v>0.77857142857142858</v>
      </c>
      <c r="F97" s="78"/>
      <c r="G97" s="77">
        <f ca="1">((((C97/H94)*20)+((C98/H94)*25)+(30/(H94+F94+D94)*C99)+(5/H94*C100)+(5/H94*C101)+(5/H94*C102)+(5/H94*C103)+(0/H94*C104)+(0/H94*C105)+(5/H94*C106))/100)</f>
        <v>0.91428571428571426</v>
      </c>
      <c r="H97" s="83"/>
    </row>
    <row r="98" spans="1:10" s="34" customFormat="1" x14ac:dyDescent="0.25">
      <c r="A98" s="118" t="s">
        <v>53</v>
      </c>
      <c r="B98" s="119"/>
      <c r="C98" s="51">
        <v>14</v>
      </c>
      <c r="D98" s="48">
        <f ca="1">((100/H94)*C98)/100</f>
        <v>1</v>
      </c>
      <c r="E98" s="79"/>
      <c r="F98" s="80"/>
      <c r="G98" s="79"/>
      <c r="H98" s="84"/>
    </row>
    <row r="99" spans="1:10" s="34" customFormat="1" ht="15.75" customHeight="1" x14ac:dyDescent="0.25">
      <c r="A99" s="118" t="s">
        <v>133</v>
      </c>
      <c r="B99" s="119"/>
      <c r="C99" s="58">
        <v>15</v>
      </c>
      <c r="D99" s="48">
        <f ca="1">((100/(D94+F94+H94))*C99)/100</f>
        <v>1</v>
      </c>
      <c r="E99" s="79"/>
      <c r="F99" s="80"/>
      <c r="G99" s="79"/>
      <c r="H99" s="84"/>
    </row>
    <row r="100" spans="1:10" s="34" customFormat="1" ht="15.75" customHeight="1" x14ac:dyDescent="0.25">
      <c r="A100" s="118" t="s">
        <v>140</v>
      </c>
      <c r="B100" s="119"/>
      <c r="C100" s="58">
        <v>14</v>
      </c>
      <c r="D100" s="48">
        <f ca="1">((100/H94)*C100)/100</f>
        <v>1</v>
      </c>
      <c r="E100" s="79"/>
      <c r="F100" s="80"/>
      <c r="G100" s="79"/>
      <c r="H100" s="84"/>
    </row>
    <row r="101" spans="1:10" s="34" customFormat="1" ht="15.75" customHeight="1" x14ac:dyDescent="0.25">
      <c r="A101" s="118" t="s">
        <v>141</v>
      </c>
      <c r="B101" s="119"/>
      <c r="C101" s="58">
        <v>14</v>
      </c>
      <c r="D101" s="48">
        <f ca="1">((100/H94)*C101)/100</f>
        <v>1</v>
      </c>
      <c r="E101" s="79"/>
      <c r="F101" s="80"/>
      <c r="G101" s="79"/>
      <c r="H101" s="84"/>
    </row>
    <row r="102" spans="1:10" s="34" customFormat="1" ht="15.75" customHeight="1" x14ac:dyDescent="0.25">
      <c r="A102" s="118" t="s">
        <v>139</v>
      </c>
      <c r="B102" s="119"/>
      <c r="C102" s="58">
        <v>12</v>
      </c>
      <c r="D102" s="48">
        <f ca="1">((100/(H94))*C102)/100</f>
        <v>0.85714285714285721</v>
      </c>
      <c r="E102" s="79"/>
      <c r="F102" s="80"/>
      <c r="G102" s="79"/>
      <c r="H102" s="84"/>
    </row>
    <row r="103" spans="1:10" s="34" customFormat="1" ht="15.75" customHeight="1" x14ac:dyDescent="0.25">
      <c r="A103" s="118" t="s">
        <v>135</v>
      </c>
      <c r="B103" s="119"/>
      <c r="C103" s="58">
        <v>6</v>
      </c>
      <c r="D103" s="48">
        <f ca="1">((100/H94)*C103)/100</f>
        <v>0.4285714285714286</v>
      </c>
      <c r="E103" s="79"/>
      <c r="F103" s="80"/>
      <c r="G103" s="79"/>
      <c r="H103" s="84"/>
    </row>
    <row r="104" spans="1:10" ht="15.75" customHeight="1" x14ac:dyDescent="0.25">
      <c r="A104" s="118" t="s">
        <v>142</v>
      </c>
      <c r="B104" s="119"/>
      <c r="C104" s="58">
        <v>0</v>
      </c>
      <c r="D104" s="48">
        <f ca="1">((100/H94)*C104)/100</f>
        <v>0</v>
      </c>
      <c r="E104" s="79"/>
      <c r="F104" s="80"/>
      <c r="G104" s="79"/>
      <c r="H104" s="84"/>
    </row>
    <row r="105" spans="1:10" s="35" customFormat="1" ht="15.75" customHeight="1" x14ac:dyDescent="0.25">
      <c r="A105" s="118" t="s">
        <v>137</v>
      </c>
      <c r="B105" s="119"/>
      <c r="C105" s="58">
        <v>0</v>
      </c>
      <c r="D105" s="48">
        <f ca="1">((100/(H94))*C105)/100</f>
        <v>0</v>
      </c>
      <c r="E105" s="79"/>
      <c r="F105" s="80"/>
      <c r="G105" s="79"/>
      <c r="H105" s="84"/>
    </row>
    <row r="106" spans="1:10" s="36" customFormat="1" ht="16.5" thickBot="1" x14ac:dyDescent="0.3">
      <c r="A106" s="139" t="s">
        <v>138</v>
      </c>
      <c r="B106" s="140"/>
      <c r="C106" s="59">
        <v>0</v>
      </c>
      <c r="D106" s="50">
        <f ca="1">((100/(H94))*C106)/100</f>
        <v>0</v>
      </c>
      <c r="E106" s="81"/>
      <c r="F106" s="82"/>
      <c r="G106" s="81"/>
      <c r="H106" s="85"/>
    </row>
    <row r="107" spans="1:10" s="36" customFormat="1" ht="15.75" customHeight="1" x14ac:dyDescent="0.25">
      <c r="A107" s="137" t="s">
        <v>160</v>
      </c>
      <c r="B107" s="137"/>
      <c r="C107" s="137"/>
      <c r="D107" s="137"/>
      <c r="E107" s="137"/>
      <c r="F107" s="138" t="s">
        <v>163</v>
      </c>
      <c r="G107" s="138"/>
      <c r="H107" s="138"/>
    </row>
    <row r="108" spans="1:10" s="36" customFormat="1" x14ac:dyDescent="0.25">
      <c r="A108" s="120" t="s">
        <v>162</v>
      </c>
      <c r="B108" s="120"/>
      <c r="C108" s="120"/>
      <c r="D108" s="120"/>
      <c r="E108" s="120"/>
      <c r="F108" s="188">
        <v>5700</v>
      </c>
      <c r="G108" s="188"/>
      <c r="H108" s="188"/>
      <c r="J108" s="36" t="s">
        <v>247</v>
      </c>
    </row>
    <row r="109" spans="1:10" s="36" customFormat="1" hidden="1" x14ac:dyDescent="0.25">
      <c r="A109" s="120" t="s">
        <v>161</v>
      </c>
      <c r="B109" s="120"/>
      <c r="C109" s="120"/>
      <c r="D109" s="120"/>
      <c r="E109" s="120"/>
      <c r="F109" s="121"/>
      <c r="G109" s="121"/>
      <c r="H109" s="121"/>
    </row>
    <row r="110" spans="1:10" s="35" customFormat="1" x14ac:dyDescent="0.25">
      <c r="A110" s="120" t="s">
        <v>98</v>
      </c>
      <c r="B110" s="120"/>
      <c r="C110" s="120"/>
      <c r="D110" s="120"/>
      <c r="E110" s="120"/>
      <c r="F110" s="121">
        <v>150000</v>
      </c>
      <c r="G110" s="121"/>
      <c r="H110" s="121"/>
    </row>
    <row r="111" spans="1:10" hidden="1" x14ac:dyDescent="0.25">
      <c r="A111" s="120" t="s">
        <v>99</v>
      </c>
      <c r="B111" s="120"/>
      <c r="C111" s="120"/>
      <c r="D111" s="120"/>
      <c r="E111" s="120"/>
      <c r="F111" s="121"/>
      <c r="G111" s="121"/>
      <c r="H111" s="121"/>
    </row>
    <row r="112" spans="1:10" hidden="1" x14ac:dyDescent="0.25">
      <c r="A112" s="120" t="s">
        <v>164</v>
      </c>
      <c r="B112" s="120"/>
      <c r="C112" s="120"/>
      <c r="D112" s="120"/>
      <c r="E112" s="120"/>
      <c r="F112" s="121"/>
      <c r="G112" s="121"/>
      <c r="H112" s="121"/>
      <c r="I112" s="37"/>
    </row>
    <row r="113" spans="1:9" s="38" customFormat="1" hidden="1" x14ac:dyDescent="0.25">
      <c r="A113" s="120" t="s">
        <v>100</v>
      </c>
      <c r="B113" s="120"/>
      <c r="C113" s="120"/>
      <c r="D113" s="120"/>
      <c r="E113" s="120"/>
      <c r="F113" s="121"/>
      <c r="G113" s="121"/>
      <c r="H113" s="121"/>
      <c r="I113" s="37"/>
    </row>
    <row r="114" spans="1:9" hidden="1" x14ac:dyDescent="0.25">
      <c r="A114" s="120" t="s">
        <v>101</v>
      </c>
      <c r="B114" s="120"/>
      <c r="C114" s="120"/>
      <c r="D114" s="120"/>
      <c r="E114" s="120"/>
      <c r="F114" s="121"/>
      <c r="G114" s="121"/>
      <c r="H114" s="121"/>
    </row>
    <row r="115" spans="1:9" s="38" customFormat="1" ht="15.75" hidden="1" customHeight="1" x14ac:dyDescent="0.25">
      <c r="A115" s="120" t="s">
        <v>102</v>
      </c>
      <c r="B115" s="120"/>
      <c r="C115" s="120"/>
      <c r="D115" s="120"/>
      <c r="E115" s="120"/>
      <c r="F115" s="121"/>
      <c r="G115" s="121"/>
      <c r="H115" s="121"/>
      <c r="I115" s="37"/>
    </row>
    <row r="116" spans="1:9" s="38" customFormat="1" ht="15.75" hidden="1" customHeight="1" x14ac:dyDescent="0.25">
      <c r="A116" s="120" t="s">
        <v>103</v>
      </c>
      <c r="B116" s="120"/>
      <c r="C116" s="120"/>
      <c r="D116" s="120"/>
      <c r="E116" s="120"/>
      <c r="F116" s="121"/>
      <c r="G116" s="121"/>
      <c r="H116" s="121"/>
      <c r="I116" s="37"/>
    </row>
    <row r="117" spans="1:9" s="38" customFormat="1" ht="15.75" customHeight="1" x14ac:dyDescent="0.25">
      <c r="A117" s="120" t="s">
        <v>54</v>
      </c>
      <c r="B117" s="120"/>
      <c r="C117" s="120"/>
      <c r="D117" s="120"/>
      <c r="E117" s="120"/>
      <c r="F117" s="121">
        <v>200000</v>
      </c>
      <c r="G117" s="121"/>
      <c r="H117" s="121"/>
      <c r="I117" s="37"/>
    </row>
    <row r="118" spans="1:9" s="38" customFormat="1" ht="15.75" customHeight="1" x14ac:dyDescent="0.25">
      <c r="A118" s="158" t="s">
        <v>55</v>
      </c>
      <c r="B118" s="158"/>
      <c r="C118" s="158"/>
      <c r="D118" s="158"/>
      <c r="E118" s="158"/>
      <c r="F118" s="121">
        <f>F108*0.8</f>
        <v>4560</v>
      </c>
      <c r="G118" s="121"/>
      <c r="H118" s="121"/>
      <c r="I118" s="37"/>
    </row>
    <row r="119" spans="1:9" s="38" customFormat="1" ht="15.75" customHeight="1" x14ac:dyDescent="0.25">
      <c r="A119" s="181" t="s">
        <v>73</v>
      </c>
      <c r="B119" s="181"/>
      <c r="C119" s="181"/>
      <c r="D119" s="181"/>
      <c r="E119" s="181"/>
      <c r="F119" s="181"/>
      <c r="G119" s="181"/>
      <c r="H119" s="181"/>
      <c r="I119" s="37"/>
    </row>
    <row r="120" spans="1:9" s="38" customFormat="1" ht="15.75" customHeight="1" x14ac:dyDescent="0.25">
      <c r="A120" s="125" t="s">
        <v>56</v>
      </c>
      <c r="B120" s="125"/>
      <c r="C120" s="124" t="s">
        <v>81</v>
      </c>
      <c r="D120" s="124"/>
      <c r="E120" s="182" t="s">
        <v>57</v>
      </c>
      <c r="F120" s="182"/>
      <c r="G120" s="125" t="s">
        <v>58</v>
      </c>
      <c r="H120" s="125"/>
      <c r="I120" s="37"/>
    </row>
    <row r="121" spans="1:9" s="38" customFormat="1" ht="15.75" customHeight="1" x14ac:dyDescent="0.25">
      <c r="A121" s="99" t="s">
        <v>232</v>
      </c>
      <c r="B121" s="99" t="s">
        <v>186</v>
      </c>
      <c r="C121" s="98">
        <f>COUNT(D132:D136)+COUNT(D138:D143)*12+COUNT(D145,D147:D150)*2</f>
        <v>87</v>
      </c>
      <c r="D121" s="98"/>
      <c r="E121" s="100">
        <f>SUM(D132:D136)+SUM(D138:D143)*12+SUM(D145,D147:D150)*2</f>
        <v>48336.60312</v>
      </c>
      <c r="F121" s="100"/>
      <c r="G121" s="100">
        <f>SUM(,F132:F136)+SUM(F138:F143)*12+SUM(F145,F147:F150)*2</f>
        <v>72504.904679999992</v>
      </c>
      <c r="H121" s="100"/>
      <c r="I121" s="37"/>
    </row>
    <row r="122" spans="1:9" s="38" customFormat="1" ht="15.75" customHeight="1" x14ac:dyDescent="0.25">
      <c r="A122" s="98" t="s">
        <v>233</v>
      </c>
      <c r="B122" s="99" t="s">
        <v>187</v>
      </c>
      <c r="C122" s="98">
        <f>COUNT(D153,D155:D160)+COUNT(D162:D169)*12+ COUNT(D171:D173,D175:D178)*2</f>
        <v>117</v>
      </c>
      <c r="D122" s="98"/>
      <c r="E122" s="100">
        <f>SUM(D153,D155:D160)+SUM(D162:D169)*12+ SUM(D171:D173,D175:D178)*2</f>
        <v>58614.904529999985</v>
      </c>
      <c r="F122" s="100"/>
      <c r="G122" s="100">
        <f>SUM(F153,F155:F160)+SUM(F162:F169)*12+ SUM(F171:F173,F175:F178)*2</f>
        <v>87922.356794999985</v>
      </c>
      <c r="H122" s="100"/>
      <c r="I122" s="37"/>
    </row>
    <row r="123" spans="1:9" s="38" customFormat="1" ht="15.75" customHeight="1" x14ac:dyDescent="0.25">
      <c r="A123" s="98" t="s">
        <v>235</v>
      </c>
      <c r="B123" s="99" t="s">
        <v>187</v>
      </c>
      <c r="C123" s="98">
        <f>COUNT(D181:D184)+COUNT(D186:D189)*12+COUNT(D191:D194)*2</f>
        <v>60</v>
      </c>
      <c r="D123" s="98"/>
      <c r="E123" s="100">
        <f>SUM(D181:D184)+SUM(D186:D189)*12+SUM(D191:D194)*2</f>
        <v>31597.721999999991</v>
      </c>
      <c r="F123" s="100"/>
      <c r="G123" s="100">
        <f>SUM(F181:F184)+SUM(F186:F189)*12+SUM(F191:F194)*2</f>
        <v>47396.582999999999</v>
      </c>
      <c r="H123" s="100"/>
      <c r="I123" s="37"/>
    </row>
    <row r="124" spans="1:9" s="38" customFormat="1" ht="15.75" customHeight="1" x14ac:dyDescent="0.25">
      <c r="A124" s="126" t="s">
        <v>154</v>
      </c>
      <c r="B124" s="127"/>
      <c r="C124" s="130">
        <f>SUM(C121:C123)</f>
        <v>264</v>
      </c>
      <c r="D124" s="131"/>
      <c r="E124" s="128">
        <f>SUM(E121:E123)</f>
        <v>138549.22964999996</v>
      </c>
      <c r="F124" s="129"/>
      <c r="G124" s="122">
        <f>SUM(G121:G123)</f>
        <v>207823.84447499999</v>
      </c>
      <c r="H124" s="123"/>
      <c r="I124" s="37"/>
    </row>
    <row r="125" spans="1:9" s="38" customFormat="1" ht="15.75" customHeight="1" x14ac:dyDescent="0.25">
      <c r="A125" s="107" t="s">
        <v>59</v>
      </c>
      <c r="B125" s="107"/>
      <c r="C125" s="107"/>
      <c r="D125" s="107"/>
      <c r="E125" s="107"/>
      <c r="F125" s="107"/>
      <c r="G125" s="107"/>
      <c r="H125" s="107"/>
      <c r="I125" s="37"/>
    </row>
    <row r="126" spans="1:9" s="38" customFormat="1" ht="15.75" customHeight="1" x14ac:dyDescent="0.25">
      <c r="A126" s="107" t="s">
        <v>60</v>
      </c>
      <c r="B126" s="107"/>
      <c r="C126" s="107"/>
      <c r="D126" s="107"/>
      <c r="E126" s="107"/>
      <c r="F126" s="107"/>
      <c r="G126" s="107"/>
      <c r="H126" s="107"/>
      <c r="I126" s="37"/>
    </row>
    <row r="127" spans="1:9" s="38" customFormat="1" ht="47.25" customHeight="1" x14ac:dyDescent="0.25">
      <c r="A127" s="111" t="s">
        <v>124</v>
      </c>
      <c r="B127" s="111" t="s">
        <v>213</v>
      </c>
      <c r="C127" s="113" t="s">
        <v>61</v>
      </c>
      <c r="D127" s="113" t="s">
        <v>62</v>
      </c>
      <c r="E127" s="184" t="s">
        <v>63</v>
      </c>
      <c r="F127" s="43" t="s">
        <v>153</v>
      </c>
      <c r="G127" s="111" t="s">
        <v>64</v>
      </c>
      <c r="H127" s="186"/>
      <c r="I127" s="37"/>
    </row>
    <row r="128" spans="1:9" s="38" customFormat="1" ht="15.75" customHeight="1" x14ac:dyDescent="0.25">
      <c r="A128" s="112"/>
      <c r="B128" s="112"/>
      <c r="C128" s="114"/>
      <c r="D128" s="114"/>
      <c r="E128" s="185"/>
      <c r="F128" s="13">
        <v>0.5</v>
      </c>
      <c r="G128" s="112"/>
      <c r="H128" s="187"/>
      <c r="I128" s="37"/>
    </row>
    <row r="129" spans="1:14" s="56" customFormat="1" ht="15.75" customHeight="1" x14ac:dyDescent="0.25">
      <c r="A129" s="107" t="s">
        <v>232</v>
      </c>
      <c r="B129" s="107"/>
      <c r="C129" s="107"/>
      <c r="D129" s="107"/>
      <c r="E129" s="107"/>
      <c r="F129" s="107"/>
      <c r="G129" s="107"/>
      <c r="H129" s="107"/>
      <c r="I129" s="55"/>
    </row>
    <row r="130" spans="1:14" s="38" customFormat="1" ht="15.75" customHeight="1" x14ac:dyDescent="0.25">
      <c r="A130" s="94" t="s">
        <v>197</v>
      </c>
      <c r="B130" s="95"/>
      <c r="C130" s="95"/>
      <c r="D130" s="95"/>
      <c r="E130" s="95"/>
      <c r="F130" s="95"/>
      <c r="G130" s="95"/>
      <c r="H130" s="96"/>
      <c r="I130" s="37"/>
    </row>
    <row r="131" spans="1:14" s="38" customFormat="1" ht="15.75" customHeight="1" x14ac:dyDescent="0.25">
      <c r="A131" s="53">
        <v>1</v>
      </c>
      <c r="B131" s="53" t="s">
        <v>214</v>
      </c>
      <c r="C131" s="101" t="s">
        <v>198</v>
      </c>
      <c r="D131" s="102"/>
      <c r="E131" s="102"/>
      <c r="F131" s="103"/>
      <c r="G131" s="88" t="str">
        <f>A130</f>
        <v>Ground Floor for Residential</v>
      </c>
      <c r="H131" s="89"/>
      <c r="I131" s="37"/>
      <c r="N131" s="38" t="s">
        <v>201</v>
      </c>
    </row>
    <row r="132" spans="1:14" s="38" customFormat="1" ht="15.75" customHeight="1" x14ac:dyDescent="0.25">
      <c r="A132" s="53">
        <v>14</v>
      </c>
      <c r="B132" s="53" t="s">
        <v>227</v>
      </c>
      <c r="C132" s="53" t="s">
        <v>200</v>
      </c>
      <c r="D132" s="54">
        <f>(21.93+1.5*2.75)*10.764</f>
        <v>280.45601999999997</v>
      </c>
      <c r="E132" s="53">
        <v>0</v>
      </c>
      <c r="F132" s="53">
        <f>D132*(($F$128)+1)+(IF(E132&lt;101,E132,IF(E132&lt;201,E132/2,IF(E132&lt;=301,E132/3,E132/4))))</f>
        <v>420.68402999999995</v>
      </c>
      <c r="G132" s="90"/>
      <c r="H132" s="91"/>
      <c r="I132" s="37"/>
    </row>
    <row r="133" spans="1:14" s="38" customFormat="1" ht="15.75" customHeight="1" x14ac:dyDescent="0.25">
      <c r="A133" s="53">
        <v>15</v>
      </c>
      <c r="B133" s="53" t="s">
        <v>228</v>
      </c>
      <c r="C133" s="53" t="s">
        <v>184</v>
      </c>
      <c r="D133" s="54">
        <f>(48.8+1*2.75)*10.764</f>
        <v>554.88419999999996</v>
      </c>
      <c r="E133" s="53">
        <v>0</v>
      </c>
      <c r="F133" s="53">
        <f>D133*(($F$128)+1)+(IF(E133&lt;101,E133,IF(E133&lt;201,E133/2,IF(E133&lt;=301,E133/3,E133/4))))</f>
        <v>832.32629999999995</v>
      </c>
      <c r="G133" s="90"/>
      <c r="H133" s="91"/>
      <c r="I133" s="37"/>
    </row>
    <row r="134" spans="1:14" s="38" customFormat="1" ht="15.75" customHeight="1" x14ac:dyDescent="0.25">
      <c r="A134" s="53">
        <v>16</v>
      </c>
      <c r="B134" s="53" t="s">
        <v>229</v>
      </c>
      <c r="C134" s="53" t="s">
        <v>183</v>
      </c>
      <c r="D134" s="54">
        <f>(39.93)*10.764</f>
        <v>429.80651999999998</v>
      </c>
      <c r="E134" s="53">
        <v>0</v>
      </c>
      <c r="F134" s="53">
        <f t="shared" ref="F134:F136" si="0">D134*(($F$128)+1)+(IF(E134&lt;101,E134,IF(E134&lt;201,E134/2,IF(E134&lt;=301,E134/3,E134/4))))</f>
        <v>644.70977999999991</v>
      </c>
      <c r="G134" s="90"/>
      <c r="H134" s="91"/>
      <c r="I134" s="37"/>
    </row>
    <row r="135" spans="1:14" s="38" customFormat="1" ht="15.75" customHeight="1" x14ac:dyDescent="0.25">
      <c r="A135" s="53">
        <v>17</v>
      </c>
      <c r="B135" s="53" t="s">
        <v>230</v>
      </c>
      <c r="C135" s="53" t="s">
        <v>184</v>
      </c>
      <c r="D135" s="54">
        <f>(47.25+1*2.75)*10.764</f>
        <v>538.19999999999993</v>
      </c>
      <c r="E135" s="53">
        <v>0</v>
      </c>
      <c r="F135" s="53">
        <f t="shared" si="0"/>
        <v>807.3</v>
      </c>
      <c r="G135" s="90"/>
      <c r="H135" s="91"/>
      <c r="I135" s="57" t="s">
        <v>208</v>
      </c>
      <c r="J135" s="38" t="s">
        <v>211</v>
      </c>
    </row>
    <row r="136" spans="1:14" x14ac:dyDescent="0.25">
      <c r="A136" s="53">
        <v>18</v>
      </c>
      <c r="B136" s="53" t="s">
        <v>231</v>
      </c>
      <c r="C136" s="53" t="s">
        <v>184</v>
      </c>
      <c r="D136" s="54">
        <f>(47.25+1*2.75)*10.764</f>
        <v>538.19999999999993</v>
      </c>
      <c r="E136" s="53">
        <v>0</v>
      </c>
      <c r="F136" s="53">
        <f t="shared" si="0"/>
        <v>807.3</v>
      </c>
      <c r="G136" s="92"/>
      <c r="H136" s="93"/>
    </row>
    <row r="137" spans="1:14" s="38" customFormat="1" ht="15.75" customHeight="1" x14ac:dyDescent="0.25">
      <c r="A137" s="94" t="s">
        <v>202</v>
      </c>
      <c r="B137" s="95"/>
      <c r="C137" s="95"/>
      <c r="D137" s="95"/>
      <c r="E137" s="95"/>
      <c r="F137" s="95"/>
      <c r="G137" s="95"/>
      <c r="H137" s="96"/>
      <c r="I137" s="37"/>
    </row>
    <row r="138" spans="1:14" s="38" customFormat="1" x14ac:dyDescent="0.25">
      <c r="A138" s="53">
        <v>1</v>
      </c>
      <c r="B138" s="53" t="s">
        <v>214</v>
      </c>
      <c r="C138" s="53" t="s">
        <v>183</v>
      </c>
      <c r="D138" s="54">
        <f>(29.93+1.5*2.75+1.2*2.75+0.75*(2.75+2.35+2.75))*10.764</f>
        <v>465.46226999999988</v>
      </c>
      <c r="E138" s="53">
        <v>0</v>
      </c>
      <c r="F138" s="53">
        <f t="shared" ref="F138:F143" si="1">D138*(($F$128)+1)+(IF(E138&lt;101,E138,IF(E138&lt;201,E138/2,IF(E138&lt;=301,E138/3,E138/4))))</f>
        <v>698.19340499999976</v>
      </c>
      <c r="G138" s="88" t="str">
        <f>A137</f>
        <v>1st to 7th &amp; 9th to 12th, 14th Floor</v>
      </c>
      <c r="H138" s="89"/>
      <c r="I138" s="37"/>
      <c r="J138" s="38">
        <f>2.75*3.03+2.35*2.6+2.75*2.3+2.35*0.5+1.3*1.15+1.3*1.7+0.9*2.35+0.5*1.35</f>
        <v>28.437500000000004</v>
      </c>
      <c r="K138" s="38">
        <f>2.75*3.7+1.2*2.3+1.25*2.25+2.2*2.6+2.55*2.6+2.95*3.65+1.25*2.1+0.9*(1.25+1.2+1)</f>
        <v>44.594999999999999</v>
      </c>
    </row>
    <row r="139" spans="1:14" s="38" customFormat="1" ht="15.75" customHeight="1" x14ac:dyDescent="0.25">
      <c r="A139" s="53">
        <v>14</v>
      </c>
      <c r="B139" s="53" t="s">
        <v>227</v>
      </c>
      <c r="C139" s="53" t="s">
        <v>183</v>
      </c>
      <c r="D139" s="54">
        <f>(29.93+1.5*2.75+2.75*1.2+0.75*(2.75+2.35+2.75))*10.764</f>
        <v>465.46226999999988</v>
      </c>
      <c r="E139" s="53">
        <v>0</v>
      </c>
      <c r="F139" s="53">
        <f t="shared" si="1"/>
        <v>698.19340499999976</v>
      </c>
      <c r="G139" s="90"/>
      <c r="H139" s="91"/>
      <c r="I139" s="37"/>
      <c r="J139" s="38">
        <f>2.75*3.2+2.35*2.6+1.25*1.65+1.3*1.15+0.9*2.35+0.5*1.25</f>
        <v>21.207500000000003</v>
      </c>
    </row>
    <row r="140" spans="1:14" s="38" customFormat="1" ht="15.75" customHeight="1" x14ac:dyDescent="0.25">
      <c r="A140" s="53">
        <v>15</v>
      </c>
      <c r="B140" s="53" t="s">
        <v>228</v>
      </c>
      <c r="C140" s="53" t="s">
        <v>184</v>
      </c>
      <c r="D140" s="54">
        <f>(48.8+1*2.75+0.75*(2.75+2.2+2.55+2.95))*10.764</f>
        <v>639.24704999999994</v>
      </c>
      <c r="E140" s="53">
        <v>0</v>
      </c>
      <c r="F140" s="53">
        <f t="shared" si="1"/>
        <v>958.87057499999992</v>
      </c>
      <c r="G140" s="90"/>
      <c r="H140" s="91"/>
      <c r="I140" s="37"/>
    </row>
    <row r="141" spans="1:14" s="38" customFormat="1" ht="15.75" customHeight="1" x14ac:dyDescent="0.25">
      <c r="A141" s="53">
        <v>16</v>
      </c>
      <c r="B141" s="53" t="s">
        <v>229</v>
      </c>
      <c r="C141" s="53" t="s">
        <v>184</v>
      </c>
      <c r="D141" s="54">
        <f>(46.06+0.75*(2.6+2.75+2.55+2.95))*10.764</f>
        <v>583.38189</v>
      </c>
      <c r="E141" s="53">
        <v>0</v>
      </c>
      <c r="F141" s="53">
        <f t="shared" si="1"/>
        <v>875.07283499999994</v>
      </c>
      <c r="G141" s="90"/>
      <c r="H141" s="91"/>
      <c r="I141" s="37"/>
    </row>
    <row r="142" spans="1:14" s="38" customFormat="1" ht="15.75" customHeight="1" x14ac:dyDescent="0.25">
      <c r="A142" s="53">
        <v>17</v>
      </c>
      <c r="B142" s="53" t="s">
        <v>230</v>
      </c>
      <c r="C142" s="53" t="s">
        <v>184</v>
      </c>
      <c r="D142" s="54">
        <f>(47.25+1*2.75+0.75*(2.2+2.75+2.6))*10.764</f>
        <v>599.15115000000003</v>
      </c>
      <c r="E142" s="53">
        <v>0</v>
      </c>
      <c r="F142" s="53">
        <f t="shared" si="1"/>
        <v>898.72672499999999</v>
      </c>
      <c r="G142" s="90"/>
      <c r="H142" s="91"/>
      <c r="I142" s="37"/>
    </row>
    <row r="143" spans="1:14" s="38" customFormat="1" ht="15.75" customHeight="1" x14ac:dyDescent="0.25">
      <c r="A143" s="53">
        <v>18</v>
      </c>
      <c r="B143" s="53" t="s">
        <v>231</v>
      </c>
      <c r="C143" s="53" t="s">
        <v>184</v>
      </c>
      <c r="D143" s="54">
        <f>(47.25+1*2.75+0.75*(2.2+2.75+2.6))*10.764</f>
        <v>599.15115000000003</v>
      </c>
      <c r="E143" s="53">
        <v>0</v>
      </c>
      <c r="F143" s="53">
        <f t="shared" si="1"/>
        <v>898.72672499999999</v>
      </c>
      <c r="G143" s="92"/>
      <c r="H143" s="93"/>
      <c r="I143" s="37"/>
    </row>
    <row r="144" spans="1:14" s="38" customFormat="1" ht="15.75" customHeight="1" x14ac:dyDescent="0.25">
      <c r="A144" s="104" t="s">
        <v>203</v>
      </c>
      <c r="B144" s="105"/>
      <c r="C144" s="105"/>
      <c r="D144" s="105"/>
      <c r="E144" s="105"/>
      <c r="F144" s="105"/>
      <c r="G144" s="105"/>
      <c r="H144" s="106"/>
      <c r="I144" s="37"/>
    </row>
    <row r="145" spans="1:14" s="38" customFormat="1" ht="15.75" customHeight="1" x14ac:dyDescent="0.25">
      <c r="A145" s="53">
        <v>1</v>
      </c>
      <c r="B145" s="53" t="s">
        <v>214</v>
      </c>
      <c r="C145" s="53" t="s">
        <v>183</v>
      </c>
      <c r="D145" s="54">
        <f>(29.93+1.5*2.75+1.2*2.75+0.75*(2.75+2.35+2.75))*10.764</f>
        <v>465.46226999999988</v>
      </c>
      <c r="E145" s="53">
        <v>0</v>
      </c>
      <c r="F145" s="53">
        <f>D145*(($F$128)+1)+(IF(E145&lt;101,E145,IF(E145&lt;201,E145/2,IF(E145&lt;=301,E145/3,E145/4))))</f>
        <v>698.19340499999976</v>
      </c>
      <c r="G145" s="88" t="str">
        <f>A144</f>
        <v>8th Floor &amp; 13th Floor (Part Refuge Area)</v>
      </c>
      <c r="H145" s="89"/>
      <c r="I145" s="37"/>
    </row>
    <row r="146" spans="1:14" s="38" customFormat="1" ht="15.75" customHeight="1" x14ac:dyDescent="0.25">
      <c r="A146" s="53">
        <v>14</v>
      </c>
      <c r="B146" s="53" t="s">
        <v>227</v>
      </c>
      <c r="C146" s="101" t="s">
        <v>185</v>
      </c>
      <c r="D146" s="102"/>
      <c r="E146" s="102"/>
      <c r="F146" s="103"/>
      <c r="G146" s="90"/>
      <c r="H146" s="91"/>
      <c r="I146" s="37"/>
    </row>
    <row r="147" spans="1:14" s="38" customFormat="1" x14ac:dyDescent="0.25">
      <c r="A147" s="53">
        <v>15</v>
      </c>
      <c r="B147" s="53" t="s">
        <v>228</v>
      </c>
      <c r="C147" s="53" t="s">
        <v>184</v>
      </c>
      <c r="D147" s="54">
        <f>(48.8+1*2.75+0.75*(2.75+2.2+2.55+2.95))*10.764</f>
        <v>639.24704999999994</v>
      </c>
      <c r="E147" s="53">
        <v>0</v>
      </c>
      <c r="F147" s="53">
        <f>D147*(($F$128)+1)+(IF(E147&lt;101,E147,IF(E147&lt;201,E147/2,IF(E147&lt;=301,E147/3,E147/4))))</f>
        <v>958.87057499999992</v>
      </c>
      <c r="G147" s="90"/>
      <c r="H147" s="91"/>
      <c r="I147" s="37"/>
      <c r="J147" s="38">
        <f>2.75*3.03+2.35*2.6+2.75*2.3+2.35*0.5+1.3*1.15+1.3*1.7+0.9*2.35+0.5*1.35</f>
        <v>28.437500000000004</v>
      </c>
      <c r="K147" s="38">
        <f>2.75*3.7+1.2*2.3+1.25*2.25+2.2*2.6+2.55*2.6+2.95*3.65+1.25*2.1+0.9*(1.25+1.2+1)</f>
        <v>44.594999999999999</v>
      </c>
    </row>
    <row r="148" spans="1:14" s="38" customFormat="1" ht="15.75" customHeight="1" x14ac:dyDescent="0.25">
      <c r="A148" s="53">
        <v>16</v>
      </c>
      <c r="B148" s="53" t="s">
        <v>229</v>
      </c>
      <c r="C148" s="53" t="s">
        <v>184</v>
      </c>
      <c r="D148" s="54">
        <f>(46.06+0.75*(2.6+2.75+2.55+2.95))*10.764</f>
        <v>583.38189</v>
      </c>
      <c r="E148" s="53">
        <v>0</v>
      </c>
      <c r="F148" s="53">
        <f>D148*(($F$128)+1)+(IF(E148&lt;101,E148,IF(E148&lt;201,E148/2,IF(E148&lt;=301,E148/3,E148/4))))</f>
        <v>875.07283499999994</v>
      </c>
      <c r="G148" s="90"/>
      <c r="H148" s="91"/>
      <c r="I148" s="37"/>
      <c r="J148" s="38">
        <f>2.75*3.2+2.35*2.6+1.25*1.65+1.3*1.15+0.9*2.35+0.5*1.25</f>
        <v>21.207500000000003</v>
      </c>
    </row>
    <row r="149" spans="1:14" s="38" customFormat="1" ht="15.75" customHeight="1" x14ac:dyDescent="0.25">
      <c r="A149" s="53">
        <v>17</v>
      </c>
      <c r="B149" s="53" t="s">
        <v>230</v>
      </c>
      <c r="C149" s="53" t="s">
        <v>184</v>
      </c>
      <c r="D149" s="54">
        <f>(47.25+1*2.75+0.75*(2.2+2.75+2.6))*10.764</f>
        <v>599.15115000000003</v>
      </c>
      <c r="E149" s="53">
        <v>0</v>
      </c>
      <c r="F149" s="53">
        <f t="shared" ref="F149:F150" si="2">D149*(($F$128)+1)+(IF(E149&lt;101,E149,IF(E149&lt;201,E149/2,IF(E149&lt;=301,E149/3,E149/4))))</f>
        <v>898.72672499999999</v>
      </c>
      <c r="G149" s="90"/>
      <c r="H149" s="91"/>
      <c r="I149" s="37"/>
    </row>
    <row r="150" spans="1:14" s="38" customFormat="1" ht="15.75" customHeight="1" x14ac:dyDescent="0.25">
      <c r="A150" s="53">
        <v>18</v>
      </c>
      <c r="B150" s="53" t="s">
        <v>231</v>
      </c>
      <c r="C150" s="53" t="s">
        <v>184</v>
      </c>
      <c r="D150" s="54">
        <f>(47.25+1*2.75+0.75*(2.2+2.75+2.6))*10.764</f>
        <v>599.15115000000003</v>
      </c>
      <c r="E150" s="53">
        <v>0</v>
      </c>
      <c r="F150" s="53">
        <f t="shared" si="2"/>
        <v>898.72672499999999</v>
      </c>
      <c r="G150" s="92"/>
      <c r="H150" s="93"/>
      <c r="I150" s="37"/>
    </row>
    <row r="151" spans="1:14" s="38" customFormat="1" ht="15.75" customHeight="1" x14ac:dyDescent="0.25">
      <c r="A151" s="107" t="s">
        <v>233</v>
      </c>
      <c r="B151" s="107"/>
      <c r="C151" s="107"/>
      <c r="D151" s="107"/>
      <c r="E151" s="107"/>
      <c r="F151" s="107"/>
      <c r="G151" s="107"/>
      <c r="H151" s="107"/>
      <c r="I151" s="37"/>
    </row>
    <row r="152" spans="1:14" s="38" customFormat="1" ht="15.75" customHeight="1" x14ac:dyDescent="0.25">
      <c r="A152" s="94" t="s">
        <v>197</v>
      </c>
      <c r="B152" s="95"/>
      <c r="C152" s="95"/>
      <c r="D152" s="95"/>
      <c r="E152" s="95"/>
      <c r="F152" s="95"/>
      <c r="G152" s="95"/>
      <c r="H152" s="96"/>
      <c r="I152" s="37"/>
    </row>
    <row r="153" spans="1:14" s="38" customFormat="1" ht="15.75" customHeight="1" x14ac:dyDescent="0.25">
      <c r="A153" s="53">
        <v>2</v>
      </c>
      <c r="B153" s="53" t="s">
        <v>215</v>
      </c>
      <c r="C153" s="53" t="s">
        <v>183</v>
      </c>
      <c r="D153" s="54">
        <f>(29.96+1.2*2.75+1.5*2.75)*10.764</f>
        <v>402.41213999999997</v>
      </c>
      <c r="E153" s="53">
        <v>0</v>
      </c>
      <c r="F153" s="53">
        <f t="shared" ref="F153" si="3">D153*(($F$128)+1)+(IF(E153&lt;101,E153,IF(E153&lt;201,E153/2,IF(E153&lt;=301,E153/3,E153/4))))</f>
        <v>603.61820999999998</v>
      </c>
      <c r="G153" s="88" t="str">
        <f>A152</f>
        <v>Ground Floor for Residential</v>
      </c>
      <c r="H153" s="89"/>
      <c r="I153" s="37"/>
    </row>
    <row r="154" spans="1:14" s="38" customFormat="1" ht="15.75" customHeight="1" x14ac:dyDescent="0.25">
      <c r="A154" s="53">
        <v>3</v>
      </c>
      <c r="B154" s="53" t="s">
        <v>216</v>
      </c>
      <c r="C154" s="101" t="s">
        <v>199</v>
      </c>
      <c r="D154" s="102"/>
      <c r="E154" s="102"/>
      <c r="F154" s="103"/>
      <c r="G154" s="90"/>
      <c r="H154" s="91"/>
      <c r="I154" s="37"/>
    </row>
    <row r="155" spans="1:14" s="56" customFormat="1" ht="15.75" customHeight="1" x14ac:dyDescent="0.25">
      <c r="A155" s="53">
        <v>4</v>
      </c>
      <c r="B155" s="53" t="s">
        <v>217</v>
      </c>
      <c r="C155" s="53" t="s">
        <v>183</v>
      </c>
      <c r="D155" s="54">
        <f>(29.91+1.5*2.75+1*2.3+1*2.75)*10.764</f>
        <v>420.71093999999988</v>
      </c>
      <c r="E155" s="53">
        <v>0</v>
      </c>
      <c r="F155" s="53">
        <f t="shared" ref="F155:F160" si="4">D155*(($F$128)+1)+(IF(E155&lt;101,E155,IF(E155&lt;201,E155/2,IF(E155&lt;=301,E155/3,E155/4))))</f>
        <v>631.06640999999979</v>
      </c>
      <c r="G155" s="90"/>
      <c r="H155" s="91"/>
      <c r="I155" s="55"/>
    </row>
    <row r="156" spans="1:14" s="38" customFormat="1" x14ac:dyDescent="0.25">
      <c r="A156" s="53">
        <v>9</v>
      </c>
      <c r="B156" s="53" t="s">
        <v>222</v>
      </c>
      <c r="C156" s="53" t="s">
        <v>183</v>
      </c>
      <c r="D156" s="54">
        <f>(39.98)*10.764</f>
        <v>430.34471999999994</v>
      </c>
      <c r="E156" s="53">
        <v>0</v>
      </c>
      <c r="F156" s="53">
        <f t="shared" si="4"/>
        <v>645.51707999999985</v>
      </c>
      <c r="G156" s="90"/>
      <c r="H156" s="91"/>
      <c r="I156" s="37"/>
    </row>
    <row r="157" spans="1:14" s="38" customFormat="1" ht="15.75" customHeight="1" x14ac:dyDescent="0.25">
      <c r="A157" s="53">
        <v>10</v>
      </c>
      <c r="B157" s="53" t="s">
        <v>223</v>
      </c>
      <c r="C157" s="53" t="s">
        <v>184</v>
      </c>
      <c r="D157" s="54">
        <f>(48.89+1*2.75)*10.764</f>
        <v>555.85295999999994</v>
      </c>
      <c r="E157" s="53">
        <v>0</v>
      </c>
      <c r="F157" s="53">
        <f t="shared" si="4"/>
        <v>833.77943999999991</v>
      </c>
      <c r="G157" s="90"/>
      <c r="H157" s="91"/>
      <c r="I157" s="37"/>
    </row>
    <row r="158" spans="1:14" s="38" customFormat="1" ht="15.75" customHeight="1" x14ac:dyDescent="0.25">
      <c r="A158" s="53">
        <v>11</v>
      </c>
      <c r="B158" s="53" t="s">
        <v>224</v>
      </c>
      <c r="C158" s="53" t="s">
        <v>184</v>
      </c>
      <c r="D158" s="54">
        <f>(48.8+1*2.75)*10.764</f>
        <v>554.88419999999996</v>
      </c>
      <c r="E158" s="53">
        <v>0</v>
      </c>
      <c r="F158" s="53">
        <f t="shared" si="4"/>
        <v>832.32629999999995</v>
      </c>
      <c r="G158" s="90"/>
      <c r="H158" s="91"/>
      <c r="I158" s="37"/>
      <c r="N158" s="38" t="s">
        <v>201</v>
      </c>
    </row>
    <row r="159" spans="1:14" s="38" customFormat="1" ht="15.75" customHeight="1" x14ac:dyDescent="0.25">
      <c r="A159" s="53">
        <v>12</v>
      </c>
      <c r="B159" s="53" t="s">
        <v>225</v>
      </c>
      <c r="C159" s="53" t="s">
        <v>200</v>
      </c>
      <c r="D159" s="54">
        <f>(22.37+1.35*2.75)*10.764</f>
        <v>280.75202999999999</v>
      </c>
      <c r="E159" s="53">
        <v>0</v>
      </c>
      <c r="F159" s="53">
        <f t="shared" si="4"/>
        <v>421.12804499999999</v>
      </c>
      <c r="G159" s="90"/>
      <c r="H159" s="91"/>
      <c r="I159" s="37"/>
    </row>
    <row r="160" spans="1:14" s="38" customFormat="1" ht="15.75" customHeight="1" x14ac:dyDescent="0.25">
      <c r="A160" s="53">
        <v>13</v>
      </c>
      <c r="B160" s="53" t="s">
        <v>226</v>
      </c>
      <c r="C160" s="53" t="s">
        <v>183</v>
      </c>
      <c r="D160" s="54">
        <f>(29.96+1.5*2.75+1.2*2.75)*10.764</f>
        <v>402.41213999999997</v>
      </c>
      <c r="E160" s="53">
        <v>0</v>
      </c>
      <c r="F160" s="53">
        <f t="shared" si="4"/>
        <v>603.61820999999998</v>
      </c>
      <c r="G160" s="92"/>
      <c r="H160" s="93"/>
      <c r="I160" s="37"/>
      <c r="N160" s="38" t="s">
        <v>201</v>
      </c>
    </row>
    <row r="161" spans="1:10" s="38" customFormat="1" ht="15.75" customHeight="1" x14ac:dyDescent="0.25">
      <c r="A161" s="94" t="s">
        <v>202</v>
      </c>
      <c r="B161" s="95"/>
      <c r="C161" s="95"/>
      <c r="D161" s="95"/>
      <c r="E161" s="95"/>
      <c r="F161" s="95"/>
      <c r="G161" s="95"/>
      <c r="H161" s="96"/>
      <c r="I161" s="37"/>
    </row>
    <row r="162" spans="1:10" s="38" customFormat="1" ht="15.75" customHeight="1" x14ac:dyDescent="0.25">
      <c r="A162" s="53">
        <v>2</v>
      </c>
      <c r="B162" s="53" t="s">
        <v>215</v>
      </c>
      <c r="C162" s="53" t="s">
        <v>183</v>
      </c>
      <c r="D162" s="54">
        <f>(29.96+1.5*2.75+1.2*2.75+0.75*(2.75+2.35+2.75))*10.764</f>
        <v>465.78518999999989</v>
      </c>
      <c r="E162" s="53">
        <v>0</v>
      </c>
      <c r="F162" s="53">
        <f t="shared" ref="F162:F169" si="5">D162*(($F$128)+1)+(IF(E162&lt;101,E162,IF(E162&lt;201,E162/2,IF(E162&lt;=301,E162/3,E162/4))))</f>
        <v>698.67778499999986</v>
      </c>
      <c r="G162" s="88" t="str">
        <f>A161</f>
        <v>1st to 7th &amp; 9th to 12th, 14th Floor</v>
      </c>
      <c r="H162" s="89"/>
      <c r="I162" s="37"/>
    </row>
    <row r="163" spans="1:10" s="38" customFormat="1" ht="15.75" customHeight="1" x14ac:dyDescent="0.25">
      <c r="A163" s="53">
        <v>3</v>
      </c>
      <c r="B163" s="53" t="s">
        <v>216</v>
      </c>
      <c r="C163" s="53" t="s">
        <v>183</v>
      </c>
      <c r="D163" s="54">
        <f>(29.92+1.35*2.75+1.2*2.75+0.75*(2.75+2.35+2.75))*10.764</f>
        <v>460.91447999999991</v>
      </c>
      <c r="E163" s="53">
        <v>0</v>
      </c>
      <c r="F163" s="53">
        <f t="shared" si="5"/>
        <v>691.37171999999987</v>
      </c>
      <c r="G163" s="90"/>
      <c r="H163" s="91"/>
      <c r="I163" s="37"/>
    </row>
    <row r="164" spans="1:10" x14ac:dyDescent="0.25">
      <c r="A164" s="53">
        <v>4</v>
      </c>
      <c r="B164" s="53" t="s">
        <v>217</v>
      </c>
      <c r="C164" s="53" t="s">
        <v>183</v>
      </c>
      <c r="D164" s="54">
        <f>(29.91+1.5*2.75+1*(2.3+2.75)+0.75*2.75)*10.764</f>
        <v>442.91168999999991</v>
      </c>
      <c r="E164" s="53">
        <v>0</v>
      </c>
      <c r="F164" s="53">
        <f t="shared" si="5"/>
        <v>664.36753499999986</v>
      </c>
      <c r="G164" s="90"/>
      <c r="H164" s="91"/>
    </row>
    <row r="165" spans="1:10" s="38" customFormat="1" ht="15.75" customHeight="1" x14ac:dyDescent="0.25">
      <c r="A165" s="53">
        <v>9</v>
      </c>
      <c r="B165" s="53" t="s">
        <v>222</v>
      </c>
      <c r="C165" s="53" t="s">
        <v>183</v>
      </c>
      <c r="D165" s="54">
        <f>(39.98+0.75*(2.9+2.3+2.75))*10.764</f>
        <v>494.52506999999991</v>
      </c>
      <c r="E165" s="53">
        <v>0</v>
      </c>
      <c r="F165" s="53">
        <f t="shared" si="5"/>
        <v>741.78760499999987</v>
      </c>
      <c r="G165" s="90"/>
      <c r="H165" s="91"/>
      <c r="I165" s="37"/>
    </row>
    <row r="166" spans="1:10" s="38" customFormat="1" ht="15.75" customHeight="1" x14ac:dyDescent="0.25">
      <c r="A166" s="53">
        <v>10</v>
      </c>
      <c r="B166" s="53" t="s">
        <v>223</v>
      </c>
      <c r="C166" s="53" t="s">
        <v>184</v>
      </c>
      <c r="D166" s="54">
        <f>(48.89+1*2.75+0.75*(2.75+2.2+2.55+3.65))*10.764</f>
        <v>645.86690999999996</v>
      </c>
      <c r="E166" s="53">
        <v>0</v>
      </c>
      <c r="F166" s="53">
        <f t="shared" si="5"/>
        <v>968.80036499999994</v>
      </c>
      <c r="G166" s="90"/>
      <c r="H166" s="91"/>
      <c r="I166" s="37"/>
    </row>
    <row r="167" spans="1:10" s="38" customFormat="1" ht="15.75" customHeight="1" x14ac:dyDescent="0.25">
      <c r="A167" s="53">
        <v>11</v>
      </c>
      <c r="B167" s="53" t="s">
        <v>224</v>
      </c>
      <c r="C167" s="53" t="s">
        <v>184</v>
      </c>
      <c r="D167" s="54">
        <f>(48+1*2.75+0.75*(2.75+2.2+2.55+2.95))*10.764</f>
        <v>630.63584999999989</v>
      </c>
      <c r="E167" s="53">
        <v>0</v>
      </c>
      <c r="F167" s="53">
        <f t="shared" si="5"/>
        <v>945.95377499999984</v>
      </c>
      <c r="G167" s="90"/>
      <c r="H167" s="91"/>
      <c r="I167" s="37"/>
      <c r="J167" s="54">
        <v>10.763999999999999</v>
      </c>
    </row>
    <row r="168" spans="1:10" s="38" customFormat="1" ht="15.75" customHeight="1" x14ac:dyDescent="0.25">
      <c r="A168" s="53">
        <v>12</v>
      </c>
      <c r="B168" s="53" t="s">
        <v>225</v>
      </c>
      <c r="C168" s="53" t="s">
        <v>183</v>
      </c>
      <c r="D168" s="54">
        <f>(29.67+1.35*2.75+1*2.75+0.75*(2.75+2.35+2.75))*10.764</f>
        <v>452.30327999999992</v>
      </c>
      <c r="E168" s="53">
        <v>0</v>
      </c>
      <c r="F168" s="53">
        <f t="shared" si="5"/>
        <v>678.4549199999999</v>
      </c>
      <c r="G168" s="90"/>
      <c r="H168" s="91"/>
      <c r="I168" s="37"/>
    </row>
    <row r="169" spans="1:10" s="38" customFormat="1" ht="15.75" customHeight="1" x14ac:dyDescent="0.25">
      <c r="A169" s="53">
        <v>13</v>
      </c>
      <c r="B169" s="53" t="s">
        <v>226</v>
      </c>
      <c r="C169" s="53" t="s">
        <v>183</v>
      </c>
      <c r="D169" s="54">
        <f>(29.96+1.5*2.75+1.2*2.75+0.75*(2.75+2.75))*10.764</f>
        <v>446.81363999999996</v>
      </c>
      <c r="E169" s="53">
        <v>0</v>
      </c>
      <c r="F169" s="53">
        <f t="shared" si="5"/>
        <v>670.22046</v>
      </c>
      <c r="G169" s="92"/>
      <c r="H169" s="93"/>
      <c r="I169" s="37"/>
    </row>
    <row r="170" spans="1:10" s="38" customFormat="1" ht="15.75" customHeight="1" x14ac:dyDescent="0.25">
      <c r="A170" s="104" t="s">
        <v>203</v>
      </c>
      <c r="B170" s="105"/>
      <c r="C170" s="105"/>
      <c r="D170" s="105"/>
      <c r="E170" s="105"/>
      <c r="F170" s="105"/>
      <c r="G170" s="105"/>
      <c r="H170" s="106"/>
      <c r="I170" s="37"/>
    </row>
    <row r="171" spans="1:10" s="38" customFormat="1" ht="15.75" customHeight="1" x14ac:dyDescent="0.25">
      <c r="A171" s="53">
        <v>2</v>
      </c>
      <c r="B171" s="53" t="s">
        <v>215</v>
      </c>
      <c r="C171" s="53" t="s">
        <v>183</v>
      </c>
      <c r="D171" s="54">
        <f>(29.96+1.5*2.75+1.2*2.75+0.75*(2.75+2.35+2.75))*10.764</f>
        <v>465.78518999999989</v>
      </c>
      <c r="E171" s="53">
        <v>0</v>
      </c>
      <c r="F171" s="53">
        <f>D171*(($F$128)+1)+(IF(E171&lt;101,E171,IF(E171&lt;201,E171/2,IF(E171&lt;=301,E171/3,E171/4))))</f>
        <v>698.67778499999986</v>
      </c>
      <c r="G171" s="88" t="str">
        <f>A170</f>
        <v>8th Floor &amp; 13th Floor (Part Refuge Area)</v>
      </c>
      <c r="H171" s="89"/>
      <c r="I171" s="37"/>
    </row>
    <row r="172" spans="1:10" s="38" customFormat="1" ht="15.75" customHeight="1" x14ac:dyDescent="0.25">
      <c r="A172" s="53">
        <v>3</v>
      </c>
      <c r="B172" s="53" t="s">
        <v>216</v>
      </c>
      <c r="C172" s="53" t="s">
        <v>183</v>
      </c>
      <c r="D172" s="54">
        <f>(29.92+1.35*2.75+1.2*2.75+0.75*(2.75+2.35+2.75))*10.764</f>
        <v>460.91447999999991</v>
      </c>
      <c r="E172" s="53">
        <v>0</v>
      </c>
      <c r="F172" s="53">
        <f>D172*(($F$128)+1)+(IF(E172&lt;101,E172,IF(E172&lt;201,E172/2,IF(E172&lt;=301,E172/3,E172/4))))</f>
        <v>691.37171999999987</v>
      </c>
      <c r="G172" s="90"/>
      <c r="H172" s="91"/>
      <c r="I172" s="37"/>
      <c r="J172" s="54">
        <v>10.763999999999999</v>
      </c>
    </row>
    <row r="173" spans="1:10" s="38" customFormat="1" ht="15.75" customHeight="1" x14ac:dyDescent="0.25">
      <c r="A173" s="53">
        <v>4</v>
      </c>
      <c r="B173" s="53" t="s">
        <v>217</v>
      </c>
      <c r="C173" s="53" t="s">
        <v>183</v>
      </c>
      <c r="D173" s="54">
        <f>(29.91+1.5*2.75+1*(2.3+2.75)+0.75*2.75)*10.764</f>
        <v>442.91168999999991</v>
      </c>
      <c r="E173" s="53">
        <v>0</v>
      </c>
      <c r="F173" s="53">
        <f>D173*(($F$128)+1)+(IF(E173&lt;101,E173,IF(E173&lt;201,E173/2,IF(E173&lt;=301,E173/3,E173/4))))</f>
        <v>664.36753499999986</v>
      </c>
      <c r="G173" s="90"/>
      <c r="H173" s="91"/>
      <c r="I173" s="37"/>
    </row>
    <row r="174" spans="1:10" s="38" customFormat="1" ht="15.75" customHeight="1" x14ac:dyDescent="0.25">
      <c r="A174" s="53">
        <v>9</v>
      </c>
      <c r="B174" s="53" t="s">
        <v>222</v>
      </c>
      <c r="C174" s="101" t="s">
        <v>185</v>
      </c>
      <c r="D174" s="102"/>
      <c r="E174" s="102"/>
      <c r="F174" s="103"/>
      <c r="G174" s="90"/>
      <c r="H174" s="91"/>
      <c r="I174" s="37"/>
    </row>
    <row r="175" spans="1:10" s="56" customFormat="1" ht="15.75" customHeight="1" x14ac:dyDescent="0.25">
      <c r="A175" s="53">
        <v>10</v>
      </c>
      <c r="B175" s="53" t="s">
        <v>223</v>
      </c>
      <c r="C175" s="53" t="s">
        <v>184</v>
      </c>
      <c r="D175" s="54">
        <f>(48.89+1*2.75+0.75*(2.75+2.2+2.55+3.65))*10.764</f>
        <v>645.86690999999996</v>
      </c>
      <c r="E175" s="53">
        <v>0</v>
      </c>
      <c r="F175" s="53">
        <f>D175*(($F$128)+1)+(IF(E175&lt;101,E175,IF(E175&lt;201,E175/2,IF(E175&lt;=301,E175/3,E175/4))))</f>
        <v>968.80036499999994</v>
      </c>
      <c r="G175" s="90"/>
      <c r="H175" s="91"/>
      <c r="I175" s="55"/>
    </row>
    <row r="176" spans="1:10" s="38" customFormat="1" ht="15.75" customHeight="1" x14ac:dyDescent="0.25">
      <c r="A176" s="53">
        <v>11</v>
      </c>
      <c r="B176" s="53" t="s">
        <v>224</v>
      </c>
      <c r="C176" s="53" t="s">
        <v>184</v>
      </c>
      <c r="D176" s="54">
        <f>(48+1*2.75+0.75*(2.75+2.2+2.55+2.95))*10.764</f>
        <v>630.63584999999989</v>
      </c>
      <c r="E176" s="53">
        <v>0</v>
      </c>
      <c r="F176" s="53">
        <f>D176*(($F$128)+1)+(IF(E176&lt;101,E176,IF(E176&lt;201,E176/2,IF(E176&lt;=301,E176/3,E176/4))))</f>
        <v>945.95377499999984</v>
      </c>
      <c r="G176" s="90"/>
      <c r="H176" s="91"/>
      <c r="I176" s="37"/>
    </row>
    <row r="177" spans="1:10" s="38" customFormat="1" ht="15.75" customHeight="1" x14ac:dyDescent="0.25">
      <c r="A177" s="53">
        <v>12</v>
      </c>
      <c r="B177" s="53" t="s">
        <v>225</v>
      </c>
      <c r="C177" s="53" t="s">
        <v>183</v>
      </c>
      <c r="D177" s="54">
        <f>(29.67+1.35*2.75+1*2.75+0.75*(2.75+2.35+2.75))*10.764</f>
        <v>452.30327999999992</v>
      </c>
      <c r="E177" s="53">
        <v>0</v>
      </c>
      <c r="F177" s="53">
        <f>D177*(($F$128)+1)+(IF(E177&lt;101,E177,IF(E177&lt;201,E177/2,IF(E177&lt;=301,E177/3,E177/4))))</f>
        <v>678.4549199999999</v>
      </c>
      <c r="G177" s="90"/>
      <c r="H177" s="91"/>
      <c r="I177" s="37"/>
    </row>
    <row r="178" spans="1:10" s="38" customFormat="1" x14ac:dyDescent="0.25">
      <c r="A178" s="53">
        <v>13</v>
      </c>
      <c r="B178" s="53" t="s">
        <v>226</v>
      </c>
      <c r="C178" s="53" t="s">
        <v>183</v>
      </c>
      <c r="D178" s="54">
        <f>(29.96+1.5*2.75+1.2*2.75+0.75*(2.75+2.75))*10.764</f>
        <v>446.81363999999996</v>
      </c>
      <c r="E178" s="53">
        <v>0</v>
      </c>
      <c r="F178" s="53">
        <f>D178*(($F$128)+1)+(IF(E178&lt;101,E178,IF(E178&lt;201,E178/2,IF(E178&lt;=301,E178/3,E178/4))))</f>
        <v>670.22046</v>
      </c>
      <c r="G178" s="92"/>
      <c r="H178" s="93"/>
      <c r="I178" s="37"/>
    </row>
    <row r="179" spans="1:10" s="38" customFormat="1" x14ac:dyDescent="0.25">
      <c r="A179" s="107" t="s">
        <v>234</v>
      </c>
      <c r="B179" s="107"/>
      <c r="C179" s="107"/>
      <c r="D179" s="107"/>
      <c r="E179" s="107"/>
      <c r="F179" s="107"/>
      <c r="G179" s="107"/>
      <c r="H179" s="107"/>
      <c r="I179" s="37"/>
    </row>
    <row r="180" spans="1:10" hidden="1" x14ac:dyDescent="0.25">
      <c r="A180" s="94" t="s">
        <v>197</v>
      </c>
      <c r="B180" s="95"/>
      <c r="C180" s="95"/>
      <c r="D180" s="95"/>
      <c r="E180" s="95"/>
      <c r="F180" s="95"/>
      <c r="G180" s="95"/>
      <c r="H180" s="96"/>
    </row>
    <row r="181" spans="1:10" s="56" customFormat="1" ht="15.75" hidden="1" customHeight="1" x14ac:dyDescent="0.25">
      <c r="A181" s="53">
        <v>5</v>
      </c>
      <c r="B181" s="53" t="s">
        <v>218</v>
      </c>
      <c r="C181" s="53" t="s">
        <v>200</v>
      </c>
      <c r="D181" s="54">
        <f>(23.67+1*2.3)*10.764</f>
        <v>279.54108000000002</v>
      </c>
      <c r="E181" s="53">
        <v>0</v>
      </c>
      <c r="F181" s="53">
        <f>D181*(($F$128)+1)+(IF(E181&lt;101,E181,IF(E181&lt;201,E181/2,IF(E181&lt;=301,E181/3,E181/4))))</f>
        <v>419.31162000000006</v>
      </c>
      <c r="G181" s="88" t="str">
        <f>A180</f>
        <v>Ground Floor for Residential</v>
      </c>
      <c r="H181" s="89"/>
      <c r="I181" s="55"/>
    </row>
    <row r="182" spans="1:10" s="38" customFormat="1" hidden="1" x14ac:dyDescent="0.25">
      <c r="A182" s="53">
        <v>6</v>
      </c>
      <c r="B182" s="53" t="s">
        <v>219</v>
      </c>
      <c r="C182" s="53" t="s">
        <v>184</v>
      </c>
      <c r="D182" s="54">
        <f>(47.35+1*2.75)*10.764</f>
        <v>539.27639999999997</v>
      </c>
      <c r="E182" s="53">
        <v>0</v>
      </c>
      <c r="F182" s="53">
        <f>D182*(($F$128)+1)+(IF(E182&lt;101,E182,IF(E182&lt;201,E182/2,IF(E182&lt;=301,E182/3,E182/4))))</f>
        <v>808.91459999999995</v>
      </c>
      <c r="G182" s="90"/>
      <c r="H182" s="91"/>
      <c r="I182" s="37"/>
      <c r="J182" s="54">
        <v>10.763999999999999</v>
      </c>
    </row>
    <row r="183" spans="1:10" s="38" customFormat="1" hidden="1" x14ac:dyDescent="0.25">
      <c r="A183" s="53">
        <v>7</v>
      </c>
      <c r="B183" s="53" t="s">
        <v>220</v>
      </c>
      <c r="C183" s="53" t="s">
        <v>184</v>
      </c>
      <c r="D183" s="54">
        <f>(47.25+1*2.75)*10.764</f>
        <v>538.19999999999993</v>
      </c>
      <c r="E183" s="53">
        <v>0</v>
      </c>
      <c r="F183" s="53">
        <f>D183*(($F$128)+1)+(IF(E183&lt;101,E183,IF(E183&lt;201,E183/2,IF(E183&lt;=301,E183/3,E183/4))))</f>
        <v>807.3</v>
      </c>
      <c r="G183" s="90"/>
      <c r="H183" s="91"/>
      <c r="I183" s="37"/>
    </row>
    <row r="184" spans="1:10" s="56" customFormat="1" ht="15.75" hidden="1" customHeight="1" x14ac:dyDescent="0.25">
      <c r="A184" s="53">
        <v>8</v>
      </c>
      <c r="B184" s="53" t="s">
        <v>221</v>
      </c>
      <c r="C184" s="53" t="s">
        <v>200</v>
      </c>
      <c r="D184" s="54">
        <f>(26.16)*10.764</f>
        <v>281.58623999999998</v>
      </c>
      <c r="E184" s="53">
        <v>0</v>
      </c>
      <c r="F184" s="53">
        <f>D184*(($F$128)+1)+(IF(E184&lt;101,E184,IF(E184&lt;201,E184/2,IF(E184&lt;=301,E184/3,E184/4))))</f>
        <v>422.37935999999996</v>
      </c>
      <c r="G184" s="92"/>
      <c r="H184" s="93"/>
      <c r="I184" s="55"/>
    </row>
    <row r="185" spans="1:10" s="38" customFormat="1" hidden="1" x14ac:dyDescent="0.25">
      <c r="A185" s="94" t="s">
        <v>202</v>
      </c>
      <c r="B185" s="95"/>
      <c r="C185" s="95"/>
      <c r="D185" s="95"/>
      <c r="E185" s="95"/>
      <c r="F185" s="95"/>
      <c r="G185" s="95"/>
      <c r="H185" s="96"/>
      <c r="I185" s="37"/>
    </row>
    <row r="186" spans="1:10" s="38" customFormat="1" hidden="1" x14ac:dyDescent="0.25">
      <c r="A186" s="53">
        <v>5</v>
      </c>
      <c r="B186" s="53" t="s">
        <v>218</v>
      </c>
      <c r="C186" s="53" t="s">
        <v>183</v>
      </c>
      <c r="D186" s="54">
        <f>(29.91+1.5*2.75+1*(2.3+2.75)+0.75*2.75)*10.764</f>
        <v>442.91168999999991</v>
      </c>
      <c r="E186" s="53">
        <v>0</v>
      </c>
      <c r="F186" s="53">
        <f>D186*(($F$128)+1)+(IF(E186&lt;101,E186,IF(E186&lt;201,E186/2,IF(E186&lt;=301,E186/3,E186/4))))</f>
        <v>664.36753499999986</v>
      </c>
      <c r="G186" s="88" t="str">
        <f>A185</f>
        <v>1st to 7th &amp; 9th to 12th, 14th Floor</v>
      </c>
      <c r="H186" s="89"/>
      <c r="I186" s="37"/>
    </row>
    <row r="187" spans="1:10" s="36" customFormat="1" x14ac:dyDescent="0.25">
      <c r="A187" s="53">
        <v>6</v>
      </c>
      <c r="B187" s="53" t="s">
        <v>219</v>
      </c>
      <c r="C187" s="53" t="s">
        <v>184</v>
      </c>
      <c r="D187" s="54">
        <f>(47.25+1*2.75+0.75*(2.75+2.2+2.75))*10.764</f>
        <v>600.36209999999994</v>
      </c>
      <c r="E187" s="53">
        <v>0</v>
      </c>
      <c r="F187" s="53">
        <f>D187*(($F$128)+1)+(IF(E187&lt;101,E187,IF(E187&lt;201,E187/2,IF(E187&lt;=301,E187/3,E187/4))))</f>
        <v>900.54314999999997</v>
      </c>
      <c r="G187" s="90"/>
      <c r="H187" s="91"/>
    </row>
    <row r="188" spans="1:10" s="36" customFormat="1" x14ac:dyDescent="0.25">
      <c r="A188" s="53">
        <v>7</v>
      </c>
      <c r="B188" s="53" t="s">
        <v>220</v>
      </c>
      <c r="C188" s="53" t="s">
        <v>184</v>
      </c>
      <c r="D188" s="54">
        <f>(47.25+1*2.75+0.75*(2.75+2.2+2.75))*10.764</f>
        <v>600.36209999999994</v>
      </c>
      <c r="E188" s="53">
        <v>0</v>
      </c>
      <c r="F188" s="53">
        <f>D188*(($F$128)+1)+(IF(E188&lt;101,E188,IF(E188&lt;201,E188/2,IF(E188&lt;=301,E188/3,E188/4))))</f>
        <v>900.54314999999997</v>
      </c>
      <c r="G188" s="90"/>
      <c r="H188" s="91"/>
    </row>
    <row r="189" spans="1:10" s="36" customFormat="1" x14ac:dyDescent="0.25">
      <c r="A189" s="53">
        <v>8</v>
      </c>
      <c r="B189" s="53" t="s">
        <v>221</v>
      </c>
      <c r="C189" s="53" t="s">
        <v>183</v>
      </c>
      <c r="D189" s="54">
        <f>(39.92+0.75*(2.75+2.75+2.75))*10.764</f>
        <v>496.30113</v>
      </c>
      <c r="E189" s="53">
        <v>0</v>
      </c>
      <c r="F189" s="53">
        <f>D189*(($F$128)+1)+(IF(E189&lt;101,E189,IF(E189&lt;201,E189/2,IF(E189&lt;=301,E189/3,E189/4))))</f>
        <v>744.45169499999997</v>
      </c>
      <c r="G189" s="92"/>
      <c r="H189" s="93"/>
    </row>
    <row r="190" spans="1:10" s="36" customFormat="1" x14ac:dyDescent="0.25">
      <c r="A190" s="104" t="s">
        <v>236</v>
      </c>
      <c r="B190" s="105"/>
      <c r="C190" s="105"/>
      <c r="D190" s="105"/>
      <c r="E190" s="105"/>
      <c r="F190" s="105"/>
      <c r="G190" s="105"/>
      <c r="H190" s="106"/>
    </row>
    <row r="191" spans="1:10" s="36" customFormat="1" x14ac:dyDescent="0.25">
      <c r="A191" s="53">
        <v>5</v>
      </c>
      <c r="B191" s="53" t="s">
        <v>218</v>
      </c>
      <c r="C191" s="53" t="s">
        <v>183</v>
      </c>
      <c r="D191" s="54">
        <f>(29.91+1.5*2.75+1*(2.3+2.75)+0.75*2.75)*10.764</f>
        <v>442.91168999999991</v>
      </c>
      <c r="E191" s="53">
        <v>0</v>
      </c>
      <c r="F191" s="53">
        <f>D191*(($F$128)+1)+(IF(E191&lt;101,E191,IF(E191&lt;201,E191/2,IF(E191&lt;=301,E191/3,E191/4))))</f>
        <v>664.36753499999986</v>
      </c>
      <c r="G191" s="88" t="str">
        <f>A190</f>
        <v xml:space="preserve">8th Floor &amp; 13th Floor </v>
      </c>
      <c r="H191" s="89"/>
    </row>
    <row r="192" spans="1:10" s="36" customFormat="1" x14ac:dyDescent="0.25">
      <c r="A192" s="53">
        <v>6</v>
      </c>
      <c r="B192" s="53" t="s">
        <v>219</v>
      </c>
      <c r="C192" s="53" t="s">
        <v>184</v>
      </c>
      <c r="D192" s="54">
        <f>(47.25+1*2.75+0.75*(2.75+2.2+2.75))*10.764</f>
        <v>600.36209999999994</v>
      </c>
      <c r="E192" s="53">
        <v>0</v>
      </c>
      <c r="F192" s="53">
        <f>D192*(($F$128)+1)+(IF(E192&lt;101,E192,IF(E192&lt;201,E192/2,IF(E192&lt;=301,E192/3,E192/4))))</f>
        <v>900.54314999999997</v>
      </c>
      <c r="G192" s="90"/>
      <c r="H192" s="91"/>
    </row>
    <row r="193" spans="1:15" s="36" customFormat="1" x14ac:dyDescent="0.25">
      <c r="A193" s="53">
        <v>7</v>
      </c>
      <c r="B193" s="53" t="s">
        <v>220</v>
      </c>
      <c r="C193" s="53" t="s">
        <v>184</v>
      </c>
      <c r="D193" s="54">
        <f>(47.25+1*2.75+0.75*(2.75+2.2+2.75))*10.764</f>
        <v>600.36209999999994</v>
      </c>
      <c r="E193" s="53">
        <v>0</v>
      </c>
      <c r="F193" s="53">
        <f>D193*(($F$128)+1)+(IF(E193&lt;101,E193,IF(E193&lt;201,E193/2,IF(E193&lt;=301,E193/3,E193/4))))</f>
        <v>900.54314999999997</v>
      </c>
      <c r="G193" s="90"/>
      <c r="H193" s="91"/>
    </row>
    <row r="194" spans="1:15" s="36" customFormat="1" x14ac:dyDescent="0.25">
      <c r="A194" s="53">
        <v>8</v>
      </c>
      <c r="B194" s="53" t="s">
        <v>221</v>
      </c>
      <c r="C194" s="53" t="s">
        <v>183</v>
      </c>
      <c r="D194" s="54">
        <f>(39.92+0.75*(2.75+2.75+2.75))*10.764</f>
        <v>496.30113</v>
      </c>
      <c r="E194" s="53">
        <v>0</v>
      </c>
      <c r="F194" s="53">
        <f>D194*(($F$128)+1)+(IF(E194&lt;101,E194,IF(E194&lt;201,E194/2,IF(E194&lt;=301,E194/3,E194/4))))</f>
        <v>744.45169499999997</v>
      </c>
      <c r="G194" s="92"/>
      <c r="H194" s="93"/>
    </row>
    <row r="195" spans="1:15" s="36" customFormat="1" x14ac:dyDescent="0.25">
      <c r="A195" s="107" t="s">
        <v>204</v>
      </c>
      <c r="B195" s="107"/>
      <c r="C195" s="107"/>
      <c r="D195" s="107"/>
      <c r="E195" s="107"/>
      <c r="F195" s="107"/>
      <c r="G195" s="107"/>
      <c r="H195" s="107"/>
    </row>
    <row r="196" spans="1:15" s="36" customFormat="1" x14ac:dyDescent="0.25">
      <c r="A196" s="104" t="s">
        <v>197</v>
      </c>
      <c r="B196" s="105"/>
      <c r="C196" s="105"/>
      <c r="D196" s="105"/>
      <c r="E196" s="105"/>
      <c r="F196" s="105"/>
      <c r="G196" s="105"/>
      <c r="H196" s="106"/>
    </row>
    <row r="197" spans="1:15" s="36" customFormat="1" x14ac:dyDescent="0.25">
      <c r="A197" s="101">
        <v>1</v>
      </c>
      <c r="B197" s="103"/>
      <c r="C197" s="53" t="s">
        <v>183</v>
      </c>
      <c r="D197" s="54">
        <f>(36.8+1*2.3)*10.764</f>
        <v>420.87239999999991</v>
      </c>
      <c r="E197" s="53">
        <v>0</v>
      </c>
      <c r="F197" s="53">
        <f t="shared" ref="F197:F198" si="6">D197*(($F$128)+1)+(IF(E197&lt;101,E197,IF(E197&lt;201,E197/2,IF(E197&lt;=301,E197/3,E197/4))))</f>
        <v>631.30859999999984</v>
      </c>
      <c r="G197" s="101" t="str">
        <f>A196</f>
        <v>Ground Floor for Residential</v>
      </c>
      <c r="H197" s="103"/>
      <c r="I197" s="62" t="s">
        <v>242</v>
      </c>
      <c r="J197" s="63"/>
      <c r="K197" s="63"/>
      <c r="L197" s="63"/>
      <c r="M197" s="63"/>
      <c r="N197" s="63"/>
      <c r="O197" s="64"/>
    </row>
    <row r="198" spans="1:15" x14ac:dyDescent="0.25">
      <c r="A198" s="101">
        <v>2</v>
      </c>
      <c r="B198" s="103"/>
      <c r="C198" s="53" t="s">
        <v>184</v>
      </c>
      <c r="D198" s="54">
        <f>(47.05+1*(2.75+2.2))*10.764</f>
        <v>559.72799999999995</v>
      </c>
      <c r="E198" s="53">
        <v>0</v>
      </c>
      <c r="F198" s="53">
        <f t="shared" si="6"/>
        <v>839.59199999999987</v>
      </c>
      <c r="G198" s="101" t="str">
        <f>G197</f>
        <v>Ground Floor for Residential</v>
      </c>
      <c r="H198" s="103"/>
    </row>
    <row r="199" spans="1:15" ht="15.75" customHeight="1" x14ac:dyDescent="0.25">
      <c r="A199" s="104" t="s">
        <v>206</v>
      </c>
      <c r="B199" s="105"/>
      <c r="C199" s="105"/>
      <c r="D199" s="105"/>
      <c r="E199" s="105"/>
      <c r="F199" s="105"/>
      <c r="G199" s="105"/>
      <c r="H199" s="106"/>
    </row>
    <row r="200" spans="1:15" x14ac:dyDescent="0.25">
      <c r="A200" s="101">
        <v>1</v>
      </c>
      <c r="B200" s="103"/>
      <c r="C200" s="53" t="s">
        <v>184</v>
      </c>
      <c r="D200" s="54">
        <f>(49.5+1*2.3+0.75*(2.75+2.3+2.75))*10.764</f>
        <v>620.54459999999995</v>
      </c>
      <c r="E200" s="53">
        <v>0</v>
      </c>
      <c r="F200" s="53">
        <f t="shared" ref="F200:F201" si="7">D200*(($F$128)+1)+(IF(E200&lt;101,E200,IF(E200&lt;201,E200/2,IF(E200&lt;=301,E200/3,E200/4))))</f>
        <v>930.81689999999992</v>
      </c>
      <c r="G200" s="101" t="str">
        <f>A199</f>
        <v xml:space="preserve">1st to 7th Floor </v>
      </c>
      <c r="H200" s="103"/>
    </row>
    <row r="201" spans="1:15" x14ac:dyDescent="0.25">
      <c r="A201" s="101">
        <v>2</v>
      </c>
      <c r="B201" s="103"/>
      <c r="C201" s="53" t="s">
        <v>184</v>
      </c>
      <c r="D201" s="54">
        <f>(47.05+1*(J181))*10.764</f>
        <v>506.44619999999992</v>
      </c>
      <c r="E201" s="53">
        <v>0</v>
      </c>
      <c r="F201" s="53">
        <f t="shared" si="7"/>
        <v>759.66929999999991</v>
      </c>
      <c r="G201" s="101" t="str">
        <f>G200</f>
        <v xml:space="preserve">1st to 7th Floor </v>
      </c>
      <c r="H201" s="103"/>
    </row>
    <row r="202" spans="1:15" x14ac:dyDescent="0.25">
      <c r="A202" s="97" t="s">
        <v>71</v>
      </c>
      <c r="B202" s="97"/>
      <c r="C202" s="97"/>
      <c r="D202" s="97"/>
      <c r="E202" s="97"/>
      <c r="F202" s="97"/>
      <c r="G202" s="97"/>
      <c r="H202" s="97"/>
    </row>
    <row r="203" spans="1:15" x14ac:dyDescent="0.25">
      <c r="A203" s="52" t="s">
        <v>157</v>
      </c>
      <c r="B203" s="62" t="s">
        <v>205</v>
      </c>
      <c r="C203" s="63"/>
      <c r="D203" s="63"/>
      <c r="E203" s="63"/>
      <c r="F203" s="63"/>
      <c r="G203" s="63"/>
      <c r="H203" s="64"/>
    </row>
    <row r="204" spans="1:15" x14ac:dyDescent="0.25">
      <c r="A204" s="52" t="s">
        <v>157</v>
      </c>
      <c r="B204" s="62" t="str">
        <f>(IF(F127="Saleable area Loading :","We have considered Saleable area of Flats as per our Calculation.","We considered Saleable area of Flat as per Builder area Sheet."))</f>
        <v>We have considered Saleable area of Flats as per our Calculation.</v>
      </c>
      <c r="C204" s="63"/>
      <c r="D204" s="63"/>
      <c r="E204" s="63"/>
      <c r="F204" s="63"/>
      <c r="G204" s="63"/>
      <c r="H204" s="64"/>
    </row>
    <row r="205" spans="1:15" x14ac:dyDescent="0.25">
      <c r="A205" s="44" t="s">
        <v>157</v>
      </c>
      <c r="B205" s="108" t="s">
        <v>127</v>
      </c>
      <c r="C205" s="109"/>
      <c r="D205" s="109"/>
      <c r="E205" s="109"/>
      <c r="F205" s="109"/>
      <c r="G205" s="109"/>
      <c r="H205" s="110"/>
    </row>
    <row r="206" spans="1:15" x14ac:dyDescent="0.25">
      <c r="A206" s="44" t="s">
        <v>157</v>
      </c>
      <c r="B206" s="108" t="s">
        <v>189</v>
      </c>
      <c r="C206" s="109"/>
      <c r="D206" s="109"/>
      <c r="E206" s="109"/>
      <c r="F206" s="109"/>
      <c r="G206" s="109"/>
      <c r="H206" s="110"/>
    </row>
    <row r="207" spans="1:15" x14ac:dyDescent="0.25">
      <c r="A207" s="44" t="s">
        <v>157</v>
      </c>
      <c r="B207" s="108" t="s">
        <v>156</v>
      </c>
      <c r="C207" s="109"/>
      <c r="D207" s="109"/>
      <c r="E207" s="109"/>
      <c r="F207" s="109"/>
      <c r="G207" s="109"/>
      <c r="H207" s="110"/>
    </row>
    <row r="208" spans="1:15" x14ac:dyDescent="0.25">
      <c r="A208" s="44" t="s">
        <v>157</v>
      </c>
      <c r="B208" s="108" t="s">
        <v>128</v>
      </c>
      <c r="C208" s="109"/>
      <c r="D208" s="109"/>
      <c r="E208" s="109"/>
      <c r="F208" s="109"/>
      <c r="G208" s="109"/>
      <c r="H208" s="110"/>
    </row>
    <row r="209" spans="1:8" x14ac:dyDescent="0.25">
      <c r="A209" s="44" t="s">
        <v>157</v>
      </c>
      <c r="B209" s="108" t="s">
        <v>158</v>
      </c>
      <c r="C209" s="109"/>
      <c r="D209" s="109"/>
      <c r="E209" s="109"/>
      <c r="F209" s="109"/>
      <c r="G209" s="109"/>
      <c r="H209" s="110"/>
    </row>
    <row r="210" spans="1:8" x14ac:dyDescent="0.25">
      <c r="A210" s="52" t="s">
        <v>157</v>
      </c>
      <c r="B210" s="62" t="s">
        <v>129</v>
      </c>
      <c r="C210" s="63"/>
      <c r="D210" s="63"/>
      <c r="E210" s="63"/>
      <c r="F210" s="63"/>
      <c r="G210" s="63"/>
      <c r="H210" s="64"/>
    </row>
    <row r="211" spans="1:8" x14ac:dyDescent="0.25">
      <c r="A211" s="52" t="s">
        <v>157</v>
      </c>
      <c r="B211" s="62" t="s">
        <v>209</v>
      </c>
      <c r="C211" s="63"/>
      <c r="D211" s="63"/>
      <c r="E211" s="63"/>
      <c r="F211" s="63"/>
      <c r="G211" s="63"/>
      <c r="H211" s="64"/>
    </row>
    <row r="212" spans="1:8" x14ac:dyDescent="0.25">
      <c r="A212" s="52" t="s">
        <v>157</v>
      </c>
      <c r="B212" s="62" t="s">
        <v>248</v>
      </c>
      <c r="C212" s="63"/>
      <c r="D212" s="63"/>
      <c r="E212" s="63"/>
      <c r="F212" s="63"/>
      <c r="G212" s="63"/>
      <c r="H212" s="64"/>
    </row>
    <row r="213" spans="1:8" ht="15" customHeight="1" x14ac:dyDescent="0.25">
      <c r="A213" s="97" t="s">
        <v>240</v>
      </c>
      <c r="B213" s="97"/>
      <c r="C213" s="97"/>
      <c r="D213" s="97"/>
      <c r="E213" s="97"/>
      <c r="F213" s="97"/>
      <c r="G213" s="97"/>
      <c r="H213" s="97"/>
    </row>
    <row r="214" spans="1:8" x14ac:dyDescent="0.25">
      <c r="A214" s="120" t="s">
        <v>65</v>
      </c>
      <c r="B214" s="120"/>
      <c r="C214" s="120"/>
      <c r="D214" s="120"/>
      <c r="E214" s="120"/>
      <c r="F214" s="120"/>
      <c r="G214" s="120"/>
      <c r="H214" s="120"/>
    </row>
    <row r="215" spans="1:8" x14ac:dyDescent="0.25">
      <c r="A215" s="183" t="s">
        <v>66</v>
      </c>
      <c r="B215" s="183"/>
      <c r="C215" s="183"/>
      <c r="D215" s="183"/>
      <c r="E215" s="183"/>
      <c r="F215" s="183"/>
      <c r="G215" s="183"/>
      <c r="H215" s="183"/>
    </row>
    <row r="216" spans="1:8" x14ac:dyDescent="0.25">
      <c r="A216" s="120" t="s">
        <v>67</v>
      </c>
      <c r="B216" s="120"/>
      <c r="C216" s="120"/>
      <c r="D216" s="120"/>
      <c r="E216" s="120"/>
      <c r="F216" s="120"/>
      <c r="G216" s="120"/>
      <c r="H216" s="120"/>
    </row>
    <row r="217" spans="1:8" x14ac:dyDescent="0.25">
      <c r="A217" s="120" t="s">
        <v>68</v>
      </c>
      <c r="B217" s="120"/>
      <c r="C217" s="120"/>
      <c r="D217" s="120"/>
      <c r="E217" s="120"/>
      <c r="F217" s="120"/>
      <c r="G217" s="120"/>
      <c r="H217" s="120"/>
    </row>
    <row r="218" spans="1:8" x14ac:dyDescent="0.25">
      <c r="A218" s="120" t="s">
        <v>130</v>
      </c>
      <c r="B218" s="120"/>
      <c r="C218" s="120"/>
      <c r="D218" s="120"/>
      <c r="E218" s="120"/>
      <c r="F218" s="120"/>
      <c r="G218" s="120"/>
      <c r="H218" s="120"/>
    </row>
    <row r="219" spans="1:8" x14ac:dyDescent="0.25">
      <c r="A219" s="143" t="s">
        <v>131</v>
      </c>
      <c r="B219" s="143"/>
      <c r="C219" s="143"/>
      <c r="D219" s="143"/>
      <c r="E219" s="143"/>
      <c r="F219" s="143"/>
      <c r="G219" s="143"/>
      <c r="H219" s="143"/>
    </row>
    <row r="220" spans="1:8" x14ac:dyDescent="0.25">
      <c r="A220" s="180" t="s">
        <v>80</v>
      </c>
      <c r="B220" s="180"/>
      <c r="C220" s="180" t="s">
        <v>212</v>
      </c>
      <c r="D220" s="180"/>
      <c r="E220" s="180" t="s">
        <v>111</v>
      </c>
      <c r="F220" s="180"/>
      <c r="G220" s="180" t="s">
        <v>250</v>
      </c>
      <c r="H220" s="180"/>
    </row>
    <row r="221" spans="1:8" x14ac:dyDescent="0.25">
      <c r="A221" s="179" t="s">
        <v>82</v>
      </c>
      <c r="B221" s="179"/>
      <c r="C221" s="179"/>
      <c r="D221" s="179"/>
      <c r="E221" s="179"/>
      <c r="F221" s="179"/>
      <c r="G221" s="179"/>
      <c r="H221" s="179"/>
    </row>
    <row r="222" spans="1:8" x14ac:dyDescent="0.25">
      <c r="A222" s="179"/>
      <c r="B222" s="179"/>
      <c r="C222" s="179"/>
      <c r="D222" s="179"/>
      <c r="E222" s="179"/>
      <c r="F222" s="179"/>
      <c r="G222" s="179"/>
      <c r="H222" s="179"/>
    </row>
    <row r="223" spans="1:8" x14ac:dyDescent="0.25">
      <c r="A223" s="179"/>
      <c r="B223" s="179"/>
      <c r="C223" s="179"/>
      <c r="D223" s="179"/>
      <c r="E223" s="179"/>
      <c r="F223" s="179"/>
      <c r="G223" s="179"/>
      <c r="H223" s="179"/>
    </row>
    <row r="224" spans="1:8" x14ac:dyDescent="0.25">
      <c r="A224" s="179"/>
      <c r="B224" s="179"/>
      <c r="C224" s="179"/>
      <c r="D224" s="179"/>
      <c r="E224" s="179"/>
      <c r="F224" s="179"/>
      <c r="G224" s="179"/>
      <c r="H224" s="179"/>
    </row>
    <row r="225" spans="1:8" x14ac:dyDescent="0.25">
      <c r="A225" s="39" t="s">
        <v>69</v>
      </c>
      <c r="B225" s="40"/>
      <c r="C225" s="40"/>
      <c r="D225" s="39" t="str">
        <f>E8</f>
        <v>Sai Baba Nagar</v>
      </c>
      <c r="F225" s="40"/>
      <c r="G225" s="40"/>
      <c r="H225" s="40"/>
    </row>
    <row r="226" spans="1:8" x14ac:dyDescent="0.25">
      <c r="A226" s="40"/>
      <c r="B226" s="40"/>
      <c r="C226" s="40"/>
      <c r="D226" s="40"/>
      <c r="E226" s="40"/>
      <c r="F226" s="40"/>
      <c r="G226" s="40"/>
      <c r="H226" s="40"/>
    </row>
    <row r="227" spans="1:8" x14ac:dyDescent="0.25">
      <c r="A227" s="40"/>
      <c r="B227" s="40"/>
      <c r="C227" s="40"/>
      <c r="D227" s="40"/>
      <c r="E227" s="40"/>
      <c r="F227" s="40"/>
      <c r="G227" s="40"/>
      <c r="H227" s="40"/>
    </row>
    <row r="268" spans="1:8" x14ac:dyDescent="0.25">
      <c r="A268" s="42" t="s">
        <v>70</v>
      </c>
      <c r="B268" s="21"/>
      <c r="C268" s="21"/>
      <c r="D268" s="21"/>
      <c r="E268" s="21"/>
      <c r="F268" s="21"/>
      <c r="G268" s="21"/>
      <c r="H268" s="21"/>
    </row>
  </sheetData>
  <mergeCells count="307">
    <mergeCell ref="B212:H212"/>
    <mergeCell ref="B211:H211"/>
    <mergeCell ref="A123:B123"/>
    <mergeCell ref="E40:H40"/>
    <mergeCell ref="A40:D40"/>
    <mergeCell ref="A218:H218"/>
    <mergeCell ref="A215:H215"/>
    <mergeCell ref="A120:B120"/>
    <mergeCell ref="D127:D128"/>
    <mergeCell ref="E127:E128"/>
    <mergeCell ref="G127:H128"/>
    <mergeCell ref="A101:B101"/>
    <mergeCell ref="A102:B102"/>
    <mergeCell ref="A103:B103"/>
    <mergeCell ref="A93:B93"/>
    <mergeCell ref="C93:H93"/>
    <mergeCell ref="A74:B74"/>
    <mergeCell ref="F108:H108"/>
    <mergeCell ref="A47:B47"/>
    <mergeCell ref="C47:E47"/>
    <mergeCell ref="A56:C57"/>
    <mergeCell ref="D56:H56"/>
    <mergeCell ref="A68:B68"/>
    <mergeCell ref="G68:H68"/>
    <mergeCell ref="A65:B65"/>
    <mergeCell ref="A221:H224"/>
    <mergeCell ref="A220:B220"/>
    <mergeCell ref="E220:F220"/>
    <mergeCell ref="C220:D220"/>
    <mergeCell ref="G220:H220"/>
    <mergeCell ref="A117:E117"/>
    <mergeCell ref="F117:H117"/>
    <mergeCell ref="A118:E118"/>
    <mergeCell ref="F118:H118"/>
    <mergeCell ref="A216:H216"/>
    <mergeCell ref="A119:H119"/>
    <mergeCell ref="A219:H219"/>
    <mergeCell ref="A217:H217"/>
    <mergeCell ref="A202:H202"/>
    <mergeCell ref="B127:B128"/>
    <mergeCell ref="A214:H214"/>
    <mergeCell ref="E120:F120"/>
    <mergeCell ref="A125:H125"/>
    <mergeCell ref="A126:H126"/>
    <mergeCell ref="A67:B67"/>
    <mergeCell ref="B210:H210"/>
    <mergeCell ref="C65:H65"/>
    <mergeCell ref="C121:D121"/>
    <mergeCell ref="E121:F121"/>
    <mergeCell ref="G121:H121"/>
    <mergeCell ref="F112:H112"/>
    <mergeCell ref="E44:H44"/>
    <mergeCell ref="A42:D42"/>
    <mergeCell ref="A43:D43"/>
    <mergeCell ref="A44:D44"/>
    <mergeCell ref="A45:H45"/>
    <mergeCell ref="D55:H55"/>
    <mergeCell ref="A55:C55"/>
    <mergeCell ref="G48:H48"/>
    <mergeCell ref="A49:B50"/>
    <mergeCell ref="G47:H47"/>
    <mergeCell ref="G49:H49"/>
    <mergeCell ref="D53:H53"/>
    <mergeCell ref="C49:E49"/>
    <mergeCell ref="C48:E48"/>
    <mergeCell ref="A51:B51"/>
    <mergeCell ref="C51:E51"/>
    <mergeCell ref="A48:B48"/>
    <mergeCell ref="D57:H57"/>
    <mergeCell ref="A52:H52"/>
    <mergeCell ref="A71:B71"/>
    <mergeCell ref="A53:C53"/>
    <mergeCell ref="A73:B73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38:H38"/>
    <mergeCell ref="C34:E34"/>
    <mergeCell ref="A37:B37"/>
    <mergeCell ref="C37:H37"/>
    <mergeCell ref="G36:H36"/>
    <mergeCell ref="F30:H30"/>
    <mergeCell ref="A31:B31"/>
    <mergeCell ref="A30:B30"/>
    <mergeCell ref="C31:E31"/>
    <mergeCell ref="A32:B32"/>
    <mergeCell ref="C32:E32"/>
    <mergeCell ref="A35:H35"/>
    <mergeCell ref="A34:B34"/>
    <mergeCell ref="A58:C58"/>
    <mergeCell ref="A59:C59"/>
    <mergeCell ref="E24:H24"/>
    <mergeCell ref="A26:D26"/>
    <mergeCell ref="E26:H26"/>
    <mergeCell ref="D58:H58"/>
    <mergeCell ref="D59:H59"/>
    <mergeCell ref="A41:D41"/>
    <mergeCell ref="E41:H41"/>
    <mergeCell ref="E42:H42"/>
    <mergeCell ref="E43:H43"/>
    <mergeCell ref="A54:C54"/>
    <mergeCell ref="D54:H54"/>
    <mergeCell ref="G51:H51"/>
    <mergeCell ref="C50:H50"/>
    <mergeCell ref="A46:B46"/>
    <mergeCell ref="F31:H31"/>
    <mergeCell ref="F32:H32"/>
    <mergeCell ref="C30:E30"/>
    <mergeCell ref="F33:H33"/>
    <mergeCell ref="F34:H34"/>
    <mergeCell ref="A36:B36"/>
    <mergeCell ref="E36:F36"/>
    <mergeCell ref="C36:D36"/>
    <mergeCell ref="E69:F78"/>
    <mergeCell ref="G69:H78"/>
    <mergeCell ref="A77:B77"/>
    <mergeCell ref="A78:B78"/>
    <mergeCell ref="A75:B75"/>
    <mergeCell ref="A95:B95"/>
    <mergeCell ref="A76:B76"/>
    <mergeCell ref="A39:D39"/>
    <mergeCell ref="E39:H39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F113:H113"/>
    <mergeCell ref="F116:H116"/>
    <mergeCell ref="F114:H114"/>
    <mergeCell ref="A115:E115"/>
    <mergeCell ref="A96:B96"/>
    <mergeCell ref="E96:F96"/>
    <mergeCell ref="G96:H96"/>
    <mergeCell ref="F111:H111"/>
    <mergeCell ref="A112:E112"/>
    <mergeCell ref="A114:E114"/>
    <mergeCell ref="A113:E113"/>
    <mergeCell ref="A107:E107"/>
    <mergeCell ref="F107:H107"/>
    <mergeCell ref="F110:H110"/>
    <mergeCell ref="F109:H109"/>
    <mergeCell ref="A108:E108"/>
    <mergeCell ref="A97:B97"/>
    <mergeCell ref="E97:F106"/>
    <mergeCell ref="A104:B104"/>
    <mergeCell ref="A105:B105"/>
    <mergeCell ref="A106:B106"/>
    <mergeCell ref="C46:H46"/>
    <mergeCell ref="B207:H207"/>
    <mergeCell ref="G97:H106"/>
    <mergeCell ref="A98:B98"/>
    <mergeCell ref="A99:B99"/>
    <mergeCell ref="A100:B100"/>
    <mergeCell ref="A109:E109"/>
    <mergeCell ref="A110:E110"/>
    <mergeCell ref="F115:H115"/>
    <mergeCell ref="A116:E116"/>
    <mergeCell ref="G124:H124"/>
    <mergeCell ref="G123:H123"/>
    <mergeCell ref="C123:D123"/>
    <mergeCell ref="E123:F123"/>
    <mergeCell ref="C120:D120"/>
    <mergeCell ref="G120:H120"/>
    <mergeCell ref="A124:B124"/>
    <mergeCell ref="E124:F124"/>
    <mergeCell ref="C124:D124"/>
    <mergeCell ref="C95:H95"/>
    <mergeCell ref="A111:E111"/>
    <mergeCell ref="A121:B121"/>
    <mergeCell ref="A144:H144"/>
    <mergeCell ref="A185:H185"/>
    <mergeCell ref="G131:H136"/>
    <mergeCell ref="A137:H137"/>
    <mergeCell ref="C146:F146"/>
    <mergeCell ref="A161:H161"/>
    <mergeCell ref="A127:A128"/>
    <mergeCell ref="A129:H129"/>
    <mergeCell ref="A130:H130"/>
    <mergeCell ref="C131:F131"/>
    <mergeCell ref="G198:H198"/>
    <mergeCell ref="C127:C128"/>
    <mergeCell ref="G201:H201"/>
    <mergeCell ref="B209:H209"/>
    <mergeCell ref="B203:H203"/>
    <mergeCell ref="B204:H204"/>
    <mergeCell ref="B205:H205"/>
    <mergeCell ref="B206:H206"/>
    <mergeCell ref="A199:H199"/>
    <mergeCell ref="G186:H189"/>
    <mergeCell ref="G191:H194"/>
    <mergeCell ref="A190:H190"/>
    <mergeCell ref="B208:H208"/>
    <mergeCell ref="A213:H213"/>
    <mergeCell ref="A122:B122"/>
    <mergeCell ref="C122:D122"/>
    <mergeCell ref="E122:F122"/>
    <mergeCell ref="G122:H122"/>
    <mergeCell ref="G138:H143"/>
    <mergeCell ref="G145:H150"/>
    <mergeCell ref="G153:H160"/>
    <mergeCell ref="G162:H169"/>
    <mergeCell ref="G171:H178"/>
    <mergeCell ref="C174:F174"/>
    <mergeCell ref="A170:H170"/>
    <mergeCell ref="A151:H151"/>
    <mergeCell ref="A152:H152"/>
    <mergeCell ref="C154:F154"/>
    <mergeCell ref="A179:H179"/>
    <mergeCell ref="A201:B201"/>
    <mergeCell ref="A195:H195"/>
    <mergeCell ref="A200:B200"/>
    <mergeCell ref="G200:H200"/>
    <mergeCell ref="A196:H196"/>
    <mergeCell ref="A197:B197"/>
    <mergeCell ref="G197:H197"/>
    <mergeCell ref="A198:B198"/>
    <mergeCell ref="A10:D10"/>
    <mergeCell ref="E10:H10"/>
    <mergeCell ref="I197:O197"/>
    <mergeCell ref="A79:B79"/>
    <mergeCell ref="C79:H79"/>
    <mergeCell ref="A81:B81"/>
    <mergeCell ref="C81:H81"/>
    <mergeCell ref="A82:B82"/>
    <mergeCell ref="E82:F82"/>
    <mergeCell ref="G82:H82"/>
    <mergeCell ref="A83:B83"/>
    <mergeCell ref="E83:F92"/>
    <mergeCell ref="G83:H92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G181:H184"/>
    <mergeCell ref="A180:H180"/>
  </mergeCells>
  <hyperlinks>
    <hyperlink ref="C37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36" max="7" man="1"/>
    <brk id="224" max="7" man="1"/>
    <brk id="267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1" t="s">
        <v>112</v>
      </c>
      <c r="C3" s="191"/>
      <c r="D3" s="191"/>
      <c r="E3" s="191"/>
      <c r="F3" s="191"/>
      <c r="G3" s="191"/>
      <c r="H3" s="191"/>
    </row>
    <row r="4" spans="1:9" x14ac:dyDescent="0.25">
      <c r="A4" s="2"/>
      <c r="B4" s="3" t="s">
        <v>113</v>
      </c>
      <c r="C4" s="3" t="s">
        <v>114</v>
      </c>
      <c r="D4" s="3" t="s">
        <v>72</v>
      </c>
      <c r="E4" s="3" t="s">
        <v>115</v>
      </c>
      <c r="F4" s="3" t="s">
        <v>121</v>
      </c>
      <c r="G4" s="3" t="s">
        <v>122</v>
      </c>
      <c r="H4" s="3" t="s">
        <v>116</v>
      </c>
    </row>
    <row r="5" spans="1:9" ht="15" customHeight="1" x14ac:dyDescent="0.25">
      <c r="A5" s="2"/>
      <c r="B5" s="5" t="s">
        <v>117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117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117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117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117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118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118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119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120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2025-07-11T10:43:25Z</cp:lastPrinted>
  <dcterms:created xsi:type="dcterms:W3CDTF">2019-07-16T09:29:46Z</dcterms:created>
  <dcterms:modified xsi:type="dcterms:W3CDTF">2025-07-11T10:43:28Z</dcterms:modified>
</cp:coreProperties>
</file>