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July 25\Dump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7" i="1" l="1"/>
  <c r="J106" i="1"/>
  <c r="J105" i="1"/>
  <c r="J104" i="1"/>
  <c r="J156" i="1" l="1"/>
  <c r="A162" i="1"/>
  <c r="A163" i="1" s="1"/>
  <c r="A164" i="1" s="1"/>
  <c r="D164" i="1"/>
  <c r="F164" i="1" s="1"/>
  <c r="D163" i="1"/>
  <c r="F163" i="1" s="1"/>
  <c r="D162" i="1"/>
  <c r="F162" i="1" s="1"/>
  <c r="G161" i="1"/>
  <c r="D161" i="1"/>
  <c r="F161" i="1" s="1"/>
  <c r="I133" i="1" l="1"/>
  <c r="D229" i="1" l="1"/>
  <c r="F229" i="1" s="1"/>
  <c r="D228" i="1"/>
  <c r="F228" i="1" s="1"/>
  <c r="D227" i="1"/>
  <c r="F227" i="1" s="1"/>
  <c r="D226" i="1"/>
  <c r="F226" i="1" s="1"/>
  <c r="D225" i="1"/>
  <c r="F225" i="1" s="1"/>
  <c r="D224" i="1"/>
  <c r="F224" i="1" s="1"/>
  <c r="D222" i="1"/>
  <c r="F222" i="1" s="1"/>
  <c r="D221" i="1"/>
  <c r="F221" i="1" s="1"/>
  <c r="D220" i="1"/>
  <c r="F220" i="1" s="1"/>
  <c r="M229" i="1" s="1"/>
  <c r="D219" i="1"/>
  <c r="F219" i="1" s="1"/>
  <c r="M230" i="1" s="1"/>
  <c r="D217" i="1"/>
  <c r="F217" i="1" s="1"/>
  <c r="D215" i="1"/>
  <c r="F215" i="1" s="1"/>
  <c r="D214" i="1"/>
  <c r="F214" i="1" s="1"/>
  <c r="D213" i="1"/>
  <c r="F213" i="1" s="1"/>
  <c r="D212" i="1"/>
  <c r="D211" i="1"/>
  <c r="F211" i="1" s="1"/>
  <c r="D210" i="1"/>
  <c r="F210" i="1" s="1"/>
  <c r="D208" i="1"/>
  <c r="F208" i="1" s="1"/>
  <c r="D207" i="1"/>
  <c r="F207" i="1" s="1"/>
  <c r="D206" i="1"/>
  <c r="F206" i="1" s="1"/>
  <c r="D205" i="1"/>
  <c r="F205" i="1" s="1"/>
  <c r="D204" i="1"/>
  <c r="F204" i="1" s="1"/>
  <c r="D203" i="1"/>
  <c r="F203" i="1" s="1"/>
  <c r="D201" i="1"/>
  <c r="F201" i="1" s="1"/>
  <c r="D200" i="1"/>
  <c r="F200" i="1" s="1"/>
  <c r="D199" i="1"/>
  <c r="F199" i="1" s="1"/>
  <c r="D196" i="1"/>
  <c r="F196" i="1" s="1"/>
  <c r="J132" i="1" s="1"/>
  <c r="D194" i="1"/>
  <c r="F194" i="1" s="1"/>
  <c r="D193" i="1"/>
  <c r="F193" i="1" s="1"/>
  <c r="D192" i="1"/>
  <c r="F192" i="1" s="1"/>
  <c r="D191" i="1"/>
  <c r="F191" i="1" s="1"/>
  <c r="D190" i="1"/>
  <c r="F190" i="1" s="1"/>
  <c r="D189" i="1"/>
  <c r="F189" i="1" s="1"/>
  <c r="D187" i="1"/>
  <c r="F187" i="1" s="1"/>
  <c r="D186" i="1"/>
  <c r="D177" i="1"/>
  <c r="F177" i="1" s="1"/>
  <c r="D176" i="1"/>
  <c r="F176" i="1" s="1"/>
  <c r="D173" i="1"/>
  <c r="F173" i="1" s="1"/>
  <c r="D172" i="1"/>
  <c r="F172" i="1" s="1"/>
  <c r="D171" i="1"/>
  <c r="F171" i="1" s="1"/>
  <c r="D169" i="1"/>
  <c r="F169" i="1" s="1"/>
  <c r="D168" i="1"/>
  <c r="F168" i="1" s="1"/>
  <c r="D167" i="1"/>
  <c r="F167" i="1" s="1"/>
  <c r="D166" i="1"/>
  <c r="F166" i="1" s="1"/>
  <c r="J133" i="1" s="1"/>
  <c r="D159" i="1"/>
  <c r="F159" i="1" s="1"/>
  <c r="D158" i="1"/>
  <c r="D157" i="1"/>
  <c r="F157" i="1" s="1"/>
  <c r="D156" i="1"/>
  <c r="D154" i="1"/>
  <c r="G224" i="1"/>
  <c r="G196" i="1"/>
  <c r="A172" i="1"/>
  <c r="A173" i="1" s="1"/>
  <c r="A174" i="1" s="1"/>
  <c r="G171" i="1"/>
  <c r="G217" i="1"/>
  <c r="F212" i="1"/>
  <c r="G210" i="1"/>
  <c r="G203" i="1"/>
  <c r="A177" i="1"/>
  <c r="G176" i="1"/>
  <c r="G189" i="1"/>
  <c r="A167" i="1"/>
  <c r="A168" i="1" s="1"/>
  <c r="A169" i="1" s="1"/>
  <c r="G166" i="1"/>
  <c r="I186" i="1"/>
  <c r="G186" i="1"/>
  <c r="A187" i="1"/>
  <c r="G156" i="1"/>
  <c r="A157" i="1"/>
  <c r="A158" i="1" s="1"/>
  <c r="A159" i="1" s="1"/>
  <c r="E132" i="1" l="1"/>
  <c r="C132" i="1"/>
  <c r="E133" i="1"/>
  <c r="F158" i="1"/>
  <c r="F156" i="1"/>
  <c r="F186" i="1"/>
  <c r="G133" i="1" s="1"/>
  <c r="M231" i="1"/>
  <c r="C133" i="1"/>
  <c r="J134" i="1"/>
  <c r="G183" i="1"/>
  <c r="I154" i="1"/>
  <c r="C50" i="1"/>
  <c r="E43" i="1"/>
  <c r="E7" i="1"/>
  <c r="C134" i="1" l="1"/>
  <c r="E134" i="1"/>
  <c r="E44" i="1"/>
  <c r="C15" i="1" l="1"/>
  <c r="E30" i="1" l="1"/>
  <c r="F154" i="1" l="1"/>
  <c r="G132" i="1" s="1"/>
  <c r="G134" i="1" s="1"/>
  <c r="A152" i="1"/>
  <c r="A153" i="1" s="1"/>
  <c r="A154" i="1" s="1"/>
  <c r="G151" i="1"/>
  <c r="F124" i="1" l="1"/>
  <c r="F141" i="1" l="1"/>
  <c r="F142" i="1"/>
  <c r="F143" i="1"/>
  <c r="F140" i="1"/>
  <c r="B232" i="1" l="1"/>
  <c r="B233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57" i="1"/>
  <c r="A141" i="1"/>
  <c r="A142" i="1" s="1"/>
  <c r="A143" i="1" s="1"/>
  <c r="G140" i="1"/>
  <c r="G141" i="1" s="1"/>
  <c r="G142" i="1" s="1"/>
  <c r="G143" i="1" s="1"/>
  <c r="J93" i="1"/>
  <c r="J92" i="1"/>
  <c r="J91" i="1"/>
  <c r="J90" i="1"/>
  <c r="C82" i="1"/>
  <c r="J79" i="1"/>
  <c r="J78" i="1"/>
  <c r="J77" i="1"/>
  <c r="J76" i="1"/>
  <c r="D55" i="1"/>
  <c r="E27" i="1"/>
  <c r="E25" i="1"/>
  <c r="E3" i="1"/>
  <c r="H83" i="1"/>
  <c r="H69" i="1"/>
  <c r="D62" i="1" l="1"/>
  <c r="D93" i="1"/>
  <c r="D94" i="1"/>
  <c r="D95" i="1"/>
  <c r="D89" i="1"/>
  <c r="D90" i="1"/>
  <c r="D91" i="1"/>
  <c r="D92" i="1"/>
  <c r="C88" i="1"/>
  <c r="J82" i="1" s="1"/>
  <c r="J84" i="1" s="1"/>
  <c r="D81" i="1"/>
  <c r="D79" i="1"/>
  <c r="D78" i="1"/>
  <c r="D77" i="1"/>
  <c r="D75" i="1"/>
  <c r="J68" i="1"/>
  <c r="D80" i="1"/>
  <c r="D76" i="1"/>
  <c r="J72" i="1"/>
  <c r="J73" i="1"/>
  <c r="C72" i="1" s="1"/>
  <c r="J71" i="1"/>
  <c r="J74" i="1"/>
  <c r="J75" i="1" s="1"/>
  <c r="J80" i="1" s="1"/>
  <c r="J81" i="1" s="1"/>
  <c r="C73" i="1" s="1"/>
  <c r="J88" i="1"/>
  <c r="J89" i="1" s="1"/>
  <c r="J94" i="1" s="1"/>
  <c r="J95" i="1" s="1"/>
  <c r="C87" i="1" s="1"/>
  <c r="J86" i="1"/>
  <c r="J87" i="1"/>
  <c r="C86" i="1" s="1"/>
  <c r="J85" i="1"/>
  <c r="D88" i="1" l="1"/>
  <c r="D74" i="1"/>
  <c r="J70" i="1"/>
  <c r="E72" i="1"/>
  <c r="D73" i="1"/>
  <c r="G72" i="1"/>
  <c r="D66" i="1" s="1"/>
  <c r="D67" i="1" s="1"/>
  <c r="D72" i="1"/>
  <c r="E86" i="1"/>
  <c r="D87" i="1"/>
  <c r="G86" i="1"/>
  <c r="D86" i="1"/>
  <c r="J83" i="1" s="1"/>
  <c r="H97" i="1"/>
  <c r="J102" i="1" l="1"/>
  <c r="J103" i="1" s="1"/>
  <c r="J108" i="1" s="1"/>
  <c r="J109" i="1" s="1"/>
  <c r="C101" i="1" s="1"/>
  <c r="J101" i="1"/>
  <c r="C100" i="1" s="1"/>
  <c r="D100" i="1" s="1"/>
  <c r="J99" i="1"/>
  <c r="D109" i="1"/>
  <c r="D108" i="1"/>
  <c r="D107" i="1"/>
  <c r="D106" i="1"/>
  <c r="D105" i="1"/>
  <c r="D104" i="1"/>
  <c r="D103" i="1"/>
  <c r="D102" i="1"/>
  <c r="J100" i="1"/>
  <c r="J96" i="1"/>
  <c r="J98" i="1" s="1"/>
  <c r="I69" i="1"/>
  <c r="J69" i="1"/>
  <c r="I83" i="1"/>
  <c r="F67" i="1"/>
  <c r="E100" i="1" l="1"/>
  <c r="D101" i="1"/>
  <c r="I97" i="1" s="1"/>
  <c r="I98" i="1" s="1"/>
  <c r="G100" i="1"/>
  <c r="J97" i="1"/>
  <c r="I70" i="1"/>
  <c r="I68" i="1" s="1"/>
  <c r="C70" i="1" s="1"/>
  <c r="I84" i="1"/>
  <c r="I82" i="1" s="1"/>
  <c r="C84" i="1" s="1"/>
  <c r="I96" i="1" l="1"/>
  <c r="C98" i="1" s="1"/>
</calcChain>
</file>

<file path=xl/sharedStrings.xml><?xml version="1.0" encoding="utf-8"?>
<sst xmlns="http://schemas.openxmlformats.org/spreadsheetml/2006/main" count="455" uniqueCount="269">
  <si>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</si>
  <si>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</si>
  <si>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</si>
  <si>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</si>
  <si>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</si>
  <si>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</si>
  <si>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</si>
  <si>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</si>
  <si>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</si>
  <si>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</si>
  <si>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</si>
  <si>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</si>
  <si>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</si>
  <si>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</si>
  <si>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</si>
  <si>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</si>
  <si>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</si>
  <si>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</si>
  <si>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</si>
  <si>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</si>
  <si>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</si>
  <si>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</si>
  <si>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</si>
  <si>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</si>
  <si>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</si>
  <si>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</si>
  <si>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</si>
  <si>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</si>
  <si>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</si>
  <si>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</si>
  <si>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</si>
  <si>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</si>
  <si>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</si>
  <si>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</si>
  <si>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</si>
  <si>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</si>
  <si>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</si>
  <si>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</si>
  <si>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</si>
  <si>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</si>
  <si>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</si>
  <si>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</si>
  <si>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</si>
  <si>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</si>
  <si>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</si>
  <si>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</si>
  <si>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</si>
  <si>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</si>
  <si>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</si>
  <si>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</si>
  <si>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</si>
  <si>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</si>
  <si>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</si>
  <si>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</si>
  <si>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</si>
  <si>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</si>
  <si>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</si>
  <si>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</si>
  <si>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</si>
  <si>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</si>
  <si>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</si>
  <si>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</si>
  <si>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</si>
  <si>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</si>
  <si>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</si>
  <si>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</si>
  <si>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</si>
  <si>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</si>
  <si>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</si>
  <si>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</si>
  <si>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</si>
  <si>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</si>
  <si>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</si>
  <si>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</si>
  <si>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</si>
  <si>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</si>
  <si>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</si>
  <si>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</si>
  <si>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</si>
  <si>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</si>
  <si>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</si>
  <si>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</si>
  <si>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</si>
  <si>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</si>
  <si>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</si>
  <si>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</si>
  <si>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</si>
  <si>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</si>
  <si>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</si>
  <si>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</si>
  <si>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</si>
  <si>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</si>
  <si>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</si>
  <si>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</si>
  <si>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</si>
  <si>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</si>
  <si>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</si>
  <si>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</si>
  <si>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</si>
  <si>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</si>
  <si>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</si>
  <si>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</si>
  <si>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</si>
  <si>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</si>
  <si>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</si>
  <si>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</si>
  <si>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</si>
  <si>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</si>
  <si>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</si>
  <si>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</si>
  <si>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</si>
  <si>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</si>
  <si>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</si>
  <si>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</si>
  <si>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</si>
  <si>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</si>
  <si>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</si>
  <si>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</si>
  <si>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</si>
  <si>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</si>
  <si>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</si>
  <si>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</si>
  <si>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</si>
  <si>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</si>
  <si>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</si>
  <si>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</si>
  <si>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</si>
  <si>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</si>
  <si>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</si>
  <si>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</si>
  <si>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</si>
  <si>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</si>
  <si>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</si>
  <si>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</si>
  <si>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</si>
  <si>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</si>
  <si>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</si>
  <si>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</si>
  <si>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</si>
  <si>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</si>
  <si>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</si>
  <si>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</si>
  <si>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</si>
  <si>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</si>
  <si>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</si>
  <si>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</si>
  <si>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</si>
  <si>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</si>
  <si>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</si>
  <si>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</si>
  <si>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</si>
  <si>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</si>
  <si>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</si>
  <si>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</si>
  <si>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</si>
  <si>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</si>
  <si>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</si>
  <si>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</si>
  <si>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</si>
  <si>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</si>
  <si>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</si>
  <si>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</si>
  <si>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</si>
  <si>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</si>
  <si>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</si>
  <si>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</si>
  <si>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</si>
  <si>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</si>
  <si>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</si>
  <si>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</si>
  <si>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Layout :</t>
  </si>
  <si>
    <t xml:space="preserve">1. Vitrified tiles flooring 2. Granite Kitchen Platform 3. Decorative
Enternace etc.
</t>
  </si>
  <si>
    <t>Axis Badlapur</t>
  </si>
  <si>
    <t>Sai Sastha Enterprises</t>
  </si>
  <si>
    <t>Nainesh Tambe</t>
  </si>
  <si>
    <t>Sai Sastha Samrat</t>
  </si>
  <si>
    <t>Rehab Wing A &amp; Sale Wing B</t>
  </si>
  <si>
    <t>CTS No</t>
  </si>
  <si>
    <t>Bhandup</t>
  </si>
  <si>
    <t>61, 61/1 to 10, 62, 62/1 to 32, Sector 33(10)</t>
  </si>
  <si>
    <t>P51800033301</t>
  </si>
  <si>
    <t>Tembipada Rd</t>
  </si>
  <si>
    <t>Bhandup West</t>
  </si>
  <si>
    <t>Kurla</t>
  </si>
  <si>
    <t>Mumbai</t>
  </si>
  <si>
    <t>Shivaji Nagar Rd</t>
  </si>
  <si>
    <t>Hill Crest</t>
  </si>
  <si>
    <t>2.7KM from Bhandup Railway Station</t>
  </si>
  <si>
    <t>Shraddha Prime</t>
  </si>
  <si>
    <t>Marathon NeoHills</t>
  </si>
  <si>
    <t>Slum</t>
  </si>
  <si>
    <t>https://goo.gl/maps/2n6cubHBR11h2KKUA</t>
  </si>
  <si>
    <t>02 Buildings</t>
  </si>
  <si>
    <t>This C.C is further extended upto 20th upper floor including LMR &amp; OHWT of rehab wing 'A' &amp; upto 17th floor for entire work &amp; 18th to 23rd upper floor for RCC framework including LMR &amp; OHWT of sale wing 'B' of composite building u/ref as per approved amended plans dated 22/12/2021.</t>
  </si>
  <si>
    <t>As per RERA - 31/12/2025</t>
  </si>
  <si>
    <t>Lower Ground Floor For Septik Tank, Rehab Electric Room, Pump Room, UG Water Tank, UG Fire Tank &amp; Parking</t>
  </si>
  <si>
    <t>Rehab Wing A</t>
  </si>
  <si>
    <t>Welfare Center</t>
  </si>
  <si>
    <t>Library</t>
  </si>
  <si>
    <t>Yogalaya</t>
  </si>
  <si>
    <t>1BHK</t>
  </si>
  <si>
    <t>Sale Wing B</t>
  </si>
  <si>
    <t>Fitness Center</t>
  </si>
  <si>
    <t>1st Floor For Amenities &amp; Parking</t>
  </si>
  <si>
    <t>2nd Floor For Residential</t>
  </si>
  <si>
    <t>1RK</t>
  </si>
  <si>
    <t>3rd to 7th, 9th to 14th &amp; 16th to 19th Floor</t>
  </si>
  <si>
    <t>20th Floor</t>
  </si>
  <si>
    <t>21st Floor For Terrace</t>
  </si>
  <si>
    <t>21st Floor</t>
  </si>
  <si>
    <t>22nd Floor (Part Refuge Area)</t>
  </si>
  <si>
    <t>Refuge Area</t>
  </si>
  <si>
    <t>2BHK</t>
  </si>
  <si>
    <t>8th &amp; 15th Floor (Part Refuge Area)</t>
  </si>
  <si>
    <t>23rd Floor</t>
  </si>
  <si>
    <t>We considered Gross carpet area = Net carpet + F.B Area.</t>
  </si>
  <si>
    <t xml:space="preserve"> Sale Wing B</t>
  </si>
  <si>
    <t>Rehab Flats -73, Sale Flat - 123</t>
  </si>
  <si>
    <t>Approved Plans, CC, Sale Plans, Cost Sheet</t>
  </si>
  <si>
    <t>Upper Ground Floor For Entrance Lobby, Society Office, Balwadi, Rehab Shop &amp; Parking</t>
  </si>
  <si>
    <t>Lower Ground Floor For Septik Tank &amp; Parking</t>
  </si>
  <si>
    <t>Upper Ground Floor For Entrance Lobby, Sale Society Office, Sale Meter Room &amp; Parking</t>
  </si>
  <si>
    <t>Check For Nala</t>
  </si>
  <si>
    <t>Site Person - Contact Details (Name &amp; Contact No.)</t>
  </si>
  <si>
    <t>Latitude &amp; Longitude</t>
  </si>
  <si>
    <t>Slum Rehabilitation Authority (SRA)</t>
  </si>
  <si>
    <t>SRA/ENG/S/PVT/0140/2017/1006/IOA</t>
  </si>
  <si>
    <t>S/PVT/01402017/1006/AP</t>
  </si>
  <si>
    <t>Name / No of the Building as per aaproved plan</t>
  </si>
  <si>
    <t>Sudarshan SRA Chs Rehab Wing A &amp;  
Sai Sastha Samrat Sale Wing B</t>
  </si>
  <si>
    <t>Name / No of the Building as per Rera</t>
  </si>
  <si>
    <t>Rehab Wing A  = LG + UG + 1st to 20th Floor</t>
  </si>
  <si>
    <t>Sale Wing B = LG + UG + 1st to 23rd Floor</t>
  </si>
  <si>
    <t>Sheet</t>
  </si>
  <si>
    <t xml:space="preserve">16500 on carpet </t>
  </si>
  <si>
    <t>Official Site</t>
  </si>
  <si>
    <t>Rehab wing A is completely Rehab building (inclusive of PAP).</t>
  </si>
  <si>
    <t>PAP</t>
  </si>
  <si>
    <t>2nd Floor For Residential (PAP Flats)</t>
  </si>
  <si>
    <t>3rd to 6th Floor (PAP Flats)</t>
  </si>
  <si>
    <t>7th, 9th to 14th &amp; 16th to 19th Floor (Rehab Flats)</t>
  </si>
  <si>
    <t>1st Floor For Residential &amp; Amenities (Rehab Flats)</t>
  </si>
  <si>
    <t>20th Floor (Part Terrace Area) (Rehab Flats)</t>
  </si>
  <si>
    <t>8th &amp; 15th Floor (Part Refuge Area) (Rehab Flats)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</si>
  <si>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</si>
  <si>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19.154438,72.929142</t>
  </si>
  <si>
    <t>11000 to 11500</t>
  </si>
  <si>
    <t>smith</t>
  </si>
  <si>
    <t>chost sheet</t>
  </si>
  <si>
    <t>11001 to 11500</t>
  </si>
  <si>
    <t>11002 to 11500</t>
  </si>
  <si>
    <t>11003 to 11500</t>
  </si>
  <si>
    <t>11004 to 11500</t>
  </si>
  <si>
    <t>11005 to 11500</t>
  </si>
  <si>
    <t>11006 to 11500</t>
  </si>
  <si>
    <t>11007 to 11500</t>
  </si>
  <si>
    <t>11008 to 11500</t>
  </si>
  <si>
    <t>11009 to 11500</t>
  </si>
  <si>
    <t>11010 to 11500</t>
  </si>
  <si>
    <t>11500 to 11700</t>
  </si>
  <si>
    <t>Recommended Rates of the Property have been revised on 05/06/2024.</t>
  </si>
  <si>
    <t>Please provide latest CC.</t>
  </si>
  <si>
    <t>Construction work is in process at the time of Visit. Internal photographs was not allowed.</t>
  </si>
  <si>
    <t>Advance Maintenance of a year</t>
  </si>
  <si>
    <t>Development Charges, Water, Electricity Security Deposits etc.</t>
  </si>
  <si>
    <t>Share Money + Entrance Fee</t>
  </si>
  <si>
    <t>Recommended Rates &amp; Other charges of the Property have been revised on 25/04/2025 &amp; 26/04/2025.</t>
  </si>
  <si>
    <t>Miss. Rupali Raul 9920951439</t>
  </si>
  <si>
    <t>Shruti Tathare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</si>
</sst>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2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8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8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10" xfId="1" applyFont="1" applyBorder="1"/>
    <xf numFmtId="0" fontId="18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2" borderId="30" xfId="0" applyFont="1" applyFill="1" applyBorder="1"/>
    <xf numFmtId="0" fontId="26" fillId="0" borderId="31" xfId="0" applyFont="1" applyBorder="1"/>
    <xf numFmtId="0" fontId="26" fillId="0" borderId="1" xfId="0" applyFont="1" applyBorder="1"/>
    <xf numFmtId="0" fontId="26" fillId="0" borderId="5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28" fillId="0" borderId="0" xfId="0" applyFont="1"/>
    <xf numFmtId="0" fontId="10" fillId="0" borderId="0" xfId="1" applyFont="1"/>
    <xf numFmtId="0" fontId="12" fillId="0" borderId="1" xfId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67" fontId="7" fillId="0" borderId="0" xfId="9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67" fontId="10" fillId="0" borderId="0" xfId="9" applyNumberFormat="1" applyFont="1" applyAlignment="1">
      <alignment horizontal="right" vertical="center"/>
    </xf>
    <xf numFmtId="167" fontId="7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7" fillId="2" borderId="0" xfId="1" applyFont="1" applyFill="1"/>
    <xf numFmtId="14" fontId="7" fillId="2" borderId="0" xfId="1" applyNumberFormat="1" applyFont="1" applyFill="1"/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2" borderId="15" xfId="0" applyFont="1" applyFill="1" applyBorder="1"/>
    <xf numFmtId="0" fontId="26" fillId="0" borderId="9" xfId="0" applyFont="1" applyBorder="1"/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14" fontId="12" fillId="0" borderId="9" xfId="1" applyNumberFormat="1" applyFont="1" applyBorder="1" applyAlignment="1" applyProtection="1">
      <alignment horizontal="left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1" fontId="17" fillId="0" borderId="21" xfId="0" applyNumberFormat="1" applyFont="1" applyBorder="1" applyAlignment="1" applyProtection="1">
      <alignment vertical="top" wrapText="1"/>
      <protection locked="0"/>
    </xf>
    <xf numFmtId="1" fontId="17" fillId="0" borderId="9" xfId="0" applyNumberFormat="1" applyFont="1" applyBorder="1" applyAlignment="1" applyProtection="1">
      <alignment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1" fontId="8" fillId="0" borderId="21" xfId="0" applyNumberFormat="1" applyFont="1" applyFill="1" applyBorder="1" applyAlignment="1" applyProtection="1">
      <alignment vertical="top" wrapText="1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1" fontId="8" fillId="3" borderId="8" xfId="0" applyNumberFormat="1" applyFont="1" applyFill="1" applyBorder="1" applyAlignment="1" applyProtection="1">
      <alignment vertical="top" wrapText="1"/>
      <protection locked="0"/>
    </xf>
    <xf numFmtId="1" fontId="8" fillId="3" borderId="21" xfId="0" applyNumberFormat="1" applyFont="1" applyFill="1" applyBorder="1" applyAlignment="1" applyProtection="1">
      <alignment vertical="top" wrapText="1"/>
      <protection locked="0"/>
    </xf>
    <xf numFmtId="1" fontId="8" fillId="3" borderId="9" xfId="0" applyNumberFormat="1" applyFont="1" applyFill="1" applyBorder="1" applyAlignment="1" applyProtection="1">
      <alignment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300</xdr:row>
      <xdr:rowOff>19050</xdr:rowOff>
    </xdr:from>
    <xdr:to>
      <xdr:col>6</xdr:col>
      <xdr:colOff>1243</xdr:colOff>
      <xdr:row>336</xdr:row>
      <xdr:rowOff>18150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0" y="53044725"/>
          <a:ext cx="3501000" cy="72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172234</xdr:colOff>
      <xdr:row>344</xdr:row>
      <xdr:rowOff>0</xdr:rowOff>
    </xdr:from>
    <xdr:to>
      <xdr:col>6</xdr:col>
      <xdr:colOff>723230</xdr:colOff>
      <xdr:row>360</xdr:row>
      <xdr:rowOff>39601</xdr:rowOff>
    </xdr:to>
    <xdr:pic>
      <xdr:nvPicPr>
        <xdr:cNvPr id="11" name="Picture 10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1384" y="62026800"/>
          <a:ext cx="5008696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266700</xdr:colOff>
      <xdr:row>360</xdr:row>
      <xdr:rowOff>163900</xdr:rowOff>
    </xdr:from>
    <xdr:to>
      <xdr:col>7</xdr:col>
      <xdr:colOff>609713</xdr:colOff>
      <xdr:row>384</xdr:row>
      <xdr:rowOff>43300</xdr:rowOff>
    </xdr:to>
    <xdr:pic>
      <xdr:nvPicPr>
        <xdr:cNvPr id="12" name="Picture 11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6700" y="65391100"/>
          <a:ext cx="6458063" cy="46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542226</xdr:colOff>
      <xdr:row>369</xdr:row>
      <xdr:rowOff>74905</xdr:rowOff>
    </xdr:from>
    <xdr:to>
      <xdr:col>3</xdr:col>
      <xdr:colOff>593514</xdr:colOff>
      <xdr:row>373</xdr:row>
      <xdr:rowOff>149622</xdr:rowOff>
    </xdr:to>
    <xdr:sp macro="" textlink="">
      <xdr:nvSpPr>
        <xdr:cNvPr id="16" name="Rectangle 15"/>
        <xdr:cNvSpPr/>
      </xdr:nvSpPr>
      <xdr:spPr>
        <a:xfrm rot="1718804">
          <a:off x="2102861" y="66808520"/>
          <a:ext cx="901211" cy="866025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11</xdr:col>
      <xdr:colOff>247650</xdr:colOff>
      <xdr:row>271</xdr:row>
      <xdr:rowOff>85725</xdr:rowOff>
    </xdr:from>
    <xdr:ext cx="184731" cy="264560"/>
    <xdr:sp macro="" textlink="">
      <xdr:nvSpPr>
        <xdr:cNvPr id="3" name="TextBox 2"/>
        <xdr:cNvSpPr txBox="1"/>
      </xdr:nvSpPr>
      <xdr:spPr>
        <a:xfrm>
          <a:off x="10020300" y="4961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8</xdr:col>
      <xdr:colOff>1670050</xdr:colOff>
      <xdr:row>252</xdr:row>
      <xdr:rowOff>177800</xdr:rowOff>
    </xdr:from>
    <xdr:ext cx="708912" cy="311496"/>
    <xdr:sp macro="" textlink="">
      <xdr:nvSpPr>
        <xdr:cNvPr id="2" name="TextBox 1"/>
        <xdr:cNvSpPr txBox="1"/>
      </xdr:nvSpPr>
      <xdr:spPr>
        <a:xfrm>
          <a:off x="8515350" y="45485050"/>
          <a:ext cx="70891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</a:t>
          </a:r>
        </a:p>
      </xdr:txBody>
    </xdr:sp>
    <xdr:clientData/>
  </xdr:oneCellAnchor>
  <xdr:twoCellAnchor editAs="oneCell">
    <xdr:from>
      <xdr:col>9</xdr:col>
      <xdr:colOff>330200</xdr:colOff>
      <xdr:row>121</xdr:row>
      <xdr:rowOff>107950</xdr:rowOff>
    </xdr:from>
    <xdr:to>
      <xdr:col>13</xdr:col>
      <xdr:colOff>451310</xdr:colOff>
      <xdr:row>144</xdr:row>
      <xdr:rowOff>235242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59850" y="22479000"/>
          <a:ext cx="3296110" cy="209579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514350</xdr:colOff>
      <xdr:row>257</xdr:row>
      <xdr:rowOff>38099</xdr:rowOff>
    </xdr:from>
    <xdr:to>
      <xdr:col>7</xdr:col>
      <xdr:colOff>381409</xdr:colOff>
      <xdr:row>298</xdr:row>
      <xdr:rowOff>102600</xdr:rowOff>
    </xdr:to>
    <xdr:grpSp>
      <xdr:nvGrpSpPr>
        <xdr:cNvPr id="7" name="Group 6"/>
        <xdr:cNvGrpSpPr/>
      </xdr:nvGrpSpPr>
      <xdr:grpSpPr>
        <a:xfrm>
          <a:off x="514350" y="48606074"/>
          <a:ext cx="5563009" cy="8256001"/>
          <a:chOff x="514350" y="48167924"/>
          <a:chExt cx="5563009" cy="8256001"/>
        </a:xfrm>
      </xdr:grpSpPr>
      <xdr:grpSp>
        <xdr:nvGrpSpPr>
          <xdr:cNvPr id="5" name="Group 4"/>
          <xdr:cNvGrpSpPr/>
        </xdr:nvGrpSpPr>
        <xdr:grpSpPr>
          <a:xfrm>
            <a:off x="561975" y="48167924"/>
            <a:ext cx="5515384" cy="8256001"/>
            <a:chOff x="561975" y="48167924"/>
            <a:chExt cx="5515384" cy="8256001"/>
          </a:xfrm>
        </xdr:grpSpPr>
        <xdr:pic>
          <xdr:nvPicPr>
            <xdr:cNvPr id="53" name="Picture 52" descr="https://vsjcllp.vsjadon.com/upload/insp-239893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14700" y="54263925"/>
              <a:ext cx="162451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4" name="Picture 53" descr="https://vsjcllp.vsjadon.com/upload/insp-239893-8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62325" y="48167924"/>
              <a:ext cx="2715034" cy="36099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5" name="Picture 54" descr="https://vsjcllp.vsjadon.com/upload/insp-239893-84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61975" y="48167924"/>
              <a:ext cx="2715034" cy="36099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6" name="Picture 55" descr="https://vsjcllp.vsjadon.com/upload/insp-239893-844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238625" y="51863624"/>
              <a:ext cx="1755101" cy="23336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7" name="Picture 56" descr="https://vsjcllp.vsjadon.com/upload/insp-239893-847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600200" y="54263925"/>
              <a:ext cx="162451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8" name="Picture 57" descr="https://vsjcllp.vsjadon.com/upload/insp-239893-85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71500" y="51854099"/>
              <a:ext cx="1755101" cy="23336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9" name="Picture 58" descr="https://vsjcllp.vsjadon.com/upload/insp-239893-88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09825" y="51854099"/>
              <a:ext cx="1755101" cy="23336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60" name="TextBox 59"/>
          <xdr:cNvSpPr txBox="1"/>
        </xdr:nvSpPr>
        <xdr:spPr>
          <a:xfrm>
            <a:off x="3419475" y="48301274"/>
            <a:ext cx="678276" cy="31647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514350" y="48225074"/>
            <a:ext cx="774259" cy="41456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14</xdr:row>
      <xdr:rowOff>145677</xdr:rowOff>
    </xdr:from>
    <xdr:to>
      <xdr:col>4</xdr:col>
      <xdr:colOff>615633</xdr:colOff>
      <xdr:row>34</xdr:row>
      <xdr:rowOff>30915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823883"/>
          <a:ext cx="5523809" cy="36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2n6cubHBR11h2KKU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43"/>
  <sheetViews>
    <sheetView tabSelected="1" view="pageBreakPreview" topLeftCell="A61" zoomScaleNormal="100" zoomScaleSheetLayoutView="100" workbookViewId="0">
      <selection activeCell="K70" sqref="K70"/>
    </sheetView>
  </sheetViews>
  <sheetFormatPr defaultColWidth="9.140625" defaultRowHeight="15.75" x14ac:dyDescent="0.25"/>
  <cols>
    <col min="1" max="1" width="11.42578125" style="39" customWidth="1"/>
    <col min="2" max="2" width="12" style="39" customWidth="1"/>
    <col min="3" max="3" width="12.7109375" style="39" customWidth="1"/>
    <col min="4" max="4" width="14.140625" style="39" customWidth="1"/>
    <col min="5" max="7" width="11.7109375" style="39" customWidth="1"/>
    <col min="8" max="8" width="12.42578125" style="39" customWidth="1"/>
    <col min="9" max="9" width="25.5703125" style="20" customWidth="1"/>
    <col min="10" max="10" width="12.5703125" style="20" customWidth="1"/>
    <col min="11" max="11" width="10.5703125" style="20" bestFit="1" customWidth="1"/>
    <col min="12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10" ht="46.5" customHeight="1" x14ac:dyDescent="0.25">
      <c r="A1" s="192" t="s">
        <v>244</v>
      </c>
      <c r="B1" s="192"/>
      <c r="C1" s="192"/>
      <c r="D1" s="192"/>
      <c r="E1" s="192"/>
      <c r="F1" s="192"/>
      <c r="G1" s="192"/>
      <c r="H1" s="192"/>
    </row>
    <row r="2" spans="1:10" ht="16.5" customHeight="1" x14ac:dyDescent="0.25">
      <c r="A2" s="109" t="s">
        <v>0</v>
      </c>
      <c r="B2" s="109"/>
      <c r="C2" s="109"/>
      <c r="D2" s="109"/>
      <c r="E2" s="109"/>
      <c r="F2" s="109"/>
      <c r="G2" s="109"/>
      <c r="H2" s="109"/>
    </row>
    <row r="3" spans="1:10" x14ac:dyDescent="0.25">
      <c r="A3" s="160" t="s">
        <v>1</v>
      </c>
      <c r="B3" s="160"/>
      <c r="C3" s="160"/>
      <c r="D3" s="160"/>
      <c r="E3" s="160" t="str">
        <f ca="1">TEXT(TODAY(),"DD/MM/YYYY")</f>
        <v>14/07/2025</v>
      </c>
      <c r="F3" s="160"/>
      <c r="G3" s="160"/>
      <c r="H3" s="160"/>
    </row>
    <row r="4" spans="1:10" ht="15" customHeight="1" x14ac:dyDescent="0.25">
      <c r="A4" s="160" t="s">
        <v>2</v>
      </c>
      <c r="B4" s="160"/>
      <c r="C4" s="160"/>
      <c r="D4" s="160"/>
      <c r="E4" s="160" t="s">
        <v>172</v>
      </c>
      <c r="F4" s="160"/>
      <c r="G4" s="160"/>
      <c r="H4" s="160"/>
    </row>
    <row r="5" spans="1:10" x14ac:dyDescent="0.25">
      <c r="A5" s="160" t="s">
        <v>3</v>
      </c>
      <c r="B5" s="160"/>
      <c r="C5" s="160"/>
      <c r="D5" s="160"/>
      <c r="E5" s="188">
        <v>45849</v>
      </c>
      <c r="F5" s="160"/>
      <c r="G5" s="160"/>
      <c r="H5" s="160"/>
    </row>
    <row r="6" spans="1:10" ht="16.5" customHeight="1" x14ac:dyDescent="0.25">
      <c r="A6" s="160" t="s">
        <v>4</v>
      </c>
      <c r="B6" s="160"/>
      <c r="C6" s="160"/>
      <c r="D6" s="160"/>
      <c r="E6" s="189" t="s">
        <v>173</v>
      </c>
      <c r="F6" s="190"/>
      <c r="G6" s="190"/>
      <c r="H6" s="191"/>
    </row>
    <row r="7" spans="1:10" ht="15" customHeight="1" x14ac:dyDescent="0.25">
      <c r="A7" s="160" t="s">
        <v>5</v>
      </c>
      <c r="B7" s="160"/>
      <c r="C7" s="160"/>
      <c r="D7" s="160"/>
      <c r="E7" s="160" t="str">
        <f>E6</f>
        <v>Sai Sastha Enterprises</v>
      </c>
      <c r="F7" s="160"/>
      <c r="G7" s="160"/>
      <c r="H7" s="160"/>
    </row>
    <row r="8" spans="1:10" x14ac:dyDescent="0.25">
      <c r="A8" s="160" t="s">
        <v>6</v>
      </c>
      <c r="B8" s="160"/>
      <c r="C8" s="160"/>
      <c r="D8" s="160"/>
      <c r="E8" s="142" t="s">
        <v>175</v>
      </c>
      <c r="F8" s="142"/>
      <c r="G8" s="142"/>
      <c r="H8" s="142"/>
    </row>
    <row r="9" spans="1:10" x14ac:dyDescent="0.25">
      <c r="A9" s="160" t="s">
        <v>169</v>
      </c>
      <c r="B9" s="160"/>
      <c r="C9" s="160"/>
      <c r="D9" s="160"/>
      <c r="E9" s="160" t="s">
        <v>267</v>
      </c>
      <c r="F9" s="160"/>
      <c r="G9" s="160"/>
      <c r="H9" s="160"/>
    </row>
    <row r="10" spans="1:10" x14ac:dyDescent="0.25">
      <c r="A10" s="160" t="s">
        <v>223</v>
      </c>
      <c r="B10" s="160"/>
      <c r="C10" s="160"/>
      <c r="D10" s="160"/>
      <c r="E10" s="160" t="s">
        <v>267</v>
      </c>
      <c r="F10" s="160"/>
      <c r="G10" s="160"/>
      <c r="H10" s="160"/>
    </row>
    <row r="11" spans="1:10" x14ac:dyDescent="0.25">
      <c r="A11" s="160" t="s">
        <v>228</v>
      </c>
      <c r="B11" s="160"/>
      <c r="C11" s="160"/>
      <c r="D11" s="160"/>
      <c r="E11" s="160" t="s">
        <v>176</v>
      </c>
      <c r="F11" s="160"/>
      <c r="G11" s="160"/>
      <c r="H11" s="160"/>
      <c r="I11" s="56"/>
      <c r="J11" s="57"/>
    </row>
    <row r="12" spans="1:10" ht="30" customHeight="1" x14ac:dyDescent="0.25">
      <c r="A12" s="160" t="s">
        <v>230</v>
      </c>
      <c r="B12" s="160"/>
      <c r="C12" s="160"/>
      <c r="D12" s="160"/>
      <c r="E12" s="116" t="s">
        <v>229</v>
      </c>
      <c r="F12" s="160"/>
      <c r="G12" s="160"/>
      <c r="H12" s="160"/>
      <c r="I12" s="56"/>
      <c r="J12" s="57"/>
    </row>
    <row r="13" spans="1:10" x14ac:dyDescent="0.25">
      <c r="A13" s="101" t="s">
        <v>7</v>
      </c>
      <c r="B13" s="101"/>
      <c r="C13" s="101"/>
      <c r="D13" s="101"/>
      <c r="E13" s="116" t="s">
        <v>218</v>
      </c>
      <c r="F13" s="116"/>
      <c r="G13" s="116"/>
      <c r="H13" s="116"/>
      <c r="I13" s="56"/>
      <c r="J13" s="57"/>
    </row>
    <row r="14" spans="1:10" x14ac:dyDescent="0.25">
      <c r="A14" s="101" t="s">
        <v>8</v>
      </c>
      <c r="B14" s="101"/>
      <c r="C14" s="101"/>
      <c r="D14" s="101"/>
      <c r="E14" s="116" t="s">
        <v>180</v>
      </c>
      <c r="F14" s="160"/>
      <c r="G14" s="160"/>
      <c r="H14" s="160"/>
    </row>
    <row r="15" spans="1:10" ht="48.75" customHeight="1" x14ac:dyDescent="0.25">
      <c r="A15" s="116" t="s">
        <v>9</v>
      </c>
      <c r="B15" s="116"/>
      <c r="C15" s="116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Sai Sastha Samrat, CTS No.61, 61/1 to 10, 62, 62/1 to 32, Sector 33(10), near Hill Crest, Shivaji Nagar Rd, Tembipada Rd, Bhandup, Bhandup West, Kurla, Mumbai - 400078.</v>
      </c>
      <c r="D15" s="116"/>
      <c r="E15" s="116"/>
      <c r="F15" s="116"/>
      <c r="G15" s="116"/>
      <c r="H15" s="116"/>
    </row>
    <row r="16" spans="1:10" x14ac:dyDescent="0.25">
      <c r="A16" s="116" t="s">
        <v>177</v>
      </c>
      <c r="B16" s="116"/>
      <c r="C16" s="116" t="s">
        <v>179</v>
      </c>
      <c r="D16" s="116"/>
      <c r="E16" s="116"/>
      <c r="F16" s="116"/>
      <c r="G16" s="116"/>
      <c r="H16" s="116"/>
    </row>
    <row r="17" spans="1:8" ht="15.75" customHeight="1" x14ac:dyDescent="0.25">
      <c r="A17" s="116" t="s">
        <v>168</v>
      </c>
      <c r="B17" s="116"/>
      <c r="C17" s="116" t="s">
        <v>181</v>
      </c>
      <c r="D17" s="116"/>
      <c r="E17" s="116"/>
      <c r="F17" s="116"/>
      <c r="G17" s="116"/>
      <c r="H17" s="116"/>
    </row>
    <row r="18" spans="1:8" ht="15.75" customHeight="1" x14ac:dyDescent="0.25">
      <c r="A18" s="116" t="s">
        <v>10</v>
      </c>
      <c r="B18" s="116"/>
      <c r="C18" s="160" t="s">
        <v>185</v>
      </c>
      <c r="D18" s="160"/>
      <c r="E18" s="116" t="s">
        <v>74</v>
      </c>
      <c r="F18" s="116"/>
      <c r="G18" s="116" t="s">
        <v>178</v>
      </c>
      <c r="H18" s="116"/>
    </row>
    <row r="19" spans="1:8" x14ac:dyDescent="0.25">
      <c r="A19" s="160" t="s">
        <v>12</v>
      </c>
      <c r="B19" s="160"/>
      <c r="C19" s="116" t="s">
        <v>182</v>
      </c>
      <c r="D19" s="116"/>
      <c r="E19" s="116" t="s">
        <v>11</v>
      </c>
      <c r="F19" s="116"/>
      <c r="G19" s="187" t="s">
        <v>184</v>
      </c>
      <c r="H19" s="187"/>
    </row>
    <row r="20" spans="1:8" x14ac:dyDescent="0.25">
      <c r="A20" s="160" t="s">
        <v>75</v>
      </c>
      <c r="B20" s="160"/>
      <c r="C20" s="116" t="s">
        <v>183</v>
      </c>
      <c r="D20" s="116"/>
      <c r="E20" s="116" t="s">
        <v>13</v>
      </c>
      <c r="F20" s="116"/>
      <c r="G20" s="116">
        <v>400078</v>
      </c>
      <c r="H20" s="116"/>
    </row>
    <row r="21" spans="1:8" ht="32.25" customHeight="1" x14ac:dyDescent="0.25">
      <c r="A21" s="160" t="s">
        <v>125</v>
      </c>
      <c r="B21" s="160"/>
      <c r="C21" s="116" t="s">
        <v>186</v>
      </c>
      <c r="D21" s="116"/>
      <c r="E21" s="116" t="s">
        <v>14</v>
      </c>
      <c r="F21" s="116"/>
      <c r="G21" s="116" t="s">
        <v>187</v>
      </c>
      <c r="H21" s="116"/>
    </row>
    <row r="22" spans="1:8" ht="15" customHeight="1" x14ac:dyDescent="0.25">
      <c r="A22" s="186" t="s">
        <v>78</v>
      </c>
      <c r="B22" s="186"/>
      <c r="C22" s="186"/>
      <c r="D22" s="186"/>
      <c r="E22" s="160" t="s">
        <v>15</v>
      </c>
      <c r="F22" s="160"/>
      <c r="G22" s="160"/>
      <c r="H22" s="160"/>
    </row>
    <row r="23" spans="1:8" ht="18.75" customHeight="1" x14ac:dyDescent="0.25">
      <c r="A23" s="186"/>
      <c r="B23" s="186"/>
      <c r="C23" s="186"/>
      <c r="D23" s="186"/>
      <c r="E23" s="160"/>
      <c r="F23" s="160"/>
      <c r="G23" s="160"/>
      <c r="H23" s="160"/>
    </row>
    <row r="24" spans="1:8" ht="15" customHeight="1" x14ac:dyDescent="0.25">
      <c r="A24" s="186" t="s">
        <v>16</v>
      </c>
      <c r="B24" s="186"/>
      <c r="C24" s="186"/>
      <c r="D24" s="186"/>
      <c r="E24" s="116" t="s">
        <v>17</v>
      </c>
      <c r="F24" s="116"/>
      <c r="G24" s="116"/>
      <c r="H24" s="116"/>
    </row>
    <row r="25" spans="1:8" ht="15" customHeight="1" x14ac:dyDescent="0.25">
      <c r="A25" s="101" t="s">
        <v>18</v>
      </c>
      <c r="B25" s="101"/>
      <c r="C25" s="101"/>
      <c r="D25" s="101"/>
      <c r="E25" s="116" t="str">
        <f>IF(AND(G19="Mumbai"),"Upper Class","Middle Class")</f>
        <v>Upper Class</v>
      </c>
      <c r="F25" s="116"/>
      <c r="G25" s="116"/>
      <c r="H25" s="116"/>
    </row>
    <row r="26" spans="1:8" x14ac:dyDescent="0.25">
      <c r="A26" s="101" t="s">
        <v>19</v>
      </c>
      <c r="B26" s="101"/>
      <c r="C26" s="101"/>
      <c r="D26" s="101"/>
      <c r="E26" s="116" t="s">
        <v>20</v>
      </c>
      <c r="F26" s="116"/>
      <c r="G26" s="116"/>
      <c r="H26" s="116"/>
    </row>
    <row r="27" spans="1:8" ht="15.75" customHeight="1" x14ac:dyDescent="0.25">
      <c r="A27" s="101" t="s">
        <v>21</v>
      </c>
      <c r="B27" s="101"/>
      <c r="C27" s="101"/>
      <c r="D27" s="101"/>
      <c r="E27" s="116" t="str">
        <f>IF(AND(G19="Mumbai"),"Developed","Developing")</f>
        <v>Developed</v>
      </c>
      <c r="F27" s="116"/>
      <c r="G27" s="116"/>
      <c r="H27" s="116"/>
    </row>
    <row r="28" spans="1:8" x14ac:dyDescent="0.25">
      <c r="A28" s="101" t="s">
        <v>22</v>
      </c>
      <c r="B28" s="101"/>
      <c r="C28" s="101"/>
      <c r="D28" s="101"/>
      <c r="E28" s="116" t="s">
        <v>23</v>
      </c>
      <c r="F28" s="116"/>
      <c r="G28" s="116"/>
      <c r="H28" s="116"/>
    </row>
    <row r="29" spans="1:8" ht="15.75" customHeight="1" x14ac:dyDescent="0.25">
      <c r="A29" s="101" t="s">
        <v>83</v>
      </c>
      <c r="B29" s="101"/>
      <c r="C29" s="101"/>
      <c r="D29" s="101"/>
      <c r="E29" s="116" t="s">
        <v>84</v>
      </c>
      <c r="F29" s="116"/>
      <c r="G29" s="116"/>
      <c r="H29" s="116"/>
    </row>
    <row r="30" spans="1:8" ht="15" customHeight="1" x14ac:dyDescent="0.25">
      <c r="A30" s="101" t="s">
        <v>32</v>
      </c>
      <c r="B30" s="101"/>
      <c r="C30" s="101"/>
      <c r="D30" s="101"/>
      <c r="E30" s="116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116"/>
      <c r="G30" s="116"/>
      <c r="H30" s="116"/>
    </row>
    <row r="31" spans="1:8" ht="15.75" customHeight="1" x14ac:dyDescent="0.25">
      <c r="A31" s="101" t="s">
        <v>95</v>
      </c>
      <c r="B31" s="101"/>
      <c r="C31" s="101"/>
      <c r="D31" s="101"/>
      <c r="E31" s="116" t="s">
        <v>33</v>
      </c>
      <c r="F31" s="116"/>
      <c r="G31" s="116"/>
      <c r="H31" s="116"/>
    </row>
    <row r="32" spans="1:8" s="21" customFormat="1" x14ac:dyDescent="0.25">
      <c r="A32" s="185" t="s">
        <v>96</v>
      </c>
      <c r="B32" s="185"/>
      <c r="C32" s="184" t="s">
        <v>28</v>
      </c>
      <c r="D32" s="184"/>
      <c r="E32" s="184"/>
      <c r="F32" s="184" t="s">
        <v>30</v>
      </c>
      <c r="G32" s="184"/>
      <c r="H32" s="184"/>
    </row>
    <row r="33" spans="1:10" s="21" customFormat="1" x14ac:dyDescent="0.25">
      <c r="A33" s="177" t="s">
        <v>24</v>
      </c>
      <c r="B33" s="177" t="s">
        <v>29</v>
      </c>
      <c r="C33" s="178" t="s">
        <v>29</v>
      </c>
      <c r="D33" s="178"/>
      <c r="E33" s="178"/>
      <c r="F33" s="178" t="s">
        <v>186</v>
      </c>
      <c r="G33" s="178"/>
      <c r="H33" s="178"/>
    </row>
    <row r="34" spans="1:10" x14ac:dyDescent="0.25">
      <c r="A34" s="177" t="s">
        <v>25</v>
      </c>
      <c r="B34" s="177" t="s">
        <v>29</v>
      </c>
      <c r="C34" s="178" t="s">
        <v>29</v>
      </c>
      <c r="D34" s="178"/>
      <c r="E34" s="178"/>
      <c r="F34" s="178" t="s">
        <v>190</v>
      </c>
      <c r="G34" s="178"/>
      <c r="H34" s="178"/>
    </row>
    <row r="35" spans="1:10" s="21" customFormat="1" x14ac:dyDescent="0.25">
      <c r="A35" s="177" t="s">
        <v>27</v>
      </c>
      <c r="B35" s="177" t="s">
        <v>29</v>
      </c>
      <c r="C35" s="178" t="s">
        <v>29</v>
      </c>
      <c r="D35" s="178"/>
      <c r="E35" s="178"/>
      <c r="F35" s="178" t="s">
        <v>188</v>
      </c>
      <c r="G35" s="178"/>
      <c r="H35" s="178"/>
    </row>
    <row r="36" spans="1:10" x14ac:dyDescent="0.25">
      <c r="A36" s="177" t="s">
        <v>26</v>
      </c>
      <c r="B36" s="177" t="s">
        <v>29</v>
      </c>
      <c r="C36" s="178" t="s">
        <v>29</v>
      </c>
      <c r="D36" s="178"/>
      <c r="E36" s="178"/>
      <c r="F36" s="178" t="s">
        <v>189</v>
      </c>
      <c r="G36" s="178"/>
      <c r="H36" s="178"/>
    </row>
    <row r="37" spans="1:10" x14ac:dyDescent="0.25">
      <c r="A37" s="101" t="s">
        <v>31</v>
      </c>
      <c r="B37" s="101"/>
      <c r="C37" s="101"/>
      <c r="D37" s="101"/>
      <c r="E37" s="101"/>
      <c r="F37" s="101"/>
      <c r="G37" s="101"/>
      <c r="H37" s="101"/>
    </row>
    <row r="38" spans="1:10" ht="15.75" customHeight="1" x14ac:dyDescent="0.25">
      <c r="A38" s="109" t="s">
        <v>224</v>
      </c>
      <c r="B38" s="109"/>
      <c r="C38" s="180" t="s">
        <v>245</v>
      </c>
      <c r="D38" s="180"/>
      <c r="E38" s="180"/>
      <c r="F38" s="180"/>
      <c r="G38" s="180"/>
      <c r="H38" s="180"/>
      <c r="I38" s="20">
        <v>19.154437999999999</v>
      </c>
      <c r="J38" s="20">
        <v>72.929141999999999</v>
      </c>
    </row>
    <row r="39" spans="1:10" x14ac:dyDescent="0.25">
      <c r="A39" s="109" t="s">
        <v>167</v>
      </c>
      <c r="B39" s="109"/>
      <c r="C39" s="183" t="s">
        <v>191</v>
      </c>
      <c r="D39" s="116"/>
      <c r="E39" s="116"/>
      <c r="F39" s="116"/>
      <c r="G39" s="116"/>
      <c r="H39" s="116"/>
    </row>
    <row r="40" spans="1:10" x14ac:dyDescent="0.25">
      <c r="A40" s="149" t="s">
        <v>34</v>
      </c>
      <c r="B40" s="149"/>
      <c r="C40" s="149"/>
      <c r="D40" s="149"/>
      <c r="E40" s="149"/>
      <c r="F40" s="149"/>
      <c r="G40" s="149"/>
      <c r="H40" s="149"/>
    </row>
    <row r="41" spans="1:10" x14ac:dyDescent="0.25">
      <c r="A41" s="160" t="s">
        <v>35</v>
      </c>
      <c r="B41" s="160"/>
      <c r="C41" s="160"/>
      <c r="D41" s="160"/>
      <c r="E41" s="179">
        <v>1135.45</v>
      </c>
      <c r="F41" s="179"/>
      <c r="G41" s="179"/>
      <c r="H41" s="179"/>
    </row>
    <row r="42" spans="1:10" x14ac:dyDescent="0.25">
      <c r="A42" s="160" t="s">
        <v>36</v>
      </c>
      <c r="B42" s="160"/>
      <c r="C42" s="160"/>
      <c r="D42" s="160"/>
      <c r="E42" s="161">
        <v>5.4</v>
      </c>
      <c r="F42" s="161"/>
      <c r="G42" s="161"/>
      <c r="H42" s="161"/>
    </row>
    <row r="43" spans="1:10" x14ac:dyDescent="0.25">
      <c r="A43" s="160" t="s">
        <v>37</v>
      </c>
      <c r="B43" s="160"/>
      <c r="C43" s="160"/>
      <c r="D43" s="160"/>
      <c r="E43" s="161">
        <f>E45/E41-E42</f>
        <v>-7.66216037694889E-4</v>
      </c>
      <c r="F43" s="161"/>
      <c r="G43" s="161"/>
      <c r="H43" s="161"/>
    </row>
    <row r="44" spans="1:10" x14ac:dyDescent="0.25">
      <c r="A44" s="160" t="s">
        <v>38</v>
      </c>
      <c r="B44" s="160"/>
      <c r="C44" s="160"/>
      <c r="D44" s="160"/>
      <c r="E44" s="161">
        <f>E42+E43</f>
        <v>5.3992337839623055</v>
      </c>
      <c r="F44" s="161"/>
      <c r="G44" s="161"/>
      <c r="H44" s="161"/>
    </row>
    <row r="45" spans="1:10" x14ac:dyDescent="0.25">
      <c r="A45" s="160" t="s">
        <v>94</v>
      </c>
      <c r="B45" s="160"/>
      <c r="C45" s="160"/>
      <c r="D45" s="160"/>
      <c r="E45" s="162">
        <v>6130.56</v>
      </c>
      <c r="F45" s="162"/>
      <c r="G45" s="162"/>
      <c r="H45" s="162"/>
    </row>
    <row r="46" spans="1:10" x14ac:dyDescent="0.25">
      <c r="A46" s="160" t="s">
        <v>39</v>
      </c>
      <c r="B46" s="160"/>
      <c r="C46" s="160"/>
      <c r="D46" s="160"/>
      <c r="E46" s="160" t="s">
        <v>192</v>
      </c>
      <c r="F46" s="160"/>
      <c r="G46" s="160"/>
      <c r="H46" s="160"/>
    </row>
    <row r="47" spans="1:10" x14ac:dyDescent="0.25">
      <c r="A47" s="149" t="s">
        <v>40</v>
      </c>
      <c r="B47" s="149"/>
      <c r="C47" s="149"/>
      <c r="D47" s="149"/>
      <c r="E47" s="149"/>
      <c r="F47" s="149"/>
      <c r="G47" s="149"/>
      <c r="H47" s="149"/>
    </row>
    <row r="48" spans="1:10" ht="33.75" customHeight="1" x14ac:dyDescent="0.25">
      <c r="A48" s="174" t="s">
        <v>154</v>
      </c>
      <c r="B48" s="176"/>
      <c r="C48" s="165" t="s">
        <v>225</v>
      </c>
      <c r="D48" s="166"/>
      <c r="E48" s="166"/>
      <c r="F48" s="166"/>
      <c r="G48" s="166"/>
      <c r="H48" s="167"/>
    </row>
    <row r="49" spans="1:14" ht="15.75" customHeight="1" x14ac:dyDescent="0.25">
      <c r="A49" s="174" t="s">
        <v>41</v>
      </c>
      <c r="B49" s="176"/>
      <c r="C49" s="174" t="s">
        <v>226</v>
      </c>
      <c r="D49" s="175"/>
      <c r="E49" s="176"/>
      <c r="F49" s="58" t="s">
        <v>42</v>
      </c>
      <c r="G49" s="181">
        <v>44552</v>
      </c>
      <c r="H49" s="176"/>
    </row>
    <row r="50" spans="1:14" x14ac:dyDescent="0.25">
      <c r="A50" s="174" t="s">
        <v>43</v>
      </c>
      <c r="B50" s="176"/>
      <c r="C50" s="174" t="str">
        <f>C49</f>
        <v>SRA/ENG/S/PVT/0140/2017/1006/IOA</v>
      </c>
      <c r="D50" s="175"/>
      <c r="E50" s="176"/>
      <c r="F50" s="58" t="s">
        <v>42</v>
      </c>
      <c r="G50" s="181">
        <v>44552</v>
      </c>
      <c r="H50" s="182"/>
    </row>
    <row r="51" spans="1:14" s="22" customFormat="1" ht="15.75" customHeight="1" x14ac:dyDescent="0.25">
      <c r="A51" s="168" t="s">
        <v>158</v>
      </c>
      <c r="B51" s="170"/>
      <c r="C51" s="174" t="s">
        <v>227</v>
      </c>
      <c r="D51" s="175"/>
      <c r="E51" s="176"/>
      <c r="F51" s="58" t="s">
        <v>42</v>
      </c>
      <c r="G51" s="181">
        <v>44706</v>
      </c>
      <c r="H51" s="176"/>
    </row>
    <row r="52" spans="1:14" s="22" customFormat="1" ht="63.75" customHeight="1" x14ac:dyDescent="0.25">
      <c r="A52" s="171"/>
      <c r="B52" s="173"/>
      <c r="C52" s="174" t="s">
        <v>193</v>
      </c>
      <c r="D52" s="175"/>
      <c r="E52" s="175"/>
      <c r="F52" s="175"/>
      <c r="G52" s="175"/>
      <c r="H52" s="176"/>
    </row>
    <row r="53" spans="1:14" x14ac:dyDescent="0.25">
      <c r="A53" s="225" t="s">
        <v>44</v>
      </c>
      <c r="B53" s="226"/>
      <c r="C53" s="225" t="s">
        <v>106</v>
      </c>
      <c r="D53" s="227"/>
      <c r="E53" s="226"/>
      <c r="F53" s="44" t="s">
        <v>42</v>
      </c>
      <c r="G53" s="210" t="s">
        <v>29</v>
      </c>
      <c r="H53" s="211"/>
    </row>
    <row r="54" spans="1:14" x14ac:dyDescent="0.25">
      <c r="A54" s="206" t="s">
        <v>46</v>
      </c>
      <c r="B54" s="206"/>
      <c r="C54" s="206"/>
      <c r="D54" s="206"/>
      <c r="E54" s="206"/>
      <c r="F54" s="206"/>
      <c r="G54" s="206"/>
      <c r="H54" s="206"/>
    </row>
    <row r="55" spans="1:14" x14ac:dyDescent="0.25">
      <c r="A55" s="186" t="s">
        <v>93</v>
      </c>
      <c r="B55" s="186"/>
      <c r="C55" s="186"/>
      <c r="D55" s="101">
        <f>E45</f>
        <v>6130.56</v>
      </c>
      <c r="E55" s="101"/>
      <c r="F55" s="101"/>
      <c r="G55" s="101"/>
      <c r="H55" s="101"/>
    </row>
    <row r="56" spans="1:14" x14ac:dyDescent="0.25">
      <c r="A56" s="116" t="s">
        <v>47</v>
      </c>
      <c r="B56" s="160"/>
      <c r="C56" s="160"/>
      <c r="D56" s="160" t="s">
        <v>217</v>
      </c>
      <c r="E56" s="160"/>
      <c r="F56" s="160"/>
      <c r="G56" s="160"/>
      <c r="H56" s="160"/>
      <c r="I56" s="23"/>
    </row>
    <row r="57" spans="1:14" ht="15.75" customHeight="1" x14ac:dyDescent="0.25">
      <c r="A57" s="168" t="s">
        <v>48</v>
      </c>
      <c r="B57" s="169"/>
      <c r="C57" s="170"/>
      <c r="D57" s="163" t="s">
        <v>231</v>
      </c>
      <c r="E57" s="164"/>
      <c r="F57" s="164"/>
      <c r="G57" s="164"/>
      <c r="H57" s="164"/>
    </row>
    <row r="58" spans="1:14" ht="15.75" customHeight="1" x14ac:dyDescent="0.25">
      <c r="A58" s="171"/>
      <c r="B58" s="172"/>
      <c r="C58" s="173"/>
      <c r="D58" s="163" t="s">
        <v>232</v>
      </c>
      <c r="E58" s="164"/>
      <c r="F58" s="164"/>
      <c r="G58" s="164"/>
      <c r="H58" s="164"/>
    </row>
    <row r="59" spans="1:14" ht="15.75" customHeight="1" x14ac:dyDescent="0.25">
      <c r="A59" s="168" t="s">
        <v>91</v>
      </c>
      <c r="B59" s="169"/>
      <c r="C59" s="169"/>
      <c r="D59" s="160" t="s">
        <v>231</v>
      </c>
      <c r="E59" s="160"/>
      <c r="F59" s="160"/>
      <c r="G59" s="160"/>
      <c r="H59" s="160"/>
    </row>
    <row r="60" spans="1:14" ht="15.75" customHeight="1" x14ac:dyDescent="0.25">
      <c r="A60" s="223"/>
      <c r="B60" s="224"/>
      <c r="C60" s="224"/>
      <c r="D60" s="160" t="s">
        <v>232</v>
      </c>
      <c r="E60" s="160"/>
      <c r="F60" s="160"/>
      <c r="G60" s="160"/>
      <c r="H60" s="160"/>
    </row>
    <row r="61" spans="1:14" ht="15.75" customHeight="1" x14ac:dyDescent="0.25">
      <c r="A61" s="101" t="s">
        <v>45</v>
      </c>
      <c r="B61" s="101"/>
      <c r="C61" s="101"/>
      <c r="D61" s="116" t="s">
        <v>194</v>
      </c>
      <c r="E61" s="116"/>
      <c r="F61" s="116"/>
      <c r="G61" s="116"/>
      <c r="H61" s="116"/>
      <c r="J61" s="24"/>
      <c r="K61" s="23"/>
      <c r="N61" s="23"/>
    </row>
    <row r="62" spans="1:14" ht="15.75" customHeight="1" x14ac:dyDescent="0.25">
      <c r="A62" s="101" t="s">
        <v>89</v>
      </c>
      <c r="B62" s="101"/>
      <c r="C62" s="101"/>
      <c r="D62" s="112" t="str">
        <f>(IF(G53="NA","60 Years After Completion",IF(G53&lt;&gt;"NA",""&amp;60-ROUNDDOWN((E3-G53)/360,0)&amp;" Years"," ")))</f>
        <v>60 Years After Completion</v>
      </c>
      <c r="E62" s="112"/>
      <c r="F62" s="112"/>
      <c r="G62" s="112"/>
      <c r="H62" s="112"/>
      <c r="N62" s="23"/>
    </row>
    <row r="63" spans="1:14" ht="15.75" customHeight="1" x14ac:dyDescent="0.25">
      <c r="A63" s="101" t="s">
        <v>90</v>
      </c>
      <c r="B63" s="101"/>
      <c r="C63" s="101"/>
      <c r="D63" s="116" t="s">
        <v>23</v>
      </c>
      <c r="E63" s="116"/>
      <c r="F63" s="116"/>
      <c r="G63" s="116"/>
      <c r="H63" s="116"/>
      <c r="J63" s="25"/>
      <c r="K63" s="25"/>
    </row>
    <row r="64" spans="1:14" ht="30" customHeight="1" x14ac:dyDescent="0.25">
      <c r="A64" s="101" t="s">
        <v>76</v>
      </c>
      <c r="B64" s="101"/>
      <c r="C64" s="101"/>
      <c r="D64" s="116" t="s">
        <v>171</v>
      </c>
      <c r="E64" s="116"/>
      <c r="F64" s="116"/>
      <c r="G64" s="116"/>
      <c r="H64" s="116"/>
    </row>
    <row r="65" spans="1:14" x14ac:dyDescent="0.25">
      <c r="A65" s="186" t="s">
        <v>151</v>
      </c>
      <c r="B65" s="186"/>
      <c r="C65" s="186"/>
      <c r="D65" s="116" t="s">
        <v>29</v>
      </c>
      <c r="E65" s="116"/>
      <c r="F65" s="116"/>
      <c r="G65" s="116"/>
      <c r="H65" s="116"/>
      <c r="I65" s="26"/>
      <c r="J65" s="26"/>
      <c r="K65" s="26"/>
      <c r="L65" s="26"/>
      <c r="M65" s="26"/>
      <c r="N65" s="26"/>
    </row>
    <row r="66" spans="1:14" ht="15.75" customHeight="1" x14ac:dyDescent="0.25">
      <c r="A66" s="101" t="s">
        <v>88</v>
      </c>
      <c r="B66" s="101"/>
      <c r="C66" s="101"/>
      <c r="D66" s="116" t="str">
        <f ca="1">(IF(G72&gt;95%,"Nothing",IF(G72&gt;0%,"Cement, Aggregate, Steel, etc",IF(G72=0%,"Work not yet Started"))))</f>
        <v>Cement, Aggregate, Steel, etc</v>
      </c>
      <c r="E66" s="116"/>
      <c r="F66" s="116"/>
      <c r="G66" s="116"/>
      <c r="H66" s="116"/>
      <c r="J66" s="25"/>
    </row>
    <row r="67" spans="1:14" ht="33.75" customHeight="1" thickBot="1" x14ac:dyDescent="0.3">
      <c r="A67" s="186" t="s">
        <v>119</v>
      </c>
      <c r="B67" s="186"/>
      <c r="C67" s="186"/>
      <c r="D67" s="116" t="str">
        <f ca="1">(IF(D66="Nothing","Yes",IF(D66="Cement, Aggregate, Steel, etc","Under Construction",IF(D66="Work not yet Started","Work not yet Started"))))</f>
        <v>Under Construction</v>
      </c>
      <c r="E67" s="116"/>
      <c r="F67" s="116" t="str">
        <f ca="1">(IF(D66="Nothing","Yes",IF(D66="Cement, Aggregate, Steel, etc","Under Construction",IF(D66="Work not yet Started","Work not yet Started"))))</f>
        <v>Under Construction</v>
      </c>
      <c r="G67" s="116"/>
      <c r="H67" s="116"/>
    </row>
    <row r="68" spans="1:14" ht="15.75" customHeight="1" x14ac:dyDescent="0.25">
      <c r="A68" s="113" t="s">
        <v>143</v>
      </c>
      <c r="B68" s="113"/>
      <c r="C68" s="113" t="s">
        <v>231</v>
      </c>
      <c r="D68" s="113"/>
      <c r="E68" s="113"/>
      <c r="F68" s="113"/>
      <c r="G68" s="113"/>
      <c r="H68" s="113"/>
      <c r="I68" s="82" t="str">
        <f ca="1">IF(D81=100%,"All work Completed. Possession granted to the Building.",IF(D80=100%,"All work Completed, Waiting for OC",I69&amp;""&amp;I70&amp;""&amp;J69&amp;""&amp;J68&amp;" "&amp;J70))</f>
        <v>Excavation, Plinth, RCC Slab, Brickwork, Internal Plaster, External Plaster Completed, Flooring upto 19 Floor, Painting upto 15 Floor, Finishing upto 6 Floor Completed</v>
      </c>
      <c r="J68" s="49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Flooring upto 19 Floor, Painting upto 15 Floor, Finishing upto 6 Floor</v>
      </c>
    </row>
    <row r="69" spans="1:14" x14ac:dyDescent="0.25">
      <c r="A69" s="79" t="s">
        <v>145</v>
      </c>
      <c r="B69" s="79">
        <v>1</v>
      </c>
      <c r="C69" s="79" t="s">
        <v>73</v>
      </c>
      <c r="D69" s="79">
        <v>1</v>
      </c>
      <c r="E69" s="79" t="s">
        <v>72</v>
      </c>
      <c r="F69" s="79">
        <v>0</v>
      </c>
      <c r="G69" s="79" t="s">
        <v>82</v>
      </c>
      <c r="H69" s="79">
        <f ca="1">--TRIM(RIGHT(SUBSTITUTE(LEFT(C68,_xlfn.AGGREGATE(16,6,FIND({0,1,2,3,4,5,6,7,8,9},C68,ROW(INDIRECT("1:"&amp;LEN(C68)))),1))," ",REPT(" ",LEN(C68))),LEN(C68)))</f>
        <v>20</v>
      </c>
      <c r="I69" s="83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Brickwork, Internal Plaster, External Plaster</v>
      </c>
      <c r="J69" s="51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49.5" customHeight="1" x14ac:dyDescent="0.25">
      <c r="A70" s="141" t="s">
        <v>92</v>
      </c>
      <c r="B70" s="142"/>
      <c r="C70" s="113" t="str">
        <f ca="1">I68</f>
        <v>Excavation, Plinth, RCC Slab, Brickwork, Internal Plaster, External Plaster Completed, Flooring upto 19 Floor, Painting upto 15 Floor, Finishing upto 6 Floor Completed</v>
      </c>
      <c r="D70" s="113"/>
      <c r="E70" s="113"/>
      <c r="F70" s="113"/>
      <c r="G70" s="113"/>
      <c r="H70" s="114"/>
      <c r="I70" s="50" t="str">
        <f ca="1">IF(I69&lt;&gt;""," Completed","")</f>
        <v xml:space="preserve"> Completed</v>
      </c>
      <c r="J70" s="51" t="str">
        <f ca="1">IF(J68&lt;&gt;"","Completed","")</f>
        <v>Completed</v>
      </c>
    </row>
    <row r="71" spans="1:14" ht="15.75" customHeight="1" x14ac:dyDescent="0.25">
      <c r="A71" s="143" t="s">
        <v>49</v>
      </c>
      <c r="B71" s="144"/>
      <c r="C71" s="59" t="s">
        <v>142</v>
      </c>
      <c r="D71" s="59" t="s">
        <v>85</v>
      </c>
      <c r="E71" s="144" t="s">
        <v>87</v>
      </c>
      <c r="F71" s="144"/>
      <c r="G71" s="144" t="s">
        <v>86</v>
      </c>
      <c r="H71" s="145"/>
      <c r="I71" s="13" t="s">
        <v>144</v>
      </c>
      <c r="J71" s="27">
        <f ca="1">H69*25%</f>
        <v>5</v>
      </c>
    </row>
    <row r="72" spans="1:14" x14ac:dyDescent="0.25">
      <c r="A72" s="143" t="s">
        <v>131</v>
      </c>
      <c r="B72" s="144"/>
      <c r="C72" s="59">
        <f ca="1">J73</f>
        <v>20</v>
      </c>
      <c r="D72" s="60">
        <f ca="1">((100/H69)*C72)/100</f>
        <v>1</v>
      </c>
      <c r="E72" s="117">
        <f ca="1">(((C73/H69*10)+(40/(D69+F69+H69)*C74)+(7.5/(H69)*C75)+(7.5/(H69)*C76)+(10/H69*C77)+(10/H69*C78)+(5/H69*C79)+(5/H69*C80)+(5/H69*C81))/100)</f>
        <v>0.89749999999999996</v>
      </c>
      <c r="F72" s="118"/>
      <c r="G72" s="117">
        <f ca="1">((((C72/H69)*20)+((C73/H69)*25)+(30/(H69+F69+D69)*C74)+(5/H69*C75)+(5/H69*C76)+(5/H69*C77)+(5/H69*C78)+(0/H69*C79)+(0/H69*C80)+(5/H69*C81))/100)</f>
        <v>0.94750000000000001</v>
      </c>
      <c r="H72" s="123"/>
      <c r="I72" s="13" t="s">
        <v>101</v>
      </c>
      <c r="J72" s="28">
        <f ca="1">H69*50%</f>
        <v>10</v>
      </c>
    </row>
    <row r="73" spans="1:14" x14ac:dyDescent="0.25">
      <c r="A73" s="143" t="s">
        <v>50</v>
      </c>
      <c r="B73" s="144"/>
      <c r="C73" s="59">
        <f ca="1">J81</f>
        <v>20</v>
      </c>
      <c r="D73" s="60">
        <f ca="1">((100/H69)*C73)/100</f>
        <v>1</v>
      </c>
      <c r="E73" s="119"/>
      <c r="F73" s="120"/>
      <c r="G73" s="119"/>
      <c r="H73" s="124"/>
      <c r="I73" s="13" t="s">
        <v>102</v>
      </c>
      <c r="J73" s="28">
        <f ca="1">H69</f>
        <v>20</v>
      </c>
    </row>
    <row r="74" spans="1:14" ht="15.75" customHeight="1" x14ac:dyDescent="0.25">
      <c r="A74" s="143" t="s">
        <v>132</v>
      </c>
      <c r="B74" s="144"/>
      <c r="C74" s="59">
        <v>21</v>
      </c>
      <c r="D74" s="60">
        <f ca="1">((100/(D69+F69+H69))*C74)/100</f>
        <v>1</v>
      </c>
      <c r="E74" s="119"/>
      <c r="F74" s="120"/>
      <c r="G74" s="119"/>
      <c r="H74" s="124"/>
      <c r="I74" s="13" t="s">
        <v>103</v>
      </c>
      <c r="J74" s="29">
        <f ca="1">(IF(B69&gt;1,(H69/(B69+2)),H69/4))</f>
        <v>5</v>
      </c>
    </row>
    <row r="75" spans="1:14" ht="15.75" customHeight="1" x14ac:dyDescent="0.25">
      <c r="A75" s="143" t="s">
        <v>139</v>
      </c>
      <c r="B75" s="144" t="s">
        <v>133</v>
      </c>
      <c r="C75" s="59">
        <v>20</v>
      </c>
      <c r="D75" s="60">
        <f ca="1">((100/H69)*C75)/100</f>
        <v>1</v>
      </c>
      <c r="E75" s="119"/>
      <c r="F75" s="120"/>
      <c r="G75" s="119"/>
      <c r="H75" s="124"/>
      <c r="I75" s="13" t="s">
        <v>104</v>
      </c>
      <c r="J75" s="29">
        <f ca="1">(IF(B69&gt;1,(H69/(B69+2)+J74),H69/4+J74))</f>
        <v>10</v>
      </c>
    </row>
    <row r="76" spans="1:14" ht="15.75" customHeight="1" x14ac:dyDescent="0.25">
      <c r="A76" s="143" t="s">
        <v>140</v>
      </c>
      <c r="B76" s="144" t="s">
        <v>133</v>
      </c>
      <c r="C76" s="59">
        <v>20</v>
      </c>
      <c r="D76" s="60">
        <f ca="1">((100/H69)*C76)/100</f>
        <v>1</v>
      </c>
      <c r="E76" s="119"/>
      <c r="F76" s="120"/>
      <c r="G76" s="119"/>
      <c r="H76" s="124"/>
      <c r="I76" s="13" t="s">
        <v>149</v>
      </c>
      <c r="J76" s="29">
        <f>(IF(B69&gt;1,(H69/(B69+2)+J75),0))</f>
        <v>0</v>
      </c>
    </row>
    <row r="77" spans="1:14" ht="15" customHeight="1" x14ac:dyDescent="0.25">
      <c r="A77" s="143" t="s">
        <v>138</v>
      </c>
      <c r="B77" s="144" t="s">
        <v>135</v>
      </c>
      <c r="C77" s="59">
        <v>20</v>
      </c>
      <c r="D77" s="60">
        <f ca="1">((100/(H69))*C77)/100</f>
        <v>1</v>
      </c>
      <c r="E77" s="119"/>
      <c r="F77" s="120"/>
      <c r="G77" s="119"/>
      <c r="H77" s="124"/>
      <c r="I77" s="13" t="s">
        <v>146</v>
      </c>
      <c r="J77" s="29">
        <f>(IF(B69&gt;2,(H69/(B69+2)+J76),0))</f>
        <v>0</v>
      </c>
    </row>
    <row r="78" spans="1:14" ht="15.75" customHeight="1" x14ac:dyDescent="0.25">
      <c r="A78" s="143" t="s">
        <v>134</v>
      </c>
      <c r="B78" s="144" t="s">
        <v>134</v>
      </c>
      <c r="C78" s="59">
        <v>19</v>
      </c>
      <c r="D78" s="60">
        <f ca="1">((100/H69)*C78)/100</f>
        <v>0.95</v>
      </c>
      <c r="E78" s="119"/>
      <c r="F78" s="120"/>
      <c r="G78" s="119"/>
      <c r="H78" s="124"/>
      <c r="I78" s="13" t="s">
        <v>147</v>
      </c>
      <c r="J78" s="30">
        <f>(IF(B69&gt;3,(H69/(B69+2)+J77),0))</f>
        <v>0</v>
      </c>
    </row>
    <row r="79" spans="1:14" ht="15.75" customHeight="1" x14ac:dyDescent="0.25">
      <c r="A79" s="143" t="s">
        <v>141</v>
      </c>
      <c r="B79" s="144"/>
      <c r="C79" s="59">
        <v>15</v>
      </c>
      <c r="D79" s="60">
        <f ca="1">((100/H69)*C79)/100</f>
        <v>0.75</v>
      </c>
      <c r="E79" s="119"/>
      <c r="F79" s="120"/>
      <c r="G79" s="119"/>
      <c r="H79" s="124"/>
      <c r="I79" s="13" t="s">
        <v>148</v>
      </c>
      <c r="J79" s="29">
        <f>(IF(B69&gt;4,(H69/(B69+2)+J78),0))</f>
        <v>0</v>
      </c>
    </row>
    <row r="80" spans="1:14" ht="15.75" customHeight="1" x14ac:dyDescent="0.25">
      <c r="A80" s="143" t="s">
        <v>136</v>
      </c>
      <c r="B80" s="144" t="s">
        <v>136</v>
      </c>
      <c r="C80" s="59">
        <v>6</v>
      </c>
      <c r="D80" s="60">
        <f ca="1">((100/(H69))*C80)/100</f>
        <v>0.3</v>
      </c>
      <c r="E80" s="119"/>
      <c r="F80" s="120"/>
      <c r="G80" s="119"/>
      <c r="H80" s="124"/>
      <c r="I80" s="13" t="s">
        <v>150</v>
      </c>
      <c r="J80" s="29">
        <f ca="1">(IF(B69=1,(H69/(B69+3)+J75),IF(B69=0,(H69/4+J75),IF(B69&gt;1,0))))</f>
        <v>15</v>
      </c>
    </row>
    <row r="81" spans="1:10" ht="16.5" thickBot="1" x14ac:dyDescent="0.3">
      <c r="A81" s="146" t="s">
        <v>137</v>
      </c>
      <c r="B81" s="147"/>
      <c r="C81" s="61">
        <v>0</v>
      </c>
      <c r="D81" s="62">
        <f ca="1">((100/(H69))*C81)/100</f>
        <v>0</v>
      </c>
      <c r="E81" s="121"/>
      <c r="F81" s="122"/>
      <c r="G81" s="121"/>
      <c r="H81" s="125"/>
      <c r="I81" s="15" t="s">
        <v>105</v>
      </c>
      <c r="J81" s="31">
        <f ca="1">(IF(B69&gt;1.5,(H69/(B69+2)+J75+MAX(0,J76-J75)+MAX(0,J77-J76)+MAX(0,J78-J77)+MAX(0,J79-J78)+MAX(0,J80-J79)),IF(B69=1,(H69/(B69+3)+J80),IF(B69=0,H69/4+J80))))</f>
        <v>20</v>
      </c>
    </row>
    <row r="82" spans="1:10" ht="15.75" hidden="1" customHeight="1" x14ac:dyDescent="0.25">
      <c r="A82" s="218" t="s">
        <v>143</v>
      </c>
      <c r="B82" s="219"/>
      <c r="C82" s="220" t="str">
        <f>D60</f>
        <v>Sale Wing B = LG + UG + 1st to 23rd Floor</v>
      </c>
      <c r="D82" s="221"/>
      <c r="E82" s="221"/>
      <c r="F82" s="221"/>
      <c r="G82" s="221"/>
      <c r="H82" s="222"/>
      <c r="I82" s="48" t="str">
        <f ca="1">IF(D95=100%,"All work Completed. Possession granted to the Building.",IF(D94=100%,"All work Completed, Waiting for OC",I83&amp;""&amp;I84&amp;""&amp;J83&amp;""&amp;J82&amp;" "&amp;J84))</f>
        <v xml:space="preserve">Excavation, Plinth, RCC Slab Completed </v>
      </c>
      <c r="J82" s="49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/>
      </c>
    </row>
    <row r="83" spans="1:10" hidden="1" x14ac:dyDescent="0.25">
      <c r="A83" s="16" t="s">
        <v>145</v>
      </c>
      <c r="B83" s="14">
        <v>0</v>
      </c>
      <c r="C83" s="46" t="s">
        <v>73</v>
      </c>
      <c r="D83" s="46">
        <v>1</v>
      </c>
      <c r="E83" s="46" t="s">
        <v>72</v>
      </c>
      <c r="F83" s="14">
        <v>0</v>
      </c>
      <c r="G83" s="47" t="s">
        <v>82</v>
      </c>
      <c r="H83" s="17">
        <f ca="1">--TRIM(RIGHT(SUBSTITUTE(LEFT(C82,_xlfn.AGGREGATE(16,6,FIND({0,1,2,3,4,5,6,7,8,9},C82,ROW(INDIRECT("1:"&amp;LEN(C82)))),1))," ",REPT(" ",LEN(C82))),LEN(C82)))</f>
        <v>23</v>
      </c>
      <c r="I83" s="50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Plinth, RCC Slab</v>
      </c>
      <c r="J83" s="51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ht="33.75" hidden="1" customHeight="1" x14ac:dyDescent="0.25">
      <c r="A84" s="141" t="s">
        <v>92</v>
      </c>
      <c r="B84" s="142"/>
      <c r="C84" s="113" t="str">
        <f ca="1">(IF($G$53="NA",I82,"All work Completed. OC Received."))</f>
        <v xml:space="preserve">Excavation, Plinth, RCC Slab Completed </v>
      </c>
      <c r="D84" s="113"/>
      <c r="E84" s="113"/>
      <c r="F84" s="113"/>
      <c r="G84" s="113"/>
      <c r="H84" s="114"/>
      <c r="I84" s="50" t="str">
        <f ca="1">IF(I83&lt;&gt;""," Completed","")</f>
        <v xml:space="preserve"> Completed</v>
      </c>
      <c r="J84" s="51" t="str">
        <f ca="1">IF(J82&lt;&gt;"","Completed","")</f>
        <v/>
      </c>
    </row>
    <row r="85" spans="1:10" ht="15.75" hidden="1" customHeight="1" x14ac:dyDescent="0.25">
      <c r="A85" s="135" t="s">
        <v>49</v>
      </c>
      <c r="B85" s="126"/>
      <c r="C85" s="42" t="s">
        <v>142</v>
      </c>
      <c r="D85" s="42" t="s">
        <v>85</v>
      </c>
      <c r="E85" s="126" t="s">
        <v>87</v>
      </c>
      <c r="F85" s="126"/>
      <c r="G85" s="126" t="s">
        <v>86</v>
      </c>
      <c r="H85" s="127"/>
      <c r="I85" s="13" t="s">
        <v>144</v>
      </c>
      <c r="J85" s="27">
        <f ca="1">H83*25%</f>
        <v>5.75</v>
      </c>
    </row>
    <row r="86" spans="1:10" hidden="1" x14ac:dyDescent="0.25">
      <c r="A86" s="135" t="s">
        <v>131</v>
      </c>
      <c r="B86" s="126"/>
      <c r="C86" s="42">
        <f ca="1">J87</f>
        <v>23</v>
      </c>
      <c r="D86" s="18">
        <f ca="1">((100/H83)*C86)/100</f>
        <v>1</v>
      </c>
      <c r="E86" s="129">
        <f ca="1">(((C87/H83*10)+(40/(D83+F83+H83)*C88)+(7.5/(H83)*C89)+(7.5/(H83)*C90)+(10/H83*C91)+(10/H83*C92)+(5/H83*C93)+(5/H83*C94)+(5/H83*C95))/100)</f>
        <v>0.5</v>
      </c>
      <c r="F86" s="155"/>
      <c r="G86" s="129">
        <f ca="1">((((C86/H83)*20)+((C87/H83)*25)+(30/(H83+F83+D83)*C88)+(5/H83*C89)+(5/H83*C90)+(5/H83*C91)+(5/H83*C92)+(0/H83*C93)+(0/H83*C94)+(5/H83*C95))/100)</f>
        <v>0.75</v>
      </c>
      <c r="H86" s="130"/>
      <c r="I86" s="13" t="s">
        <v>101</v>
      </c>
      <c r="J86" s="28">
        <f ca="1">H83*50%</f>
        <v>11.5</v>
      </c>
    </row>
    <row r="87" spans="1:10" hidden="1" x14ac:dyDescent="0.25">
      <c r="A87" s="135" t="s">
        <v>50</v>
      </c>
      <c r="B87" s="126"/>
      <c r="C87" s="42">
        <f ca="1">J95</f>
        <v>23</v>
      </c>
      <c r="D87" s="18">
        <f ca="1">((100/H83)*C87)/100</f>
        <v>1</v>
      </c>
      <c r="E87" s="131"/>
      <c r="F87" s="156"/>
      <c r="G87" s="131"/>
      <c r="H87" s="132"/>
      <c r="I87" s="13" t="s">
        <v>102</v>
      </c>
      <c r="J87" s="28">
        <f ca="1">H83</f>
        <v>23</v>
      </c>
    </row>
    <row r="88" spans="1:10" ht="15.75" hidden="1" customHeight="1" x14ac:dyDescent="0.25">
      <c r="A88" s="135" t="s">
        <v>132</v>
      </c>
      <c r="B88" s="126"/>
      <c r="C88" s="42">
        <f ca="1">D83+H83</f>
        <v>24</v>
      </c>
      <c r="D88" s="18">
        <f ca="1">((100/(D83+F83+H83))*C88)/100</f>
        <v>1</v>
      </c>
      <c r="E88" s="131"/>
      <c r="F88" s="156"/>
      <c r="G88" s="131"/>
      <c r="H88" s="132"/>
      <c r="I88" s="13" t="s">
        <v>103</v>
      </c>
      <c r="J88" s="29">
        <f ca="1">(IF(B83&gt;1,(H83/(B83+2)),H83/4))</f>
        <v>5.75</v>
      </c>
    </row>
    <row r="89" spans="1:10" ht="15.75" hidden="1" customHeight="1" x14ac:dyDescent="0.25">
      <c r="A89" s="135" t="s">
        <v>139</v>
      </c>
      <c r="B89" s="126" t="s">
        <v>133</v>
      </c>
      <c r="C89" s="42">
        <v>0</v>
      </c>
      <c r="D89" s="18">
        <f ca="1">((100/H83)*C89)/100</f>
        <v>0</v>
      </c>
      <c r="E89" s="131"/>
      <c r="F89" s="156"/>
      <c r="G89" s="131"/>
      <c r="H89" s="132"/>
      <c r="I89" s="13" t="s">
        <v>104</v>
      </c>
      <c r="J89" s="29">
        <f ca="1">(IF(B83&gt;1,(H83/(B83+2)+J88),H83/4+J88))</f>
        <v>11.5</v>
      </c>
    </row>
    <row r="90" spans="1:10" ht="15.75" hidden="1" customHeight="1" x14ac:dyDescent="0.25">
      <c r="A90" s="135" t="s">
        <v>140</v>
      </c>
      <c r="B90" s="126" t="s">
        <v>133</v>
      </c>
      <c r="C90" s="42">
        <v>0</v>
      </c>
      <c r="D90" s="18">
        <f ca="1">((100/H83)*C90)/100</f>
        <v>0</v>
      </c>
      <c r="E90" s="131"/>
      <c r="F90" s="156"/>
      <c r="G90" s="131"/>
      <c r="H90" s="132"/>
      <c r="I90" s="13" t="s">
        <v>149</v>
      </c>
      <c r="J90" s="29">
        <f>(IF(B83&gt;1,(H83/(B83+2)+J89),0))</f>
        <v>0</v>
      </c>
    </row>
    <row r="91" spans="1:10" ht="15" hidden="1" customHeight="1" x14ac:dyDescent="0.25">
      <c r="A91" s="135" t="s">
        <v>138</v>
      </c>
      <c r="B91" s="126" t="s">
        <v>135</v>
      </c>
      <c r="C91" s="42">
        <v>0</v>
      </c>
      <c r="D91" s="18">
        <f ca="1">((100/(H83))*C91)/100</f>
        <v>0</v>
      </c>
      <c r="E91" s="131"/>
      <c r="F91" s="156"/>
      <c r="G91" s="131"/>
      <c r="H91" s="132"/>
      <c r="I91" s="13" t="s">
        <v>146</v>
      </c>
      <c r="J91" s="29">
        <f>(IF(B83&gt;2,(H83/(B83+2)+J90),0))</f>
        <v>0</v>
      </c>
    </row>
    <row r="92" spans="1:10" ht="15.75" hidden="1" customHeight="1" x14ac:dyDescent="0.25">
      <c r="A92" s="135" t="s">
        <v>134</v>
      </c>
      <c r="B92" s="126" t="s">
        <v>134</v>
      </c>
      <c r="C92" s="42">
        <v>0</v>
      </c>
      <c r="D92" s="18">
        <f ca="1">((100/H83)*C92)/100</f>
        <v>0</v>
      </c>
      <c r="E92" s="131"/>
      <c r="F92" s="156"/>
      <c r="G92" s="131"/>
      <c r="H92" s="132"/>
      <c r="I92" s="13" t="s">
        <v>147</v>
      </c>
      <c r="J92" s="30">
        <f>(IF(B83&gt;3,(H83/(B83+2)+J91),0))</f>
        <v>0</v>
      </c>
    </row>
    <row r="93" spans="1:10" ht="15.75" hidden="1" customHeight="1" x14ac:dyDescent="0.25">
      <c r="A93" s="135" t="s">
        <v>141</v>
      </c>
      <c r="B93" s="126"/>
      <c r="C93" s="42">
        <v>0</v>
      </c>
      <c r="D93" s="18">
        <f ca="1">((100/H83)*C93)/100</f>
        <v>0</v>
      </c>
      <c r="E93" s="131"/>
      <c r="F93" s="156"/>
      <c r="G93" s="131"/>
      <c r="H93" s="132"/>
      <c r="I93" s="13" t="s">
        <v>148</v>
      </c>
      <c r="J93" s="29">
        <f>(IF(B83&gt;4,(H83/(B83+2)+J92),0))</f>
        <v>0</v>
      </c>
    </row>
    <row r="94" spans="1:10" ht="15.75" hidden="1" customHeight="1" x14ac:dyDescent="0.25">
      <c r="A94" s="135" t="s">
        <v>136</v>
      </c>
      <c r="B94" s="126" t="s">
        <v>136</v>
      </c>
      <c r="C94" s="42">
        <v>0</v>
      </c>
      <c r="D94" s="18">
        <f ca="1">((100/(H83))*C94)/100</f>
        <v>0</v>
      </c>
      <c r="E94" s="131"/>
      <c r="F94" s="156"/>
      <c r="G94" s="131"/>
      <c r="H94" s="132"/>
      <c r="I94" s="13" t="s">
        <v>150</v>
      </c>
      <c r="J94" s="29">
        <f ca="1">(IF(B83=1,(H83/(B83+3)+J89),IF(B83=0,(H83/4+J89),IF(B83&gt;1,0))))</f>
        <v>17.25</v>
      </c>
    </row>
    <row r="95" spans="1:10" ht="16.5" hidden="1" thickBot="1" x14ac:dyDescent="0.3">
      <c r="A95" s="136" t="s">
        <v>137</v>
      </c>
      <c r="B95" s="137"/>
      <c r="C95" s="43">
        <v>0</v>
      </c>
      <c r="D95" s="19">
        <f ca="1">((100/(H83))*C95)/100</f>
        <v>0</v>
      </c>
      <c r="E95" s="133"/>
      <c r="F95" s="157"/>
      <c r="G95" s="133"/>
      <c r="H95" s="134"/>
      <c r="I95" s="15" t="s">
        <v>105</v>
      </c>
      <c r="J95" s="31">
        <f ca="1">(IF(B83&gt;1.5,(H83/(B83+2)+J89+MAX(0,J90-J89)+MAX(0,J91-J90)+MAX(0,J92-J91)+MAX(0,J93-J92)+MAX(0,J94-J93)),IF(B83=1,(H83/(B83+3)+J94),IF(B83=0,H83/4+J94))))</f>
        <v>23</v>
      </c>
    </row>
    <row r="96" spans="1:10" ht="15.75" customHeight="1" x14ac:dyDescent="0.25">
      <c r="A96" s="158" t="s">
        <v>143</v>
      </c>
      <c r="B96" s="159"/>
      <c r="C96" s="138" t="s">
        <v>232</v>
      </c>
      <c r="D96" s="139"/>
      <c r="E96" s="139"/>
      <c r="F96" s="139"/>
      <c r="G96" s="139"/>
      <c r="H96" s="140"/>
      <c r="I96" s="48" t="str">
        <f ca="1">IF(D109=100%,"All work Completed. Possession granted to the Building.",IF(D108=100%,"All work Completed, Waiting for OC",I97&amp;""&amp;I98&amp;""&amp;J97&amp;""&amp;J96&amp;" "&amp;J98))</f>
        <v>Excavation, Plinth, RCC Slab, Brickwork, Internal Plaster, External Plaster Completed, Flooring upto 12 Floor, Painting upto 10 Floor Completed</v>
      </c>
      <c r="J96" s="49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>, Flooring upto 12 Floor, Painting upto 10 Floor</v>
      </c>
    </row>
    <row r="97" spans="1:12" x14ac:dyDescent="0.25">
      <c r="A97" s="16" t="s">
        <v>145</v>
      </c>
      <c r="B97" s="72">
        <v>1</v>
      </c>
      <c r="C97" s="72" t="s">
        <v>73</v>
      </c>
      <c r="D97" s="72">
        <v>1</v>
      </c>
      <c r="E97" s="72" t="s">
        <v>72</v>
      </c>
      <c r="F97" s="72">
        <v>0</v>
      </c>
      <c r="G97" s="72" t="s">
        <v>82</v>
      </c>
      <c r="H97" s="17">
        <f ca="1">--TRIM(RIGHT(SUBSTITUTE(LEFT(C96,_xlfn.AGGREGATE(16,6,FIND({0,1,2,3,4,5,6,7,8,9},C96,ROW(INDIRECT("1:"&amp;LEN(C96)))),1))," ",REPT(" ",LEN(C96))),LEN(C96)))</f>
        <v>23</v>
      </c>
      <c r="I97" s="50" t="str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Excavation, Plinth, RCC Slab, Brickwork, Internal Plaster, External Plaster</v>
      </c>
      <c r="J97" s="51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2" ht="32.25" customHeight="1" x14ac:dyDescent="0.25">
      <c r="A98" s="141" t="s">
        <v>92</v>
      </c>
      <c r="B98" s="142"/>
      <c r="C98" s="113" t="str">
        <f ca="1">I96</f>
        <v>Excavation, Plinth, RCC Slab, Brickwork, Internal Plaster, External Plaster Completed, Flooring upto 12 Floor, Painting upto 10 Floor Completed</v>
      </c>
      <c r="D98" s="113"/>
      <c r="E98" s="113"/>
      <c r="F98" s="113"/>
      <c r="G98" s="113"/>
      <c r="H98" s="114"/>
      <c r="I98" s="50" t="str">
        <f ca="1">IF(I97&lt;&gt;""," Completed","")</f>
        <v xml:space="preserve"> Completed</v>
      </c>
      <c r="J98" s="51" t="str">
        <f ca="1">IF(J96&lt;&gt;"","Completed","")</f>
        <v>Completed</v>
      </c>
    </row>
    <row r="99" spans="1:12" ht="15.75" customHeight="1" x14ac:dyDescent="0.25">
      <c r="A99" s="143" t="s">
        <v>49</v>
      </c>
      <c r="B99" s="144"/>
      <c r="C99" s="71" t="s">
        <v>142</v>
      </c>
      <c r="D99" s="71" t="s">
        <v>85</v>
      </c>
      <c r="E99" s="144" t="s">
        <v>87</v>
      </c>
      <c r="F99" s="144"/>
      <c r="G99" s="144" t="s">
        <v>86</v>
      </c>
      <c r="H99" s="145"/>
      <c r="I99" s="13" t="s">
        <v>144</v>
      </c>
      <c r="J99" s="27">
        <f ca="1">H97*25%</f>
        <v>5.75</v>
      </c>
    </row>
    <row r="100" spans="1:12" x14ac:dyDescent="0.25">
      <c r="A100" s="143" t="s">
        <v>131</v>
      </c>
      <c r="B100" s="144"/>
      <c r="C100" s="71">
        <f ca="1">J101</f>
        <v>23</v>
      </c>
      <c r="D100" s="60">
        <f ca="1">((100/H97)*C100)/100</f>
        <v>1</v>
      </c>
      <c r="E100" s="117">
        <f ca="1">(((C101/H97*10)+(40/(D97+F97+H97)*C102)+(7.5/(H97)*C103)+(7.5/(H97)*C104)+(10/H97*C105)+(10/H97*C106)+(5/H97*C107)+(5/H97*C108)+(5/H97*C109))/100)</f>
        <v>0.82391304347826089</v>
      </c>
      <c r="F100" s="118"/>
      <c r="G100" s="117">
        <f ca="1">((((C100/H97)*20)+((C101/H97)*25)+(30/(H97+F97+D97)*C102)+(5/H97*C103)+(5/H97*C104)+(5/H97*C105)+(5/H97*C106)+(0/H97*C107)+(0/H97*C108)+(5/H97*C109))/100)</f>
        <v>0.92608695652173911</v>
      </c>
      <c r="H100" s="123"/>
      <c r="I100" s="13" t="s">
        <v>101</v>
      </c>
      <c r="J100" s="28">
        <f ca="1">H97*50%</f>
        <v>11.5</v>
      </c>
    </row>
    <row r="101" spans="1:12" x14ac:dyDescent="0.25">
      <c r="A101" s="143" t="s">
        <v>50</v>
      </c>
      <c r="B101" s="144"/>
      <c r="C101" s="71">
        <f ca="1">J109</f>
        <v>23</v>
      </c>
      <c r="D101" s="60">
        <f ca="1">((100/H97)*C101)/100</f>
        <v>1</v>
      </c>
      <c r="E101" s="119"/>
      <c r="F101" s="120"/>
      <c r="G101" s="119"/>
      <c r="H101" s="124"/>
      <c r="I101" s="13" t="s">
        <v>102</v>
      </c>
      <c r="J101" s="28">
        <f ca="1">H97</f>
        <v>23</v>
      </c>
    </row>
    <row r="102" spans="1:12" ht="15.75" customHeight="1" x14ac:dyDescent="0.25">
      <c r="A102" s="143" t="s">
        <v>132</v>
      </c>
      <c r="B102" s="144"/>
      <c r="C102" s="71">
        <v>24</v>
      </c>
      <c r="D102" s="60">
        <f ca="1">((100/(D97+F97+H97))*C102)/100</f>
        <v>1</v>
      </c>
      <c r="E102" s="119"/>
      <c r="F102" s="120"/>
      <c r="G102" s="119"/>
      <c r="H102" s="124"/>
      <c r="I102" s="13" t="s">
        <v>103</v>
      </c>
      <c r="J102" s="29">
        <f ca="1">(IF(B97&gt;1,(H97/(B97+2)),H97/4))</f>
        <v>5.75</v>
      </c>
    </row>
    <row r="103" spans="1:12" ht="15.75" customHeight="1" x14ac:dyDescent="0.25">
      <c r="A103" s="143" t="s">
        <v>139</v>
      </c>
      <c r="B103" s="144" t="s">
        <v>133</v>
      </c>
      <c r="C103" s="71">
        <v>23</v>
      </c>
      <c r="D103" s="60">
        <f ca="1">((100/H97)*C103)/100</f>
        <v>1</v>
      </c>
      <c r="E103" s="119"/>
      <c r="F103" s="120"/>
      <c r="G103" s="119"/>
      <c r="H103" s="124"/>
      <c r="I103" s="13" t="s">
        <v>104</v>
      </c>
      <c r="J103" s="29">
        <f ca="1">(IF(B97&gt;1,(H97/(B97+2)+J102),H97/4+J102))</f>
        <v>11.5</v>
      </c>
    </row>
    <row r="104" spans="1:12" ht="15.75" customHeight="1" x14ac:dyDescent="0.25">
      <c r="A104" s="143" t="s">
        <v>140</v>
      </c>
      <c r="B104" s="144" t="s">
        <v>133</v>
      </c>
      <c r="C104" s="71">
        <v>23</v>
      </c>
      <c r="D104" s="60">
        <f ca="1">((100/H97)*C104)/100</f>
        <v>1</v>
      </c>
      <c r="E104" s="119"/>
      <c r="F104" s="120"/>
      <c r="G104" s="119"/>
      <c r="H104" s="124"/>
      <c r="I104" s="13" t="s">
        <v>149</v>
      </c>
      <c r="J104" s="29">
        <f>(IF(B97&gt;1,(H97/(B97+2)+J103),0))</f>
        <v>0</v>
      </c>
    </row>
    <row r="105" spans="1:12" ht="15" customHeight="1" x14ac:dyDescent="0.25">
      <c r="A105" s="143" t="s">
        <v>138</v>
      </c>
      <c r="B105" s="144" t="s">
        <v>135</v>
      </c>
      <c r="C105" s="71">
        <v>23</v>
      </c>
      <c r="D105" s="60">
        <f ca="1">((100/(H97))*C105)/100</f>
        <v>1</v>
      </c>
      <c r="E105" s="119"/>
      <c r="F105" s="120"/>
      <c r="G105" s="119"/>
      <c r="H105" s="124"/>
      <c r="I105" s="13" t="s">
        <v>146</v>
      </c>
      <c r="J105" s="29">
        <f>(IF(B97&gt;2,(H97/(B97+2)+J104),0))</f>
        <v>0</v>
      </c>
    </row>
    <row r="106" spans="1:12" ht="15.75" customHeight="1" x14ac:dyDescent="0.25">
      <c r="A106" s="143" t="s">
        <v>134</v>
      </c>
      <c r="B106" s="144" t="s">
        <v>134</v>
      </c>
      <c r="C106" s="71">
        <v>12</v>
      </c>
      <c r="D106" s="60">
        <f ca="1">((100/H97)*C106)/100</f>
        <v>0.52173913043478259</v>
      </c>
      <c r="E106" s="119"/>
      <c r="F106" s="120"/>
      <c r="G106" s="119"/>
      <c r="H106" s="124"/>
      <c r="I106" s="13" t="s">
        <v>147</v>
      </c>
      <c r="J106" s="30">
        <f>(IF(B97&gt;3,(H97/(B97+2)+J105),0))</f>
        <v>0</v>
      </c>
    </row>
    <row r="107" spans="1:12" ht="15.75" customHeight="1" x14ac:dyDescent="0.25">
      <c r="A107" s="143" t="s">
        <v>141</v>
      </c>
      <c r="B107" s="144"/>
      <c r="C107" s="71">
        <v>10</v>
      </c>
      <c r="D107" s="60">
        <f ca="1">((100/H97)*C107)/100</f>
        <v>0.43478260869565216</v>
      </c>
      <c r="E107" s="119"/>
      <c r="F107" s="120"/>
      <c r="G107" s="119"/>
      <c r="H107" s="124"/>
      <c r="I107" s="13" t="s">
        <v>148</v>
      </c>
      <c r="J107" s="29">
        <f>(IF(B97&gt;4,(H97/(B97+2)+J106),0))</f>
        <v>0</v>
      </c>
    </row>
    <row r="108" spans="1:12" ht="15.75" customHeight="1" x14ac:dyDescent="0.25">
      <c r="A108" s="143" t="s">
        <v>136</v>
      </c>
      <c r="B108" s="144" t="s">
        <v>136</v>
      </c>
      <c r="C108" s="71">
        <v>0</v>
      </c>
      <c r="D108" s="60">
        <f ca="1">((100/(H97))*C108)/100</f>
        <v>0</v>
      </c>
      <c r="E108" s="119"/>
      <c r="F108" s="120"/>
      <c r="G108" s="119"/>
      <c r="H108" s="124"/>
      <c r="I108" s="13" t="s">
        <v>150</v>
      </c>
      <c r="J108" s="29">
        <f ca="1">(IF(B97=1,(H97/(B97+3)+J103),IF(B97=0,(H97/4+J103),IF(B97&gt;1,0))))</f>
        <v>17.25</v>
      </c>
    </row>
    <row r="109" spans="1:12" ht="16.5" thickBot="1" x14ac:dyDescent="0.3">
      <c r="A109" s="146" t="s">
        <v>137</v>
      </c>
      <c r="B109" s="147"/>
      <c r="C109" s="73">
        <v>0</v>
      </c>
      <c r="D109" s="62">
        <f ca="1">((100/(H97))*C109)/100</f>
        <v>0</v>
      </c>
      <c r="E109" s="121"/>
      <c r="F109" s="122"/>
      <c r="G109" s="121"/>
      <c r="H109" s="125"/>
      <c r="I109" s="15" t="s">
        <v>105</v>
      </c>
      <c r="J109" s="31">
        <f ca="1">(IF(B97&gt;1.5,(H97/(B97+2)+J103+MAX(0,J104-J103)+MAX(0,J105-J104)+MAX(0,J106-J105)+MAX(0,J107-J106)+MAX(0,J108-J107)),IF(B97=1,(H97/(B97+3)+J108),IF(B97=0,H97/4+J108))))</f>
        <v>23</v>
      </c>
    </row>
    <row r="110" spans="1:12" x14ac:dyDescent="0.25">
      <c r="A110" s="128" t="s">
        <v>160</v>
      </c>
      <c r="B110" s="128"/>
      <c r="C110" s="128"/>
      <c r="D110" s="128"/>
      <c r="E110" s="128"/>
      <c r="F110" s="148" t="s">
        <v>165</v>
      </c>
      <c r="G110" s="148"/>
      <c r="H110" s="148"/>
    </row>
    <row r="111" spans="1:12" x14ac:dyDescent="0.25">
      <c r="A111" s="101" t="s">
        <v>163</v>
      </c>
      <c r="B111" s="101"/>
      <c r="C111" s="101"/>
      <c r="D111" s="101"/>
      <c r="E111" s="101"/>
      <c r="F111" s="115">
        <v>12000</v>
      </c>
      <c r="G111" s="115"/>
      <c r="H111" s="115"/>
      <c r="I111" s="74" t="s">
        <v>246</v>
      </c>
      <c r="J111" s="75">
        <v>45441</v>
      </c>
      <c r="K111" s="74" t="s">
        <v>247</v>
      </c>
      <c r="L111" s="74" t="s">
        <v>248</v>
      </c>
    </row>
    <row r="112" spans="1:12" hidden="1" x14ac:dyDescent="0.25">
      <c r="A112" s="101" t="s">
        <v>162</v>
      </c>
      <c r="B112" s="101"/>
      <c r="C112" s="101"/>
      <c r="D112" s="101"/>
      <c r="E112" s="101"/>
      <c r="F112" s="100"/>
      <c r="G112" s="100"/>
      <c r="H112" s="100"/>
      <c r="I112" s="74" t="s">
        <v>249</v>
      </c>
    </row>
    <row r="113" spans="1:11" hidden="1" x14ac:dyDescent="0.25">
      <c r="A113" s="101" t="s">
        <v>164</v>
      </c>
      <c r="B113" s="101"/>
      <c r="C113" s="101"/>
      <c r="D113" s="101"/>
      <c r="E113" s="101"/>
      <c r="F113" s="100"/>
      <c r="G113" s="100"/>
      <c r="H113" s="100"/>
      <c r="I113" s="74" t="s">
        <v>250</v>
      </c>
    </row>
    <row r="114" spans="1:11" s="32" customFormat="1" hidden="1" x14ac:dyDescent="0.25">
      <c r="A114" s="101" t="s">
        <v>161</v>
      </c>
      <c r="B114" s="101"/>
      <c r="C114" s="101"/>
      <c r="D114" s="101"/>
      <c r="E114" s="101"/>
      <c r="F114" s="100"/>
      <c r="G114" s="100"/>
      <c r="H114" s="100"/>
      <c r="I114" s="74" t="s">
        <v>251</v>
      </c>
    </row>
    <row r="115" spans="1:11" s="32" customFormat="1" x14ac:dyDescent="0.25">
      <c r="A115" s="101" t="s">
        <v>265</v>
      </c>
      <c r="B115" s="101"/>
      <c r="C115" s="101"/>
      <c r="D115" s="101"/>
      <c r="E115" s="101"/>
      <c r="F115" s="100">
        <v>610</v>
      </c>
      <c r="G115" s="100"/>
      <c r="H115" s="100"/>
      <c r="I115" s="74" t="s">
        <v>251</v>
      </c>
    </row>
    <row r="116" spans="1:11" s="32" customFormat="1" x14ac:dyDescent="0.25">
      <c r="A116" s="101" t="s">
        <v>100</v>
      </c>
      <c r="B116" s="101"/>
      <c r="C116" s="101"/>
      <c r="D116" s="101"/>
      <c r="E116" s="101"/>
      <c r="F116" s="100">
        <v>20000</v>
      </c>
      <c r="G116" s="100"/>
      <c r="H116" s="100"/>
      <c r="I116" s="74" t="s">
        <v>257</v>
      </c>
    </row>
    <row r="117" spans="1:11" s="32" customFormat="1" x14ac:dyDescent="0.25">
      <c r="A117" s="101" t="s">
        <v>264</v>
      </c>
      <c r="B117" s="101"/>
      <c r="C117" s="101"/>
      <c r="D117" s="101"/>
      <c r="E117" s="101"/>
      <c r="F117" s="100">
        <v>200000</v>
      </c>
      <c r="G117" s="100"/>
      <c r="H117" s="100"/>
      <c r="I117" s="74" t="s">
        <v>252</v>
      </c>
    </row>
    <row r="118" spans="1:11" s="32" customFormat="1" hidden="1" x14ac:dyDescent="0.25">
      <c r="A118" s="101" t="s">
        <v>97</v>
      </c>
      <c r="B118" s="101"/>
      <c r="C118" s="101"/>
      <c r="D118" s="101"/>
      <c r="E118" s="101"/>
      <c r="F118" s="100"/>
      <c r="G118" s="100"/>
      <c r="H118" s="100"/>
      <c r="I118" s="74" t="s">
        <v>253</v>
      </c>
    </row>
    <row r="119" spans="1:11" s="32" customFormat="1" hidden="1" x14ac:dyDescent="0.25">
      <c r="A119" s="101" t="s">
        <v>166</v>
      </c>
      <c r="B119" s="101"/>
      <c r="C119" s="101"/>
      <c r="D119" s="101"/>
      <c r="E119" s="101"/>
      <c r="F119" s="100"/>
      <c r="G119" s="100"/>
      <c r="H119" s="100"/>
      <c r="I119" s="74" t="s">
        <v>254</v>
      </c>
    </row>
    <row r="120" spans="1:11" s="32" customFormat="1" hidden="1" x14ac:dyDescent="0.25">
      <c r="A120" s="101" t="s">
        <v>98</v>
      </c>
      <c r="B120" s="101"/>
      <c r="C120" s="101"/>
      <c r="D120" s="101"/>
      <c r="E120" s="101"/>
      <c r="F120" s="100"/>
      <c r="G120" s="100"/>
      <c r="H120" s="100"/>
      <c r="I120" s="74" t="s">
        <v>255</v>
      </c>
    </row>
    <row r="121" spans="1:11" s="32" customFormat="1" hidden="1" x14ac:dyDescent="0.25">
      <c r="A121" s="101" t="s">
        <v>99</v>
      </c>
      <c r="B121" s="101"/>
      <c r="C121" s="101"/>
      <c r="D121" s="101"/>
      <c r="E121" s="101"/>
      <c r="F121" s="100"/>
      <c r="G121" s="100"/>
      <c r="H121" s="100"/>
      <c r="I121" s="74" t="s">
        <v>256</v>
      </c>
    </row>
    <row r="122" spans="1:11" s="32" customFormat="1" x14ac:dyDescent="0.25">
      <c r="A122" s="101" t="s">
        <v>263</v>
      </c>
      <c r="B122" s="101"/>
      <c r="C122" s="101"/>
      <c r="D122" s="101"/>
      <c r="E122" s="101"/>
      <c r="F122" s="100">
        <v>60000</v>
      </c>
      <c r="G122" s="100"/>
      <c r="H122" s="100"/>
      <c r="I122" s="74" t="s">
        <v>258</v>
      </c>
    </row>
    <row r="123" spans="1:11" x14ac:dyDescent="0.25">
      <c r="A123" s="101" t="s">
        <v>51</v>
      </c>
      <c r="B123" s="101"/>
      <c r="C123" s="101"/>
      <c r="D123" s="101"/>
      <c r="E123" s="101"/>
      <c r="F123" s="100">
        <v>500000</v>
      </c>
      <c r="G123" s="100"/>
      <c r="H123" s="100"/>
      <c r="I123" s="74" t="s">
        <v>259</v>
      </c>
      <c r="J123" s="24">
        <v>45448</v>
      </c>
      <c r="K123" s="20" t="s">
        <v>247</v>
      </c>
    </row>
    <row r="124" spans="1:11" s="33" customFormat="1" x14ac:dyDescent="0.25">
      <c r="A124" s="149" t="s">
        <v>52</v>
      </c>
      <c r="B124" s="149"/>
      <c r="C124" s="149"/>
      <c r="D124" s="149"/>
      <c r="E124" s="149"/>
      <c r="F124" s="100">
        <f>F111*0.8</f>
        <v>9600</v>
      </c>
      <c r="G124" s="100"/>
      <c r="H124" s="100"/>
    </row>
    <row r="125" spans="1:11" s="34" customFormat="1" ht="15.75" hidden="1" customHeight="1" x14ac:dyDescent="0.25">
      <c r="A125" s="106" t="s">
        <v>77</v>
      </c>
      <c r="B125" s="106"/>
      <c r="C125" s="106"/>
      <c r="D125" s="106"/>
      <c r="E125" s="106"/>
      <c r="F125" s="106"/>
      <c r="G125" s="106"/>
      <c r="H125" s="106"/>
    </row>
    <row r="126" spans="1:11" s="34" customFormat="1" ht="15.75" hidden="1" customHeight="1" x14ac:dyDescent="0.25">
      <c r="A126" s="105" t="s">
        <v>53</v>
      </c>
      <c r="B126" s="105"/>
      <c r="C126" s="111" t="s">
        <v>80</v>
      </c>
      <c r="D126" s="111"/>
      <c r="E126" s="108" t="s">
        <v>54</v>
      </c>
      <c r="F126" s="108"/>
      <c r="G126" s="105" t="s">
        <v>55</v>
      </c>
      <c r="H126" s="105"/>
    </row>
    <row r="127" spans="1:11" s="34" customFormat="1" hidden="1" x14ac:dyDescent="0.25">
      <c r="A127" s="150"/>
      <c r="B127" s="150"/>
      <c r="C127" s="103"/>
      <c r="D127" s="103"/>
      <c r="E127" s="104"/>
      <c r="F127" s="104"/>
      <c r="G127" s="110"/>
      <c r="H127" s="110"/>
    </row>
    <row r="128" spans="1:11" s="34" customFormat="1" hidden="1" x14ac:dyDescent="0.25">
      <c r="A128" s="150"/>
      <c r="B128" s="150"/>
      <c r="C128" s="103"/>
      <c r="D128" s="103"/>
      <c r="E128" s="104"/>
      <c r="F128" s="104"/>
      <c r="G128" s="110"/>
      <c r="H128" s="110"/>
    </row>
    <row r="129" spans="1:14" s="34" customFormat="1" hidden="1" x14ac:dyDescent="0.25">
      <c r="A129" s="106" t="s">
        <v>153</v>
      </c>
      <c r="B129" s="106"/>
      <c r="C129" s="111"/>
      <c r="D129" s="111"/>
      <c r="E129" s="108"/>
      <c r="F129" s="108"/>
      <c r="G129" s="105"/>
      <c r="H129" s="105"/>
    </row>
    <row r="130" spans="1:14" s="34" customFormat="1" x14ac:dyDescent="0.25">
      <c r="A130" s="106" t="s">
        <v>71</v>
      </c>
      <c r="B130" s="106"/>
      <c r="C130" s="106"/>
      <c r="D130" s="106"/>
      <c r="E130" s="106"/>
      <c r="F130" s="106"/>
      <c r="G130" s="106"/>
      <c r="H130" s="106"/>
    </row>
    <row r="131" spans="1:14" s="34" customFormat="1" ht="15.75" customHeight="1" x14ac:dyDescent="0.25">
      <c r="A131" s="105" t="s">
        <v>53</v>
      </c>
      <c r="B131" s="105"/>
      <c r="C131" s="111" t="s">
        <v>80</v>
      </c>
      <c r="D131" s="111"/>
      <c r="E131" s="108" t="s">
        <v>54</v>
      </c>
      <c r="F131" s="108"/>
      <c r="G131" s="105" t="s">
        <v>55</v>
      </c>
      <c r="H131" s="105"/>
      <c r="I131" s="64" t="s">
        <v>233</v>
      </c>
      <c r="J131" s="34" t="s">
        <v>235</v>
      </c>
    </row>
    <row r="132" spans="1:14" s="34" customFormat="1" x14ac:dyDescent="0.25">
      <c r="A132" s="150" t="s">
        <v>196</v>
      </c>
      <c r="B132" s="150"/>
      <c r="C132" s="151">
        <f>COUNT(D154)+COUNT(D156:D159)+COUNT(D166:D169)*15+COUNT(D171:D173)*2+COUNT(D176:D177)</f>
        <v>73</v>
      </c>
      <c r="D132" s="151"/>
      <c r="E132" s="152">
        <f>SUM(D154)+SUM(D156:D159)+SUM(D166:D169)*15+SUM(D171:D173)*2+SUM(D176:D177)</f>
        <v>29273.774399999995</v>
      </c>
      <c r="F132" s="152"/>
      <c r="G132" s="152">
        <f>SUM(F154)+SUM(F156:F159)+SUM(F166:F169)*15+SUM(F171:F173)*2+SUM(F176:F177)</f>
        <v>45374.350320000005</v>
      </c>
      <c r="H132" s="152"/>
      <c r="I132" s="64" t="s">
        <v>234</v>
      </c>
      <c r="J132" s="63">
        <f>4000000/F196</f>
        <v>10987.524533906188</v>
      </c>
    </row>
    <row r="133" spans="1:14" s="34" customFormat="1" x14ac:dyDescent="0.25">
      <c r="A133" s="150" t="s">
        <v>216</v>
      </c>
      <c r="B133" s="150"/>
      <c r="C133" s="151">
        <f>COUNT(D186:D187)+COUNT(D189:D194)*15+COUNT(D196,D199:D201)*2+COUNT(D203:D208)+COUNT(D210:D215)+COUNT(D217,D219:D222)+COUNT(D224:D229)</f>
        <v>123</v>
      </c>
      <c r="D133" s="151"/>
      <c r="E133" s="152">
        <f>SUM(D186:D187)+SUM(D189:D194)*15+SUM(D196,D199:D201)*2+SUM(D203:D208)+SUM(D210:D215)+SUM(D217,D219:D222)+SUM(D224:D229)</f>
        <v>36982.090079999994</v>
      </c>
      <c r="F133" s="152"/>
      <c r="G133" s="152">
        <f>SUM(F186:F187)+SUM(F189:F194)*15+SUM(F196,F199:F201)*2+SUM(F203:F208)+SUM(F210:F215)+SUM(F217,F219:F222)+SUM(F224:F229)</f>
        <v>57322.239624000002</v>
      </c>
      <c r="H133" s="152"/>
      <c r="I133" s="65">
        <f>16500/1.55</f>
        <v>10645.16129032258</v>
      </c>
      <c r="J133" s="63">
        <f>6000000/F166</f>
        <v>9945.2897675539152</v>
      </c>
    </row>
    <row r="134" spans="1:14" s="34" customFormat="1" x14ac:dyDescent="0.25">
      <c r="A134" s="106" t="s">
        <v>153</v>
      </c>
      <c r="B134" s="106"/>
      <c r="C134" s="153">
        <f>SUM(C132:C133)</f>
        <v>196</v>
      </c>
      <c r="D134" s="111"/>
      <c r="E134" s="107">
        <f>SUM(E132:E133)</f>
        <v>66255.864479999989</v>
      </c>
      <c r="F134" s="108"/>
      <c r="G134" s="105">
        <f>SUM(G132:G133)</f>
        <v>102696.58994400001</v>
      </c>
      <c r="H134" s="105"/>
      <c r="J134" s="67">
        <f>AVERAGE(J132:J133)</f>
        <v>10466.40715073005</v>
      </c>
    </row>
    <row r="135" spans="1:14" s="33" customFormat="1" x14ac:dyDescent="0.25">
      <c r="A135" s="109" t="s">
        <v>56</v>
      </c>
      <c r="B135" s="109"/>
      <c r="C135" s="109"/>
      <c r="D135" s="109"/>
      <c r="E135" s="109"/>
      <c r="F135" s="109"/>
      <c r="G135" s="109"/>
      <c r="H135" s="109"/>
    </row>
    <row r="136" spans="1:14" x14ac:dyDescent="0.25">
      <c r="A136" s="109" t="s">
        <v>57</v>
      </c>
      <c r="B136" s="109"/>
      <c r="C136" s="109"/>
      <c r="D136" s="109"/>
      <c r="E136" s="109"/>
      <c r="F136" s="109"/>
      <c r="G136" s="109"/>
      <c r="H136" s="109"/>
    </row>
    <row r="137" spans="1:14" ht="47.25" hidden="1" customHeight="1" x14ac:dyDescent="0.25">
      <c r="A137" s="102" t="s">
        <v>122</v>
      </c>
      <c r="B137" s="102" t="s">
        <v>121</v>
      </c>
      <c r="C137" s="102" t="s">
        <v>58</v>
      </c>
      <c r="D137" s="102" t="s">
        <v>59</v>
      </c>
      <c r="E137" s="154" t="s">
        <v>159</v>
      </c>
      <c r="F137" s="84" t="s">
        <v>152</v>
      </c>
      <c r="G137" s="102" t="s">
        <v>61</v>
      </c>
      <c r="H137" s="102"/>
    </row>
    <row r="138" spans="1:14" s="36" customFormat="1" hidden="1" x14ac:dyDescent="0.25">
      <c r="A138" s="102"/>
      <c r="B138" s="102"/>
      <c r="C138" s="102"/>
      <c r="D138" s="102"/>
      <c r="E138" s="154"/>
      <c r="F138" s="85">
        <v>0.6</v>
      </c>
      <c r="G138" s="102"/>
      <c r="H138" s="102"/>
    </row>
    <row r="139" spans="1:14" s="36" customFormat="1" hidden="1" x14ac:dyDescent="0.25">
      <c r="A139" s="91" t="s">
        <v>120</v>
      </c>
      <c r="B139" s="91"/>
      <c r="C139" s="91"/>
      <c r="D139" s="91"/>
      <c r="E139" s="91"/>
      <c r="F139" s="91"/>
      <c r="G139" s="91"/>
      <c r="H139" s="91"/>
      <c r="J139" s="35"/>
    </row>
    <row r="140" spans="1:14" s="36" customFormat="1" hidden="1" x14ac:dyDescent="0.25">
      <c r="A140" s="87">
        <v>1</v>
      </c>
      <c r="B140" s="87"/>
      <c r="C140" s="80"/>
      <c r="D140" s="80"/>
      <c r="E140" s="80">
        <v>0</v>
      </c>
      <c r="F140" s="80">
        <f>(D140+E140)*(($F$138)+1)</f>
        <v>0</v>
      </c>
      <c r="G140" s="87" t="str">
        <f>A139</f>
        <v>Ground Floor</v>
      </c>
      <c r="H140" s="87"/>
      <c r="I140" s="35"/>
      <c r="L140" s="86"/>
      <c r="M140" s="86"/>
      <c r="N140" s="35"/>
    </row>
    <row r="141" spans="1:14" s="36" customFormat="1" hidden="1" x14ac:dyDescent="0.25">
      <c r="A141" s="87">
        <f t="shared" ref="A141:A143" si="0">A140+1</f>
        <v>2</v>
      </c>
      <c r="B141" s="87"/>
      <c r="C141" s="80"/>
      <c r="D141" s="80"/>
      <c r="E141" s="80">
        <v>0</v>
      </c>
      <c r="F141" s="80">
        <f t="shared" ref="F141:F143" si="1">(D141+E141)*(($F$138)+1)</f>
        <v>0</v>
      </c>
      <c r="G141" s="87" t="str">
        <f t="shared" ref="G141:G143" si="2">G140</f>
        <v>Ground Floor</v>
      </c>
      <c r="H141" s="87"/>
      <c r="I141" s="35"/>
      <c r="L141" s="86"/>
      <c r="M141" s="86"/>
      <c r="N141" s="35"/>
    </row>
    <row r="142" spans="1:14" s="36" customFormat="1" hidden="1" x14ac:dyDescent="0.25">
      <c r="A142" s="87">
        <f t="shared" si="0"/>
        <v>3</v>
      </c>
      <c r="B142" s="87"/>
      <c r="C142" s="80"/>
      <c r="D142" s="80"/>
      <c r="E142" s="80">
        <v>0</v>
      </c>
      <c r="F142" s="80">
        <f t="shared" si="1"/>
        <v>0</v>
      </c>
      <c r="G142" s="87" t="str">
        <f t="shared" si="2"/>
        <v>Ground Floor</v>
      </c>
      <c r="H142" s="87"/>
      <c r="I142" s="35"/>
      <c r="L142" s="86"/>
      <c r="M142" s="86"/>
      <c r="N142" s="35"/>
    </row>
    <row r="143" spans="1:14" s="36" customFormat="1" hidden="1" x14ac:dyDescent="0.25">
      <c r="A143" s="87">
        <f t="shared" si="0"/>
        <v>4</v>
      </c>
      <c r="B143" s="87"/>
      <c r="C143" s="80"/>
      <c r="D143" s="80"/>
      <c r="E143" s="80">
        <v>0</v>
      </c>
      <c r="F143" s="80">
        <f t="shared" si="1"/>
        <v>0</v>
      </c>
      <c r="G143" s="87" t="str">
        <f t="shared" si="2"/>
        <v>Ground Floor</v>
      </c>
      <c r="H143" s="87"/>
      <c r="I143" s="35"/>
      <c r="L143" s="86"/>
      <c r="M143" s="86"/>
      <c r="N143" s="35"/>
    </row>
    <row r="144" spans="1:14" s="36" customFormat="1" hidden="1" x14ac:dyDescent="0.25">
      <c r="A144" s="87"/>
      <c r="B144" s="87"/>
      <c r="C144" s="87"/>
      <c r="D144" s="87"/>
      <c r="E144" s="87"/>
      <c r="F144" s="87"/>
      <c r="G144" s="87"/>
      <c r="H144" s="87"/>
      <c r="I144" s="35"/>
      <c r="N144" s="35"/>
    </row>
    <row r="145" spans="1:14" ht="47.25" customHeight="1" x14ac:dyDescent="0.25">
      <c r="A145" s="102" t="s">
        <v>123</v>
      </c>
      <c r="B145" s="102" t="s">
        <v>124</v>
      </c>
      <c r="C145" s="102" t="s">
        <v>58</v>
      </c>
      <c r="D145" s="102" t="s">
        <v>59</v>
      </c>
      <c r="E145" s="154" t="s">
        <v>60</v>
      </c>
      <c r="F145" s="84" t="s">
        <v>152</v>
      </c>
      <c r="G145" s="102" t="s">
        <v>61</v>
      </c>
      <c r="H145" s="102"/>
      <c r="I145" s="35"/>
    </row>
    <row r="146" spans="1:14" s="36" customFormat="1" x14ac:dyDescent="0.25">
      <c r="A146" s="102"/>
      <c r="B146" s="102"/>
      <c r="C146" s="102"/>
      <c r="D146" s="102"/>
      <c r="E146" s="154"/>
      <c r="F146" s="85">
        <v>0.55000000000000004</v>
      </c>
      <c r="G146" s="102"/>
      <c r="H146" s="102"/>
      <c r="I146" s="35"/>
    </row>
    <row r="147" spans="1:14" s="53" customFormat="1" x14ac:dyDescent="0.25">
      <c r="A147" s="91" t="s">
        <v>196</v>
      </c>
      <c r="B147" s="91"/>
      <c r="C147" s="91"/>
      <c r="D147" s="91"/>
      <c r="E147" s="91"/>
      <c r="F147" s="91"/>
      <c r="G147" s="91"/>
      <c r="H147" s="91"/>
      <c r="J147" s="35"/>
    </row>
    <row r="148" spans="1:14" s="53" customFormat="1" ht="35.25" customHeight="1" x14ac:dyDescent="0.25">
      <c r="A148" s="203" t="s">
        <v>195</v>
      </c>
      <c r="B148" s="204"/>
      <c r="C148" s="204"/>
      <c r="D148" s="204"/>
      <c r="E148" s="204"/>
      <c r="F148" s="204"/>
      <c r="G148" s="204"/>
      <c r="H148" s="205"/>
      <c r="J148" s="35"/>
    </row>
    <row r="149" spans="1:14" s="53" customFormat="1" x14ac:dyDescent="0.25">
      <c r="A149" s="203" t="s">
        <v>219</v>
      </c>
      <c r="B149" s="204"/>
      <c r="C149" s="204"/>
      <c r="D149" s="204"/>
      <c r="E149" s="204"/>
      <c r="F149" s="204"/>
      <c r="G149" s="204"/>
      <c r="H149" s="205"/>
      <c r="J149" s="35"/>
    </row>
    <row r="150" spans="1:14" s="36" customFormat="1" x14ac:dyDescent="0.25">
      <c r="A150" s="203" t="s">
        <v>241</v>
      </c>
      <c r="B150" s="204"/>
      <c r="C150" s="204"/>
      <c r="D150" s="204"/>
      <c r="E150" s="204"/>
      <c r="F150" s="204"/>
      <c r="G150" s="204"/>
      <c r="H150" s="205"/>
      <c r="J150" s="35"/>
    </row>
    <row r="151" spans="1:14" s="36" customFormat="1" ht="15.75" customHeight="1" x14ac:dyDescent="0.25">
      <c r="A151" s="88">
        <v>1</v>
      </c>
      <c r="B151" s="90"/>
      <c r="C151" s="88" t="s">
        <v>197</v>
      </c>
      <c r="D151" s="89"/>
      <c r="E151" s="89"/>
      <c r="F151" s="90"/>
      <c r="G151" s="92" t="str">
        <f>A150</f>
        <v>1st Floor For Residential &amp; Amenities (Rehab Flats)</v>
      </c>
      <c r="H151" s="93"/>
      <c r="I151" s="35"/>
      <c r="J151" s="55">
        <v>10.763999999999999</v>
      </c>
      <c r="L151" s="86"/>
      <c r="M151" s="86"/>
      <c r="N151" s="35"/>
    </row>
    <row r="152" spans="1:14" s="36" customFormat="1" ht="15.75" customHeight="1" x14ac:dyDescent="0.25">
      <c r="A152" s="88">
        <f t="shared" ref="A152:A154" si="3">A151+1</f>
        <v>2</v>
      </c>
      <c r="B152" s="90"/>
      <c r="C152" s="88" t="s">
        <v>198</v>
      </c>
      <c r="D152" s="89"/>
      <c r="E152" s="89"/>
      <c r="F152" s="90"/>
      <c r="G152" s="94"/>
      <c r="H152" s="95"/>
      <c r="I152" s="35"/>
      <c r="L152" s="86"/>
      <c r="M152" s="86"/>
      <c r="N152" s="35"/>
    </row>
    <row r="153" spans="1:14" s="36" customFormat="1" ht="15.75" customHeight="1" x14ac:dyDescent="0.25">
      <c r="A153" s="88">
        <f t="shared" si="3"/>
        <v>3</v>
      </c>
      <c r="B153" s="90"/>
      <c r="C153" s="88" t="s">
        <v>199</v>
      </c>
      <c r="D153" s="89"/>
      <c r="E153" s="89"/>
      <c r="F153" s="90"/>
      <c r="G153" s="94"/>
      <c r="H153" s="95"/>
      <c r="I153" s="35"/>
      <c r="J153" s="36">
        <v>1</v>
      </c>
      <c r="L153" s="86"/>
      <c r="M153" s="86"/>
      <c r="N153" s="35"/>
    </row>
    <row r="154" spans="1:14" s="36" customFormat="1" ht="15.75" customHeight="1" x14ac:dyDescent="0.25">
      <c r="A154" s="88">
        <f t="shared" si="3"/>
        <v>4</v>
      </c>
      <c r="B154" s="90"/>
      <c r="C154" s="41" t="s">
        <v>200</v>
      </c>
      <c r="D154" s="55">
        <f>(27.88+1.2*(2.45+2+2.45))*10.764</f>
        <v>389.22623999999996</v>
      </c>
      <c r="E154" s="41">
        <v>0</v>
      </c>
      <c r="F154" s="41">
        <f>D154*(($F$146)+1)+(IF(E154&lt;101,E154,IF(E154&lt;201,E154/2,IF(E154&lt;=301,E154/3,E154/4))))</f>
        <v>603.30067199999996</v>
      </c>
      <c r="G154" s="96"/>
      <c r="H154" s="97"/>
      <c r="I154" s="35">
        <f>2.45*4+2*2.75+2.45*2.75+2*1.1+1.1*1.7+1.4*0.9</f>
        <v>27.367500000000003</v>
      </c>
      <c r="L154" s="86"/>
      <c r="M154" s="86"/>
      <c r="N154" s="35"/>
    </row>
    <row r="155" spans="1:14" s="53" customFormat="1" x14ac:dyDescent="0.25">
      <c r="A155" s="91" t="s">
        <v>238</v>
      </c>
      <c r="B155" s="91"/>
      <c r="C155" s="91"/>
      <c r="D155" s="91"/>
      <c r="E155" s="91"/>
      <c r="F155" s="91"/>
      <c r="G155" s="91"/>
      <c r="H155" s="91"/>
      <c r="I155" s="35"/>
      <c r="L155" s="86"/>
      <c r="M155" s="86"/>
    </row>
    <row r="156" spans="1:14" s="53" customFormat="1" ht="15.75" customHeight="1" x14ac:dyDescent="0.25">
      <c r="A156" s="88">
        <v>1</v>
      </c>
      <c r="B156" s="90" t="s">
        <v>237</v>
      </c>
      <c r="C156" s="52" t="s">
        <v>200</v>
      </c>
      <c r="D156" s="55">
        <f>(27.88+1.2*(2.45+2+2.45))*10.764</f>
        <v>389.22623999999996</v>
      </c>
      <c r="E156" s="52">
        <v>0</v>
      </c>
      <c r="F156" s="52">
        <f t="shared" ref="F156:F157" si="4">D156*(($F$146)+1)+(IF(E156&lt;101,E156,IF(E156&lt;201,E156/2,IF(E156&lt;=301,E156/3,E156/4))))</f>
        <v>603.30067199999996</v>
      </c>
      <c r="G156" s="92" t="str">
        <f>A155</f>
        <v>2nd Floor For Residential (PAP Flats)</v>
      </c>
      <c r="H156" s="93"/>
      <c r="I156" s="35"/>
      <c r="J156" s="53">
        <f>5*4</f>
        <v>20</v>
      </c>
      <c r="N156" s="35"/>
    </row>
    <row r="157" spans="1:14" s="53" customFormat="1" ht="15.75" customHeight="1" x14ac:dyDescent="0.25">
      <c r="A157" s="88">
        <f>A156+1</f>
        <v>2</v>
      </c>
      <c r="B157" s="90" t="s">
        <v>237</v>
      </c>
      <c r="C157" s="52" t="s">
        <v>200</v>
      </c>
      <c r="D157" s="55">
        <f>(27.88+1.2*(4+2+2.75))*10.764</f>
        <v>413.12231999999995</v>
      </c>
      <c r="E157" s="52">
        <v>0</v>
      </c>
      <c r="F157" s="52">
        <f t="shared" si="4"/>
        <v>640.33959599999991</v>
      </c>
      <c r="G157" s="94"/>
      <c r="H157" s="95"/>
      <c r="I157" s="35"/>
      <c r="N157" s="35"/>
    </row>
    <row r="158" spans="1:14" s="53" customFormat="1" ht="15.75" customHeight="1" x14ac:dyDescent="0.25">
      <c r="A158" s="88">
        <f>A157+1</f>
        <v>3</v>
      </c>
      <c r="B158" s="90" t="s">
        <v>237</v>
      </c>
      <c r="C158" s="52" t="s">
        <v>200</v>
      </c>
      <c r="D158" s="55">
        <f>(27.88+1.2*(4+2+2.75))*10.764</f>
        <v>413.12231999999995</v>
      </c>
      <c r="E158" s="52">
        <v>0</v>
      </c>
      <c r="F158" s="52">
        <f>D158*(($F$146)+1)+(IF(E158&lt;101,E158,IF(E158&lt;201,E158/2,IF(E158&lt;=301,E158/3,E158/4))))</f>
        <v>640.33959599999991</v>
      </c>
      <c r="G158" s="94"/>
      <c r="H158" s="95"/>
      <c r="I158" s="35"/>
      <c r="N158" s="35"/>
    </row>
    <row r="159" spans="1:14" s="53" customFormat="1" ht="15.75" customHeight="1" x14ac:dyDescent="0.25">
      <c r="A159" s="88">
        <f>A158+1</f>
        <v>4</v>
      </c>
      <c r="B159" s="90" t="s">
        <v>237</v>
      </c>
      <c r="C159" s="52" t="s">
        <v>200</v>
      </c>
      <c r="D159" s="55">
        <f>(27.88+1.2*(2.45+2+2.45))*10.764</f>
        <v>389.22623999999996</v>
      </c>
      <c r="E159" s="52">
        <v>0</v>
      </c>
      <c r="F159" s="52">
        <f>D159*(($F$146)+1)+(IF(E159&lt;101,E159,IF(E159&lt;201,E159/2,IF(E159&lt;=301,E159/3,E159/4))))</f>
        <v>603.30067199999996</v>
      </c>
      <c r="G159" s="96"/>
      <c r="H159" s="97"/>
      <c r="I159" s="35"/>
      <c r="N159" s="35"/>
    </row>
    <row r="160" spans="1:14" s="69" customFormat="1" x14ac:dyDescent="0.25">
      <c r="A160" s="91" t="s">
        <v>239</v>
      </c>
      <c r="B160" s="91"/>
      <c r="C160" s="91"/>
      <c r="D160" s="91"/>
      <c r="E160" s="91"/>
      <c r="F160" s="91"/>
      <c r="G160" s="91"/>
      <c r="H160" s="91"/>
      <c r="I160" s="35"/>
      <c r="L160" s="86"/>
      <c r="M160" s="86"/>
    </row>
    <row r="161" spans="1:14" s="69" customFormat="1" ht="15.75" customHeight="1" x14ac:dyDescent="0.25">
      <c r="A161" s="88">
        <v>1</v>
      </c>
      <c r="B161" s="90" t="s">
        <v>237</v>
      </c>
      <c r="C161" s="68" t="s">
        <v>200</v>
      </c>
      <c r="D161" s="55">
        <f>(27.88+1.2*(2.45+2+2.45))*10.764</f>
        <v>389.22623999999996</v>
      </c>
      <c r="E161" s="68">
        <v>0</v>
      </c>
      <c r="F161" s="68">
        <f t="shared" ref="F161:F162" si="5">D161*(($F$146)+1)+(IF(E161&lt;101,E161,IF(E161&lt;201,E161/2,IF(E161&lt;=301,E161/3,E161/4))))</f>
        <v>603.30067199999996</v>
      </c>
      <c r="G161" s="92" t="str">
        <f>A160</f>
        <v>3rd to 6th Floor (PAP Flats)</v>
      </c>
      <c r="H161" s="93"/>
      <c r="I161" s="35"/>
      <c r="N161" s="35"/>
    </row>
    <row r="162" spans="1:14" s="69" customFormat="1" ht="15.75" customHeight="1" x14ac:dyDescent="0.25">
      <c r="A162" s="88">
        <f>A161+1</f>
        <v>2</v>
      </c>
      <c r="B162" s="90" t="s">
        <v>237</v>
      </c>
      <c r="C162" s="68" t="s">
        <v>200</v>
      </c>
      <c r="D162" s="55">
        <f>(27.88+1.2*(4+2+2.75))*10.764</f>
        <v>413.12231999999995</v>
      </c>
      <c r="E162" s="68">
        <v>0</v>
      </c>
      <c r="F162" s="68">
        <f t="shared" si="5"/>
        <v>640.33959599999991</v>
      </c>
      <c r="G162" s="94"/>
      <c r="H162" s="95"/>
      <c r="I162" s="35"/>
      <c r="N162" s="35"/>
    </row>
    <row r="163" spans="1:14" s="69" customFormat="1" ht="15.75" customHeight="1" x14ac:dyDescent="0.25">
      <c r="A163" s="88">
        <f>A162+1</f>
        <v>3</v>
      </c>
      <c r="B163" s="90" t="s">
        <v>237</v>
      </c>
      <c r="C163" s="68" t="s">
        <v>200</v>
      </c>
      <c r="D163" s="55">
        <f>(27.88+1.2*(4+2+2.75))*10.764</f>
        <v>413.12231999999995</v>
      </c>
      <c r="E163" s="68">
        <v>0</v>
      </c>
      <c r="F163" s="68">
        <f>D163*(($F$146)+1)+(IF(E163&lt;101,E163,IF(E163&lt;201,E163/2,IF(E163&lt;=301,E163/3,E163/4))))</f>
        <v>640.33959599999991</v>
      </c>
      <c r="G163" s="94"/>
      <c r="H163" s="95"/>
      <c r="I163" s="35"/>
      <c r="N163" s="35"/>
    </row>
    <row r="164" spans="1:14" s="69" customFormat="1" ht="15.75" customHeight="1" x14ac:dyDescent="0.25">
      <c r="A164" s="88">
        <f>A163+1</f>
        <v>4</v>
      </c>
      <c r="B164" s="90" t="s">
        <v>237</v>
      </c>
      <c r="C164" s="68" t="s">
        <v>200</v>
      </c>
      <c r="D164" s="55">
        <f>(27.88+1.2*(2.45+2+2.45))*10.764</f>
        <v>389.22623999999996</v>
      </c>
      <c r="E164" s="68">
        <v>0</v>
      </c>
      <c r="F164" s="68">
        <f>D164*(($F$146)+1)+(IF(E164&lt;101,E164,IF(E164&lt;201,E164/2,IF(E164&lt;=301,E164/3,E164/4))))</f>
        <v>603.30067199999996</v>
      </c>
      <c r="G164" s="96"/>
      <c r="H164" s="97"/>
      <c r="I164" s="35"/>
      <c r="N164" s="35"/>
    </row>
    <row r="165" spans="1:14" s="53" customFormat="1" x14ac:dyDescent="0.25">
      <c r="A165" s="91" t="s">
        <v>240</v>
      </c>
      <c r="B165" s="91"/>
      <c r="C165" s="91"/>
      <c r="D165" s="91"/>
      <c r="E165" s="91"/>
      <c r="F165" s="91"/>
      <c r="G165" s="91"/>
      <c r="H165" s="91"/>
      <c r="I165" s="35"/>
      <c r="L165" s="86"/>
      <c r="M165" s="86"/>
    </row>
    <row r="166" spans="1:14" s="53" customFormat="1" ht="15.75" customHeight="1" x14ac:dyDescent="0.25">
      <c r="A166" s="88">
        <v>1</v>
      </c>
      <c r="B166" s="90"/>
      <c r="C166" s="52" t="s">
        <v>200</v>
      </c>
      <c r="D166" s="55">
        <f>(27.88+1.2*(2.45+2+2.45))*10.764</f>
        <v>389.22623999999996</v>
      </c>
      <c r="E166" s="52">
        <v>0</v>
      </c>
      <c r="F166" s="52">
        <f t="shared" ref="F166:F167" si="6">D166*(($F$146)+1)+(IF(E166&lt;101,E166,IF(E166&lt;201,E166/2,IF(E166&lt;=301,E166/3,E166/4))))</f>
        <v>603.30067199999996</v>
      </c>
      <c r="G166" s="92" t="str">
        <f>A165</f>
        <v>7th, 9th to 14th &amp; 16th to 19th Floor (Rehab Flats)</v>
      </c>
      <c r="H166" s="93"/>
      <c r="I166" s="35"/>
      <c r="N166" s="35"/>
    </row>
    <row r="167" spans="1:14" s="53" customFormat="1" ht="15.75" customHeight="1" x14ac:dyDescent="0.25">
      <c r="A167" s="88">
        <f>A166+1</f>
        <v>2</v>
      </c>
      <c r="B167" s="90"/>
      <c r="C167" s="52" t="s">
        <v>200</v>
      </c>
      <c r="D167" s="55">
        <f>(27.88+1.2*(4+2+2.75))*10.764</f>
        <v>413.12231999999995</v>
      </c>
      <c r="E167" s="52">
        <v>0</v>
      </c>
      <c r="F167" s="52">
        <f t="shared" si="6"/>
        <v>640.33959599999991</v>
      </c>
      <c r="G167" s="94"/>
      <c r="H167" s="95"/>
      <c r="I167" s="35"/>
      <c r="N167" s="35"/>
    </row>
    <row r="168" spans="1:14" s="53" customFormat="1" ht="15.75" customHeight="1" x14ac:dyDescent="0.25">
      <c r="A168" s="88">
        <f>A167+1</f>
        <v>3</v>
      </c>
      <c r="B168" s="90"/>
      <c r="C168" s="52" t="s">
        <v>200</v>
      </c>
      <c r="D168" s="55">
        <f>(27.88+1.2*(4+2+2.75))*10.764</f>
        <v>413.12231999999995</v>
      </c>
      <c r="E168" s="52">
        <v>0</v>
      </c>
      <c r="F168" s="52">
        <f>D168*(($F$146)+1)+(IF(E168&lt;101,E168,IF(E168&lt;201,E168/2,IF(E168&lt;=301,E168/3,E168/4))))</f>
        <v>640.33959599999991</v>
      </c>
      <c r="G168" s="94"/>
      <c r="H168" s="95"/>
      <c r="I168" s="35"/>
      <c r="N168" s="35"/>
    </row>
    <row r="169" spans="1:14" s="53" customFormat="1" ht="15.75" customHeight="1" x14ac:dyDescent="0.25">
      <c r="A169" s="87">
        <f>A168+1</f>
        <v>4</v>
      </c>
      <c r="B169" s="87"/>
      <c r="C169" s="52" t="s">
        <v>200</v>
      </c>
      <c r="D169" s="55">
        <f>(27.88+1.2*(2.45+2+2.45))*10.764</f>
        <v>389.22623999999996</v>
      </c>
      <c r="E169" s="52">
        <v>0</v>
      </c>
      <c r="F169" s="52">
        <f>D169*(($F$146)+1)+(IF(E169&lt;101,E169,IF(E169&lt;201,E169/2,IF(E169&lt;=301,E169/3,E169/4))))</f>
        <v>603.30067199999996</v>
      </c>
      <c r="G169" s="96"/>
      <c r="H169" s="97"/>
      <c r="I169" s="35"/>
      <c r="N169" s="35"/>
    </row>
    <row r="170" spans="1:14" s="53" customFormat="1" x14ac:dyDescent="0.25">
      <c r="A170" s="91" t="s">
        <v>243</v>
      </c>
      <c r="B170" s="91"/>
      <c r="C170" s="91"/>
      <c r="D170" s="91"/>
      <c r="E170" s="91"/>
      <c r="F170" s="91"/>
      <c r="G170" s="91"/>
      <c r="H170" s="91"/>
      <c r="I170" s="35"/>
      <c r="L170" s="86"/>
      <c r="M170" s="86"/>
    </row>
    <row r="171" spans="1:14" s="53" customFormat="1" ht="15.75" customHeight="1" x14ac:dyDescent="0.25">
      <c r="A171" s="87">
        <v>1</v>
      </c>
      <c r="B171" s="87"/>
      <c r="C171" s="52" t="s">
        <v>200</v>
      </c>
      <c r="D171" s="55">
        <f>(27.88+1.2*(2.45+2+2.45))*10.764</f>
        <v>389.22623999999996</v>
      </c>
      <c r="E171" s="52">
        <v>0</v>
      </c>
      <c r="F171" s="52">
        <f t="shared" ref="F171:F172" si="7">D171*(($F$146)+1)+(IF(E171&lt;101,E171,IF(E171&lt;201,E171/2,IF(E171&lt;=301,E171/3,E171/4))))</f>
        <v>603.30067199999996</v>
      </c>
      <c r="G171" s="92" t="str">
        <f>A170</f>
        <v>8th &amp; 15th Floor (Part Refuge Area) (Rehab Flats)</v>
      </c>
      <c r="H171" s="93"/>
      <c r="I171" s="35"/>
      <c r="N171" s="35"/>
    </row>
    <row r="172" spans="1:14" s="53" customFormat="1" ht="15.75" customHeight="1" x14ac:dyDescent="0.25">
      <c r="A172" s="87">
        <f>A171+1</f>
        <v>2</v>
      </c>
      <c r="B172" s="87"/>
      <c r="C172" s="52" t="s">
        <v>200</v>
      </c>
      <c r="D172" s="55">
        <f>(27.88+1.2*(4+2+2.75))*10.764</f>
        <v>413.12231999999995</v>
      </c>
      <c r="E172" s="52">
        <v>0</v>
      </c>
      <c r="F172" s="52">
        <f t="shared" si="7"/>
        <v>640.33959599999991</v>
      </c>
      <c r="G172" s="94"/>
      <c r="H172" s="95"/>
      <c r="I172" s="35"/>
      <c r="N172" s="35"/>
    </row>
    <row r="173" spans="1:14" s="53" customFormat="1" ht="15.75" customHeight="1" x14ac:dyDescent="0.25">
      <c r="A173" s="87">
        <f>A172+1</f>
        <v>3</v>
      </c>
      <c r="B173" s="87"/>
      <c r="C173" s="52" t="s">
        <v>200</v>
      </c>
      <c r="D173" s="55">
        <f>(27.88+1.2*(4+2+2.75))*10.764</f>
        <v>413.12231999999995</v>
      </c>
      <c r="E173" s="52">
        <v>0</v>
      </c>
      <c r="F173" s="52">
        <f>D173*(($F$146)+1)+(IF(E173&lt;101,E173,IF(E173&lt;201,E173/2,IF(E173&lt;=301,E173/3,E173/4))))</f>
        <v>640.33959599999991</v>
      </c>
      <c r="G173" s="94"/>
      <c r="H173" s="95"/>
      <c r="I173" s="35"/>
      <c r="N173" s="35"/>
    </row>
    <row r="174" spans="1:14" s="53" customFormat="1" ht="15.75" customHeight="1" x14ac:dyDescent="0.25">
      <c r="A174" s="87">
        <f>A173+1</f>
        <v>4</v>
      </c>
      <c r="B174" s="87"/>
      <c r="C174" s="88" t="s">
        <v>211</v>
      </c>
      <c r="D174" s="89"/>
      <c r="E174" s="89"/>
      <c r="F174" s="90"/>
      <c r="G174" s="96"/>
      <c r="H174" s="97"/>
      <c r="I174" s="35"/>
      <c r="N174" s="35"/>
    </row>
    <row r="175" spans="1:14" s="53" customFormat="1" x14ac:dyDescent="0.25">
      <c r="A175" s="91" t="s">
        <v>242</v>
      </c>
      <c r="B175" s="91"/>
      <c r="C175" s="91"/>
      <c r="D175" s="91"/>
      <c r="E175" s="91"/>
      <c r="F175" s="91"/>
      <c r="G175" s="91"/>
      <c r="H175" s="91"/>
      <c r="I175" s="35"/>
      <c r="L175" s="86"/>
      <c r="M175" s="86"/>
    </row>
    <row r="176" spans="1:14" s="53" customFormat="1" ht="15.75" customHeight="1" x14ac:dyDescent="0.25">
      <c r="A176" s="87">
        <v>1</v>
      </c>
      <c r="B176" s="87"/>
      <c r="C176" s="52" t="s">
        <v>200</v>
      </c>
      <c r="D176" s="55">
        <f>(27.88+1.2*(2.45+2+2.45))*10.764</f>
        <v>389.22623999999996</v>
      </c>
      <c r="E176" s="52">
        <v>0</v>
      </c>
      <c r="F176" s="52">
        <f t="shared" ref="F176:F177" si="8">D176*(($F$146)+1)+(IF(E176&lt;101,E176,IF(E176&lt;201,E176/2,IF(E176&lt;=301,E176/3,E176/4))))</f>
        <v>603.30067199999996</v>
      </c>
      <c r="G176" s="92" t="str">
        <f>A175</f>
        <v>20th Floor (Part Terrace Area) (Rehab Flats)</v>
      </c>
      <c r="H176" s="93"/>
      <c r="I176" s="35"/>
      <c r="N176" s="35"/>
    </row>
    <row r="177" spans="1:14" s="53" customFormat="1" ht="15.75" customHeight="1" x14ac:dyDescent="0.25">
      <c r="A177" s="87">
        <f>A176+1</f>
        <v>2</v>
      </c>
      <c r="B177" s="87"/>
      <c r="C177" s="52" t="s">
        <v>200</v>
      </c>
      <c r="D177" s="55">
        <f>(27.88+1.2*(2.45+2+2.45))*10.764</f>
        <v>389.22623999999996</v>
      </c>
      <c r="E177" s="52">
        <v>0</v>
      </c>
      <c r="F177" s="52">
        <f t="shared" si="8"/>
        <v>603.30067199999996</v>
      </c>
      <c r="G177" s="96"/>
      <c r="H177" s="97"/>
      <c r="I177" s="35"/>
      <c r="N177" s="35"/>
    </row>
    <row r="178" spans="1:14" s="53" customFormat="1" x14ac:dyDescent="0.25">
      <c r="A178" s="91" t="s">
        <v>208</v>
      </c>
      <c r="B178" s="91"/>
      <c r="C178" s="91"/>
      <c r="D178" s="91"/>
      <c r="E178" s="91"/>
      <c r="F178" s="91"/>
      <c r="G178" s="91"/>
      <c r="H178" s="91"/>
      <c r="I178" s="35"/>
      <c r="L178" s="86"/>
      <c r="M178" s="86"/>
    </row>
    <row r="179" spans="1:14" s="53" customFormat="1" x14ac:dyDescent="0.25">
      <c r="A179" s="91" t="s">
        <v>201</v>
      </c>
      <c r="B179" s="91"/>
      <c r="C179" s="91"/>
      <c r="D179" s="91"/>
      <c r="E179" s="91"/>
      <c r="F179" s="91"/>
      <c r="G179" s="91"/>
      <c r="H179" s="91"/>
      <c r="J179" s="35"/>
    </row>
    <row r="180" spans="1:14" s="53" customFormat="1" x14ac:dyDescent="0.25">
      <c r="A180" s="91" t="s">
        <v>220</v>
      </c>
      <c r="B180" s="91"/>
      <c r="C180" s="91"/>
      <c r="D180" s="91"/>
      <c r="E180" s="91"/>
      <c r="F180" s="91"/>
      <c r="G180" s="91"/>
      <c r="H180" s="91"/>
      <c r="J180" s="35"/>
    </row>
    <row r="181" spans="1:14" s="53" customFormat="1" x14ac:dyDescent="0.25">
      <c r="A181" s="91" t="s">
        <v>221</v>
      </c>
      <c r="B181" s="91"/>
      <c r="C181" s="91"/>
      <c r="D181" s="91"/>
      <c r="E181" s="91"/>
      <c r="F181" s="91"/>
      <c r="G181" s="91"/>
      <c r="H181" s="91"/>
      <c r="J181" s="35"/>
    </row>
    <row r="182" spans="1:14" s="53" customFormat="1" x14ac:dyDescent="0.25">
      <c r="A182" s="91" t="s">
        <v>203</v>
      </c>
      <c r="B182" s="91"/>
      <c r="C182" s="91"/>
      <c r="D182" s="91"/>
      <c r="E182" s="91"/>
      <c r="F182" s="91"/>
      <c r="G182" s="91"/>
      <c r="H182" s="91"/>
      <c r="J182" s="35"/>
    </row>
    <row r="183" spans="1:14" s="53" customFormat="1" ht="15.75" customHeight="1" x14ac:dyDescent="0.25">
      <c r="A183" s="87">
        <v>1</v>
      </c>
      <c r="B183" s="87"/>
      <c r="C183" s="87" t="s">
        <v>202</v>
      </c>
      <c r="D183" s="87"/>
      <c r="E183" s="87"/>
      <c r="F183" s="87"/>
      <c r="G183" s="87" t="str">
        <f>A182</f>
        <v>1st Floor For Amenities &amp; Parking</v>
      </c>
      <c r="H183" s="87"/>
      <c r="I183" s="35"/>
      <c r="L183" s="86"/>
      <c r="M183" s="86"/>
      <c r="N183" s="35"/>
    </row>
    <row r="184" spans="1:14" s="53" customFormat="1" ht="15.75" customHeight="1" x14ac:dyDescent="0.25">
      <c r="A184" s="87">
        <v>2</v>
      </c>
      <c r="B184" s="87"/>
      <c r="C184" s="87" t="s">
        <v>202</v>
      </c>
      <c r="D184" s="87"/>
      <c r="E184" s="87"/>
      <c r="F184" s="87"/>
      <c r="G184" s="87"/>
      <c r="H184" s="87"/>
      <c r="I184" s="35"/>
      <c r="L184" s="86"/>
      <c r="M184" s="86"/>
      <c r="N184" s="35"/>
    </row>
    <row r="185" spans="1:14" s="53" customFormat="1" x14ac:dyDescent="0.25">
      <c r="A185" s="91" t="s">
        <v>204</v>
      </c>
      <c r="B185" s="91"/>
      <c r="C185" s="91"/>
      <c r="D185" s="91"/>
      <c r="E185" s="91"/>
      <c r="F185" s="91"/>
      <c r="G185" s="91"/>
      <c r="H185" s="91"/>
      <c r="I185" s="35"/>
      <c r="L185" s="86"/>
      <c r="M185" s="86"/>
    </row>
    <row r="186" spans="1:14" s="53" customFormat="1" ht="15.75" customHeight="1" x14ac:dyDescent="0.25">
      <c r="A186" s="87">
        <v>1</v>
      </c>
      <c r="B186" s="87"/>
      <c r="C186" s="78" t="s">
        <v>205</v>
      </c>
      <c r="D186" s="55">
        <f>(21.82)*10.764</f>
        <v>234.87047999999999</v>
      </c>
      <c r="E186" s="78">
        <v>0</v>
      </c>
      <c r="F186" s="78">
        <f t="shared" ref="F186:F187" si="9">D186*(($F$146)+1)+(IF(E186&lt;101,E186,IF(E186&lt;201,E186/2,IF(E186&lt;=301,E186/3,E186/4))))</f>
        <v>364.04924399999999</v>
      </c>
      <c r="G186" s="87" t="str">
        <f>A185</f>
        <v>2nd Floor For Residential</v>
      </c>
      <c r="H186" s="87"/>
      <c r="I186" s="35">
        <f>2.75*4.52+2.35*2.45+1*1.91+1.2*1</f>
        <v>21.297499999999999</v>
      </c>
      <c r="N186" s="35"/>
    </row>
    <row r="187" spans="1:14" s="53" customFormat="1" ht="15.75" customHeight="1" x14ac:dyDescent="0.25">
      <c r="A187" s="87">
        <f>A186+1</f>
        <v>2</v>
      </c>
      <c r="B187" s="87"/>
      <c r="C187" s="78" t="s">
        <v>205</v>
      </c>
      <c r="D187" s="55">
        <f>(21.82)*10.764</f>
        <v>234.87047999999999</v>
      </c>
      <c r="E187" s="78">
        <v>0</v>
      </c>
      <c r="F187" s="78">
        <f t="shared" si="9"/>
        <v>364.04924399999999</v>
      </c>
      <c r="G187" s="87"/>
      <c r="H187" s="87"/>
      <c r="I187" s="35"/>
      <c r="N187" s="35"/>
    </row>
    <row r="188" spans="1:14" s="53" customFormat="1" x14ac:dyDescent="0.25">
      <c r="A188" s="91" t="s">
        <v>206</v>
      </c>
      <c r="B188" s="91"/>
      <c r="C188" s="91"/>
      <c r="D188" s="91"/>
      <c r="E188" s="91"/>
      <c r="F188" s="91"/>
      <c r="G188" s="91"/>
      <c r="H188" s="91"/>
      <c r="I188" s="35"/>
      <c r="L188" s="86"/>
      <c r="M188" s="86"/>
    </row>
    <row r="189" spans="1:14" s="53" customFormat="1" ht="15.75" customHeight="1" x14ac:dyDescent="0.25">
      <c r="A189" s="87">
        <v>1</v>
      </c>
      <c r="B189" s="87"/>
      <c r="C189" s="52" t="s">
        <v>205</v>
      </c>
      <c r="D189" s="55">
        <f>(21.82)*10.764</f>
        <v>234.87047999999999</v>
      </c>
      <c r="E189" s="52">
        <v>0</v>
      </c>
      <c r="F189" s="52">
        <f t="shared" ref="F189:F190" si="10">D189*(($F$146)+1)+(IF(E189&lt;101,E189,IF(E189&lt;201,E189/2,IF(E189&lt;=301,E189/3,E189/4))))</f>
        <v>364.04924399999999</v>
      </c>
      <c r="G189" s="92" t="str">
        <f>A188</f>
        <v>3rd to 7th, 9th to 14th &amp; 16th to 19th Floor</v>
      </c>
      <c r="H189" s="93"/>
      <c r="I189" s="35"/>
      <c r="N189" s="35"/>
    </row>
    <row r="190" spans="1:14" s="53" customFormat="1" ht="15.75" customHeight="1" x14ac:dyDescent="0.25">
      <c r="A190" s="87">
        <v>2</v>
      </c>
      <c r="B190" s="87"/>
      <c r="C190" s="52" t="s">
        <v>200</v>
      </c>
      <c r="D190" s="55">
        <f>(29.59)*10.764</f>
        <v>318.50675999999999</v>
      </c>
      <c r="E190" s="52">
        <v>0</v>
      </c>
      <c r="F190" s="52">
        <f t="shared" si="10"/>
        <v>493.68547799999999</v>
      </c>
      <c r="G190" s="94"/>
      <c r="H190" s="95"/>
      <c r="I190" s="35"/>
      <c r="N190" s="35"/>
    </row>
    <row r="191" spans="1:14" s="53" customFormat="1" ht="15.75" customHeight="1" x14ac:dyDescent="0.25">
      <c r="A191" s="87">
        <v>3</v>
      </c>
      <c r="B191" s="87"/>
      <c r="C191" s="52" t="s">
        <v>200</v>
      </c>
      <c r="D191" s="55">
        <f>(29.59)*10.764</f>
        <v>318.50675999999999</v>
      </c>
      <c r="E191" s="52">
        <v>0</v>
      </c>
      <c r="F191" s="52">
        <f>D191*(($F$146)+1)+(IF(E191&lt;101,E191,IF(E191&lt;201,E191/2,IF(E191&lt;=301,E191/3,E191/4))))</f>
        <v>493.68547799999999</v>
      </c>
      <c r="G191" s="94"/>
      <c r="H191" s="95"/>
      <c r="I191" s="35"/>
      <c r="N191" s="35"/>
    </row>
    <row r="192" spans="1:14" s="53" customFormat="1" ht="15.75" customHeight="1" x14ac:dyDescent="0.25">
      <c r="A192" s="87">
        <v>4</v>
      </c>
      <c r="B192" s="87"/>
      <c r="C192" s="52" t="s">
        <v>200</v>
      </c>
      <c r="D192" s="55">
        <f>(33.12)*10.764</f>
        <v>356.50367999999997</v>
      </c>
      <c r="E192" s="52">
        <v>0</v>
      </c>
      <c r="F192" s="52">
        <f>D192*(($F$146)+1)+(IF(E192&lt;101,E192,IF(E192&lt;201,E192/2,IF(E192&lt;=301,E192/3,E192/4))))</f>
        <v>552.58070399999997</v>
      </c>
      <c r="G192" s="94"/>
      <c r="H192" s="95"/>
      <c r="I192" s="35"/>
      <c r="N192" s="35"/>
    </row>
    <row r="193" spans="1:14" s="53" customFormat="1" ht="15.75" customHeight="1" x14ac:dyDescent="0.25">
      <c r="A193" s="87">
        <v>5</v>
      </c>
      <c r="B193" s="87"/>
      <c r="C193" s="52" t="s">
        <v>200</v>
      </c>
      <c r="D193" s="55">
        <f>(33.12)*10.764</f>
        <v>356.50367999999997</v>
      </c>
      <c r="E193" s="52">
        <v>0</v>
      </c>
      <c r="F193" s="52">
        <f t="shared" ref="F193:F194" si="11">D193*(($F$146)+1)+(IF(E193&lt;101,E193,IF(E193&lt;201,E193/2,IF(E193&lt;=301,E193/3,E193/4))))</f>
        <v>552.58070399999997</v>
      </c>
      <c r="G193" s="94"/>
      <c r="H193" s="95"/>
      <c r="I193" s="35"/>
      <c r="N193" s="35"/>
    </row>
    <row r="194" spans="1:14" s="53" customFormat="1" ht="15.75" customHeight="1" x14ac:dyDescent="0.25">
      <c r="A194" s="87">
        <v>6</v>
      </c>
      <c r="B194" s="87"/>
      <c r="C194" s="52" t="s">
        <v>205</v>
      </c>
      <c r="D194" s="55">
        <f>(20.86)*10.764</f>
        <v>224.53703999999999</v>
      </c>
      <c r="E194" s="52">
        <v>0</v>
      </c>
      <c r="F194" s="52">
        <f t="shared" si="11"/>
        <v>348.03241200000002</v>
      </c>
      <c r="G194" s="96"/>
      <c r="H194" s="97"/>
      <c r="I194" s="35"/>
      <c r="N194" s="35"/>
    </row>
    <row r="195" spans="1:14" s="53" customFormat="1" x14ac:dyDescent="0.25">
      <c r="A195" s="91" t="s">
        <v>213</v>
      </c>
      <c r="B195" s="91"/>
      <c r="C195" s="91"/>
      <c r="D195" s="91"/>
      <c r="E195" s="91"/>
      <c r="F195" s="91"/>
      <c r="G195" s="91"/>
      <c r="H195" s="91"/>
      <c r="I195" s="35"/>
      <c r="L195" s="86"/>
      <c r="M195" s="86"/>
    </row>
    <row r="196" spans="1:14" s="53" customFormat="1" ht="15.75" customHeight="1" x14ac:dyDescent="0.25">
      <c r="A196" s="87">
        <v>1</v>
      </c>
      <c r="B196" s="87"/>
      <c r="C196" s="52" t="s">
        <v>205</v>
      </c>
      <c r="D196" s="55">
        <f>(21.82)*10.764</f>
        <v>234.87047999999999</v>
      </c>
      <c r="E196" s="52">
        <v>0</v>
      </c>
      <c r="F196" s="52">
        <f t="shared" ref="F196" si="12">D196*(($F$146)+1)+(IF(E196&lt;101,E196,IF(E196&lt;201,E196/2,IF(E196&lt;=301,E196/3,E196/4))))</f>
        <v>364.04924399999999</v>
      </c>
      <c r="G196" s="92" t="str">
        <f>A195</f>
        <v>8th &amp; 15th Floor (Part Refuge Area)</v>
      </c>
      <c r="H196" s="93"/>
      <c r="I196" s="35"/>
      <c r="N196" s="35"/>
    </row>
    <row r="197" spans="1:14" s="53" customFormat="1" ht="15.75" customHeight="1" x14ac:dyDescent="0.25">
      <c r="A197" s="87">
        <v>2</v>
      </c>
      <c r="B197" s="87"/>
      <c r="C197" s="92" t="s">
        <v>211</v>
      </c>
      <c r="D197" s="98"/>
      <c r="E197" s="98"/>
      <c r="F197" s="93"/>
      <c r="G197" s="94"/>
      <c r="H197" s="95"/>
      <c r="I197" s="35"/>
      <c r="N197" s="35"/>
    </row>
    <row r="198" spans="1:14" s="53" customFormat="1" ht="15.75" customHeight="1" x14ac:dyDescent="0.25">
      <c r="A198" s="87">
        <v>3</v>
      </c>
      <c r="B198" s="87"/>
      <c r="C198" s="96"/>
      <c r="D198" s="99"/>
      <c r="E198" s="99"/>
      <c r="F198" s="97"/>
      <c r="G198" s="94"/>
      <c r="H198" s="95"/>
      <c r="I198" s="35"/>
      <c r="N198" s="35"/>
    </row>
    <row r="199" spans="1:14" s="53" customFormat="1" ht="15.75" customHeight="1" x14ac:dyDescent="0.25">
      <c r="A199" s="87">
        <v>4</v>
      </c>
      <c r="B199" s="87"/>
      <c r="C199" s="52" t="s">
        <v>200</v>
      </c>
      <c r="D199" s="55">
        <f>(33.12)*10.764</f>
        <v>356.50367999999997</v>
      </c>
      <c r="E199" s="52">
        <v>0</v>
      </c>
      <c r="F199" s="52">
        <f>D199*(($F$146)+1)+(IF(E199&lt;101,E199,IF(E199&lt;201,E199/2,IF(E199&lt;=301,E199/3,E199/4))))</f>
        <v>552.58070399999997</v>
      </c>
      <c r="G199" s="94"/>
      <c r="H199" s="95"/>
      <c r="I199" s="35"/>
      <c r="N199" s="35"/>
    </row>
    <row r="200" spans="1:14" s="53" customFormat="1" ht="15.75" customHeight="1" x14ac:dyDescent="0.25">
      <c r="A200" s="87">
        <v>5</v>
      </c>
      <c r="B200" s="87"/>
      <c r="C200" s="52" t="s">
        <v>200</v>
      </c>
      <c r="D200" s="55">
        <f>(33.12)*10.764</f>
        <v>356.50367999999997</v>
      </c>
      <c r="E200" s="52">
        <v>0</v>
      </c>
      <c r="F200" s="52">
        <f t="shared" ref="F200:F201" si="13">D200*(($F$146)+1)+(IF(E200&lt;101,E200,IF(E200&lt;201,E200/2,IF(E200&lt;=301,E200/3,E200/4))))</f>
        <v>552.58070399999997</v>
      </c>
      <c r="G200" s="94"/>
      <c r="H200" s="95"/>
      <c r="I200" s="35"/>
      <c r="N200" s="35"/>
    </row>
    <row r="201" spans="1:14" s="53" customFormat="1" ht="15.75" customHeight="1" x14ac:dyDescent="0.25">
      <c r="A201" s="87">
        <v>6</v>
      </c>
      <c r="B201" s="87"/>
      <c r="C201" s="52" t="s">
        <v>205</v>
      </c>
      <c r="D201" s="55">
        <f>(20.86)*10.764</f>
        <v>224.53703999999999</v>
      </c>
      <c r="E201" s="52">
        <v>0</v>
      </c>
      <c r="F201" s="52">
        <f t="shared" si="13"/>
        <v>348.03241200000002</v>
      </c>
      <c r="G201" s="96"/>
      <c r="H201" s="97"/>
      <c r="I201" s="35"/>
      <c r="N201" s="35"/>
    </row>
    <row r="202" spans="1:14" s="53" customFormat="1" x14ac:dyDescent="0.25">
      <c r="A202" s="91" t="s">
        <v>207</v>
      </c>
      <c r="B202" s="91"/>
      <c r="C202" s="91"/>
      <c r="D202" s="91"/>
      <c r="E202" s="91"/>
      <c r="F202" s="91"/>
      <c r="G202" s="91"/>
      <c r="H202" s="91"/>
      <c r="I202" s="35"/>
      <c r="L202" s="86"/>
      <c r="M202" s="86"/>
    </row>
    <row r="203" spans="1:14" s="53" customFormat="1" x14ac:dyDescent="0.25">
      <c r="A203" s="87">
        <v>1</v>
      </c>
      <c r="B203" s="87"/>
      <c r="C203" s="52" t="s">
        <v>205</v>
      </c>
      <c r="D203" s="55">
        <f>(21.82)*10.764</f>
        <v>234.87047999999999</v>
      </c>
      <c r="E203" s="52">
        <v>0</v>
      </c>
      <c r="F203" s="52">
        <f t="shared" ref="F203:F204" si="14">D203*(($F$146)+1)+(IF(E203&lt;101,E203,IF(E203&lt;201,E203/2,IF(E203&lt;=301,E203/3,E203/4))))</f>
        <v>364.04924399999999</v>
      </c>
      <c r="G203" s="92" t="str">
        <f>A202</f>
        <v>20th Floor</v>
      </c>
      <c r="H203" s="93"/>
      <c r="I203" s="35"/>
      <c r="N203" s="35"/>
    </row>
    <row r="204" spans="1:14" s="53" customFormat="1" x14ac:dyDescent="0.25">
      <c r="A204" s="87">
        <v>2</v>
      </c>
      <c r="B204" s="87"/>
      <c r="C204" s="52" t="s">
        <v>200</v>
      </c>
      <c r="D204" s="55">
        <f>(29.59)*10.764</f>
        <v>318.50675999999999</v>
      </c>
      <c r="E204" s="52">
        <v>0</v>
      </c>
      <c r="F204" s="52">
        <f t="shared" si="14"/>
        <v>493.68547799999999</v>
      </c>
      <c r="G204" s="94"/>
      <c r="H204" s="95"/>
      <c r="I204" s="35"/>
      <c r="N204" s="35"/>
    </row>
    <row r="205" spans="1:14" s="53" customFormat="1" x14ac:dyDescent="0.25">
      <c r="A205" s="87">
        <v>3</v>
      </c>
      <c r="B205" s="87"/>
      <c r="C205" s="52" t="s">
        <v>200</v>
      </c>
      <c r="D205" s="55">
        <f>(29.59)*10.764</f>
        <v>318.50675999999999</v>
      </c>
      <c r="E205" s="52">
        <v>0</v>
      </c>
      <c r="F205" s="52">
        <f>D205*(($F$146)+1)+(IF(E205&lt;101,E205,IF(E205&lt;201,E205/2,IF(E205&lt;=301,E205/3,E205/4))))</f>
        <v>493.68547799999999</v>
      </c>
      <c r="G205" s="94"/>
      <c r="H205" s="95"/>
      <c r="I205" s="35"/>
      <c r="N205" s="35"/>
    </row>
    <row r="206" spans="1:14" s="53" customFormat="1" ht="15.75" customHeight="1" x14ac:dyDescent="0.25">
      <c r="A206" s="87">
        <v>4</v>
      </c>
      <c r="B206" s="87"/>
      <c r="C206" s="52" t="s">
        <v>200</v>
      </c>
      <c r="D206" s="55">
        <f>(33.12)*10.764</f>
        <v>356.50367999999997</v>
      </c>
      <c r="E206" s="52">
        <v>0</v>
      </c>
      <c r="F206" s="52">
        <f>D206*(($F$146)+1)+(IF(E206&lt;101,E206,IF(E206&lt;201,E206/2,IF(E206&lt;=301,E206/3,E206/4))))</f>
        <v>552.58070399999997</v>
      </c>
      <c r="G206" s="94"/>
      <c r="H206" s="95"/>
      <c r="I206" s="35"/>
      <c r="N206" s="35"/>
    </row>
    <row r="207" spans="1:14" s="53" customFormat="1" x14ac:dyDescent="0.25">
      <c r="A207" s="87">
        <v>5</v>
      </c>
      <c r="B207" s="87"/>
      <c r="C207" s="52" t="s">
        <v>200</v>
      </c>
      <c r="D207" s="55">
        <f>(33.12)*10.764</f>
        <v>356.50367999999997</v>
      </c>
      <c r="E207" s="52">
        <v>0</v>
      </c>
      <c r="F207" s="52">
        <f t="shared" ref="F207:F208" si="15">D207*(($F$146)+1)+(IF(E207&lt;101,E207,IF(E207&lt;201,E207/2,IF(E207&lt;=301,E207/3,E207/4))))</f>
        <v>552.58070399999997</v>
      </c>
      <c r="G207" s="94"/>
      <c r="H207" s="95"/>
      <c r="I207" s="35"/>
      <c r="N207" s="35"/>
    </row>
    <row r="208" spans="1:14" s="53" customFormat="1" x14ac:dyDescent="0.25">
      <c r="A208" s="87">
        <v>6</v>
      </c>
      <c r="B208" s="87"/>
      <c r="C208" s="52" t="s">
        <v>205</v>
      </c>
      <c r="D208" s="55">
        <f>(20.86)*10.764</f>
        <v>224.53703999999999</v>
      </c>
      <c r="E208" s="52">
        <v>0</v>
      </c>
      <c r="F208" s="52">
        <f t="shared" si="15"/>
        <v>348.03241200000002</v>
      </c>
      <c r="G208" s="96"/>
      <c r="H208" s="97"/>
      <c r="I208" s="35"/>
      <c r="N208" s="35"/>
    </row>
    <row r="209" spans="1:14" s="53" customFormat="1" x14ac:dyDescent="0.25">
      <c r="A209" s="91" t="s">
        <v>209</v>
      </c>
      <c r="B209" s="91"/>
      <c r="C209" s="91"/>
      <c r="D209" s="91"/>
      <c r="E209" s="91"/>
      <c r="F209" s="91"/>
      <c r="G209" s="91"/>
      <c r="H209" s="91"/>
      <c r="I209" s="35"/>
      <c r="L209" s="86"/>
      <c r="M209" s="86"/>
    </row>
    <row r="210" spans="1:14" s="53" customFormat="1" x14ac:dyDescent="0.25">
      <c r="A210" s="87">
        <v>1</v>
      </c>
      <c r="B210" s="87"/>
      <c r="C210" s="52" t="s">
        <v>205</v>
      </c>
      <c r="D210" s="55">
        <f>(21.82)*10.764</f>
        <v>234.87047999999999</v>
      </c>
      <c r="E210" s="52">
        <v>0</v>
      </c>
      <c r="F210" s="52">
        <f t="shared" ref="F210:F211" si="16">D210*(($F$146)+1)+(IF(E210&lt;101,E210,IF(E210&lt;201,E210/2,IF(E210&lt;=301,E210/3,E210/4))))</f>
        <v>364.04924399999999</v>
      </c>
      <c r="G210" s="92" t="str">
        <f>A209</f>
        <v>21st Floor</v>
      </c>
      <c r="H210" s="93"/>
      <c r="I210" s="35"/>
      <c r="N210" s="35"/>
    </row>
    <row r="211" spans="1:14" s="53" customFormat="1" x14ac:dyDescent="0.25">
      <c r="A211" s="87">
        <v>2</v>
      </c>
      <c r="B211" s="87"/>
      <c r="C211" s="52" t="s">
        <v>200</v>
      </c>
      <c r="D211" s="55">
        <f>(29.59)*10.764</f>
        <v>318.50675999999999</v>
      </c>
      <c r="E211" s="52">
        <v>0</v>
      </c>
      <c r="F211" s="52">
        <f t="shared" si="16"/>
        <v>493.68547799999999</v>
      </c>
      <c r="G211" s="94"/>
      <c r="H211" s="95"/>
      <c r="I211" s="35"/>
      <c r="N211" s="35"/>
    </row>
    <row r="212" spans="1:14" s="53" customFormat="1" x14ac:dyDescent="0.25">
      <c r="A212" s="87">
        <v>3</v>
      </c>
      <c r="B212" s="87"/>
      <c r="C212" s="52" t="s">
        <v>200</v>
      </c>
      <c r="D212" s="55">
        <f>(29.59)*10.764</f>
        <v>318.50675999999999</v>
      </c>
      <c r="E212" s="52">
        <v>0</v>
      </c>
      <c r="F212" s="52">
        <f>D212*(($F$146)+1)+(IF(E212&lt;101,E212,IF(E212&lt;201,E212/2,IF(E212&lt;=301,E212/3,E212/4))))</f>
        <v>493.68547799999999</v>
      </c>
      <c r="G212" s="94"/>
      <c r="H212" s="95"/>
      <c r="I212" s="35"/>
      <c r="N212" s="35"/>
    </row>
    <row r="213" spans="1:14" s="53" customFormat="1" ht="15.75" customHeight="1" x14ac:dyDescent="0.25">
      <c r="A213" s="87">
        <v>4</v>
      </c>
      <c r="B213" s="87"/>
      <c r="C213" s="52" t="s">
        <v>200</v>
      </c>
      <c r="D213" s="55">
        <f>(33.12)*10.764</f>
        <v>356.50367999999997</v>
      </c>
      <c r="E213" s="52">
        <v>0</v>
      </c>
      <c r="F213" s="52">
        <f>D213*(($F$146)+1)+(IF(E213&lt;101,E213,IF(E213&lt;201,E213/2,IF(E213&lt;=301,E213/3,E213/4))))</f>
        <v>552.58070399999997</v>
      </c>
      <c r="G213" s="94"/>
      <c r="H213" s="95"/>
      <c r="I213" s="35"/>
      <c r="N213" s="35"/>
    </row>
    <row r="214" spans="1:14" s="53" customFormat="1" x14ac:dyDescent="0.25">
      <c r="A214" s="87">
        <v>5</v>
      </c>
      <c r="B214" s="87"/>
      <c r="C214" s="52" t="s">
        <v>200</v>
      </c>
      <c r="D214" s="55">
        <f>(33.12)*10.764</f>
        <v>356.50367999999997</v>
      </c>
      <c r="E214" s="52">
        <v>0</v>
      </c>
      <c r="F214" s="52">
        <f t="shared" ref="F214:F215" si="17">D214*(($F$146)+1)+(IF(E214&lt;101,E214,IF(E214&lt;201,E214/2,IF(E214&lt;=301,E214/3,E214/4))))</f>
        <v>552.58070399999997</v>
      </c>
      <c r="G214" s="94"/>
      <c r="H214" s="95"/>
      <c r="I214" s="35"/>
      <c r="N214" s="35"/>
    </row>
    <row r="215" spans="1:14" s="53" customFormat="1" x14ac:dyDescent="0.25">
      <c r="A215" s="87">
        <v>6</v>
      </c>
      <c r="B215" s="87"/>
      <c r="C215" s="52" t="s">
        <v>205</v>
      </c>
      <c r="D215" s="55">
        <f>(20.86)*10.764</f>
        <v>224.53703999999999</v>
      </c>
      <c r="E215" s="52">
        <v>0</v>
      </c>
      <c r="F215" s="52">
        <f t="shared" si="17"/>
        <v>348.03241200000002</v>
      </c>
      <c r="G215" s="96"/>
      <c r="H215" s="97"/>
      <c r="I215" s="35"/>
      <c r="N215" s="35"/>
    </row>
    <row r="216" spans="1:14" s="53" customFormat="1" x14ac:dyDescent="0.25">
      <c r="A216" s="91" t="s">
        <v>210</v>
      </c>
      <c r="B216" s="91"/>
      <c r="C216" s="91"/>
      <c r="D216" s="91"/>
      <c r="E216" s="91"/>
      <c r="F216" s="91"/>
      <c r="G216" s="91"/>
      <c r="H216" s="91"/>
      <c r="I216" s="35"/>
      <c r="L216" s="86"/>
      <c r="M216" s="86"/>
    </row>
    <row r="217" spans="1:14" s="53" customFormat="1" ht="15.75" customHeight="1" x14ac:dyDescent="0.25">
      <c r="A217" s="87">
        <v>1</v>
      </c>
      <c r="B217" s="87"/>
      <c r="C217" s="52" t="s">
        <v>205</v>
      </c>
      <c r="D217" s="55">
        <f>(21.82)*10.764</f>
        <v>234.87047999999999</v>
      </c>
      <c r="E217" s="52">
        <v>0</v>
      </c>
      <c r="F217" s="52">
        <f t="shared" ref="F217" si="18">D217*(($F$146)+1)+(IF(E217&lt;101,E217,IF(E217&lt;201,E217/2,IF(E217&lt;=301,E217/3,E217/4))))</f>
        <v>364.04924399999999</v>
      </c>
      <c r="G217" s="92" t="str">
        <f>A216</f>
        <v>22nd Floor (Part Refuge Area)</v>
      </c>
      <c r="H217" s="93"/>
      <c r="I217" s="35"/>
      <c r="N217" s="35"/>
    </row>
    <row r="218" spans="1:14" s="53" customFormat="1" ht="15.75" customHeight="1" x14ac:dyDescent="0.25">
      <c r="A218" s="87">
        <v>2</v>
      </c>
      <c r="B218" s="87"/>
      <c r="C218" s="88" t="s">
        <v>211</v>
      </c>
      <c r="D218" s="89"/>
      <c r="E218" s="89"/>
      <c r="F218" s="90"/>
      <c r="G218" s="94"/>
      <c r="H218" s="95"/>
      <c r="I218" s="35"/>
      <c r="N218" s="35"/>
    </row>
    <row r="219" spans="1:14" s="53" customFormat="1" ht="15.75" customHeight="1" x14ac:dyDescent="0.25">
      <c r="A219" s="87">
        <v>3</v>
      </c>
      <c r="B219" s="87"/>
      <c r="C219" s="52" t="s">
        <v>212</v>
      </c>
      <c r="D219" s="55">
        <f>(39.52)*10.764</f>
        <v>425.39328</v>
      </c>
      <c r="E219" s="52">
        <v>0</v>
      </c>
      <c r="F219" s="52">
        <f>D219*(($F$146)+1)+(IF(E219&lt;101,E219,IF(E219&lt;201,E219/2,IF(E219&lt;=301,E219/3,E219/4))))</f>
        <v>659.35958400000004</v>
      </c>
      <c r="G219" s="94"/>
      <c r="H219" s="95"/>
      <c r="I219" s="35"/>
      <c r="N219" s="35"/>
    </row>
    <row r="220" spans="1:14" s="53" customFormat="1" ht="15.75" customHeight="1" x14ac:dyDescent="0.25">
      <c r="A220" s="87">
        <v>4</v>
      </c>
      <c r="B220" s="87"/>
      <c r="C220" s="52" t="s">
        <v>200</v>
      </c>
      <c r="D220" s="55">
        <f>(33.12)*10.764</f>
        <v>356.50367999999997</v>
      </c>
      <c r="E220" s="52">
        <v>0</v>
      </c>
      <c r="F220" s="52">
        <f>D220*(($F$146)+1)+(IF(E220&lt;101,E220,IF(E220&lt;201,E220/2,IF(E220&lt;=301,E220/3,E220/4))))</f>
        <v>552.58070399999997</v>
      </c>
      <c r="G220" s="94"/>
      <c r="H220" s="95"/>
      <c r="I220" s="35"/>
      <c r="N220" s="35"/>
    </row>
    <row r="221" spans="1:14" s="53" customFormat="1" ht="15.75" customHeight="1" x14ac:dyDescent="0.25">
      <c r="A221" s="87">
        <v>5</v>
      </c>
      <c r="B221" s="87"/>
      <c r="C221" s="52" t="s">
        <v>200</v>
      </c>
      <c r="D221" s="55">
        <f>(33.12)*10.764</f>
        <v>356.50367999999997</v>
      </c>
      <c r="E221" s="52">
        <v>0</v>
      </c>
      <c r="F221" s="52">
        <f t="shared" ref="F221:F222" si="19">D221*(($F$146)+1)+(IF(E221&lt;101,E221,IF(E221&lt;201,E221/2,IF(E221&lt;=301,E221/3,E221/4))))</f>
        <v>552.58070399999997</v>
      </c>
      <c r="G221" s="94"/>
      <c r="H221" s="95"/>
      <c r="I221" s="35"/>
      <c r="N221" s="35"/>
    </row>
    <row r="222" spans="1:14" s="53" customFormat="1" ht="15.75" customHeight="1" x14ac:dyDescent="0.25">
      <c r="A222" s="87">
        <v>6</v>
      </c>
      <c r="B222" s="87"/>
      <c r="C222" s="52" t="s">
        <v>205</v>
      </c>
      <c r="D222" s="55">
        <f>(20.86)*10.764</f>
        <v>224.53703999999999</v>
      </c>
      <c r="E222" s="52">
        <v>0</v>
      </c>
      <c r="F222" s="52">
        <f t="shared" si="19"/>
        <v>348.03241200000002</v>
      </c>
      <c r="G222" s="96"/>
      <c r="H222" s="97"/>
      <c r="I222" s="35"/>
      <c r="N222" s="35"/>
    </row>
    <row r="223" spans="1:14" s="53" customFormat="1" x14ac:dyDescent="0.25">
      <c r="A223" s="91" t="s">
        <v>214</v>
      </c>
      <c r="B223" s="91"/>
      <c r="C223" s="91"/>
      <c r="D223" s="91"/>
      <c r="E223" s="91"/>
      <c r="F223" s="91"/>
      <c r="G223" s="91"/>
      <c r="H223" s="91"/>
      <c r="I223" s="35"/>
      <c r="L223" s="86"/>
      <c r="M223" s="86"/>
    </row>
    <row r="224" spans="1:14" s="53" customFormat="1" x14ac:dyDescent="0.25">
      <c r="A224" s="87">
        <v>1</v>
      </c>
      <c r="B224" s="87"/>
      <c r="C224" s="80" t="s">
        <v>205</v>
      </c>
      <c r="D224" s="55">
        <f>(21.82)*10.764</f>
        <v>234.87047999999999</v>
      </c>
      <c r="E224" s="80">
        <v>0</v>
      </c>
      <c r="F224" s="80">
        <f t="shared" ref="F224:F225" si="20">D224*(($F$146)+1)+(IF(E224&lt;101,E224,IF(E224&lt;201,E224/2,IF(E224&lt;=301,E224/3,E224/4))))</f>
        <v>364.04924399999999</v>
      </c>
      <c r="G224" s="87" t="str">
        <f>A223</f>
        <v>23rd Floor</v>
      </c>
      <c r="H224" s="87"/>
      <c r="I224" s="35"/>
      <c r="N224" s="35"/>
    </row>
    <row r="225" spans="1:14" s="53" customFormat="1" x14ac:dyDescent="0.25">
      <c r="A225" s="87">
        <v>2</v>
      </c>
      <c r="B225" s="87"/>
      <c r="C225" s="80" t="s">
        <v>200</v>
      </c>
      <c r="D225" s="55">
        <f>(29.59)*10.764</f>
        <v>318.50675999999999</v>
      </c>
      <c r="E225" s="80">
        <v>0</v>
      </c>
      <c r="F225" s="80">
        <f t="shared" si="20"/>
        <v>493.68547799999999</v>
      </c>
      <c r="G225" s="87"/>
      <c r="H225" s="87"/>
      <c r="I225" s="35"/>
      <c r="N225" s="35"/>
    </row>
    <row r="226" spans="1:14" s="53" customFormat="1" x14ac:dyDescent="0.25">
      <c r="A226" s="87">
        <v>3</v>
      </c>
      <c r="B226" s="87"/>
      <c r="C226" s="80" t="s">
        <v>200</v>
      </c>
      <c r="D226" s="55">
        <f>(29.59)*10.764</f>
        <v>318.50675999999999</v>
      </c>
      <c r="E226" s="80">
        <v>0</v>
      </c>
      <c r="F226" s="80">
        <f>D226*(($F$146)+1)+(IF(E226&lt;101,E226,IF(E226&lt;201,E226/2,IF(E226&lt;=301,E226/3,E226/4))))</f>
        <v>493.68547799999999</v>
      </c>
      <c r="G226" s="87"/>
      <c r="H226" s="87"/>
      <c r="I226" s="35"/>
      <c r="N226" s="35"/>
    </row>
    <row r="227" spans="1:14" s="53" customFormat="1" ht="15.75" customHeight="1" x14ac:dyDescent="0.25">
      <c r="A227" s="87">
        <v>4</v>
      </c>
      <c r="B227" s="87"/>
      <c r="C227" s="80" t="s">
        <v>200</v>
      </c>
      <c r="D227" s="55">
        <f>(33.12)*10.764</f>
        <v>356.50367999999997</v>
      </c>
      <c r="E227" s="80">
        <v>0</v>
      </c>
      <c r="F227" s="80">
        <f>D227*(($F$146)+1)+(IF(E227&lt;101,E227,IF(E227&lt;201,E227/2,IF(E227&lt;=301,E227/3,E227/4))))</f>
        <v>552.58070399999997</v>
      </c>
      <c r="G227" s="87"/>
      <c r="H227" s="87"/>
      <c r="I227" s="35"/>
      <c r="N227" s="35"/>
    </row>
    <row r="228" spans="1:14" s="53" customFormat="1" x14ac:dyDescent="0.25">
      <c r="A228" s="87">
        <v>5</v>
      </c>
      <c r="B228" s="87"/>
      <c r="C228" s="80" t="s">
        <v>200</v>
      </c>
      <c r="D228" s="55">
        <f>(33.12)*10.764</f>
        <v>356.50367999999997</v>
      </c>
      <c r="E228" s="80">
        <v>0</v>
      </c>
      <c r="F228" s="80">
        <f t="shared" ref="F228:F229" si="21">D228*(($F$146)+1)+(IF(E228&lt;101,E228,IF(E228&lt;201,E228/2,IF(E228&lt;=301,E228/3,E228/4))))</f>
        <v>552.58070399999997</v>
      </c>
      <c r="G228" s="87"/>
      <c r="H228" s="87"/>
      <c r="I228" s="35"/>
      <c r="N228" s="35"/>
    </row>
    <row r="229" spans="1:14" s="53" customFormat="1" x14ac:dyDescent="0.25">
      <c r="A229" s="87">
        <v>6</v>
      </c>
      <c r="B229" s="87"/>
      <c r="C229" s="80" t="s">
        <v>205</v>
      </c>
      <c r="D229" s="55">
        <f>(20.86)*10.764</f>
        <v>224.53703999999999</v>
      </c>
      <c r="E229" s="80">
        <v>0</v>
      </c>
      <c r="F229" s="80">
        <f t="shared" si="21"/>
        <v>348.03241200000002</v>
      </c>
      <c r="G229" s="87"/>
      <c r="H229" s="87"/>
      <c r="I229" s="35"/>
      <c r="M229" s="63">
        <f>5900000/F220</f>
        <v>10677.173410673422</v>
      </c>
      <c r="N229" s="35"/>
    </row>
    <row r="230" spans="1:14" s="34" customFormat="1" x14ac:dyDescent="0.25">
      <c r="A230" s="196" t="s">
        <v>69</v>
      </c>
      <c r="B230" s="196"/>
      <c r="C230" s="196"/>
      <c r="D230" s="196"/>
      <c r="E230" s="196"/>
      <c r="F230" s="196"/>
      <c r="G230" s="196"/>
      <c r="H230" s="196"/>
      <c r="M230" s="63">
        <f>8500000/F219</f>
        <v>12891.296655513541</v>
      </c>
    </row>
    <row r="231" spans="1:14" s="34" customFormat="1" x14ac:dyDescent="0.25">
      <c r="A231" s="45" t="s">
        <v>156</v>
      </c>
      <c r="B231" s="197" t="s">
        <v>262</v>
      </c>
      <c r="C231" s="198"/>
      <c r="D231" s="198"/>
      <c r="E231" s="198"/>
      <c r="F231" s="198"/>
      <c r="G231" s="198"/>
      <c r="H231" s="199"/>
      <c r="M231" s="66">
        <f>AVERAGE(M229:M230)</f>
        <v>11784.235033093482</v>
      </c>
    </row>
    <row r="232" spans="1:14" s="34" customFormat="1" x14ac:dyDescent="0.25">
      <c r="A232" s="45" t="s">
        <v>156</v>
      </c>
      <c r="B232" s="197" t="str">
        <f>(IF(F145="Saleable area Loading :","We have considered Saleable area of Flats as per our Calculation.","We considered Saleable area of Flat as per Builder area Sheet."))</f>
        <v>We have considered Saleable area of Flats as per our Calculation.</v>
      </c>
      <c r="C232" s="198"/>
      <c r="D232" s="198"/>
      <c r="E232" s="198"/>
      <c r="F232" s="198"/>
      <c r="G232" s="198"/>
      <c r="H232" s="199"/>
    </row>
    <row r="233" spans="1:14" s="34" customFormat="1" x14ac:dyDescent="0.25">
      <c r="A233" s="45" t="s">
        <v>156</v>
      </c>
      <c r="B233" s="197" t="str">
        <f>(IF(F137="Saleable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33" s="198"/>
      <c r="D233" s="198"/>
      <c r="E233" s="198"/>
      <c r="F233" s="198"/>
      <c r="G233" s="198"/>
      <c r="H233" s="199"/>
    </row>
    <row r="234" spans="1:14" s="34" customFormat="1" x14ac:dyDescent="0.25">
      <c r="A234" s="45" t="s">
        <v>156</v>
      </c>
      <c r="B234" s="193" t="s">
        <v>126</v>
      </c>
      <c r="C234" s="194"/>
      <c r="D234" s="194"/>
      <c r="E234" s="194"/>
      <c r="F234" s="194"/>
      <c r="G234" s="194"/>
      <c r="H234" s="195"/>
    </row>
    <row r="235" spans="1:14" s="34" customFormat="1" x14ac:dyDescent="0.25">
      <c r="A235" s="45" t="s">
        <v>156</v>
      </c>
      <c r="B235" s="193" t="s">
        <v>215</v>
      </c>
      <c r="C235" s="194"/>
      <c r="D235" s="194"/>
      <c r="E235" s="194"/>
      <c r="F235" s="194"/>
      <c r="G235" s="194"/>
      <c r="H235" s="195"/>
    </row>
    <row r="236" spans="1:14" s="34" customFormat="1" x14ac:dyDescent="0.25">
      <c r="A236" s="45" t="s">
        <v>156</v>
      </c>
      <c r="B236" s="193" t="s">
        <v>155</v>
      </c>
      <c r="C236" s="194"/>
      <c r="D236" s="194"/>
      <c r="E236" s="194"/>
      <c r="F236" s="194"/>
      <c r="G236" s="194"/>
      <c r="H236" s="195"/>
    </row>
    <row r="237" spans="1:14" s="34" customFormat="1" x14ac:dyDescent="0.25">
      <c r="A237" s="45" t="s">
        <v>156</v>
      </c>
      <c r="B237" s="193" t="s">
        <v>127</v>
      </c>
      <c r="C237" s="194"/>
      <c r="D237" s="194"/>
      <c r="E237" s="194"/>
      <c r="F237" s="194"/>
      <c r="G237" s="194"/>
      <c r="H237" s="195"/>
    </row>
    <row r="238" spans="1:14" s="34" customFormat="1" ht="34.5" customHeight="1" x14ac:dyDescent="0.25">
      <c r="A238" s="45" t="s">
        <v>156</v>
      </c>
      <c r="B238" s="193" t="s">
        <v>157</v>
      </c>
      <c r="C238" s="194"/>
      <c r="D238" s="194"/>
      <c r="E238" s="194"/>
      <c r="F238" s="194"/>
      <c r="G238" s="194"/>
      <c r="H238" s="195"/>
    </row>
    <row r="239" spans="1:14" s="34" customFormat="1" x14ac:dyDescent="0.25">
      <c r="A239" s="54" t="s">
        <v>156</v>
      </c>
      <c r="B239" s="193" t="s">
        <v>128</v>
      </c>
      <c r="C239" s="194"/>
      <c r="D239" s="194"/>
      <c r="E239" s="194"/>
      <c r="F239" s="194"/>
      <c r="G239" s="194"/>
      <c r="H239" s="195"/>
    </row>
    <row r="240" spans="1:14" s="34" customFormat="1" hidden="1" x14ac:dyDescent="0.25">
      <c r="A240" s="45" t="s">
        <v>156</v>
      </c>
      <c r="B240" s="207" t="s">
        <v>222</v>
      </c>
      <c r="C240" s="208"/>
      <c r="D240" s="208"/>
      <c r="E240" s="208"/>
      <c r="F240" s="208"/>
      <c r="G240" s="208"/>
      <c r="H240" s="209"/>
    </row>
    <row r="241" spans="1:8" s="34" customFormat="1" x14ac:dyDescent="0.25">
      <c r="A241" s="70" t="s">
        <v>156</v>
      </c>
      <c r="B241" s="193" t="s">
        <v>236</v>
      </c>
      <c r="C241" s="194"/>
      <c r="D241" s="194"/>
      <c r="E241" s="194"/>
      <c r="F241" s="194"/>
      <c r="G241" s="194"/>
      <c r="H241" s="195"/>
    </row>
    <row r="242" spans="1:8" s="34" customFormat="1" x14ac:dyDescent="0.25">
      <c r="A242" s="76" t="s">
        <v>156</v>
      </c>
      <c r="B242" s="215" t="s">
        <v>260</v>
      </c>
      <c r="C242" s="216"/>
      <c r="D242" s="216"/>
      <c r="E242" s="216"/>
      <c r="F242" s="216"/>
      <c r="G242" s="216"/>
      <c r="H242" s="217"/>
    </row>
    <row r="243" spans="1:8" s="34" customFormat="1" x14ac:dyDescent="0.25">
      <c r="A243" s="77" t="s">
        <v>156</v>
      </c>
      <c r="B243" s="193" t="s">
        <v>261</v>
      </c>
      <c r="C243" s="194"/>
      <c r="D243" s="194"/>
      <c r="E243" s="194"/>
      <c r="F243" s="194"/>
      <c r="G243" s="194"/>
      <c r="H243" s="195"/>
    </row>
    <row r="244" spans="1:8" s="34" customFormat="1" ht="30.95" customHeight="1" x14ac:dyDescent="0.25">
      <c r="A244" s="81" t="s">
        <v>156</v>
      </c>
      <c r="B244" s="212" t="s">
        <v>266</v>
      </c>
      <c r="C244" s="213"/>
      <c r="D244" s="213"/>
      <c r="E244" s="213"/>
      <c r="F244" s="213"/>
      <c r="G244" s="213"/>
      <c r="H244" s="214"/>
    </row>
    <row r="245" spans="1:8" x14ac:dyDescent="0.25">
      <c r="A245" s="206" t="s">
        <v>62</v>
      </c>
      <c r="B245" s="206"/>
      <c r="C245" s="206"/>
      <c r="D245" s="206"/>
      <c r="E245" s="206"/>
      <c r="F245" s="206"/>
      <c r="G245" s="206"/>
      <c r="H245" s="206"/>
    </row>
    <row r="246" spans="1:8" x14ac:dyDescent="0.25">
      <c r="A246" s="101" t="s">
        <v>63</v>
      </c>
      <c r="B246" s="101"/>
      <c r="C246" s="101"/>
      <c r="D246" s="101"/>
      <c r="E246" s="101"/>
      <c r="F246" s="101"/>
      <c r="G246" s="101"/>
      <c r="H246" s="101"/>
    </row>
    <row r="247" spans="1:8" ht="15.75" customHeight="1" x14ac:dyDescent="0.25">
      <c r="A247" s="202" t="s">
        <v>64</v>
      </c>
      <c r="B247" s="202"/>
      <c r="C247" s="202"/>
      <c r="D247" s="202"/>
      <c r="E247" s="202"/>
      <c r="F247" s="202"/>
      <c r="G247" s="202"/>
      <c r="H247" s="202"/>
    </row>
    <row r="248" spans="1:8" x14ac:dyDescent="0.25">
      <c r="A248" s="101" t="s">
        <v>65</v>
      </c>
      <c r="B248" s="101"/>
      <c r="C248" s="101"/>
      <c r="D248" s="101"/>
      <c r="E248" s="101"/>
      <c r="F248" s="101"/>
      <c r="G248" s="101"/>
      <c r="H248" s="101"/>
    </row>
    <row r="249" spans="1:8" x14ac:dyDescent="0.25">
      <c r="A249" s="101" t="s">
        <v>66</v>
      </c>
      <c r="B249" s="101"/>
      <c r="C249" s="101"/>
      <c r="D249" s="101"/>
      <c r="E249" s="101"/>
      <c r="F249" s="101"/>
      <c r="G249" s="101"/>
      <c r="H249" s="101"/>
    </row>
    <row r="250" spans="1:8" x14ac:dyDescent="0.25">
      <c r="A250" s="101" t="s">
        <v>129</v>
      </c>
      <c r="B250" s="101"/>
      <c r="C250" s="101"/>
      <c r="D250" s="101"/>
      <c r="E250" s="101"/>
      <c r="F250" s="101"/>
      <c r="G250" s="101"/>
      <c r="H250" s="101"/>
    </row>
    <row r="251" spans="1:8" x14ac:dyDescent="0.25">
      <c r="A251" s="186" t="s">
        <v>130</v>
      </c>
      <c r="B251" s="186"/>
      <c r="C251" s="186"/>
      <c r="D251" s="186"/>
      <c r="E251" s="186"/>
      <c r="F251" s="186"/>
      <c r="G251" s="186"/>
      <c r="H251" s="186"/>
    </row>
    <row r="252" spans="1:8" x14ac:dyDescent="0.25">
      <c r="A252" s="201" t="s">
        <v>79</v>
      </c>
      <c r="B252" s="201"/>
      <c r="C252" s="201" t="s">
        <v>174</v>
      </c>
      <c r="D252" s="201"/>
      <c r="E252" s="201" t="s">
        <v>107</v>
      </c>
      <c r="F252" s="201"/>
      <c r="G252" s="201" t="s">
        <v>268</v>
      </c>
      <c r="H252" s="201"/>
    </row>
    <row r="253" spans="1:8" x14ac:dyDescent="0.25">
      <c r="A253" s="200" t="s">
        <v>81</v>
      </c>
      <c r="B253" s="200"/>
      <c r="C253" s="200"/>
      <c r="D253" s="200"/>
      <c r="E253" s="200"/>
      <c r="F253" s="200"/>
      <c r="G253" s="200"/>
      <c r="H253" s="200"/>
    </row>
    <row r="254" spans="1:8" x14ac:dyDescent="0.25">
      <c r="A254" s="200"/>
      <c r="B254" s="200"/>
      <c r="C254" s="200"/>
      <c r="D254" s="200"/>
      <c r="E254" s="200"/>
      <c r="F254" s="200"/>
      <c r="G254" s="200"/>
      <c r="H254" s="200"/>
    </row>
    <row r="255" spans="1:8" x14ac:dyDescent="0.25">
      <c r="A255" s="200"/>
      <c r="B255" s="200"/>
      <c r="C255" s="200"/>
      <c r="D255" s="200"/>
      <c r="E255" s="200"/>
      <c r="F255" s="200"/>
      <c r="G255" s="200"/>
      <c r="H255" s="200"/>
    </row>
    <row r="256" spans="1:8" x14ac:dyDescent="0.25">
      <c r="A256" s="200"/>
      <c r="B256" s="200"/>
      <c r="C256" s="200"/>
      <c r="D256" s="200"/>
      <c r="E256" s="200"/>
      <c r="F256" s="200"/>
      <c r="G256" s="200"/>
      <c r="H256" s="200"/>
    </row>
    <row r="257" spans="1:8" x14ac:dyDescent="0.25">
      <c r="A257" s="37" t="s">
        <v>67</v>
      </c>
      <c r="B257" s="38"/>
      <c r="C257" s="38"/>
      <c r="D257" s="37" t="str">
        <f>E8</f>
        <v>Sai Sastha Samrat</v>
      </c>
      <c r="F257" s="38"/>
      <c r="G257" s="38"/>
      <c r="H257" s="38"/>
    </row>
    <row r="258" spans="1:8" x14ac:dyDescent="0.25">
      <c r="A258" s="38"/>
      <c r="B258" s="38"/>
      <c r="C258" s="38"/>
      <c r="D258" s="38"/>
      <c r="E258" s="38"/>
      <c r="F258" s="38"/>
      <c r="G258" s="38"/>
      <c r="H258" s="38"/>
    </row>
    <row r="259" spans="1:8" x14ac:dyDescent="0.25">
      <c r="A259" s="38"/>
      <c r="B259" s="38"/>
      <c r="C259" s="38"/>
      <c r="D259" s="38"/>
      <c r="E259" s="38"/>
      <c r="F259" s="38"/>
      <c r="G259" s="38"/>
      <c r="H259" s="38"/>
    </row>
    <row r="260" spans="1:8" ht="15" customHeight="1" x14ac:dyDescent="0.25"/>
    <row r="300" spans="1:1" x14ac:dyDescent="0.25">
      <c r="A300" s="40" t="s">
        <v>170</v>
      </c>
    </row>
    <row r="343" spans="1:1" x14ac:dyDescent="0.25">
      <c r="A343" s="40" t="s">
        <v>68</v>
      </c>
    </row>
  </sheetData>
  <mergeCells count="440">
    <mergeCell ref="G183:H184"/>
    <mergeCell ref="E42:H42"/>
    <mergeCell ref="A42:D42"/>
    <mergeCell ref="A82:B82"/>
    <mergeCell ref="C82:H82"/>
    <mergeCell ref="A77:B77"/>
    <mergeCell ref="A49:B49"/>
    <mergeCell ref="C49:E49"/>
    <mergeCell ref="G49:H49"/>
    <mergeCell ref="G51:H51"/>
    <mergeCell ref="D55:H55"/>
    <mergeCell ref="C51:E51"/>
    <mergeCell ref="A59:C60"/>
    <mergeCell ref="D59:H59"/>
    <mergeCell ref="D60:H60"/>
    <mergeCell ref="A53:B53"/>
    <mergeCell ref="C53:E53"/>
    <mergeCell ref="A54:H54"/>
    <mergeCell ref="A55:C55"/>
    <mergeCell ref="A62:C62"/>
    <mergeCell ref="A73:B73"/>
    <mergeCell ref="A75:B75"/>
    <mergeCell ref="E71:F71"/>
    <mergeCell ref="A64:C64"/>
    <mergeCell ref="D64:H64"/>
    <mergeCell ref="A67:C67"/>
    <mergeCell ref="D67:H67"/>
    <mergeCell ref="A65:C65"/>
    <mergeCell ref="D65:H65"/>
    <mergeCell ref="A66:C66"/>
    <mergeCell ref="D66:H66"/>
    <mergeCell ref="A72:B72"/>
    <mergeCell ref="G71:H71"/>
    <mergeCell ref="E72:F81"/>
    <mergeCell ref="G72:H81"/>
    <mergeCell ref="A80:B80"/>
    <mergeCell ref="A81:B81"/>
    <mergeCell ref="A78:B78"/>
    <mergeCell ref="A71:B71"/>
    <mergeCell ref="A74:B74"/>
    <mergeCell ref="C145:C146"/>
    <mergeCell ref="A143:B143"/>
    <mergeCell ref="A181:H181"/>
    <mergeCell ref="A140:B140"/>
    <mergeCell ref="G161:H164"/>
    <mergeCell ref="A160:H160"/>
    <mergeCell ref="A132:B132"/>
    <mergeCell ref="A127:B127"/>
    <mergeCell ref="A130:H130"/>
    <mergeCell ref="A131:B131"/>
    <mergeCell ref="G127:H127"/>
    <mergeCell ref="A128:B128"/>
    <mergeCell ref="A135:H135"/>
    <mergeCell ref="A247:H247"/>
    <mergeCell ref="D145:D146"/>
    <mergeCell ref="E145:E146"/>
    <mergeCell ref="G145:H146"/>
    <mergeCell ref="B239:H239"/>
    <mergeCell ref="C137:C138"/>
    <mergeCell ref="B145:B146"/>
    <mergeCell ref="A148:H148"/>
    <mergeCell ref="A149:H149"/>
    <mergeCell ref="A147:H147"/>
    <mergeCell ref="A150:H150"/>
    <mergeCell ref="A175:H175"/>
    <mergeCell ref="G166:H169"/>
    <mergeCell ref="G142:H142"/>
    <mergeCell ref="G140:H140"/>
    <mergeCell ref="A155:H155"/>
    <mergeCell ref="A206:B206"/>
    <mergeCell ref="A193:B193"/>
    <mergeCell ref="A205:B205"/>
    <mergeCell ref="G189:H194"/>
    <mergeCell ref="A245:H245"/>
    <mergeCell ref="A246:H246"/>
    <mergeCell ref="B240:H240"/>
    <mergeCell ref="A228:B228"/>
    <mergeCell ref="A253:H256"/>
    <mergeCell ref="A252:B252"/>
    <mergeCell ref="E252:F252"/>
    <mergeCell ref="C252:D252"/>
    <mergeCell ref="G252:H252"/>
    <mergeCell ref="A251:H251"/>
    <mergeCell ref="A249:H249"/>
    <mergeCell ref="B241:H241"/>
    <mergeCell ref="B232:H232"/>
    <mergeCell ref="B236:H236"/>
    <mergeCell ref="A250:H250"/>
    <mergeCell ref="A248:H248"/>
    <mergeCell ref="A229:B229"/>
    <mergeCell ref="B244:H244"/>
    <mergeCell ref="B243:H243"/>
    <mergeCell ref="B242:H242"/>
    <mergeCell ref="B238:H238"/>
    <mergeCell ref="A194:B194"/>
    <mergeCell ref="A190:B190"/>
    <mergeCell ref="A191:B191"/>
    <mergeCell ref="B234:H234"/>
    <mergeCell ref="B235:H235"/>
    <mergeCell ref="A230:H230"/>
    <mergeCell ref="B233:H233"/>
    <mergeCell ref="G203:H208"/>
    <mergeCell ref="A217:B217"/>
    <mergeCell ref="A218:B218"/>
    <mergeCell ref="A219:B219"/>
    <mergeCell ref="A220:B220"/>
    <mergeCell ref="G217:H222"/>
    <mergeCell ref="G224:H229"/>
    <mergeCell ref="G210:H215"/>
    <mergeCell ref="A216:H216"/>
    <mergeCell ref="A203:B203"/>
    <mergeCell ref="A207:B207"/>
    <mergeCell ref="A204:B204"/>
    <mergeCell ref="B237:H237"/>
    <mergeCell ref="B231:H231"/>
    <mergeCell ref="A192:B192"/>
    <mergeCell ref="G196:H20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6:B16"/>
    <mergeCell ref="A13:D13"/>
    <mergeCell ref="E13:H13"/>
    <mergeCell ref="A14:D14"/>
    <mergeCell ref="A10:D10"/>
    <mergeCell ref="E10:H10"/>
    <mergeCell ref="A12:D12"/>
    <mergeCell ref="E12:H12"/>
    <mergeCell ref="E14:H14"/>
    <mergeCell ref="A15:B15"/>
    <mergeCell ref="C15:H15"/>
    <mergeCell ref="C16:H16"/>
    <mergeCell ref="A17:B17"/>
    <mergeCell ref="C17:H17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9:D29"/>
    <mergeCell ref="E29:H29"/>
    <mergeCell ref="A26:D26"/>
    <mergeCell ref="A22:D23"/>
    <mergeCell ref="E22:H23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36:B36"/>
    <mergeCell ref="C36:E36"/>
    <mergeCell ref="A41:D41"/>
    <mergeCell ref="E41:H41"/>
    <mergeCell ref="F33:H33"/>
    <mergeCell ref="F34:H34"/>
    <mergeCell ref="A40:H40"/>
    <mergeCell ref="A61:C61"/>
    <mergeCell ref="F36:H36"/>
    <mergeCell ref="A38:B38"/>
    <mergeCell ref="C38:H38"/>
    <mergeCell ref="A45:D45"/>
    <mergeCell ref="A46:D46"/>
    <mergeCell ref="A47:H47"/>
    <mergeCell ref="D57:H57"/>
    <mergeCell ref="G50:H50"/>
    <mergeCell ref="A51:B52"/>
    <mergeCell ref="C50:E50"/>
    <mergeCell ref="A50:B50"/>
    <mergeCell ref="A39:B39"/>
    <mergeCell ref="C39:H39"/>
    <mergeCell ref="A48:B48"/>
    <mergeCell ref="A35:B35"/>
    <mergeCell ref="C35:E35"/>
    <mergeCell ref="A43:D43"/>
    <mergeCell ref="E43:H43"/>
    <mergeCell ref="E44:H44"/>
    <mergeCell ref="E45:H45"/>
    <mergeCell ref="E46:H46"/>
    <mergeCell ref="A44:D44"/>
    <mergeCell ref="D58:H58"/>
    <mergeCell ref="A37:H37"/>
    <mergeCell ref="C48:H48"/>
    <mergeCell ref="A57:C58"/>
    <mergeCell ref="C52:H52"/>
    <mergeCell ref="A56:C56"/>
    <mergeCell ref="D56:H56"/>
    <mergeCell ref="G53:H53"/>
    <mergeCell ref="L142:M142"/>
    <mergeCell ref="L141:M141"/>
    <mergeCell ref="L140:M140"/>
    <mergeCell ref="A79:B79"/>
    <mergeCell ref="C132:D132"/>
    <mergeCell ref="E132:F132"/>
    <mergeCell ref="G132:H132"/>
    <mergeCell ref="F119:H119"/>
    <mergeCell ref="A111:E111"/>
    <mergeCell ref="A139:H139"/>
    <mergeCell ref="E137:E138"/>
    <mergeCell ref="G137:H138"/>
    <mergeCell ref="A86:B86"/>
    <mergeCell ref="E86:F95"/>
    <mergeCell ref="A93:B93"/>
    <mergeCell ref="A94:B94"/>
    <mergeCell ref="A84:B84"/>
    <mergeCell ref="C84:H84"/>
    <mergeCell ref="A85:B85"/>
    <mergeCell ref="E85:F85"/>
    <mergeCell ref="A96:B96"/>
    <mergeCell ref="C127:D127"/>
    <mergeCell ref="D137:D138"/>
    <mergeCell ref="B137:B138"/>
    <mergeCell ref="F121:H121"/>
    <mergeCell ref="A133:B133"/>
    <mergeCell ref="C133:D133"/>
    <mergeCell ref="E133:F133"/>
    <mergeCell ref="G133:H133"/>
    <mergeCell ref="C131:D131"/>
    <mergeCell ref="E127:F127"/>
    <mergeCell ref="C134:D134"/>
    <mergeCell ref="A63:C63"/>
    <mergeCell ref="D63:H63"/>
    <mergeCell ref="A70:B70"/>
    <mergeCell ref="A68:B68"/>
    <mergeCell ref="C68:H68"/>
    <mergeCell ref="A76:B76"/>
    <mergeCell ref="A115:E115"/>
    <mergeCell ref="F115:H115"/>
    <mergeCell ref="F123:H123"/>
    <mergeCell ref="A124:E124"/>
    <mergeCell ref="F124:H124"/>
    <mergeCell ref="G126:H126"/>
    <mergeCell ref="A129:B129"/>
    <mergeCell ref="E131:F131"/>
    <mergeCell ref="C126:D126"/>
    <mergeCell ref="F122:H122"/>
    <mergeCell ref="A126:B126"/>
    <mergeCell ref="A122:E122"/>
    <mergeCell ref="E126:F126"/>
    <mergeCell ref="C96:H96"/>
    <mergeCell ref="A98:B98"/>
    <mergeCell ref="C98:H98"/>
    <mergeCell ref="A99:B99"/>
    <mergeCell ref="E99:F99"/>
    <mergeCell ref="G99:H99"/>
    <mergeCell ref="A117:E117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F116:H116"/>
    <mergeCell ref="F110:H110"/>
    <mergeCell ref="F117:H117"/>
    <mergeCell ref="A116:E116"/>
    <mergeCell ref="D62:H62"/>
    <mergeCell ref="C70:H70"/>
    <mergeCell ref="F111:H111"/>
    <mergeCell ref="D61:H61"/>
    <mergeCell ref="E100:F109"/>
    <mergeCell ref="G100:H109"/>
    <mergeCell ref="G85:H85"/>
    <mergeCell ref="A118:E118"/>
    <mergeCell ref="F118:H118"/>
    <mergeCell ref="F113:H113"/>
    <mergeCell ref="A113:E113"/>
    <mergeCell ref="A110:E110"/>
    <mergeCell ref="F114:H114"/>
    <mergeCell ref="G86:H95"/>
    <mergeCell ref="A87:B87"/>
    <mergeCell ref="A88:B88"/>
    <mergeCell ref="A89:B89"/>
    <mergeCell ref="F112:H112"/>
    <mergeCell ref="A112:E112"/>
    <mergeCell ref="A114:E114"/>
    <mergeCell ref="A95:B95"/>
    <mergeCell ref="A90:B90"/>
    <mergeCell ref="A91:B91"/>
    <mergeCell ref="A92:B92"/>
    <mergeCell ref="L160:M160"/>
    <mergeCell ref="A161:B161"/>
    <mergeCell ref="A162:B162"/>
    <mergeCell ref="A163:B163"/>
    <mergeCell ref="A164:B164"/>
    <mergeCell ref="C128:D128"/>
    <mergeCell ref="E128:F128"/>
    <mergeCell ref="G134:H134"/>
    <mergeCell ref="A134:B134"/>
    <mergeCell ref="E134:F134"/>
    <mergeCell ref="A136:H136"/>
    <mergeCell ref="G128:H128"/>
    <mergeCell ref="C129:D129"/>
    <mergeCell ref="E129:F129"/>
    <mergeCell ref="G129:H129"/>
    <mergeCell ref="A159:B159"/>
    <mergeCell ref="L155:M155"/>
    <mergeCell ref="L154:M154"/>
    <mergeCell ref="L151:M151"/>
    <mergeCell ref="L152:M152"/>
    <mergeCell ref="L153:M153"/>
    <mergeCell ref="A137:A138"/>
    <mergeCell ref="G131:H131"/>
    <mergeCell ref="L143:M143"/>
    <mergeCell ref="F120:H120"/>
    <mergeCell ref="A119:E119"/>
    <mergeCell ref="A121:E121"/>
    <mergeCell ref="A120:E120"/>
    <mergeCell ref="A156:B156"/>
    <mergeCell ref="A157:B157"/>
    <mergeCell ref="A158:B158"/>
    <mergeCell ref="G156:H159"/>
    <mergeCell ref="G141:H141"/>
    <mergeCell ref="A152:B152"/>
    <mergeCell ref="A153:B153"/>
    <mergeCell ref="A154:B154"/>
    <mergeCell ref="A151:B151"/>
    <mergeCell ref="C151:F151"/>
    <mergeCell ref="C152:F152"/>
    <mergeCell ref="C153:F153"/>
    <mergeCell ref="G151:H154"/>
    <mergeCell ref="A141:B141"/>
    <mergeCell ref="A142:B142"/>
    <mergeCell ref="G143:H143"/>
    <mergeCell ref="A144:H144"/>
    <mergeCell ref="A145:A146"/>
    <mergeCell ref="A125:H125"/>
    <mergeCell ref="A123:E123"/>
    <mergeCell ref="A198:B198"/>
    <mergeCell ref="A199:B199"/>
    <mergeCell ref="L165:M165"/>
    <mergeCell ref="A167:B167"/>
    <mergeCell ref="A168:B168"/>
    <mergeCell ref="A169:B169"/>
    <mergeCell ref="A166:B166"/>
    <mergeCell ref="A179:H179"/>
    <mergeCell ref="A165:H165"/>
    <mergeCell ref="G171:H174"/>
    <mergeCell ref="G176:H177"/>
    <mergeCell ref="A170:H170"/>
    <mergeCell ref="L170:M170"/>
    <mergeCell ref="A171:B171"/>
    <mergeCell ref="A172:B172"/>
    <mergeCell ref="A173:B173"/>
    <mergeCell ref="A174:B174"/>
    <mergeCell ref="C174:F174"/>
    <mergeCell ref="A185:H185"/>
    <mergeCell ref="A178:H178"/>
    <mergeCell ref="C197:F198"/>
    <mergeCell ref="A182:H182"/>
    <mergeCell ref="A184:B184"/>
    <mergeCell ref="G186:H187"/>
    <mergeCell ref="L175:M175"/>
    <mergeCell ref="A176:B176"/>
    <mergeCell ref="A177:B177"/>
    <mergeCell ref="A188:H188"/>
    <mergeCell ref="L202:M202"/>
    <mergeCell ref="L184:M184"/>
    <mergeCell ref="A183:B183"/>
    <mergeCell ref="L183:M183"/>
    <mergeCell ref="C183:F183"/>
    <mergeCell ref="C184:F184"/>
    <mergeCell ref="A195:H195"/>
    <mergeCell ref="A200:B200"/>
    <mergeCell ref="A201:B201"/>
    <mergeCell ref="L188:M188"/>
    <mergeCell ref="A189:B189"/>
    <mergeCell ref="L178:M178"/>
    <mergeCell ref="L185:M185"/>
    <mergeCell ref="A186:B186"/>
    <mergeCell ref="A187:B187"/>
    <mergeCell ref="A180:H180"/>
    <mergeCell ref="A202:H202"/>
    <mergeCell ref="L195:M195"/>
    <mergeCell ref="A196:B196"/>
    <mergeCell ref="A197:B197"/>
    <mergeCell ref="L223:M223"/>
    <mergeCell ref="A224:B224"/>
    <mergeCell ref="A225:B225"/>
    <mergeCell ref="A226:B226"/>
    <mergeCell ref="A227:B227"/>
    <mergeCell ref="A221:B221"/>
    <mergeCell ref="A222:B222"/>
    <mergeCell ref="C218:F218"/>
    <mergeCell ref="A208:B208"/>
    <mergeCell ref="L216:M216"/>
    <mergeCell ref="A211:B211"/>
    <mergeCell ref="A212:B212"/>
    <mergeCell ref="A213:B213"/>
    <mergeCell ref="A214:B214"/>
    <mergeCell ref="A215:B215"/>
    <mergeCell ref="A209:H209"/>
    <mergeCell ref="L209:M209"/>
    <mergeCell ref="A210:B210"/>
    <mergeCell ref="A223:H223"/>
  </mergeCells>
  <hyperlinks>
    <hyperlink ref="C39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7" max="16383" man="1"/>
    <brk id="256" max="16383" man="1"/>
    <brk id="299" max="16383" man="1"/>
    <brk id="34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7" zoomScale="85" zoomScaleNormal="85" workbookViewId="0">
      <selection activeCell="F21" sqref="F21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28" t="s">
        <v>108</v>
      </c>
      <c r="C3" s="228"/>
      <c r="D3" s="228"/>
      <c r="E3" s="228"/>
      <c r="F3" s="228"/>
      <c r="G3" s="228"/>
      <c r="H3" s="228"/>
    </row>
    <row r="4" spans="1:9" x14ac:dyDescent="0.25">
      <c r="A4" s="2"/>
      <c r="B4" s="3" t="s">
        <v>109</v>
      </c>
      <c r="C4" s="3" t="s">
        <v>110</v>
      </c>
      <c r="D4" s="3" t="s">
        <v>70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2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2025-07-14T10:53:48Z</cp:lastPrinted>
  <dcterms:created xsi:type="dcterms:W3CDTF">2019-07-16T09:29:46Z</dcterms:created>
  <dcterms:modified xsi:type="dcterms:W3CDTF">2025-07-14T10:56:46Z</dcterms:modified>
</cp:coreProperties>
</file>