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7-07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Report!$A$1:$H$643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1" i="1" l="1"/>
  <c r="C97" i="1"/>
  <c r="C69" i="1"/>
  <c r="C83" i="1"/>
  <c r="J116" i="1" l="1"/>
  <c r="J115" i="1"/>
  <c r="J114" i="1"/>
  <c r="J113" i="1"/>
  <c r="J102" i="1"/>
  <c r="J101" i="1"/>
  <c r="J100" i="1"/>
  <c r="J99" i="1"/>
  <c r="H91" i="1"/>
  <c r="H105" i="1"/>
  <c r="D116" i="1" l="1"/>
  <c r="D110" i="1"/>
  <c r="D115" i="1"/>
  <c r="J109" i="1"/>
  <c r="C108" i="1" s="1"/>
  <c r="D108" i="1" s="1"/>
  <c r="D114" i="1"/>
  <c r="D113" i="1"/>
  <c r="D112" i="1"/>
  <c r="D111" i="1"/>
  <c r="J108" i="1"/>
  <c r="J107" i="1"/>
  <c r="D117" i="1"/>
  <c r="J110" i="1"/>
  <c r="J111" i="1" s="1"/>
  <c r="J112" i="1" s="1"/>
  <c r="J117" i="1" s="1"/>
  <c r="C109" i="1" s="1"/>
  <c r="D103" i="1"/>
  <c r="D97" i="1"/>
  <c r="J96" i="1"/>
  <c r="J97" i="1" s="1"/>
  <c r="D102" i="1"/>
  <c r="D96" i="1"/>
  <c r="J93" i="1"/>
  <c r="J95" i="1"/>
  <c r="C94" i="1" s="1"/>
  <c r="D94" i="1" s="1"/>
  <c r="D101" i="1"/>
  <c r="D100" i="1"/>
  <c r="J94" i="1"/>
  <c r="D99" i="1"/>
  <c r="D98" i="1"/>
  <c r="J88" i="1"/>
  <c r="J87" i="1"/>
  <c r="J86" i="1"/>
  <c r="J85" i="1"/>
  <c r="E3" i="1"/>
  <c r="E7" i="1"/>
  <c r="E108" i="1" l="1"/>
  <c r="I104" i="1" s="1"/>
  <c r="C106" i="1" s="1"/>
  <c r="D109" i="1"/>
  <c r="G108" i="1"/>
  <c r="J98" i="1"/>
  <c r="J103" i="1" s="1"/>
  <c r="C95" i="1" s="1"/>
  <c r="F191" i="1"/>
  <c r="F190" i="1"/>
  <c r="I190" i="1" s="1"/>
  <c r="F189" i="1"/>
  <c r="I189" i="1" s="1"/>
  <c r="F188" i="1"/>
  <c r="F187" i="1"/>
  <c r="F186" i="1"/>
  <c r="G185" i="1"/>
  <c r="G186" i="1" s="1"/>
  <c r="G187" i="1" s="1"/>
  <c r="G188" i="1" s="1"/>
  <c r="G189" i="1" s="1"/>
  <c r="G190" i="1" s="1"/>
  <c r="G191" i="1" s="1"/>
  <c r="F185" i="1"/>
  <c r="I154" i="1"/>
  <c r="D181" i="1"/>
  <c r="D182" i="1"/>
  <c r="O185" i="1"/>
  <c r="P185" i="1"/>
  <c r="E94" i="1" l="1"/>
  <c r="I90" i="1" s="1"/>
  <c r="C92" i="1" s="1"/>
  <c r="D95" i="1"/>
  <c r="G94" i="1"/>
  <c r="N185" i="1"/>
  <c r="O186" i="1"/>
  <c r="P186" i="1"/>
  <c r="P187" i="1" s="1"/>
  <c r="P188" i="1" s="1"/>
  <c r="P189" i="1" s="1"/>
  <c r="P190" i="1" s="1"/>
  <c r="P191" i="1" s="1"/>
  <c r="D532" i="1"/>
  <c r="D531" i="1"/>
  <c r="D534" i="1"/>
  <c r="D533" i="1"/>
  <c r="D530" i="1"/>
  <c r="D529" i="1"/>
  <c r="D528" i="1"/>
  <c r="D525" i="1"/>
  <c r="D524" i="1"/>
  <c r="D523" i="1"/>
  <c r="D526" i="1"/>
  <c r="D522" i="1"/>
  <c r="D521" i="1"/>
  <c r="D520" i="1"/>
  <c r="D516" i="1"/>
  <c r="D514" i="1"/>
  <c r="D513" i="1"/>
  <c r="D518" i="1"/>
  <c r="D517" i="1"/>
  <c r="D515" i="1"/>
  <c r="D512" i="1"/>
  <c r="D508" i="1"/>
  <c r="D507" i="1"/>
  <c r="D510" i="1"/>
  <c r="D509" i="1"/>
  <c r="D506" i="1"/>
  <c r="D505" i="1"/>
  <c r="D504" i="1"/>
  <c r="D501" i="1"/>
  <c r="D498" i="1"/>
  <c r="D497" i="1"/>
  <c r="D502" i="1"/>
  <c r="D500" i="1"/>
  <c r="D499" i="1"/>
  <c r="D496" i="1"/>
  <c r="D493" i="1"/>
  <c r="D490" i="1"/>
  <c r="D489" i="1"/>
  <c r="D494" i="1"/>
  <c r="D492" i="1"/>
  <c r="D491" i="1"/>
  <c r="D488" i="1"/>
  <c r="D486" i="1"/>
  <c r="D485" i="1"/>
  <c r="D484" i="1"/>
  <c r="D483" i="1"/>
  <c r="D482" i="1"/>
  <c r="D480" i="1"/>
  <c r="D481" i="1"/>
  <c r="D478" i="1"/>
  <c r="D472" i="1"/>
  <c r="D477" i="1"/>
  <c r="D476" i="1"/>
  <c r="D475" i="1"/>
  <c r="D474" i="1"/>
  <c r="D473" i="1"/>
  <c r="D470" i="1"/>
  <c r="D464" i="1"/>
  <c r="D469" i="1"/>
  <c r="D468" i="1"/>
  <c r="D467" i="1"/>
  <c r="D466" i="1"/>
  <c r="D465" i="1"/>
  <c r="D462" i="1"/>
  <c r="D461" i="1"/>
  <c r="D460" i="1"/>
  <c r="D459" i="1"/>
  <c r="D458" i="1"/>
  <c r="D454" i="1"/>
  <c r="D453" i="1"/>
  <c r="D452" i="1"/>
  <c r="D456" i="1"/>
  <c r="D455" i="1"/>
  <c r="D450" i="1"/>
  <c r="D449" i="1"/>
  <c r="D448" i="1"/>
  <c r="D447" i="1"/>
  <c r="D446" i="1"/>
  <c r="D438" i="1"/>
  <c r="D437" i="1"/>
  <c r="D441" i="1"/>
  <c r="D440" i="1"/>
  <c r="D439" i="1"/>
  <c r="D436" i="1"/>
  <c r="D435" i="1"/>
  <c r="D430" i="1"/>
  <c r="D429" i="1"/>
  <c r="D428" i="1"/>
  <c r="D433" i="1"/>
  <c r="D432" i="1"/>
  <c r="D431" i="1"/>
  <c r="D427" i="1"/>
  <c r="D424" i="1"/>
  <c r="D423" i="1"/>
  <c r="D425" i="1"/>
  <c r="D422" i="1"/>
  <c r="D421" i="1"/>
  <c r="D420" i="1"/>
  <c r="D419" i="1"/>
  <c r="D414" i="1"/>
  <c r="D413" i="1"/>
  <c r="D417" i="1"/>
  <c r="D416" i="1"/>
  <c r="D415" i="1"/>
  <c r="D412" i="1"/>
  <c r="D411" i="1"/>
  <c r="D408" i="1"/>
  <c r="D407" i="1"/>
  <c r="D404" i="1"/>
  <c r="D409" i="1"/>
  <c r="D406" i="1"/>
  <c r="D405" i="1"/>
  <c r="D403" i="1"/>
  <c r="D400" i="1"/>
  <c r="D399" i="1"/>
  <c r="D396" i="1"/>
  <c r="D401" i="1"/>
  <c r="D398" i="1"/>
  <c r="D397" i="1"/>
  <c r="D395" i="1"/>
  <c r="D393" i="1"/>
  <c r="D391" i="1"/>
  <c r="D390" i="1"/>
  <c r="D389" i="1"/>
  <c r="D388" i="1"/>
  <c r="D387" i="1"/>
  <c r="D392" i="1"/>
  <c r="D385" i="1"/>
  <c r="D379" i="1"/>
  <c r="D384" i="1"/>
  <c r="D383" i="1"/>
  <c r="D382" i="1"/>
  <c r="D381" i="1"/>
  <c r="D380" i="1"/>
  <c r="D377" i="1"/>
  <c r="D371" i="1"/>
  <c r="D376" i="1"/>
  <c r="D375" i="1"/>
  <c r="D374" i="1"/>
  <c r="D373" i="1"/>
  <c r="D372" i="1"/>
  <c r="D369" i="1"/>
  <c r="D368" i="1"/>
  <c r="D367" i="1"/>
  <c r="D366" i="1"/>
  <c r="D365" i="1"/>
  <c r="D363" i="1"/>
  <c r="D362" i="1"/>
  <c r="D361" i="1"/>
  <c r="D360" i="1"/>
  <c r="D359" i="1"/>
  <c r="D357" i="1"/>
  <c r="D356" i="1"/>
  <c r="D355" i="1"/>
  <c r="D354" i="1"/>
  <c r="D353" i="1"/>
  <c r="D342" i="1"/>
  <c r="D341" i="1"/>
  <c r="D344" i="1"/>
  <c r="D343" i="1"/>
  <c r="D340" i="1"/>
  <c r="D339" i="1"/>
  <c r="D338" i="1"/>
  <c r="D335" i="1"/>
  <c r="D334" i="1"/>
  <c r="D333" i="1"/>
  <c r="D336" i="1"/>
  <c r="D332" i="1"/>
  <c r="D331" i="1"/>
  <c r="D330" i="1"/>
  <c r="D324" i="1"/>
  <c r="D323" i="1"/>
  <c r="D328" i="1"/>
  <c r="D327" i="1"/>
  <c r="D326" i="1"/>
  <c r="D325" i="1"/>
  <c r="D322" i="1"/>
  <c r="D318" i="1"/>
  <c r="D317" i="1"/>
  <c r="D320" i="1"/>
  <c r="D319" i="1"/>
  <c r="D316" i="1"/>
  <c r="D315" i="1"/>
  <c r="D314" i="1"/>
  <c r="D311" i="1"/>
  <c r="D308" i="1"/>
  <c r="D307" i="1"/>
  <c r="D312" i="1"/>
  <c r="D310" i="1"/>
  <c r="D309" i="1"/>
  <c r="D306" i="1"/>
  <c r="D303" i="1"/>
  <c r="D301" i="1"/>
  <c r="D300" i="1"/>
  <c r="D299" i="1"/>
  <c r="D304" i="1"/>
  <c r="D302" i="1"/>
  <c r="D298" i="1"/>
  <c r="D296" i="1"/>
  <c r="D295" i="1"/>
  <c r="D294" i="1"/>
  <c r="D293" i="1"/>
  <c r="D292" i="1"/>
  <c r="D290" i="1"/>
  <c r="D291" i="1"/>
  <c r="D288" i="1"/>
  <c r="D282" i="1"/>
  <c r="D287" i="1"/>
  <c r="D286" i="1"/>
  <c r="D285" i="1"/>
  <c r="D284" i="1"/>
  <c r="D283" i="1"/>
  <c r="D280" i="1"/>
  <c r="D274" i="1"/>
  <c r="D279" i="1"/>
  <c r="D278" i="1"/>
  <c r="D277" i="1"/>
  <c r="D276" i="1"/>
  <c r="D275" i="1"/>
  <c r="D272" i="1"/>
  <c r="D271" i="1"/>
  <c r="D270" i="1"/>
  <c r="D269" i="1"/>
  <c r="D268" i="1"/>
  <c r="D266" i="1"/>
  <c r="D265" i="1"/>
  <c r="D264" i="1"/>
  <c r="D263" i="1"/>
  <c r="D262" i="1"/>
  <c r="D260" i="1"/>
  <c r="D259" i="1"/>
  <c r="D258" i="1"/>
  <c r="D257" i="1"/>
  <c r="D256" i="1"/>
  <c r="D244" i="1"/>
  <c r="D243" i="1"/>
  <c r="D242" i="1"/>
  <c r="D247" i="1"/>
  <c r="D246" i="1"/>
  <c r="D245" i="1"/>
  <c r="D241" i="1"/>
  <c r="D239" i="1"/>
  <c r="D238" i="1"/>
  <c r="D237" i="1"/>
  <c r="D236" i="1"/>
  <c r="D235" i="1"/>
  <c r="D234" i="1"/>
  <c r="D233" i="1"/>
  <c r="D231" i="1"/>
  <c r="D230" i="1"/>
  <c r="D229" i="1"/>
  <c r="D228" i="1"/>
  <c r="D227" i="1"/>
  <c r="D226" i="1"/>
  <c r="D225" i="1"/>
  <c r="D223" i="1"/>
  <c r="D222" i="1"/>
  <c r="D221" i="1"/>
  <c r="D220" i="1"/>
  <c r="D219" i="1"/>
  <c r="D218" i="1"/>
  <c r="D217" i="1"/>
  <c r="D215" i="1"/>
  <c r="D214" i="1"/>
  <c r="D213" i="1"/>
  <c r="D212" i="1"/>
  <c r="D211" i="1"/>
  <c r="D210" i="1"/>
  <c r="D209" i="1"/>
  <c r="D207" i="1"/>
  <c r="D205" i="1"/>
  <c r="D206" i="1"/>
  <c r="D204" i="1"/>
  <c r="D203" i="1"/>
  <c r="D202" i="1"/>
  <c r="D201" i="1"/>
  <c r="D199" i="1"/>
  <c r="D198" i="1"/>
  <c r="D197" i="1"/>
  <c r="D196" i="1"/>
  <c r="D195" i="1"/>
  <c r="D194" i="1"/>
  <c r="D193" i="1"/>
  <c r="D183" i="1"/>
  <c r="D180" i="1"/>
  <c r="D179" i="1"/>
  <c r="D178" i="1"/>
  <c r="D177" i="1"/>
  <c r="D175" i="1"/>
  <c r="D174" i="1"/>
  <c r="D173" i="1"/>
  <c r="D172" i="1"/>
  <c r="D171" i="1"/>
  <c r="D170" i="1"/>
  <c r="D169" i="1"/>
  <c r="D167" i="1"/>
  <c r="D166" i="1"/>
  <c r="D165" i="1"/>
  <c r="D164" i="1"/>
  <c r="D163" i="1"/>
  <c r="D161" i="1"/>
  <c r="D160" i="1"/>
  <c r="D159" i="1"/>
  <c r="D158" i="1"/>
  <c r="D157" i="1"/>
  <c r="D155" i="1"/>
  <c r="D154" i="1"/>
  <c r="D153" i="1"/>
  <c r="D152" i="1"/>
  <c r="D151" i="1"/>
  <c r="O187" i="1" l="1"/>
  <c r="N186" i="1"/>
  <c r="E140" i="1"/>
  <c r="N187" i="1" l="1"/>
  <c r="O188" i="1"/>
  <c r="F534" i="1"/>
  <c r="F533" i="1"/>
  <c r="F532" i="1"/>
  <c r="F531" i="1"/>
  <c r="F530" i="1"/>
  <c r="F529" i="1"/>
  <c r="F528" i="1"/>
  <c r="G528" i="1"/>
  <c r="F526" i="1"/>
  <c r="F525" i="1"/>
  <c r="F524" i="1"/>
  <c r="F523" i="1"/>
  <c r="F522" i="1"/>
  <c r="F521" i="1"/>
  <c r="G520" i="1"/>
  <c r="F520" i="1"/>
  <c r="F518" i="1"/>
  <c r="F517" i="1"/>
  <c r="F516" i="1"/>
  <c r="F515" i="1"/>
  <c r="F514" i="1"/>
  <c r="F513" i="1"/>
  <c r="G512" i="1"/>
  <c r="F512" i="1"/>
  <c r="F507" i="1"/>
  <c r="F505" i="1"/>
  <c r="F510" i="1"/>
  <c r="F509" i="1"/>
  <c r="F508" i="1"/>
  <c r="F506" i="1"/>
  <c r="G504" i="1"/>
  <c r="F504" i="1"/>
  <c r="F501" i="1"/>
  <c r="F497" i="1"/>
  <c r="F502" i="1"/>
  <c r="F500" i="1"/>
  <c r="F499" i="1"/>
  <c r="F498" i="1"/>
  <c r="G496" i="1"/>
  <c r="F496" i="1"/>
  <c r="F493" i="1"/>
  <c r="F494" i="1"/>
  <c r="F492" i="1"/>
  <c r="F491" i="1"/>
  <c r="F490" i="1"/>
  <c r="F489" i="1"/>
  <c r="G488" i="1"/>
  <c r="F488" i="1"/>
  <c r="F486" i="1"/>
  <c r="F485" i="1"/>
  <c r="F484" i="1"/>
  <c r="F483" i="1"/>
  <c r="F482" i="1"/>
  <c r="F481" i="1"/>
  <c r="G480" i="1"/>
  <c r="F480" i="1"/>
  <c r="F441" i="1"/>
  <c r="F440" i="1"/>
  <c r="F439" i="1"/>
  <c r="F438" i="1"/>
  <c r="F437" i="1"/>
  <c r="F436" i="1"/>
  <c r="F435" i="1"/>
  <c r="G435" i="1"/>
  <c r="G436" i="1" s="1"/>
  <c r="G437" i="1" s="1"/>
  <c r="G438" i="1" s="1"/>
  <c r="G439" i="1" s="1"/>
  <c r="G440" i="1" s="1"/>
  <c r="G441" i="1" s="1"/>
  <c r="F433" i="1"/>
  <c r="F432" i="1"/>
  <c r="F431" i="1"/>
  <c r="F430" i="1"/>
  <c r="F429" i="1"/>
  <c r="F428" i="1"/>
  <c r="G427" i="1"/>
  <c r="G428" i="1" s="1"/>
  <c r="G429" i="1" s="1"/>
  <c r="G430" i="1" s="1"/>
  <c r="G431" i="1" s="1"/>
  <c r="G432" i="1" s="1"/>
  <c r="G433" i="1" s="1"/>
  <c r="F427" i="1"/>
  <c r="F425" i="1"/>
  <c r="F424" i="1"/>
  <c r="F423" i="1"/>
  <c r="F422" i="1"/>
  <c r="F421" i="1"/>
  <c r="F420" i="1"/>
  <c r="G419" i="1"/>
  <c r="F419" i="1"/>
  <c r="F417" i="1"/>
  <c r="F416" i="1"/>
  <c r="F415" i="1"/>
  <c r="F413" i="1"/>
  <c r="F414" i="1"/>
  <c r="F412" i="1"/>
  <c r="G411" i="1"/>
  <c r="F411" i="1"/>
  <c r="F408" i="1"/>
  <c r="F409" i="1"/>
  <c r="F407" i="1"/>
  <c r="F406" i="1"/>
  <c r="F405" i="1"/>
  <c r="F404" i="1"/>
  <c r="G403" i="1"/>
  <c r="G404" i="1" s="1"/>
  <c r="G405" i="1" s="1"/>
  <c r="G406" i="1" s="1"/>
  <c r="G407" i="1" s="1"/>
  <c r="G408" i="1" s="1"/>
  <c r="G409" i="1" s="1"/>
  <c r="F403" i="1"/>
  <c r="F395" i="1"/>
  <c r="F397" i="1"/>
  <c r="F398" i="1"/>
  <c r="F399" i="1"/>
  <c r="F400" i="1"/>
  <c r="F401" i="1"/>
  <c r="F396" i="1"/>
  <c r="G395" i="1"/>
  <c r="G396" i="1" s="1"/>
  <c r="G397" i="1" s="1"/>
  <c r="G398" i="1" s="1"/>
  <c r="G399" i="1" s="1"/>
  <c r="G400" i="1" s="1"/>
  <c r="G401" i="1" s="1"/>
  <c r="F344" i="1"/>
  <c r="F343" i="1"/>
  <c r="F341" i="1"/>
  <c r="F340" i="1"/>
  <c r="F339" i="1"/>
  <c r="F342" i="1"/>
  <c r="G338" i="1"/>
  <c r="G339" i="1" s="1"/>
  <c r="G340" i="1" s="1"/>
  <c r="G341" i="1" s="1"/>
  <c r="G342" i="1" s="1"/>
  <c r="G343" i="1" s="1"/>
  <c r="G344" i="1" s="1"/>
  <c r="F338" i="1"/>
  <c r="F336" i="1"/>
  <c r="F335" i="1"/>
  <c r="F334" i="1"/>
  <c r="F333" i="1"/>
  <c r="F332" i="1"/>
  <c r="F331" i="1"/>
  <c r="G330" i="1"/>
  <c r="G331" i="1" s="1"/>
  <c r="G332" i="1" s="1"/>
  <c r="G333" i="1" s="1"/>
  <c r="G334" i="1" s="1"/>
  <c r="G335" i="1" s="1"/>
  <c r="G336" i="1" s="1"/>
  <c r="F330" i="1"/>
  <c r="F327" i="1"/>
  <c r="F326" i="1"/>
  <c r="F325" i="1"/>
  <c r="F324" i="1"/>
  <c r="F323" i="1"/>
  <c r="F328" i="1"/>
  <c r="G322" i="1"/>
  <c r="G323" i="1" s="1"/>
  <c r="G324" i="1" s="1"/>
  <c r="G325" i="1" s="1"/>
  <c r="G326" i="1" s="1"/>
  <c r="G327" i="1" s="1"/>
  <c r="G328" i="1" s="1"/>
  <c r="F322" i="1"/>
  <c r="F318" i="1"/>
  <c r="F317" i="1"/>
  <c r="F316" i="1"/>
  <c r="F315" i="1"/>
  <c r="F320" i="1"/>
  <c r="F319" i="1"/>
  <c r="G314" i="1"/>
  <c r="G315" i="1" s="1"/>
  <c r="G316" i="1" s="1"/>
  <c r="G317" i="1" s="1"/>
  <c r="G318" i="1" s="1"/>
  <c r="G319" i="1" s="1"/>
  <c r="G320" i="1" s="1"/>
  <c r="F314" i="1"/>
  <c r="F311" i="1"/>
  <c r="F307" i="1"/>
  <c r="F312" i="1"/>
  <c r="F310" i="1"/>
  <c r="F309" i="1"/>
  <c r="F308" i="1"/>
  <c r="G306" i="1"/>
  <c r="G307" i="1" s="1"/>
  <c r="G308" i="1" s="1"/>
  <c r="G309" i="1" s="1"/>
  <c r="G310" i="1" s="1"/>
  <c r="G311" i="1" s="1"/>
  <c r="G312" i="1" s="1"/>
  <c r="F306" i="1"/>
  <c r="F296" i="1"/>
  <c r="F295" i="1"/>
  <c r="F294" i="1"/>
  <c r="F293" i="1"/>
  <c r="F292" i="1"/>
  <c r="F291" i="1"/>
  <c r="G290" i="1"/>
  <c r="G291" i="1" s="1"/>
  <c r="G292" i="1" s="1"/>
  <c r="G293" i="1" s="1"/>
  <c r="G294" i="1" s="1"/>
  <c r="G295" i="1" s="1"/>
  <c r="G296" i="1" s="1"/>
  <c r="F290" i="1"/>
  <c r="F247" i="1"/>
  <c r="F246" i="1"/>
  <c r="F245" i="1"/>
  <c r="F244" i="1"/>
  <c r="F243" i="1"/>
  <c r="F242" i="1"/>
  <c r="F241" i="1"/>
  <c r="G241" i="1"/>
  <c r="G242" i="1" s="1"/>
  <c r="G243" i="1" s="1"/>
  <c r="G244" i="1" s="1"/>
  <c r="G245" i="1" s="1"/>
  <c r="G246" i="1" s="1"/>
  <c r="G247" i="1" s="1"/>
  <c r="F239" i="1"/>
  <c r="F238" i="1"/>
  <c r="F237" i="1"/>
  <c r="F236" i="1"/>
  <c r="F235" i="1"/>
  <c r="F234" i="1"/>
  <c r="F233" i="1"/>
  <c r="G233" i="1"/>
  <c r="G234" i="1" s="1"/>
  <c r="G235" i="1" s="1"/>
  <c r="G236" i="1" s="1"/>
  <c r="G237" i="1" s="1"/>
  <c r="G238" i="1" s="1"/>
  <c r="G239" i="1" s="1"/>
  <c r="F231" i="1"/>
  <c r="F230" i="1"/>
  <c r="F229" i="1"/>
  <c r="F228" i="1"/>
  <c r="F227" i="1"/>
  <c r="F226" i="1"/>
  <c r="F225" i="1"/>
  <c r="G225" i="1"/>
  <c r="G226" i="1" s="1"/>
  <c r="G227" i="1" s="1"/>
  <c r="G228" i="1" s="1"/>
  <c r="G229" i="1" s="1"/>
  <c r="G230" i="1" s="1"/>
  <c r="G231" i="1" s="1"/>
  <c r="F222" i="1"/>
  <c r="F221" i="1"/>
  <c r="F220" i="1"/>
  <c r="F219" i="1"/>
  <c r="F218" i="1"/>
  <c r="F217" i="1"/>
  <c r="F223" i="1"/>
  <c r="G217" i="1"/>
  <c r="G218" i="1" s="1"/>
  <c r="G219" i="1" s="1"/>
  <c r="G220" i="1" s="1"/>
  <c r="G221" i="1" s="1"/>
  <c r="G222" i="1" s="1"/>
  <c r="G223" i="1" s="1"/>
  <c r="F215" i="1"/>
  <c r="F214" i="1"/>
  <c r="F213" i="1"/>
  <c r="F212" i="1"/>
  <c r="F211" i="1"/>
  <c r="F210" i="1"/>
  <c r="F209" i="1"/>
  <c r="F207" i="1"/>
  <c r="F206" i="1"/>
  <c r="F205" i="1"/>
  <c r="F204" i="1"/>
  <c r="F203" i="1"/>
  <c r="F202" i="1"/>
  <c r="F201" i="1"/>
  <c r="G209" i="1"/>
  <c r="G210" i="1" s="1"/>
  <c r="G211" i="1" s="1"/>
  <c r="G212" i="1" s="1"/>
  <c r="G213" i="1" s="1"/>
  <c r="G214" i="1" s="1"/>
  <c r="G215" i="1" s="1"/>
  <c r="G201" i="1"/>
  <c r="G202" i="1" s="1"/>
  <c r="G203" i="1" s="1"/>
  <c r="G204" i="1" s="1"/>
  <c r="G205" i="1" s="1"/>
  <c r="G206" i="1" s="1"/>
  <c r="G207" i="1" s="1"/>
  <c r="F199" i="1"/>
  <c r="F198" i="1"/>
  <c r="F197" i="1"/>
  <c r="F196" i="1"/>
  <c r="F195" i="1"/>
  <c r="F194" i="1"/>
  <c r="F193" i="1"/>
  <c r="G193" i="1"/>
  <c r="G194" i="1" s="1"/>
  <c r="G195" i="1" s="1"/>
  <c r="G196" i="1" s="1"/>
  <c r="G197" i="1" s="1"/>
  <c r="G198" i="1" s="1"/>
  <c r="G199" i="1" s="1"/>
  <c r="C137" i="1"/>
  <c r="I155" i="1"/>
  <c r="I153" i="1"/>
  <c r="I152" i="1"/>
  <c r="I151" i="1"/>
  <c r="O290" i="1"/>
  <c r="O435" i="1"/>
  <c r="O411" i="1"/>
  <c r="P528" i="1"/>
  <c r="P217" i="1"/>
  <c r="P480" i="1"/>
  <c r="P241" i="1"/>
  <c r="P435" i="1"/>
  <c r="P512" i="1"/>
  <c r="P395" i="1"/>
  <c r="O330" i="1"/>
  <c r="O209" i="1"/>
  <c r="O480" i="1"/>
  <c r="O403" i="1"/>
  <c r="O496" i="1"/>
  <c r="P330" i="1"/>
  <c r="P419" i="1"/>
  <c r="P520" i="1"/>
  <c r="P209" i="1"/>
  <c r="P233" i="1"/>
  <c r="O338" i="1"/>
  <c r="P314" i="1"/>
  <c r="P290" i="1"/>
  <c r="O322" i="1"/>
  <c r="P411" i="1"/>
  <c r="P225" i="1"/>
  <c r="O225" i="1"/>
  <c r="O419" i="1"/>
  <c r="P504" i="1"/>
  <c r="P338" i="1"/>
  <c r="P488" i="1"/>
  <c r="P201" i="1"/>
  <c r="O395" i="1"/>
  <c r="P322" i="1"/>
  <c r="P496" i="1"/>
  <c r="P427" i="1"/>
  <c r="O241" i="1"/>
  <c r="O504" i="1"/>
  <c r="P306" i="1"/>
  <c r="O193" i="1"/>
  <c r="O201" i="1"/>
  <c r="O306" i="1"/>
  <c r="O520" i="1"/>
  <c r="O512" i="1"/>
  <c r="O314" i="1"/>
  <c r="P193" i="1"/>
  <c r="O427" i="1"/>
  <c r="O488" i="1"/>
  <c r="O217" i="1"/>
  <c r="P403" i="1"/>
  <c r="O233" i="1"/>
  <c r="O528" i="1"/>
  <c r="O189" i="1" l="1"/>
  <c r="N188" i="1"/>
  <c r="C140" i="1"/>
  <c r="E137" i="1"/>
  <c r="N528" i="1"/>
  <c r="O529" i="1"/>
  <c r="P529" i="1"/>
  <c r="P530" i="1" s="1"/>
  <c r="P531" i="1" s="1"/>
  <c r="P532" i="1" s="1"/>
  <c r="P533" i="1" s="1"/>
  <c r="P534" i="1" s="1"/>
  <c r="N520" i="1"/>
  <c r="O521" i="1"/>
  <c r="P521" i="1"/>
  <c r="P522" i="1" s="1"/>
  <c r="P523" i="1" s="1"/>
  <c r="P524" i="1" s="1"/>
  <c r="P525" i="1" s="1"/>
  <c r="P526" i="1" s="1"/>
  <c r="N512" i="1"/>
  <c r="O513" i="1"/>
  <c r="P513" i="1"/>
  <c r="P514" i="1" s="1"/>
  <c r="P515" i="1" s="1"/>
  <c r="P516" i="1" s="1"/>
  <c r="P517" i="1" s="1"/>
  <c r="P518" i="1" s="1"/>
  <c r="N504" i="1"/>
  <c r="O505" i="1"/>
  <c r="P505" i="1"/>
  <c r="P506" i="1" s="1"/>
  <c r="P507" i="1" s="1"/>
  <c r="P508" i="1" s="1"/>
  <c r="P509" i="1" s="1"/>
  <c r="P510" i="1" s="1"/>
  <c r="N496" i="1"/>
  <c r="O497" i="1"/>
  <c r="P497" i="1"/>
  <c r="P498" i="1" s="1"/>
  <c r="P499" i="1" s="1"/>
  <c r="P500" i="1" s="1"/>
  <c r="P501" i="1" s="1"/>
  <c r="P502" i="1" s="1"/>
  <c r="N488" i="1"/>
  <c r="O489" i="1"/>
  <c r="P489" i="1"/>
  <c r="P490" i="1" s="1"/>
  <c r="P491" i="1" s="1"/>
  <c r="P492" i="1" s="1"/>
  <c r="P493" i="1" s="1"/>
  <c r="P494" i="1" s="1"/>
  <c r="N480" i="1"/>
  <c r="O481" i="1"/>
  <c r="P481" i="1"/>
  <c r="P482" i="1" s="1"/>
  <c r="P483" i="1" s="1"/>
  <c r="P484" i="1" s="1"/>
  <c r="P485" i="1" s="1"/>
  <c r="P486" i="1" s="1"/>
  <c r="N435" i="1"/>
  <c r="O436" i="1"/>
  <c r="P436" i="1"/>
  <c r="P437" i="1" s="1"/>
  <c r="P438" i="1" s="1"/>
  <c r="P439" i="1" s="1"/>
  <c r="P440" i="1" s="1"/>
  <c r="P441" i="1" s="1"/>
  <c r="N427" i="1"/>
  <c r="O428" i="1"/>
  <c r="P428" i="1"/>
  <c r="P429" i="1" s="1"/>
  <c r="P430" i="1" s="1"/>
  <c r="P431" i="1" s="1"/>
  <c r="P432" i="1" s="1"/>
  <c r="P433" i="1" s="1"/>
  <c r="P420" i="1"/>
  <c r="P421" i="1" s="1"/>
  <c r="P422" i="1" s="1"/>
  <c r="P423" i="1" s="1"/>
  <c r="P424" i="1" s="1"/>
  <c r="P425" i="1" s="1"/>
  <c r="N419" i="1"/>
  <c r="O420" i="1"/>
  <c r="O412" i="1"/>
  <c r="N411" i="1"/>
  <c r="P412" i="1"/>
  <c r="P413" i="1" s="1"/>
  <c r="P414" i="1" s="1"/>
  <c r="P415" i="1" s="1"/>
  <c r="P416" i="1" s="1"/>
  <c r="P417" i="1" s="1"/>
  <c r="N403" i="1"/>
  <c r="O404" i="1"/>
  <c r="P404" i="1"/>
  <c r="P405" i="1" s="1"/>
  <c r="P406" i="1" s="1"/>
  <c r="P407" i="1" s="1"/>
  <c r="P408" i="1" s="1"/>
  <c r="P409" i="1" s="1"/>
  <c r="N395" i="1"/>
  <c r="O396" i="1"/>
  <c r="P396" i="1"/>
  <c r="P397" i="1" s="1"/>
  <c r="P398" i="1" s="1"/>
  <c r="P399" i="1" s="1"/>
  <c r="P400" i="1" s="1"/>
  <c r="P401" i="1" s="1"/>
  <c r="N338" i="1"/>
  <c r="O339" i="1"/>
  <c r="P339" i="1"/>
  <c r="P340" i="1" s="1"/>
  <c r="P341" i="1" s="1"/>
  <c r="P342" i="1" s="1"/>
  <c r="P343" i="1" s="1"/>
  <c r="P344" i="1" s="1"/>
  <c r="N330" i="1"/>
  <c r="O331" i="1"/>
  <c r="P331" i="1"/>
  <c r="P332" i="1" s="1"/>
  <c r="P333" i="1" s="1"/>
  <c r="P334" i="1" s="1"/>
  <c r="P335" i="1" s="1"/>
  <c r="P336" i="1" s="1"/>
  <c r="N322" i="1"/>
  <c r="O323" i="1"/>
  <c r="P323" i="1"/>
  <c r="P324" i="1" s="1"/>
  <c r="P325" i="1" s="1"/>
  <c r="P326" i="1" s="1"/>
  <c r="P327" i="1" s="1"/>
  <c r="P328" i="1" s="1"/>
  <c r="N314" i="1"/>
  <c r="O315" i="1"/>
  <c r="P315" i="1"/>
  <c r="P316" i="1" s="1"/>
  <c r="P317" i="1" s="1"/>
  <c r="P318" i="1" s="1"/>
  <c r="P319" i="1" s="1"/>
  <c r="P320" i="1" s="1"/>
  <c r="N306" i="1"/>
  <c r="O307" i="1"/>
  <c r="P307" i="1"/>
  <c r="P308" i="1" s="1"/>
  <c r="P309" i="1" s="1"/>
  <c r="P310" i="1" s="1"/>
  <c r="P311" i="1" s="1"/>
  <c r="P312" i="1" s="1"/>
  <c r="N290" i="1"/>
  <c r="O291" i="1"/>
  <c r="P291" i="1"/>
  <c r="P292" i="1" s="1"/>
  <c r="P293" i="1" s="1"/>
  <c r="P294" i="1" s="1"/>
  <c r="P295" i="1" s="1"/>
  <c r="P296" i="1" s="1"/>
  <c r="N241" i="1"/>
  <c r="O242" i="1"/>
  <c r="P242" i="1"/>
  <c r="P243" i="1" s="1"/>
  <c r="P244" i="1" s="1"/>
  <c r="P245" i="1" s="1"/>
  <c r="P246" i="1" s="1"/>
  <c r="P247" i="1" s="1"/>
  <c r="P234" i="1"/>
  <c r="P235" i="1" s="1"/>
  <c r="P236" i="1" s="1"/>
  <c r="P237" i="1" s="1"/>
  <c r="P238" i="1" s="1"/>
  <c r="P239" i="1" s="1"/>
  <c r="N233" i="1"/>
  <c r="O234" i="1"/>
  <c r="N225" i="1"/>
  <c r="O226" i="1"/>
  <c r="P226" i="1"/>
  <c r="P227" i="1" s="1"/>
  <c r="P228" i="1" s="1"/>
  <c r="P229" i="1" s="1"/>
  <c r="P230" i="1" s="1"/>
  <c r="P231" i="1" s="1"/>
  <c r="N217" i="1"/>
  <c r="O218" i="1"/>
  <c r="P218" i="1"/>
  <c r="P219" i="1" s="1"/>
  <c r="P220" i="1" s="1"/>
  <c r="P221" i="1" s="1"/>
  <c r="P222" i="1" s="1"/>
  <c r="P223" i="1" s="1"/>
  <c r="N209" i="1"/>
  <c r="O210" i="1"/>
  <c r="P210" i="1"/>
  <c r="P211" i="1" s="1"/>
  <c r="P212" i="1" s="1"/>
  <c r="P213" i="1" s="1"/>
  <c r="P214" i="1" s="1"/>
  <c r="P215" i="1" s="1"/>
  <c r="N201" i="1"/>
  <c r="O202" i="1"/>
  <c r="P202" i="1"/>
  <c r="P203" i="1" s="1"/>
  <c r="P204" i="1" s="1"/>
  <c r="P205" i="1" s="1"/>
  <c r="P206" i="1" s="1"/>
  <c r="P207" i="1" s="1"/>
  <c r="N193" i="1"/>
  <c r="O194" i="1"/>
  <c r="P194" i="1"/>
  <c r="P195" i="1" s="1"/>
  <c r="P196" i="1" s="1"/>
  <c r="P197" i="1" s="1"/>
  <c r="P198" i="1" s="1"/>
  <c r="P199" i="1" s="1"/>
  <c r="D254" i="1"/>
  <c r="D253" i="1"/>
  <c r="D252" i="1"/>
  <c r="D251" i="1"/>
  <c r="D351" i="1"/>
  <c r="D350" i="1"/>
  <c r="D349" i="1"/>
  <c r="D348" i="1"/>
  <c r="N189" i="1" l="1"/>
  <c r="O190" i="1"/>
  <c r="E139" i="1"/>
  <c r="C139" i="1"/>
  <c r="E138" i="1"/>
  <c r="C138" i="1"/>
  <c r="N529" i="1"/>
  <c r="O530" i="1"/>
  <c r="N521" i="1"/>
  <c r="O522" i="1"/>
  <c r="N513" i="1"/>
  <c r="O514" i="1"/>
  <c r="N505" i="1"/>
  <c r="O506" i="1"/>
  <c r="N497" i="1"/>
  <c r="O498" i="1"/>
  <c r="N489" i="1"/>
  <c r="O490" i="1"/>
  <c r="N481" i="1"/>
  <c r="O482" i="1"/>
  <c r="N436" i="1"/>
  <c r="O437" i="1"/>
  <c r="N428" i="1"/>
  <c r="O429" i="1"/>
  <c r="O421" i="1"/>
  <c r="N420" i="1"/>
  <c r="N412" i="1"/>
  <c r="O413" i="1"/>
  <c r="O405" i="1"/>
  <c r="N404" i="1"/>
  <c r="N396" i="1"/>
  <c r="O397" i="1"/>
  <c r="N339" i="1"/>
  <c r="O340" i="1"/>
  <c r="N331" i="1"/>
  <c r="O332" i="1"/>
  <c r="N323" i="1"/>
  <c r="O324" i="1"/>
  <c r="N315" i="1"/>
  <c r="O316" i="1"/>
  <c r="O308" i="1"/>
  <c r="N307" i="1"/>
  <c r="N291" i="1"/>
  <c r="O292" i="1"/>
  <c r="N242" i="1"/>
  <c r="O243" i="1"/>
  <c r="N234" i="1"/>
  <c r="O235" i="1"/>
  <c r="N226" i="1"/>
  <c r="O227" i="1"/>
  <c r="N218" i="1"/>
  <c r="O219" i="1"/>
  <c r="N210" i="1"/>
  <c r="O211" i="1"/>
  <c r="O203" i="1"/>
  <c r="N202" i="1"/>
  <c r="N194" i="1"/>
  <c r="O195" i="1"/>
  <c r="J151" i="1"/>
  <c r="O191" i="1" l="1"/>
  <c r="N191" i="1" s="1"/>
  <c r="N190" i="1"/>
  <c r="C141" i="1"/>
  <c r="E141" i="1"/>
  <c r="N530" i="1"/>
  <c r="O531" i="1"/>
  <c r="N522" i="1"/>
  <c r="O523" i="1"/>
  <c r="N514" i="1"/>
  <c r="O515" i="1"/>
  <c r="N506" i="1"/>
  <c r="O507" i="1"/>
  <c r="N498" i="1"/>
  <c r="O499" i="1"/>
  <c r="N490" i="1"/>
  <c r="O491" i="1"/>
  <c r="N482" i="1"/>
  <c r="O483" i="1"/>
  <c r="N437" i="1"/>
  <c r="O438" i="1"/>
  <c r="N429" i="1"/>
  <c r="O430" i="1"/>
  <c r="N421" i="1"/>
  <c r="O422" i="1"/>
  <c r="N413" i="1"/>
  <c r="O414" i="1"/>
  <c r="N405" i="1"/>
  <c r="O406" i="1"/>
  <c r="N397" i="1"/>
  <c r="O398" i="1"/>
  <c r="N340" i="1"/>
  <c r="O341" i="1"/>
  <c r="O333" i="1"/>
  <c r="N332" i="1"/>
  <c r="N324" i="1"/>
  <c r="O325" i="1"/>
  <c r="N316" i="1"/>
  <c r="O317" i="1"/>
  <c r="N308" i="1"/>
  <c r="O309" i="1"/>
  <c r="N292" i="1"/>
  <c r="O293" i="1"/>
  <c r="N243" i="1"/>
  <c r="O244" i="1"/>
  <c r="N235" i="1"/>
  <c r="O236" i="1"/>
  <c r="N227" i="1"/>
  <c r="O228" i="1"/>
  <c r="N219" i="1"/>
  <c r="O220" i="1"/>
  <c r="N211" i="1"/>
  <c r="O212" i="1"/>
  <c r="N203" i="1"/>
  <c r="O204" i="1"/>
  <c r="N195" i="1"/>
  <c r="O196" i="1"/>
  <c r="F393" i="1"/>
  <c r="F392" i="1"/>
  <c r="F390" i="1"/>
  <c r="F389" i="1"/>
  <c r="F388" i="1"/>
  <c r="F387" i="1"/>
  <c r="F478" i="1"/>
  <c r="F472" i="1"/>
  <c r="F477" i="1"/>
  <c r="F476" i="1"/>
  <c r="F475" i="1"/>
  <c r="F474" i="1"/>
  <c r="F473" i="1"/>
  <c r="F385" i="1"/>
  <c r="F379" i="1"/>
  <c r="F384" i="1"/>
  <c r="F382" i="1"/>
  <c r="F381" i="1"/>
  <c r="F380" i="1"/>
  <c r="F377" i="1"/>
  <c r="F371" i="1"/>
  <c r="F376" i="1"/>
  <c r="F375" i="1"/>
  <c r="F373" i="1"/>
  <c r="F372" i="1"/>
  <c r="F470" i="1"/>
  <c r="F464" i="1"/>
  <c r="F469" i="1"/>
  <c r="F467" i="1"/>
  <c r="F466" i="1"/>
  <c r="F465" i="1"/>
  <c r="F468" i="1"/>
  <c r="F368" i="1"/>
  <c r="F369" i="1"/>
  <c r="F367" i="1"/>
  <c r="F366" i="1"/>
  <c r="F365" i="1"/>
  <c r="F461" i="1"/>
  <c r="F460" i="1"/>
  <c r="F459" i="1"/>
  <c r="F458" i="1"/>
  <c r="F454" i="1"/>
  <c r="F453" i="1"/>
  <c r="F452" i="1"/>
  <c r="F456" i="1"/>
  <c r="F455" i="1"/>
  <c r="F363" i="1"/>
  <c r="F362" i="1"/>
  <c r="F361" i="1"/>
  <c r="F360" i="1"/>
  <c r="F359" i="1"/>
  <c r="F356" i="1"/>
  <c r="F355" i="1"/>
  <c r="F354" i="1"/>
  <c r="F450" i="1"/>
  <c r="F449" i="1"/>
  <c r="F448" i="1"/>
  <c r="F447" i="1"/>
  <c r="F446" i="1"/>
  <c r="F351" i="1"/>
  <c r="F350" i="1"/>
  <c r="F349" i="1"/>
  <c r="F348" i="1"/>
  <c r="G472" i="1"/>
  <c r="G464" i="1"/>
  <c r="F462" i="1"/>
  <c r="A459" i="1"/>
  <c r="A460" i="1" s="1"/>
  <c r="A461" i="1" s="1"/>
  <c r="A462" i="1" s="1"/>
  <c r="G458" i="1"/>
  <c r="G459" i="1" s="1"/>
  <c r="G460" i="1" s="1"/>
  <c r="G461" i="1" s="1"/>
  <c r="G462" i="1" s="1"/>
  <c r="A453" i="1"/>
  <c r="A454" i="1" s="1"/>
  <c r="A455" i="1" s="1"/>
  <c r="A456" i="1" s="1"/>
  <c r="G452" i="1"/>
  <c r="G453" i="1" s="1"/>
  <c r="G454" i="1" s="1"/>
  <c r="G455" i="1" s="1"/>
  <c r="G456" i="1" s="1"/>
  <c r="A447" i="1"/>
  <c r="A448" i="1" s="1"/>
  <c r="A449" i="1" s="1"/>
  <c r="A450" i="1" s="1"/>
  <c r="G446" i="1"/>
  <c r="G447" i="1" s="1"/>
  <c r="G448" i="1" s="1"/>
  <c r="G449" i="1" s="1"/>
  <c r="G450" i="1" s="1"/>
  <c r="F391" i="1"/>
  <c r="G387" i="1"/>
  <c r="F383" i="1"/>
  <c r="G379" i="1"/>
  <c r="G380" i="1" s="1"/>
  <c r="G381" i="1" s="1"/>
  <c r="G382" i="1" s="1"/>
  <c r="G383" i="1" s="1"/>
  <c r="G384" i="1" s="1"/>
  <c r="G385" i="1" s="1"/>
  <c r="F374" i="1"/>
  <c r="G373" i="1"/>
  <c r="G372" i="1"/>
  <c r="G371" i="1"/>
  <c r="G374" i="1" s="1"/>
  <c r="G375" i="1" s="1"/>
  <c r="G376" i="1" s="1"/>
  <c r="G377" i="1" s="1"/>
  <c r="A366" i="1"/>
  <c r="A367" i="1" s="1"/>
  <c r="A368" i="1" s="1"/>
  <c r="A369" i="1" s="1"/>
  <c r="G365" i="1"/>
  <c r="G366" i="1" s="1"/>
  <c r="G367" i="1" s="1"/>
  <c r="G368" i="1" s="1"/>
  <c r="G369" i="1" s="1"/>
  <c r="A360" i="1"/>
  <c r="A361" i="1" s="1"/>
  <c r="A362" i="1" s="1"/>
  <c r="A363" i="1" s="1"/>
  <c r="G359" i="1"/>
  <c r="G360" i="1" s="1"/>
  <c r="G361" i="1" s="1"/>
  <c r="G362" i="1" s="1"/>
  <c r="G363" i="1" s="1"/>
  <c r="F357" i="1"/>
  <c r="A354" i="1"/>
  <c r="A355" i="1" s="1"/>
  <c r="A356" i="1" s="1"/>
  <c r="A357" i="1" s="1"/>
  <c r="G353" i="1"/>
  <c r="G354" i="1" s="1"/>
  <c r="G355" i="1" s="1"/>
  <c r="G356" i="1" s="1"/>
  <c r="G357" i="1" s="1"/>
  <c r="A349" i="1"/>
  <c r="A350" i="1" s="1"/>
  <c r="A351" i="1" s="1"/>
  <c r="G348" i="1"/>
  <c r="G349" i="1" s="1"/>
  <c r="G350" i="1" s="1"/>
  <c r="G351" i="1" s="1"/>
  <c r="F304" i="1"/>
  <c r="F303" i="1"/>
  <c r="F302" i="1"/>
  <c r="F301" i="1"/>
  <c r="F300" i="1"/>
  <c r="F299" i="1"/>
  <c r="G298" i="1"/>
  <c r="G299" i="1" s="1"/>
  <c r="G300" i="1" s="1"/>
  <c r="G301" i="1" s="1"/>
  <c r="G302" i="1" s="1"/>
  <c r="G303" i="1" s="1"/>
  <c r="G304" i="1" s="1"/>
  <c r="F298" i="1"/>
  <c r="F288" i="1"/>
  <c r="F282" i="1"/>
  <c r="F287" i="1"/>
  <c r="F286" i="1"/>
  <c r="F285" i="1"/>
  <c r="F284" i="1"/>
  <c r="F283" i="1"/>
  <c r="F280" i="1"/>
  <c r="F274" i="1"/>
  <c r="F279" i="1"/>
  <c r="F278" i="1"/>
  <c r="F277" i="1"/>
  <c r="F276" i="1"/>
  <c r="F275" i="1"/>
  <c r="F272" i="1"/>
  <c r="F271" i="1"/>
  <c r="F270" i="1"/>
  <c r="F269" i="1"/>
  <c r="F268" i="1"/>
  <c r="F266" i="1"/>
  <c r="F265" i="1"/>
  <c r="F264" i="1"/>
  <c r="F263" i="1"/>
  <c r="F262" i="1"/>
  <c r="G262" i="1"/>
  <c r="G263" i="1" s="1"/>
  <c r="G264" i="1" s="1"/>
  <c r="G265" i="1" s="1"/>
  <c r="G266" i="1" s="1"/>
  <c r="F260" i="1"/>
  <c r="F259" i="1"/>
  <c r="F258" i="1"/>
  <c r="F257" i="1"/>
  <c r="F254" i="1"/>
  <c r="F253" i="1"/>
  <c r="F252" i="1"/>
  <c r="F251" i="1"/>
  <c r="A257" i="1"/>
  <c r="A258" i="1" s="1"/>
  <c r="A259" i="1" s="1"/>
  <c r="A260" i="1" s="1"/>
  <c r="G256" i="1"/>
  <c r="G257" i="1" s="1"/>
  <c r="G258" i="1" s="1"/>
  <c r="G259" i="1" s="1"/>
  <c r="G260" i="1" s="1"/>
  <c r="G282" i="1"/>
  <c r="G283" i="1" s="1"/>
  <c r="G284" i="1" s="1"/>
  <c r="G285" i="1" s="1"/>
  <c r="G286" i="1" s="1"/>
  <c r="G287" i="1" s="1"/>
  <c r="G288" i="1" s="1"/>
  <c r="G276" i="1"/>
  <c r="G275" i="1"/>
  <c r="G274" i="1"/>
  <c r="G277" i="1" s="1"/>
  <c r="G278" i="1" s="1"/>
  <c r="G279" i="1" s="1"/>
  <c r="G280" i="1" s="1"/>
  <c r="A269" i="1"/>
  <c r="A270" i="1" s="1"/>
  <c r="A271" i="1" s="1"/>
  <c r="A272" i="1" s="1"/>
  <c r="G268" i="1"/>
  <c r="G269" i="1" s="1"/>
  <c r="G270" i="1" s="1"/>
  <c r="G271" i="1" s="1"/>
  <c r="G272" i="1" s="1"/>
  <c r="A263" i="1"/>
  <c r="A264" i="1" s="1"/>
  <c r="A265" i="1" s="1"/>
  <c r="A266" i="1" s="1"/>
  <c r="A252" i="1"/>
  <c r="A253" i="1" s="1"/>
  <c r="A254" i="1" s="1"/>
  <c r="G251" i="1"/>
  <c r="G252" i="1" s="1"/>
  <c r="G253" i="1" s="1"/>
  <c r="G254" i="1" s="1"/>
  <c r="F183" i="1"/>
  <c r="F175" i="1"/>
  <c r="F169" i="1"/>
  <c r="F174" i="1"/>
  <c r="F173" i="1"/>
  <c r="F172" i="1"/>
  <c r="F171" i="1"/>
  <c r="F170" i="1"/>
  <c r="G171" i="1"/>
  <c r="G170" i="1"/>
  <c r="G169" i="1"/>
  <c r="G172" i="1" s="1"/>
  <c r="G173" i="1" s="1"/>
  <c r="G174" i="1" s="1"/>
  <c r="G175" i="1" s="1"/>
  <c r="F167" i="1"/>
  <c r="F166" i="1"/>
  <c r="F165" i="1"/>
  <c r="F164" i="1"/>
  <c r="A164" i="1"/>
  <c r="A165" i="1" s="1"/>
  <c r="A166" i="1" s="1"/>
  <c r="A167" i="1" s="1"/>
  <c r="G163" i="1"/>
  <c r="G164" i="1" s="1"/>
  <c r="G165" i="1" s="1"/>
  <c r="G166" i="1" s="1"/>
  <c r="G167" i="1" s="1"/>
  <c r="F163" i="1"/>
  <c r="F161" i="1"/>
  <c r="F160" i="1"/>
  <c r="F159" i="1"/>
  <c r="F158" i="1"/>
  <c r="A158" i="1"/>
  <c r="A159" i="1" s="1"/>
  <c r="A160" i="1" s="1"/>
  <c r="A161" i="1" s="1"/>
  <c r="G157" i="1"/>
  <c r="G158" i="1" s="1"/>
  <c r="G159" i="1" s="1"/>
  <c r="G160" i="1" s="1"/>
  <c r="G161" i="1" s="1"/>
  <c r="F157" i="1"/>
  <c r="F152" i="1"/>
  <c r="O298" i="1"/>
  <c r="P379" i="1"/>
  <c r="P298" i="1"/>
  <c r="O282" i="1"/>
  <c r="P387" i="1"/>
  <c r="P472" i="1"/>
  <c r="P282" i="1"/>
  <c r="O379" i="1"/>
  <c r="O472" i="1"/>
  <c r="O387" i="1"/>
  <c r="G140" i="1" l="1"/>
  <c r="N531" i="1"/>
  <c r="O532" i="1"/>
  <c r="N523" i="1"/>
  <c r="O524" i="1"/>
  <c r="N515" i="1"/>
  <c r="O516" i="1"/>
  <c r="N507" i="1"/>
  <c r="O508" i="1"/>
  <c r="N499" i="1"/>
  <c r="O500" i="1"/>
  <c r="N491" i="1"/>
  <c r="O492" i="1"/>
  <c r="N483" i="1"/>
  <c r="O484" i="1"/>
  <c r="N438" i="1"/>
  <c r="O439" i="1"/>
  <c r="N430" i="1"/>
  <c r="O431" i="1"/>
  <c r="O423" i="1"/>
  <c r="N422" i="1"/>
  <c r="N414" i="1"/>
  <c r="O415" i="1"/>
  <c r="N406" i="1"/>
  <c r="O407" i="1"/>
  <c r="N398" i="1"/>
  <c r="O399" i="1"/>
  <c r="N341" i="1"/>
  <c r="O342" i="1"/>
  <c r="N333" i="1"/>
  <c r="O334" i="1"/>
  <c r="N325" i="1"/>
  <c r="O326" i="1"/>
  <c r="N317" i="1"/>
  <c r="O318" i="1"/>
  <c r="N309" i="1"/>
  <c r="O310" i="1"/>
  <c r="N293" i="1"/>
  <c r="O294" i="1"/>
  <c r="N244" i="1"/>
  <c r="O245" i="1"/>
  <c r="O237" i="1"/>
  <c r="N236" i="1"/>
  <c r="N228" i="1"/>
  <c r="O229" i="1"/>
  <c r="N220" i="1"/>
  <c r="O221" i="1"/>
  <c r="N212" i="1"/>
  <c r="O213" i="1"/>
  <c r="N204" i="1"/>
  <c r="O205" i="1"/>
  <c r="F353" i="1"/>
  <c r="G139" i="1" s="1"/>
  <c r="F256" i="1"/>
  <c r="G138" i="1" s="1"/>
  <c r="N196" i="1"/>
  <c r="O197" i="1"/>
  <c r="O473" i="1"/>
  <c r="N472" i="1"/>
  <c r="P473" i="1"/>
  <c r="P474" i="1" s="1"/>
  <c r="P475" i="1" s="1"/>
  <c r="P476" i="1" s="1"/>
  <c r="P477" i="1" s="1"/>
  <c r="P478" i="1" s="1"/>
  <c r="N379" i="1"/>
  <c r="O380" i="1"/>
  <c r="P380" i="1"/>
  <c r="P381" i="1" s="1"/>
  <c r="P382" i="1" s="1"/>
  <c r="P383" i="1" s="1"/>
  <c r="P384" i="1" s="1"/>
  <c r="P385" i="1" s="1"/>
  <c r="N387" i="1"/>
  <c r="O388" i="1"/>
  <c r="P388" i="1"/>
  <c r="P389" i="1" s="1"/>
  <c r="P390" i="1" s="1"/>
  <c r="P391" i="1" s="1"/>
  <c r="P392" i="1" s="1"/>
  <c r="P393" i="1" s="1"/>
  <c r="N298" i="1"/>
  <c r="O299" i="1"/>
  <c r="P299" i="1"/>
  <c r="P300" i="1" s="1"/>
  <c r="P301" i="1" s="1"/>
  <c r="P302" i="1" s="1"/>
  <c r="P303" i="1" s="1"/>
  <c r="P304" i="1" s="1"/>
  <c r="N282" i="1"/>
  <c r="O283" i="1"/>
  <c r="P283" i="1"/>
  <c r="P284" i="1" s="1"/>
  <c r="P285" i="1" s="1"/>
  <c r="P286" i="1" s="1"/>
  <c r="P287" i="1" s="1"/>
  <c r="P288" i="1" s="1"/>
  <c r="D59" i="1"/>
  <c r="N532" i="1" l="1"/>
  <c r="O533" i="1"/>
  <c r="N524" i="1"/>
  <c r="O525" i="1"/>
  <c r="N516" i="1"/>
  <c r="O517" i="1"/>
  <c r="N508" i="1"/>
  <c r="O509" i="1"/>
  <c r="N500" i="1"/>
  <c r="O501" i="1"/>
  <c r="N492" i="1"/>
  <c r="O493" i="1"/>
  <c r="N484" i="1"/>
  <c r="O485" i="1"/>
  <c r="N439" i="1"/>
  <c r="O440" i="1"/>
  <c r="N431" i="1"/>
  <c r="O432" i="1"/>
  <c r="N423" i="1"/>
  <c r="O424" i="1"/>
  <c r="N415" i="1"/>
  <c r="O416" i="1"/>
  <c r="N407" i="1"/>
  <c r="O408" i="1"/>
  <c r="N399" i="1"/>
  <c r="O400" i="1"/>
  <c r="N342" i="1"/>
  <c r="O343" i="1"/>
  <c r="N334" i="1"/>
  <c r="O335" i="1"/>
  <c r="N326" i="1"/>
  <c r="O327" i="1"/>
  <c r="N318" i="1"/>
  <c r="O319" i="1"/>
  <c r="N310" i="1"/>
  <c r="O311" i="1"/>
  <c r="N294" i="1"/>
  <c r="O295" i="1"/>
  <c r="N245" i="1"/>
  <c r="O246" i="1"/>
  <c r="N237" i="1"/>
  <c r="O238" i="1"/>
  <c r="N229" i="1"/>
  <c r="O230" i="1"/>
  <c r="N221" i="1"/>
  <c r="O222" i="1"/>
  <c r="N213" i="1"/>
  <c r="O214" i="1"/>
  <c r="N205" i="1"/>
  <c r="O206" i="1"/>
  <c r="N197" i="1"/>
  <c r="O198" i="1"/>
  <c r="O474" i="1"/>
  <c r="N473" i="1"/>
  <c r="N388" i="1"/>
  <c r="O389" i="1"/>
  <c r="O381" i="1"/>
  <c r="N380" i="1"/>
  <c r="N299" i="1"/>
  <c r="O300" i="1"/>
  <c r="N283" i="1"/>
  <c r="O284" i="1"/>
  <c r="J73" i="1"/>
  <c r="J72" i="1"/>
  <c r="H63" i="1"/>
  <c r="N533" i="1" l="1"/>
  <c r="O534" i="1"/>
  <c r="N534" i="1" s="1"/>
  <c r="N525" i="1"/>
  <c r="O526" i="1"/>
  <c r="N526" i="1" s="1"/>
  <c r="N517" i="1"/>
  <c r="O518" i="1"/>
  <c r="N518" i="1" s="1"/>
  <c r="N509" i="1"/>
  <c r="O510" i="1"/>
  <c r="N510" i="1" s="1"/>
  <c r="N501" i="1"/>
  <c r="O502" i="1"/>
  <c r="N502" i="1" s="1"/>
  <c r="N493" i="1"/>
  <c r="O494" i="1"/>
  <c r="N494" i="1" s="1"/>
  <c r="N485" i="1"/>
  <c r="O486" i="1"/>
  <c r="N486" i="1" s="1"/>
  <c r="N440" i="1"/>
  <c r="O441" i="1"/>
  <c r="N441" i="1" s="1"/>
  <c r="N432" i="1"/>
  <c r="O433" i="1"/>
  <c r="N433" i="1" s="1"/>
  <c r="O425" i="1"/>
  <c r="N425" i="1" s="1"/>
  <c r="N424" i="1"/>
  <c r="N416" i="1"/>
  <c r="O417" i="1"/>
  <c r="N417" i="1" s="1"/>
  <c r="N408" i="1"/>
  <c r="O409" i="1"/>
  <c r="N409" i="1" s="1"/>
  <c r="N400" i="1"/>
  <c r="O401" i="1"/>
  <c r="N401" i="1" s="1"/>
  <c r="N343" i="1"/>
  <c r="O344" i="1"/>
  <c r="N344" i="1" s="1"/>
  <c r="N335" i="1"/>
  <c r="O336" i="1"/>
  <c r="N336" i="1" s="1"/>
  <c r="N327" i="1"/>
  <c r="O328" i="1"/>
  <c r="N328" i="1" s="1"/>
  <c r="N319" i="1"/>
  <c r="O320" i="1"/>
  <c r="N320" i="1" s="1"/>
  <c r="O312" i="1"/>
  <c r="N312" i="1" s="1"/>
  <c r="N311" i="1"/>
  <c r="N295" i="1"/>
  <c r="O296" i="1"/>
  <c r="N296" i="1" s="1"/>
  <c r="N246" i="1"/>
  <c r="O247" i="1"/>
  <c r="N247" i="1" s="1"/>
  <c r="N238" i="1"/>
  <c r="O239" i="1"/>
  <c r="N239" i="1" s="1"/>
  <c r="N230" i="1"/>
  <c r="O231" i="1"/>
  <c r="N231" i="1" s="1"/>
  <c r="N222" i="1"/>
  <c r="O223" i="1"/>
  <c r="N223" i="1" s="1"/>
  <c r="N214" i="1"/>
  <c r="O215" i="1"/>
  <c r="N215" i="1" s="1"/>
  <c r="N206" i="1"/>
  <c r="O207" i="1"/>
  <c r="N207" i="1" s="1"/>
  <c r="N198" i="1"/>
  <c r="O199" i="1"/>
  <c r="N199" i="1" s="1"/>
  <c r="N474" i="1"/>
  <c r="O475" i="1"/>
  <c r="N389" i="1"/>
  <c r="O390" i="1"/>
  <c r="N381" i="1"/>
  <c r="O382" i="1"/>
  <c r="N300" i="1"/>
  <c r="O301" i="1"/>
  <c r="N284" i="1"/>
  <c r="O285" i="1"/>
  <c r="D68" i="1"/>
  <c r="D74" i="1"/>
  <c r="J66" i="1"/>
  <c r="D75" i="1"/>
  <c r="D71" i="1"/>
  <c r="J67" i="1"/>
  <c r="C66" i="1" s="1"/>
  <c r="J65" i="1"/>
  <c r="D70" i="1"/>
  <c r="D73" i="1"/>
  <c r="D69" i="1"/>
  <c r="J68" i="1"/>
  <c r="D72" i="1"/>
  <c r="G47" i="1"/>
  <c r="H77" i="1"/>
  <c r="O177" i="1"/>
  <c r="J81" i="1" l="1"/>
  <c r="C80" i="1" s="1"/>
  <c r="D85" i="1"/>
  <c r="D82" i="1"/>
  <c r="D89" i="1"/>
  <c r="J80" i="1"/>
  <c r="D86" i="1"/>
  <c r="D88" i="1"/>
  <c r="D84" i="1"/>
  <c r="D83" i="1"/>
  <c r="J82" i="1"/>
  <c r="J83" i="1" s="1"/>
  <c r="D87" i="1"/>
  <c r="J79" i="1"/>
  <c r="J69" i="1"/>
  <c r="J74" i="1" s="1"/>
  <c r="D66" i="1"/>
  <c r="N475" i="1"/>
  <c r="O476" i="1"/>
  <c r="N382" i="1"/>
  <c r="O383" i="1"/>
  <c r="N390" i="1"/>
  <c r="O391" i="1"/>
  <c r="N301" i="1"/>
  <c r="O302" i="1"/>
  <c r="N285" i="1"/>
  <c r="O286" i="1"/>
  <c r="A537" i="1"/>
  <c r="A538" i="1" s="1"/>
  <c r="A539" i="1" s="1"/>
  <c r="A540" i="1" s="1"/>
  <c r="A541" i="1" s="1"/>
  <c r="D80" i="1" l="1"/>
  <c r="J84" i="1"/>
  <c r="J89" i="1" s="1"/>
  <c r="C81" i="1" s="1"/>
  <c r="E80" i="1" s="1"/>
  <c r="J70" i="1"/>
  <c r="A542" i="1"/>
  <c r="A543" i="1" s="1"/>
  <c r="A544" i="1" s="1"/>
  <c r="A545" i="1" s="1"/>
  <c r="O477" i="1"/>
  <c r="N476" i="1"/>
  <c r="N391" i="1"/>
  <c r="O392" i="1"/>
  <c r="N383" i="1"/>
  <c r="O384" i="1"/>
  <c r="N302" i="1"/>
  <c r="O303" i="1"/>
  <c r="N286" i="1"/>
  <c r="O287" i="1"/>
  <c r="A152" i="1"/>
  <c r="A153" i="1" s="1"/>
  <c r="A154" i="1" s="1"/>
  <c r="A155" i="1" s="1"/>
  <c r="P177" i="1"/>
  <c r="G80" i="1" l="1"/>
  <c r="I76" i="1"/>
  <c r="C78" i="1" s="1"/>
  <c r="D81" i="1"/>
  <c r="J71" i="1"/>
  <c r="J75" i="1" s="1"/>
  <c r="C67" i="1" s="1"/>
  <c r="E66" i="1" s="1"/>
  <c r="O478" i="1"/>
  <c r="N478" i="1" s="1"/>
  <c r="N477" i="1"/>
  <c r="N384" i="1"/>
  <c r="O385" i="1"/>
  <c r="N385" i="1" s="1"/>
  <c r="N392" i="1"/>
  <c r="O393" i="1"/>
  <c r="N393" i="1" s="1"/>
  <c r="N303" i="1"/>
  <c r="O304" i="1"/>
  <c r="N304" i="1" s="1"/>
  <c r="N287" i="1"/>
  <c r="O288" i="1"/>
  <c r="N288" i="1" s="1"/>
  <c r="N177" i="1"/>
  <c r="G66" i="1" l="1"/>
  <c r="D61" i="1" s="1"/>
  <c r="F118" i="1" s="1"/>
  <c r="D67" i="1"/>
  <c r="I62" i="1"/>
  <c r="C64" i="1" s="1"/>
  <c r="E41" i="1" l="1"/>
  <c r="E42" i="1" s="1"/>
  <c r="F182" i="1" l="1"/>
  <c r="F181" i="1"/>
  <c r="F180" i="1"/>
  <c r="F179" i="1"/>
  <c r="F178" i="1"/>
  <c r="G177" i="1"/>
  <c r="G178" i="1" s="1"/>
  <c r="G179" i="1" s="1"/>
  <c r="G180" i="1" s="1"/>
  <c r="G181" i="1" s="1"/>
  <c r="G182" i="1" s="1"/>
  <c r="G183" i="1" s="1"/>
  <c r="F177" i="1"/>
  <c r="F153" i="1"/>
  <c r="F154" i="1"/>
  <c r="F155" i="1"/>
  <c r="F151" i="1"/>
  <c r="G137" i="1" l="1"/>
  <c r="G141" i="1" s="1"/>
  <c r="O178" i="1"/>
  <c r="P178" i="1" l="1"/>
  <c r="P179" i="1" s="1"/>
  <c r="P180" i="1" s="1"/>
  <c r="P181" i="1" s="1"/>
  <c r="P182" i="1" s="1"/>
  <c r="P183" i="1" s="1"/>
  <c r="O179" i="1"/>
  <c r="G151" i="1"/>
  <c r="G152" i="1" s="1"/>
  <c r="G153" i="1" s="1"/>
  <c r="G154" i="1" s="1"/>
  <c r="G155" i="1" s="1"/>
  <c r="E25" i="1"/>
  <c r="E23" i="1"/>
  <c r="N179" i="1" l="1"/>
  <c r="N178" i="1"/>
  <c r="O180" i="1"/>
  <c r="N180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O181" i="1" l="1"/>
  <c r="N181" i="1" s="1"/>
  <c r="G12" i="5"/>
  <c r="O182" i="1" l="1"/>
  <c r="N182" i="1" l="1"/>
  <c r="O183" i="1"/>
  <c r="N183" i="1" s="1"/>
  <c r="D558" i="1" l="1"/>
  <c r="F134" i="1"/>
  <c r="C47" i="1"/>
  <c r="D54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<sst xmlns="http://schemas.openxmlformats.org/spreadsheetml/2006/main" count="797" uniqueCount="268">
  <si>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</si>
  <si>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</si>
  <si>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</si>
  <si>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</si>
  <si>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</si>
  <si>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</si>
  <si>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</si>
  <si>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</si>
  <si>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</si>
  <si>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</si>
  <si>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</si>
  <si>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</si>
  <si>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</si>
  <si>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</si>
  <si>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</si>
  <si>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</si>
  <si>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</si>
  <si>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</si>
  <si>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</si>
  <si>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</si>
  <si>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</si>
  <si>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</si>
  <si>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</si>
  <si>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</si>
  <si>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</si>
  <si>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</si>
  <si>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</si>
  <si>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</si>
  <si>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</si>
  <si>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</si>
  <si>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</si>
  <si>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</si>
  <si>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</si>
  <si>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</si>
  <si>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</si>
  <si>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</si>
  <si>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</si>
  <si>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</si>
  <si>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</si>
  <si>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</si>
  <si>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</si>
  <si>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</si>
  <si>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</si>
  <si>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</si>
  <si>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</si>
  <si>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</si>
  <si>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</si>
  <si>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</si>
  <si>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</si>
  <si>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</si>
  <si>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</si>
  <si>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</si>
  <si>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</si>
  <si>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</si>
  <si>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</si>
  <si>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</si>
  <si>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</si>
  <si>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</si>
  <si>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</si>
  <si>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</si>
  <si>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</si>
  <si>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</si>
  <si>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</si>
  <si>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</si>
  <si>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</si>
  <si>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</si>
  <si>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</si>
  <si>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</si>
  <si>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</si>
  <si>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</si>
  <si>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</si>
  <si>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</si>
  <si>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</si>
  <si>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</si>
  <si>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</si>
  <si>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</si>
  <si>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</si>
  <si>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</si>
  <si>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</si>
  <si>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</si>
  <si>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</si>
  <si>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</si>
  <si>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</si>
  <si>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</si>
  <si>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</si>
  <si>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</si>
  <si>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</si>
  <si>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</si>
  <si>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</si>
  <si>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</si>
  <si>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</si>
  <si>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</si>
  <si>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</si>
  <si>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</si>
  <si>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</si>
  <si>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</si>
  <si>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</si>
  <si>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</si>
  <si>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</si>
  <si>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</si>
  <si>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</si>
  <si>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</si>
  <si>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</si>
  <si>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</si>
  <si>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</si>
  <si>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</si>
  <si>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</si>
  <si>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</si>
  <si>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</si>
  <si>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</si>
  <si>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</si>
  <si>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</si>
  <si>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</si>
  <si>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</si>
  <si>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</si>
  <si>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</si>
  <si>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</si>
  <si>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</si>
  <si>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</si>
  <si>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</si>
  <si>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</si>
  <si>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</si>
  <si>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</si>
  <si>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</si>
  <si>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</si>
  <si>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</si>
  <si>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</si>
  <si>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</si>
  <si>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Gas Connection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</si>
  <si>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</si>
  <si>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</si>
  <si>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</si>
  <si>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</si>
  <si>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</si>
  <si>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</si>
  <si>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</si>
  <si>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</si>
  <si>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</si>
  <si>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</si>
  <si>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</si>
  <si>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</si>
  <si>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</si>
  <si>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</si>
  <si>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</si>
  <si>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</si>
  <si>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</si>
  <si>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</si>
  <si>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</si>
  <si>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</si>
  <si>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</si>
  <si>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</si>
  <si>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</si>
  <si>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</si>
  <si>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</si>
  <si>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</si>
  <si>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</si>
  <si>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</si>
  <si>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</si>
  <si>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</si>
  <si>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</si>
  <si>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</si>
  <si>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</si>
  <si>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</si>
  <si>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</si>
  <si>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</si>
  <si>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</si>
  <si>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</si>
  <si>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</si>
  <si>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</si>
  <si>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</si>
  <si>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</si>
  <si>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</si>
  <si>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</si>
  <si>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</si>
  <si>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</si>
  <si>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</si>
  <si>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</si>
  <si>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</si>
  <si>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</si>
  <si>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</si>
  <si>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</si>
  <si>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Tower - A</t>
  </si>
  <si>
    <t>1st Floor for Residential &amp; Amenities</t>
  </si>
  <si>
    <t>2BHK</t>
  </si>
  <si>
    <t>2nd Floor for Residential &amp; Amenities</t>
  </si>
  <si>
    <t>3rd Floor for Residential &amp; Service Floor</t>
  </si>
  <si>
    <t xml:space="preserve">4th Floor </t>
  </si>
  <si>
    <t>Tower - B</t>
  </si>
  <si>
    <t>M.P.Room</t>
  </si>
  <si>
    <t>Axis Goregaon</t>
  </si>
  <si>
    <t>M/s.Agnel Developers</t>
  </si>
  <si>
    <t>The Views</t>
  </si>
  <si>
    <t>Approved Plans, CC, Cost Sheet.</t>
  </si>
  <si>
    <t>194A/9/10 &amp;194A/9/11</t>
  </si>
  <si>
    <t>Ghatkopar</t>
  </si>
  <si>
    <t>Ghatkopar (East)</t>
  </si>
  <si>
    <t>Mumbai</t>
  </si>
  <si>
    <t>Service Road</t>
  </si>
  <si>
    <t>Adarsh Co-op. Housing Society</t>
  </si>
  <si>
    <t>Best Colony</t>
  </si>
  <si>
    <t>Naindu Colony</t>
  </si>
  <si>
    <t>Eastern Express Highway</t>
  </si>
  <si>
    <t>Residential</t>
  </si>
  <si>
    <t>Tower - C</t>
  </si>
  <si>
    <t>Tower - D</t>
  </si>
  <si>
    <t>1BHK</t>
  </si>
  <si>
    <t>As per RERA - 31/12/2025</t>
  </si>
  <si>
    <t>We considered  Saleable area  as per our calculation.</t>
  </si>
  <si>
    <t>We considered Gross carpet area = Net carpet + Deck Area.</t>
  </si>
  <si>
    <t>CTS No</t>
  </si>
  <si>
    <t>Proposed high rise sale residential building no.01 on redevelopment of 512 tenements of ews tenants association (Redevelopment building no.244 to 307) on plot bearing C.T.S. No. 194A/9/10 &amp; 194A/9/11 of Village Ghatkopar, at Ghatkopar East.</t>
  </si>
  <si>
    <t>Tower (A, B, C &amp; D) = 2B + G/St + 1st to 21st Floor</t>
  </si>
  <si>
    <t xml:space="preserve">1.Vitrified tiles Flooring 2. Granite Kitchen Platform  3. Decorative Enternace  etc.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</si>
  <si>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1st &amp; 2nd Basement Floor for Parking</t>
  </si>
  <si>
    <t>Ground Floor for Parking</t>
  </si>
  <si>
    <t>Ground Floor for Residential &amp; Parking</t>
  </si>
  <si>
    <t xml:space="preserve">Proposed Amenities :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</si>
  <si>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Water &amp; Electric Charges</t>
  </si>
  <si>
    <t>Advance Maintenance Charges For 2years</t>
  </si>
  <si>
    <t>Club House Charges</t>
  </si>
  <si>
    <t>P51900031165 - The Views (Tower A &amp; B)
P51900033194 - The Views II (Tower C &amp; D)</t>
  </si>
  <si>
    <t>Stilt Floor for Parking</t>
  </si>
  <si>
    <t>1.4 Km from Ghatkopar Railway Station</t>
  </si>
  <si>
    <t>5th, 6th, 8th, 10th &amp; 12th Floor</t>
  </si>
  <si>
    <t>7th, 9th, 11th, 13th, 15th &amp; 17th Floor (Part Refuge Area)</t>
  </si>
  <si>
    <t>14th Floor</t>
  </si>
  <si>
    <t>16th Floor</t>
  </si>
  <si>
    <t>18th Floor</t>
  </si>
  <si>
    <t>19th Floor (Part Refuge Area)</t>
  </si>
  <si>
    <t>20th Floor</t>
  </si>
  <si>
    <t>21st Floor</t>
  </si>
  <si>
    <t>Flats - 572</t>
  </si>
  <si>
    <t>4 Towers</t>
  </si>
  <si>
    <t>Mhada-1/404/2022</t>
  </si>
  <si>
    <t>Recommended rate should be considered as all inclusive rate if other charges are not mentioned. (Excluding GST &amp; other government Taxes)</t>
  </si>
  <si>
    <t>We have update revised approved floor plan &amp; C.C. (dtd. 08/04/2022)</t>
  </si>
  <si>
    <t>We have consider latest C.C from RERA site.</t>
  </si>
  <si>
    <t>Carpet Area = Net CA + Balcony.</t>
  </si>
  <si>
    <t>Carpet area taken from provided bank area sheet</t>
  </si>
  <si>
    <t>5th, 6th, 8th, 10th Floor</t>
  </si>
  <si>
    <t>12th Floor</t>
  </si>
  <si>
    <t>10,00,000/-</t>
  </si>
  <si>
    <t>2,50,000/-</t>
  </si>
  <si>
    <t>2,00,000/-</t>
  </si>
  <si>
    <t>50,000/-</t>
  </si>
  <si>
    <t>25,000/-</t>
  </si>
  <si>
    <t>Location Link</t>
  </si>
  <si>
    <t>https://goo.gl/maps/mTYERH9Uup2ybWx18</t>
  </si>
  <si>
    <t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</t>
  </si>
  <si>
    <t>Site Meet Person Contact Details ( Name &amp; Contact No.)</t>
  </si>
  <si>
    <t>Tower D = 2B + G/St + 1st to 21st Floor</t>
  </si>
  <si>
    <t>Tower C = 2B + G/St + 1st to 21st Floor</t>
  </si>
  <si>
    <t>Tower B = 2B + G/St + 1st to 21st Floor</t>
  </si>
  <si>
    <t>Tower A = 2B + G/St + 1st to 21st Floor</t>
  </si>
  <si>
    <t>Commencement Certificate No.
Tower B &amp; C</t>
  </si>
  <si>
    <t>Commencement Certificate No.
Tower A &amp; D</t>
  </si>
  <si>
    <t>MH/EE/(BP)/GM/MHADA-1/404/2023/FCC/1/Amend</t>
  </si>
  <si>
    <t>This C.C. is permitted for Phase-I having plot area 3326.16 Sq.Mt. on which building comprising of Tower B and Tower C comprising of ground (pt) for commercial user + 1st for amenities + 2nd to 21st upper floor for residential users having height 67.73mt upto terrace + LMR + OHT as per approved Phase-I Plan dtd. 27.06.2023 and as per Amended plan dt. 24.06.2022.D.A. Phase programme plan dtd. 27.06.2023.</t>
  </si>
  <si>
    <t>MH/EE/(BP)/GM/MHADA-1/404/2023/FCC/2/Amend</t>
  </si>
  <si>
    <t>This Full C.C. is granted for Tower A and Tower D comprising of ground (pt) for parking + 1st for amenities + 2nd to 21st upper floor for residential users having height 67.73mt upto terrace + LMR + OHT as per approved Phase-II Plan and as per Amended plan dt. 24.06.2022.</t>
  </si>
  <si>
    <t>Valid Upto Dated</t>
  </si>
  <si>
    <t>Construction work is in process at the time of visit. Internal photographs not allowed.</t>
  </si>
  <si>
    <t>We have updated latest CC from Mhada (dtd.20/04/2024).</t>
  </si>
  <si>
    <t>Latitude,Longitude</t>
  </si>
  <si>
    <t>19.080206,72.916067</t>
  </si>
  <si>
    <t>Mr. Mehul Minde 9152942580</t>
  </si>
  <si>
    <t>Pooja</t>
  </si>
  <si>
    <t xml:space="preserve">Nainesh Tambe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</si>
</sst>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83">
    <xf numFmtId="0" fontId="0" fillId="0" borderId="0" xfId="0"/>
    <xf numFmtId="0" fontId="0" fillId="2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4" xfId="0" applyFont="1" applyFill="1" applyBorder="1" applyProtection="1"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7" fillId="0" borderId="12" xfId="1" applyFont="1" applyFill="1" applyBorder="1" applyProtection="1">
      <protection hidden="1"/>
    </xf>
    <xf numFmtId="0" fontId="7" fillId="0" borderId="13" xfId="1" applyFont="1" applyFill="1" applyBorder="1" applyProtection="1">
      <protection hidden="1"/>
    </xf>
    <xf numFmtId="0" fontId="7" fillId="0" borderId="13" xfId="1" applyFont="1" applyFill="1" applyBorder="1"/>
    <xf numFmtId="0" fontId="12" fillId="0" borderId="1" xfId="1" applyFont="1" applyFill="1" applyBorder="1" applyAlignment="1" applyProtection="1">
      <alignment horizontal="center" wrapText="1"/>
      <protection locked="0"/>
    </xf>
    <xf numFmtId="0" fontId="17" fillId="0" borderId="13" xfId="0" applyNumberFormat="1" applyFont="1" applyFill="1" applyBorder="1" applyProtection="1">
      <protection hidden="1"/>
    </xf>
    <xf numFmtId="1" fontId="12" fillId="0" borderId="1" xfId="1" applyNumberFormat="1" applyFont="1" applyFill="1" applyBorder="1" applyAlignment="1" applyProtection="1">
      <alignment horizontal="center" wrapText="1"/>
      <protection locked="0"/>
    </xf>
    <xf numFmtId="1" fontId="0" fillId="0" borderId="13" xfId="0" applyNumberFormat="1" applyFill="1" applyBorder="1"/>
    <xf numFmtId="1" fontId="0" fillId="0" borderId="13" xfId="0" applyNumberFormat="1" applyFill="1" applyBorder="1" applyAlignment="1">
      <alignment horizontal="right"/>
    </xf>
    <xf numFmtId="0" fontId="12" fillId="0" borderId="7" xfId="1" applyFont="1" applyFill="1" applyBorder="1" applyAlignment="1" applyProtection="1">
      <alignment horizontal="center" wrapText="1"/>
      <protection locked="0"/>
    </xf>
    <xf numFmtId="1" fontId="0" fillId="0" borderId="15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10" fillId="0" borderId="9" xfId="1" applyFont="1" applyFill="1" applyBorder="1" applyAlignment="1" applyProtection="1">
      <alignment horizontal="left"/>
      <protection locked="0"/>
    </xf>
    <xf numFmtId="0" fontId="10" fillId="0" borderId="24" xfId="1" applyFont="1" applyFill="1" applyBorder="1" applyAlignment="1" applyProtection="1">
      <alignment horizontal="left"/>
      <protection locked="0"/>
    </xf>
    <xf numFmtId="0" fontId="10" fillId="0" borderId="10" xfId="1" applyFont="1" applyFill="1" applyBorder="1" applyAlignment="1" applyProtection="1">
      <alignment horizontal="left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4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0" fontId="6" fillId="2" borderId="28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23" fillId="0" borderId="9" xfId="9" applyFill="1" applyBorder="1" applyAlignment="1" applyProtection="1">
      <alignment horizontal="left"/>
      <protection locked="0"/>
    </xf>
    <xf numFmtId="0" fontId="7" fillId="0" borderId="24" xfId="1" applyFont="1" applyFill="1" applyBorder="1" applyAlignment="1" applyProtection="1">
      <alignment horizontal="left"/>
      <protection locked="0"/>
    </xf>
    <xf numFmtId="0" fontId="7" fillId="0" borderId="10" xfId="1" applyFont="1" applyFill="1" applyBorder="1" applyAlignment="1" applyProtection="1">
      <alignment horizontal="left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2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67" fontId="6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6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10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3" xfId="1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/>
      <protection locked="0"/>
    </xf>
    <xf numFmtId="0" fontId="12" fillId="0" borderId="27" xfId="1" applyFont="1" applyFill="1" applyBorder="1" applyAlignment="1" applyProtection="1">
      <alignment horizontal="left" vertical="top"/>
      <protection locked="0"/>
    </xf>
    <xf numFmtId="0" fontId="12" fillId="0" borderId="2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552141</xdr:colOff>
      <xdr:row>601</xdr:row>
      <xdr:rowOff>81493</xdr:rowOff>
    </xdr:from>
    <xdr:to>
      <xdr:col>7</xdr:col>
      <xdr:colOff>260631</xdr:colOff>
      <xdr:row>622</xdr:row>
      <xdr:rowOff>165669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2141" y="71272464"/>
          <a:ext cx="5838108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550584</xdr:colOff>
      <xdr:row>623</xdr:row>
      <xdr:rowOff>125039</xdr:rowOff>
    </xdr:from>
    <xdr:to>
      <xdr:col>7</xdr:col>
      <xdr:colOff>294017</xdr:colOff>
      <xdr:row>641</xdr:row>
      <xdr:rowOff>152401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0584" y="128477589"/>
          <a:ext cx="5718783" cy="35706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474586</xdr:colOff>
      <xdr:row>559</xdr:row>
      <xdr:rowOff>140360</xdr:rowOff>
    </xdr:from>
    <xdr:to>
      <xdr:col>10</xdr:col>
      <xdr:colOff>563999</xdr:colOff>
      <xdr:row>577</xdr:row>
      <xdr:rowOff>128925</xdr:rowOff>
    </xdr:to>
    <xdr:pic>
      <xdr:nvPicPr>
        <xdr:cNvPr id="18" name="Picture 17" descr="https://vsjcllp.vsjadon.com/upload/insp-214502-845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99211" y="117316910"/>
          <a:ext cx="2013463" cy="357949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676275</xdr:colOff>
      <xdr:row>578</xdr:row>
      <xdr:rowOff>55385</xdr:rowOff>
    </xdr:from>
    <xdr:to>
      <xdr:col>16</xdr:col>
      <xdr:colOff>426077</xdr:colOff>
      <xdr:row>592</xdr:row>
      <xdr:rowOff>122325</xdr:rowOff>
    </xdr:to>
    <xdr:pic>
      <xdr:nvPicPr>
        <xdr:cNvPr id="19" name="Picture 18" descr="https://vsjcllp.vsjadon.com/upload/insp-214502-846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00900" y="121022885"/>
          <a:ext cx="3874127" cy="286729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653174</xdr:colOff>
      <xdr:row>559</xdr:row>
      <xdr:rowOff>142875</xdr:rowOff>
    </xdr:from>
    <xdr:to>
      <xdr:col>16</xdr:col>
      <xdr:colOff>466362</xdr:colOff>
      <xdr:row>577</xdr:row>
      <xdr:rowOff>131440</xdr:rowOff>
    </xdr:to>
    <xdr:pic>
      <xdr:nvPicPr>
        <xdr:cNvPr id="20" name="Picture 19" descr="https://vsjcllp.vsjadon.com/upload/insp-214502-847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01849" y="117319425"/>
          <a:ext cx="2013463" cy="357949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515925</xdr:colOff>
      <xdr:row>578</xdr:row>
      <xdr:rowOff>56885</xdr:rowOff>
    </xdr:from>
    <xdr:to>
      <xdr:col>19</xdr:col>
      <xdr:colOff>299976</xdr:colOff>
      <xdr:row>592</xdr:row>
      <xdr:rowOff>123825</xdr:rowOff>
    </xdr:to>
    <xdr:pic>
      <xdr:nvPicPr>
        <xdr:cNvPr id="21" name="Picture 20" descr="https://vsjcllp.vsjadon.com/upload/insp-214502-848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64875" y="121024385"/>
          <a:ext cx="1612851" cy="286729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553874</xdr:colOff>
      <xdr:row>559</xdr:row>
      <xdr:rowOff>144785</xdr:rowOff>
    </xdr:from>
    <xdr:to>
      <xdr:col>20</xdr:col>
      <xdr:colOff>128937</xdr:colOff>
      <xdr:row>577</xdr:row>
      <xdr:rowOff>133350</xdr:rowOff>
    </xdr:to>
    <xdr:pic>
      <xdr:nvPicPr>
        <xdr:cNvPr id="22" name="Picture 21" descr="https://vsjcllp.vsjadon.com/upload/insp-214502-1525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02824" y="117321335"/>
          <a:ext cx="2013463" cy="357949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558</xdr:row>
      <xdr:rowOff>95250</xdr:rowOff>
    </xdr:from>
    <xdr:to>
      <xdr:col>7</xdr:col>
      <xdr:colOff>674780</xdr:colOff>
      <xdr:row>586</xdr:row>
      <xdr:rowOff>188674</xdr:rowOff>
    </xdr:to>
    <xdr:grpSp>
      <xdr:nvGrpSpPr>
        <xdr:cNvPr id="4" name="Group 3"/>
        <xdr:cNvGrpSpPr/>
      </xdr:nvGrpSpPr>
      <xdr:grpSpPr>
        <a:xfrm>
          <a:off x="165100" y="115131850"/>
          <a:ext cx="6485030" cy="5598874"/>
          <a:chOff x="165100" y="115131850"/>
          <a:chExt cx="6485030" cy="5598874"/>
        </a:xfrm>
      </xdr:grpSpPr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2406" y="117994724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2406" y="1151318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100" y="117994724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8753" y="117994724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8753" y="1151318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100" y="1151318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oneCellAnchor>
    <xdr:from>
      <xdr:col>9</xdr:col>
      <xdr:colOff>533400</xdr:colOff>
      <xdr:row>552</xdr:row>
      <xdr:rowOff>190500</xdr:rowOff>
    </xdr:from>
    <xdr:ext cx="596574" cy="264560"/>
    <xdr:sp macro="" textlink="">
      <xdr:nvSpPr>
        <xdr:cNvPr id="5" name="TextBox 4"/>
        <xdr:cNvSpPr txBox="1"/>
      </xdr:nvSpPr>
      <xdr:spPr>
        <a:xfrm>
          <a:off x="8597900" y="11404600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oneCellAnchor>
    <xdr:from>
      <xdr:col>2</xdr:col>
      <xdr:colOff>44450</xdr:colOff>
      <xdr:row>568</xdr:row>
      <xdr:rowOff>114300</xdr:rowOff>
    </xdr:from>
    <xdr:ext cx="596574" cy="264560"/>
    <xdr:sp macro="" textlink="">
      <xdr:nvSpPr>
        <xdr:cNvPr id="45" name="TextBox 44"/>
        <xdr:cNvSpPr txBox="1"/>
      </xdr:nvSpPr>
      <xdr:spPr>
        <a:xfrm>
          <a:off x="1682750" y="11711305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oneCellAnchor>
    <xdr:from>
      <xdr:col>1</xdr:col>
      <xdr:colOff>101600</xdr:colOff>
      <xdr:row>568</xdr:row>
      <xdr:rowOff>31750</xdr:rowOff>
    </xdr:from>
    <xdr:ext cx="596574" cy="264560"/>
    <xdr:sp macro="" textlink="">
      <xdr:nvSpPr>
        <xdr:cNvPr id="46" name="TextBox 45"/>
        <xdr:cNvSpPr txBox="1"/>
      </xdr:nvSpPr>
      <xdr:spPr>
        <a:xfrm>
          <a:off x="901700" y="11703050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oneCellAnchor>
  <xdr:oneCellAnchor>
    <xdr:from>
      <xdr:col>3</xdr:col>
      <xdr:colOff>577850</xdr:colOff>
      <xdr:row>569</xdr:row>
      <xdr:rowOff>171450</xdr:rowOff>
    </xdr:from>
    <xdr:ext cx="596574" cy="264560"/>
    <xdr:sp macro="" textlink="">
      <xdr:nvSpPr>
        <xdr:cNvPr id="47" name="TextBox 46"/>
        <xdr:cNvSpPr txBox="1"/>
      </xdr:nvSpPr>
      <xdr:spPr>
        <a:xfrm>
          <a:off x="3105150" y="11736705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C Wing</a:t>
          </a:r>
        </a:p>
      </xdr:txBody>
    </xdr:sp>
    <xdr:clientData/>
  </xdr:oneCellAnchor>
  <xdr:oneCellAnchor>
    <xdr:from>
      <xdr:col>6</xdr:col>
      <xdr:colOff>0</xdr:colOff>
      <xdr:row>567</xdr:row>
      <xdr:rowOff>139700</xdr:rowOff>
    </xdr:from>
    <xdr:ext cx="590162" cy="264560"/>
    <xdr:sp macro="" textlink="">
      <xdr:nvSpPr>
        <xdr:cNvPr id="48" name="TextBox 47"/>
        <xdr:cNvSpPr txBox="1"/>
      </xdr:nvSpPr>
      <xdr:spPr>
        <a:xfrm>
          <a:off x="5156200" y="116941600"/>
          <a:ext cx="5901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C Wing</a:t>
          </a:r>
        </a:p>
      </xdr:txBody>
    </xdr:sp>
    <xdr:clientData/>
  </xdr:oneCellAnchor>
  <xdr:oneCellAnchor>
    <xdr:from>
      <xdr:col>1</xdr:col>
      <xdr:colOff>171450</xdr:colOff>
      <xdr:row>584</xdr:row>
      <xdr:rowOff>114300</xdr:rowOff>
    </xdr:from>
    <xdr:ext cx="601768" cy="264560"/>
    <xdr:sp macro="" textlink="">
      <xdr:nvSpPr>
        <xdr:cNvPr id="49" name="TextBox 48"/>
        <xdr:cNvSpPr txBox="1"/>
      </xdr:nvSpPr>
      <xdr:spPr>
        <a:xfrm>
          <a:off x="971550" y="120262650"/>
          <a:ext cx="60176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 Wing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TYERH9Uup2ybWx1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601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54" customWidth="1"/>
    <col min="2" max="2" width="12" style="54" customWidth="1"/>
    <col min="3" max="3" width="12.7265625" style="54" customWidth="1"/>
    <col min="4" max="4" width="14.1796875" style="54" customWidth="1"/>
    <col min="5" max="7" width="11.7265625" style="54" customWidth="1"/>
    <col min="8" max="8" width="12.453125" style="54" customWidth="1"/>
    <col min="9" max="9" width="17.453125" style="28" customWidth="1"/>
    <col min="10" max="10" width="11.453125" style="28" customWidth="1"/>
    <col min="11" max="11" width="10.54296875" style="28" bestFit="1" customWidth="1"/>
    <col min="12" max="12" width="10.54296875" style="28" customWidth="1"/>
    <col min="13" max="13" width="11.81640625" style="28" customWidth="1"/>
    <col min="14" max="14" width="12.54296875" style="28" hidden="1" customWidth="1"/>
    <col min="15" max="15" width="9.81640625" style="28" hidden="1" customWidth="1"/>
    <col min="16" max="16" width="10.453125" style="28" hidden="1" customWidth="1"/>
    <col min="17" max="247" width="9.1796875" style="28"/>
    <col min="248" max="248" width="8.7265625" style="28" customWidth="1"/>
    <col min="249" max="249" width="9.81640625" style="28" customWidth="1"/>
    <col min="250" max="250" width="14.453125" style="28" customWidth="1"/>
    <col min="251" max="251" width="7.26953125" style="28" customWidth="1"/>
    <col min="252" max="252" width="5.54296875" style="28" customWidth="1"/>
    <col min="253" max="253" width="9" style="28" customWidth="1"/>
    <col min="254" max="255" width="9.81640625" style="28" customWidth="1"/>
    <col min="256" max="256" width="11.1796875" style="28" customWidth="1"/>
    <col min="257" max="257" width="2.81640625" style="28" customWidth="1"/>
    <col min="258" max="258" width="3.54296875" style="28" customWidth="1"/>
    <col min="259" max="503" width="9.1796875" style="28"/>
    <col min="504" max="504" width="8.7265625" style="28" customWidth="1"/>
    <col min="505" max="505" width="9.81640625" style="28" customWidth="1"/>
    <col min="506" max="506" width="14.453125" style="28" customWidth="1"/>
    <col min="507" max="507" width="7.26953125" style="28" customWidth="1"/>
    <col min="508" max="508" width="5.54296875" style="28" customWidth="1"/>
    <col min="509" max="509" width="9" style="28" customWidth="1"/>
    <col min="510" max="511" width="9.81640625" style="28" customWidth="1"/>
    <col min="512" max="512" width="11.1796875" style="28" customWidth="1"/>
    <col min="513" max="513" width="2.81640625" style="28" customWidth="1"/>
    <col min="514" max="514" width="3.54296875" style="28" customWidth="1"/>
    <col min="515" max="759" width="9.1796875" style="28"/>
    <col min="760" max="760" width="8.7265625" style="28" customWidth="1"/>
    <col min="761" max="761" width="9.81640625" style="28" customWidth="1"/>
    <col min="762" max="762" width="14.453125" style="28" customWidth="1"/>
    <col min="763" max="763" width="7.26953125" style="28" customWidth="1"/>
    <col min="764" max="764" width="5.54296875" style="28" customWidth="1"/>
    <col min="765" max="765" width="9" style="28" customWidth="1"/>
    <col min="766" max="767" width="9.81640625" style="28" customWidth="1"/>
    <col min="768" max="768" width="11.1796875" style="28" customWidth="1"/>
    <col min="769" max="769" width="2.81640625" style="28" customWidth="1"/>
    <col min="770" max="770" width="3.54296875" style="28" customWidth="1"/>
    <col min="771" max="1015" width="9.1796875" style="28"/>
    <col min="1016" max="1016" width="8.7265625" style="28" customWidth="1"/>
    <col min="1017" max="1017" width="9.81640625" style="28" customWidth="1"/>
    <col min="1018" max="1018" width="14.453125" style="28" customWidth="1"/>
    <col min="1019" max="1019" width="7.26953125" style="28" customWidth="1"/>
    <col min="1020" max="1020" width="5.54296875" style="28" customWidth="1"/>
    <col min="1021" max="1021" width="9" style="28" customWidth="1"/>
    <col min="1022" max="1023" width="9.81640625" style="28" customWidth="1"/>
    <col min="1024" max="1024" width="11.1796875" style="28" customWidth="1"/>
    <col min="1025" max="1025" width="2.81640625" style="28" customWidth="1"/>
    <col min="1026" max="1026" width="3.54296875" style="28" customWidth="1"/>
    <col min="1027" max="1271" width="9.1796875" style="28"/>
    <col min="1272" max="1272" width="8.7265625" style="28" customWidth="1"/>
    <col min="1273" max="1273" width="9.81640625" style="28" customWidth="1"/>
    <col min="1274" max="1274" width="14.453125" style="28" customWidth="1"/>
    <col min="1275" max="1275" width="7.26953125" style="28" customWidth="1"/>
    <col min="1276" max="1276" width="5.54296875" style="28" customWidth="1"/>
    <col min="1277" max="1277" width="9" style="28" customWidth="1"/>
    <col min="1278" max="1279" width="9.81640625" style="28" customWidth="1"/>
    <col min="1280" max="1280" width="11.1796875" style="28" customWidth="1"/>
    <col min="1281" max="1281" width="2.81640625" style="28" customWidth="1"/>
    <col min="1282" max="1282" width="3.54296875" style="28" customWidth="1"/>
    <col min="1283" max="1527" width="9.1796875" style="28"/>
    <col min="1528" max="1528" width="8.7265625" style="28" customWidth="1"/>
    <col min="1529" max="1529" width="9.81640625" style="28" customWidth="1"/>
    <col min="1530" max="1530" width="14.453125" style="28" customWidth="1"/>
    <col min="1531" max="1531" width="7.26953125" style="28" customWidth="1"/>
    <col min="1532" max="1532" width="5.54296875" style="28" customWidth="1"/>
    <col min="1533" max="1533" width="9" style="28" customWidth="1"/>
    <col min="1534" max="1535" width="9.81640625" style="28" customWidth="1"/>
    <col min="1536" max="1536" width="11.1796875" style="28" customWidth="1"/>
    <col min="1537" max="1537" width="2.81640625" style="28" customWidth="1"/>
    <col min="1538" max="1538" width="3.54296875" style="28" customWidth="1"/>
    <col min="1539" max="1783" width="9.1796875" style="28"/>
    <col min="1784" max="1784" width="8.7265625" style="28" customWidth="1"/>
    <col min="1785" max="1785" width="9.81640625" style="28" customWidth="1"/>
    <col min="1786" max="1786" width="14.453125" style="28" customWidth="1"/>
    <col min="1787" max="1787" width="7.26953125" style="28" customWidth="1"/>
    <col min="1788" max="1788" width="5.54296875" style="28" customWidth="1"/>
    <col min="1789" max="1789" width="9" style="28" customWidth="1"/>
    <col min="1790" max="1791" width="9.81640625" style="28" customWidth="1"/>
    <col min="1792" max="1792" width="11.1796875" style="28" customWidth="1"/>
    <col min="1793" max="1793" width="2.81640625" style="28" customWidth="1"/>
    <col min="1794" max="1794" width="3.54296875" style="28" customWidth="1"/>
    <col min="1795" max="2039" width="9.1796875" style="28"/>
    <col min="2040" max="2040" width="8.7265625" style="28" customWidth="1"/>
    <col min="2041" max="2041" width="9.81640625" style="28" customWidth="1"/>
    <col min="2042" max="2042" width="14.453125" style="28" customWidth="1"/>
    <col min="2043" max="2043" width="7.26953125" style="28" customWidth="1"/>
    <col min="2044" max="2044" width="5.54296875" style="28" customWidth="1"/>
    <col min="2045" max="2045" width="9" style="28" customWidth="1"/>
    <col min="2046" max="2047" width="9.81640625" style="28" customWidth="1"/>
    <col min="2048" max="2048" width="11.1796875" style="28" customWidth="1"/>
    <col min="2049" max="2049" width="2.81640625" style="28" customWidth="1"/>
    <col min="2050" max="2050" width="3.54296875" style="28" customWidth="1"/>
    <col min="2051" max="2295" width="9.1796875" style="28"/>
    <col min="2296" max="2296" width="8.7265625" style="28" customWidth="1"/>
    <col min="2297" max="2297" width="9.81640625" style="28" customWidth="1"/>
    <col min="2298" max="2298" width="14.453125" style="28" customWidth="1"/>
    <col min="2299" max="2299" width="7.26953125" style="28" customWidth="1"/>
    <col min="2300" max="2300" width="5.54296875" style="28" customWidth="1"/>
    <col min="2301" max="2301" width="9" style="28" customWidth="1"/>
    <col min="2302" max="2303" width="9.81640625" style="28" customWidth="1"/>
    <col min="2304" max="2304" width="11.1796875" style="28" customWidth="1"/>
    <col min="2305" max="2305" width="2.81640625" style="28" customWidth="1"/>
    <col min="2306" max="2306" width="3.54296875" style="28" customWidth="1"/>
    <col min="2307" max="2551" width="9.1796875" style="28"/>
    <col min="2552" max="2552" width="8.7265625" style="28" customWidth="1"/>
    <col min="2553" max="2553" width="9.81640625" style="28" customWidth="1"/>
    <col min="2554" max="2554" width="14.453125" style="28" customWidth="1"/>
    <col min="2555" max="2555" width="7.26953125" style="28" customWidth="1"/>
    <col min="2556" max="2556" width="5.54296875" style="28" customWidth="1"/>
    <col min="2557" max="2557" width="9" style="28" customWidth="1"/>
    <col min="2558" max="2559" width="9.81640625" style="28" customWidth="1"/>
    <col min="2560" max="2560" width="11.1796875" style="28" customWidth="1"/>
    <col min="2561" max="2561" width="2.81640625" style="28" customWidth="1"/>
    <col min="2562" max="2562" width="3.54296875" style="28" customWidth="1"/>
    <col min="2563" max="2807" width="9.1796875" style="28"/>
    <col min="2808" max="2808" width="8.7265625" style="28" customWidth="1"/>
    <col min="2809" max="2809" width="9.81640625" style="28" customWidth="1"/>
    <col min="2810" max="2810" width="14.453125" style="28" customWidth="1"/>
    <col min="2811" max="2811" width="7.26953125" style="28" customWidth="1"/>
    <col min="2812" max="2812" width="5.54296875" style="28" customWidth="1"/>
    <col min="2813" max="2813" width="9" style="28" customWidth="1"/>
    <col min="2814" max="2815" width="9.81640625" style="28" customWidth="1"/>
    <col min="2816" max="2816" width="11.1796875" style="28" customWidth="1"/>
    <col min="2817" max="2817" width="2.81640625" style="28" customWidth="1"/>
    <col min="2818" max="2818" width="3.54296875" style="28" customWidth="1"/>
    <col min="2819" max="3063" width="9.1796875" style="28"/>
    <col min="3064" max="3064" width="8.7265625" style="28" customWidth="1"/>
    <col min="3065" max="3065" width="9.81640625" style="28" customWidth="1"/>
    <col min="3066" max="3066" width="14.453125" style="28" customWidth="1"/>
    <col min="3067" max="3067" width="7.26953125" style="28" customWidth="1"/>
    <col min="3068" max="3068" width="5.54296875" style="28" customWidth="1"/>
    <col min="3069" max="3069" width="9" style="28" customWidth="1"/>
    <col min="3070" max="3071" width="9.81640625" style="28" customWidth="1"/>
    <col min="3072" max="3072" width="11.1796875" style="28" customWidth="1"/>
    <col min="3073" max="3073" width="2.81640625" style="28" customWidth="1"/>
    <col min="3074" max="3074" width="3.54296875" style="28" customWidth="1"/>
    <col min="3075" max="3319" width="9.1796875" style="28"/>
    <col min="3320" max="3320" width="8.7265625" style="28" customWidth="1"/>
    <col min="3321" max="3321" width="9.81640625" style="28" customWidth="1"/>
    <col min="3322" max="3322" width="14.453125" style="28" customWidth="1"/>
    <col min="3323" max="3323" width="7.26953125" style="28" customWidth="1"/>
    <col min="3324" max="3324" width="5.54296875" style="28" customWidth="1"/>
    <col min="3325" max="3325" width="9" style="28" customWidth="1"/>
    <col min="3326" max="3327" width="9.81640625" style="28" customWidth="1"/>
    <col min="3328" max="3328" width="11.1796875" style="28" customWidth="1"/>
    <col min="3329" max="3329" width="2.81640625" style="28" customWidth="1"/>
    <col min="3330" max="3330" width="3.54296875" style="28" customWidth="1"/>
    <col min="3331" max="3575" width="9.1796875" style="28"/>
    <col min="3576" max="3576" width="8.7265625" style="28" customWidth="1"/>
    <col min="3577" max="3577" width="9.81640625" style="28" customWidth="1"/>
    <col min="3578" max="3578" width="14.453125" style="28" customWidth="1"/>
    <col min="3579" max="3579" width="7.26953125" style="28" customWidth="1"/>
    <col min="3580" max="3580" width="5.54296875" style="28" customWidth="1"/>
    <col min="3581" max="3581" width="9" style="28" customWidth="1"/>
    <col min="3582" max="3583" width="9.81640625" style="28" customWidth="1"/>
    <col min="3584" max="3584" width="11.1796875" style="28" customWidth="1"/>
    <col min="3585" max="3585" width="2.81640625" style="28" customWidth="1"/>
    <col min="3586" max="3586" width="3.54296875" style="28" customWidth="1"/>
    <col min="3587" max="3831" width="9.1796875" style="28"/>
    <col min="3832" max="3832" width="8.7265625" style="28" customWidth="1"/>
    <col min="3833" max="3833" width="9.81640625" style="28" customWidth="1"/>
    <col min="3834" max="3834" width="14.453125" style="28" customWidth="1"/>
    <col min="3835" max="3835" width="7.26953125" style="28" customWidth="1"/>
    <col min="3836" max="3836" width="5.54296875" style="28" customWidth="1"/>
    <col min="3837" max="3837" width="9" style="28" customWidth="1"/>
    <col min="3838" max="3839" width="9.81640625" style="28" customWidth="1"/>
    <col min="3840" max="3840" width="11.1796875" style="28" customWidth="1"/>
    <col min="3841" max="3841" width="2.81640625" style="28" customWidth="1"/>
    <col min="3842" max="3842" width="3.54296875" style="28" customWidth="1"/>
    <col min="3843" max="4087" width="9.1796875" style="28"/>
    <col min="4088" max="4088" width="8.7265625" style="28" customWidth="1"/>
    <col min="4089" max="4089" width="9.81640625" style="28" customWidth="1"/>
    <col min="4090" max="4090" width="14.453125" style="28" customWidth="1"/>
    <col min="4091" max="4091" width="7.26953125" style="28" customWidth="1"/>
    <col min="4092" max="4092" width="5.54296875" style="28" customWidth="1"/>
    <col min="4093" max="4093" width="9" style="28" customWidth="1"/>
    <col min="4094" max="4095" width="9.81640625" style="28" customWidth="1"/>
    <col min="4096" max="4096" width="11.1796875" style="28" customWidth="1"/>
    <col min="4097" max="4097" width="2.81640625" style="28" customWidth="1"/>
    <col min="4098" max="4098" width="3.54296875" style="28" customWidth="1"/>
    <col min="4099" max="4343" width="9.1796875" style="28"/>
    <col min="4344" max="4344" width="8.7265625" style="28" customWidth="1"/>
    <col min="4345" max="4345" width="9.81640625" style="28" customWidth="1"/>
    <col min="4346" max="4346" width="14.453125" style="28" customWidth="1"/>
    <col min="4347" max="4347" width="7.26953125" style="28" customWidth="1"/>
    <col min="4348" max="4348" width="5.54296875" style="28" customWidth="1"/>
    <col min="4349" max="4349" width="9" style="28" customWidth="1"/>
    <col min="4350" max="4351" width="9.81640625" style="28" customWidth="1"/>
    <col min="4352" max="4352" width="11.1796875" style="28" customWidth="1"/>
    <col min="4353" max="4353" width="2.81640625" style="28" customWidth="1"/>
    <col min="4354" max="4354" width="3.54296875" style="28" customWidth="1"/>
    <col min="4355" max="4599" width="9.1796875" style="28"/>
    <col min="4600" max="4600" width="8.7265625" style="28" customWidth="1"/>
    <col min="4601" max="4601" width="9.81640625" style="28" customWidth="1"/>
    <col min="4602" max="4602" width="14.453125" style="28" customWidth="1"/>
    <col min="4603" max="4603" width="7.26953125" style="28" customWidth="1"/>
    <col min="4604" max="4604" width="5.54296875" style="28" customWidth="1"/>
    <col min="4605" max="4605" width="9" style="28" customWidth="1"/>
    <col min="4606" max="4607" width="9.81640625" style="28" customWidth="1"/>
    <col min="4608" max="4608" width="11.1796875" style="28" customWidth="1"/>
    <col min="4609" max="4609" width="2.81640625" style="28" customWidth="1"/>
    <col min="4610" max="4610" width="3.54296875" style="28" customWidth="1"/>
    <col min="4611" max="4855" width="9.1796875" style="28"/>
    <col min="4856" max="4856" width="8.7265625" style="28" customWidth="1"/>
    <col min="4857" max="4857" width="9.81640625" style="28" customWidth="1"/>
    <col min="4858" max="4858" width="14.453125" style="28" customWidth="1"/>
    <col min="4859" max="4859" width="7.26953125" style="28" customWidth="1"/>
    <col min="4860" max="4860" width="5.54296875" style="28" customWidth="1"/>
    <col min="4861" max="4861" width="9" style="28" customWidth="1"/>
    <col min="4862" max="4863" width="9.81640625" style="28" customWidth="1"/>
    <col min="4864" max="4864" width="11.1796875" style="28" customWidth="1"/>
    <col min="4865" max="4865" width="2.81640625" style="28" customWidth="1"/>
    <col min="4866" max="4866" width="3.54296875" style="28" customWidth="1"/>
    <col min="4867" max="5111" width="9.1796875" style="28"/>
    <col min="5112" max="5112" width="8.7265625" style="28" customWidth="1"/>
    <col min="5113" max="5113" width="9.81640625" style="28" customWidth="1"/>
    <col min="5114" max="5114" width="14.453125" style="28" customWidth="1"/>
    <col min="5115" max="5115" width="7.26953125" style="28" customWidth="1"/>
    <col min="5116" max="5116" width="5.54296875" style="28" customWidth="1"/>
    <col min="5117" max="5117" width="9" style="28" customWidth="1"/>
    <col min="5118" max="5119" width="9.81640625" style="28" customWidth="1"/>
    <col min="5120" max="5120" width="11.1796875" style="28" customWidth="1"/>
    <col min="5121" max="5121" width="2.81640625" style="28" customWidth="1"/>
    <col min="5122" max="5122" width="3.54296875" style="28" customWidth="1"/>
    <col min="5123" max="5367" width="9.1796875" style="28"/>
    <col min="5368" max="5368" width="8.7265625" style="28" customWidth="1"/>
    <col min="5369" max="5369" width="9.81640625" style="28" customWidth="1"/>
    <col min="5370" max="5370" width="14.453125" style="28" customWidth="1"/>
    <col min="5371" max="5371" width="7.26953125" style="28" customWidth="1"/>
    <col min="5372" max="5372" width="5.54296875" style="28" customWidth="1"/>
    <col min="5373" max="5373" width="9" style="28" customWidth="1"/>
    <col min="5374" max="5375" width="9.81640625" style="28" customWidth="1"/>
    <col min="5376" max="5376" width="11.1796875" style="28" customWidth="1"/>
    <col min="5377" max="5377" width="2.81640625" style="28" customWidth="1"/>
    <col min="5378" max="5378" width="3.54296875" style="28" customWidth="1"/>
    <col min="5379" max="5623" width="9.1796875" style="28"/>
    <col min="5624" max="5624" width="8.7265625" style="28" customWidth="1"/>
    <col min="5625" max="5625" width="9.81640625" style="28" customWidth="1"/>
    <col min="5626" max="5626" width="14.453125" style="28" customWidth="1"/>
    <col min="5627" max="5627" width="7.26953125" style="28" customWidth="1"/>
    <col min="5628" max="5628" width="5.54296875" style="28" customWidth="1"/>
    <col min="5629" max="5629" width="9" style="28" customWidth="1"/>
    <col min="5630" max="5631" width="9.81640625" style="28" customWidth="1"/>
    <col min="5632" max="5632" width="11.1796875" style="28" customWidth="1"/>
    <col min="5633" max="5633" width="2.81640625" style="28" customWidth="1"/>
    <col min="5634" max="5634" width="3.54296875" style="28" customWidth="1"/>
    <col min="5635" max="5879" width="9.1796875" style="28"/>
    <col min="5880" max="5880" width="8.7265625" style="28" customWidth="1"/>
    <col min="5881" max="5881" width="9.81640625" style="28" customWidth="1"/>
    <col min="5882" max="5882" width="14.453125" style="28" customWidth="1"/>
    <col min="5883" max="5883" width="7.26953125" style="28" customWidth="1"/>
    <col min="5884" max="5884" width="5.54296875" style="28" customWidth="1"/>
    <col min="5885" max="5885" width="9" style="28" customWidth="1"/>
    <col min="5886" max="5887" width="9.81640625" style="28" customWidth="1"/>
    <col min="5888" max="5888" width="11.1796875" style="28" customWidth="1"/>
    <col min="5889" max="5889" width="2.81640625" style="28" customWidth="1"/>
    <col min="5890" max="5890" width="3.54296875" style="28" customWidth="1"/>
    <col min="5891" max="6135" width="9.1796875" style="28"/>
    <col min="6136" max="6136" width="8.7265625" style="28" customWidth="1"/>
    <col min="6137" max="6137" width="9.81640625" style="28" customWidth="1"/>
    <col min="6138" max="6138" width="14.453125" style="28" customWidth="1"/>
    <col min="6139" max="6139" width="7.26953125" style="28" customWidth="1"/>
    <col min="6140" max="6140" width="5.54296875" style="28" customWidth="1"/>
    <col min="6141" max="6141" width="9" style="28" customWidth="1"/>
    <col min="6142" max="6143" width="9.81640625" style="28" customWidth="1"/>
    <col min="6144" max="6144" width="11.1796875" style="28" customWidth="1"/>
    <col min="6145" max="6145" width="2.81640625" style="28" customWidth="1"/>
    <col min="6146" max="6146" width="3.54296875" style="28" customWidth="1"/>
    <col min="6147" max="6391" width="9.1796875" style="28"/>
    <col min="6392" max="6392" width="8.7265625" style="28" customWidth="1"/>
    <col min="6393" max="6393" width="9.81640625" style="28" customWidth="1"/>
    <col min="6394" max="6394" width="14.453125" style="28" customWidth="1"/>
    <col min="6395" max="6395" width="7.26953125" style="28" customWidth="1"/>
    <col min="6396" max="6396" width="5.54296875" style="28" customWidth="1"/>
    <col min="6397" max="6397" width="9" style="28" customWidth="1"/>
    <col min="6398" max="6399" width="9.81640625" style="28" customWidth="1"/>
    <col min="6400" max="6400" width="11.1796875" style="28" customWidth="1"/>
    <col min="6401" max="6401" width="2.81640625" style="28" customWidth="1"/>
    <col min="6402" max="6402" width="3.54296875" style="28" customWidth="1"/>
    <col min="6403" max="6647" width="9.1796875" style="28"/>
    <col min="6648" max="6648" width="8.7265625" style="28" customWidth="1"/>
    <col min="6649" max="6649" width="9.81640625" style="28" customWidth="1"/>
    <col min="6650" max="6650" width="14.453125" style="28" customWidth="1"/>
    <col min="6651" max="6651" width="7.26953125" style="28" customWidth="1"/>
    <col min="6652" max="6652" width="5.54296875" style="28" customWidth="1"/>
    <col min="6653" max="6653" width="9" style="28" customWidth="1"/>
    <col min="6654" max="6655" width="9.81640625" style="28" customWidth="1"/>
    <col min="6656" max="6656" width="11.1796875" style="28" customWidth="1"/>
    <col min="6657" max="6657" width="2.81640625" style="28" customWidth="1"/>
    <col min="6658" max="6658" width="3.54296875" style="28" customWidth="1"/>
    <col min="6659" max="6903" width="9.1796875" style="28"/>
    <col min="6904" max="6904" width="8.7265625" style="28" customWidth="1"/>
    <col min="6905" max="6905" width="9.81640625" style="28" customWidth="1"/>
    <col min="6906" max="6906" width="14.453125" style="28" customWidth="1"/>
    <col min="6907" max="6907" width="7.26953125" style="28" customWidth="1"/>
    <col min="6908" max="6908" width="5.54296875" style="28" customWidth="1"/>
    <col min="6909" max="6909" width="9" style="28" customWidth="1"/>
    <col min="6910" max="6911" width="9.81640625" style="28" customWidth="1"/>
    <col min="6912" max="6912" width="11.1796875" style="28" customWidth="1"/>
    <col min="6913" max="6913" width="2.81640625" style="28" customWidth="1"/>
    <col min="6914" max="6914" width="3.54296875" style="28" customWidth="1"/>
    <col min="6915" max="7159" width="9.1796875" style="28"/>
    <col min="7160" max="7160" width="8.7265625" style="28" customWidth="1"/>
    <col min="7161" max="7161" width="9.81640625" style="28" customWidth="1"/>
    <col min="7162" max="7162" width="14.453125" style="28" customWidth="1"/>
    <col min="7163" max="7163" width="7.26953125" style="28" customWidth="1"/>
    <col min="7164" max="7164" width="5.54296875" style="28" customWidth="1"/>
    <col min="7165" max="7165" width="9" style="28" customWidth="1"/>
    <col min="7166" max="7167" width="9.81640625" style="28" customWidth="1"/>
    <col min="7168" max="7168" width="11.1796875" style="28" customWidth="1"/>
    <col min="7169" max="7169" width="2.81640625" style="28" customWidth="1"/>
    <col min="7170" max="7170" width="3.54296875" style="28" customWidth="1"/>
    <col min="7171" max="7415" width="9.1796875" style="28"/>
    <col min="7416" max="7416" width="8.7265625" style="28" customWidth="1"/>
    <col min="7417" max="7417" width="9.81640625" style="28" customWidth="1"/>
    <col min="7418" max="7418" width="14.453125" style="28" customWidth="1"/>
    <col min="7419" max="7419" width="7.26953125" style="28" customWidth="1"/>
    <col min="7420" max="7420" width="5.54296875" style="28" customWidth="1"/>
    <col min="7421" max="7421" width="9" style="28" customWidth="1"/>
    <col min="7422" max="7423" width="9.81640625" style="28" customWidth="1"/>
    <col min="7424" max="7424" width="11.1796875" style="28" customWidth="1"/>
    <col min="7425" max="7425" width="2.81640625" style="28" customWidth="1"/>
    <col min="7426" max="7426" width="3.54296875" style="28" customWidth="1"/>
    <col min="7427" max="7671" width="9.1796875" style="28"/>
    <col min="7672" max="7672" width="8.7265625" style="28" customWidth="1"/>
    <col min="7673" max="7673" width="9.81640625" style="28" customWidth="1"/>
    <col min="7674" max="7674" width="14.453125" style="28" customWidth="1"/>
    <col min="7675" max="7675" width="7.26953125" style="28" customWidth="1"/>
    <col min="7676" max="7676" width="5.54296875" style="28" customWidth="1"/>
    <col min="7677" max="7677" width="9" style="28" customWidth="1"/>
    <col min="7678" max="7679" width="9.81640625" style="28" customWidth="1"/>
    <col min="7680" max="7680" width="11.1796875" style="28" customWidth="1"/>
    <col min="7681" max="7681" width="2.81640625" style="28" customWidth="1"/>
    <col min="7682" max="7682" width="3.54296875" style="28" customWidth="1"/>
    <col min="7683" max="7927" width="9.1796875" style="28"/>
    <col min="7928" max="7928" width="8.7265625" style="28" customWidth="1"/>
    <col min="7929" max="7929" width="9.81640625" style="28" customWidth="1"/>
    <col min="7930" max="7930" width="14.453125" style="28" customWidth="1"/>
    <col min="7931" max="7931" width="7.26953125" style="28" customWidth="1"/>
    <col min="7932" max="7932" width="5.54296875" style="28" customWidth="1"/>
    <col min="7933" max="7933" width="9" style="28" customWidth="1"/>
    <col min="7934" max="7935" width="9.81640625" style="28" customWidth="1"/>
    <col min="7936" max="7936" width="11.1796875" style="28" customWidth="1"/>
    <col min="7937" max="7937" width="2.81640625" style="28" customWidth="1"/>
    <col min="7938" max="7938" width="3.54296875" style="28" customWidth="1"/>
    <col min="7939" max="8183" width="9.1796875" style="28"/>
    <col min="8184" max="8184" width="8.7265625" style="28" customWidth="1"/>
    <col min="8185" max="8185" width="9.81640625" style="28" customWidth="1"/>
    <col min="8186" max="8186" width="14.453125" style="28" customWidth="1"/>
    <col min="8187" max="8187" width="7.26953125" style="28" customWidth="1"/>
    <col min="8188" max="8188" width="5.54296875" style="28" customWidth="1"/>
    <col min="8189" max="8189" width="9" style="28" customWidth="1"/>
    <col min="8190" max="8191" width="9.81640625" style="28" customWidth="1"/>
    <col min="8192" max="8192" width="11.1796875" style="28" customWidth="1"/>
    <col min="8193" max="8193" width="2.81640625" style="28" customWidth="1"/>
    <col min="8194" max="8194" width="3.54296875" style="28" customWidth="1"/>
    <col min="8195" max="8439" width="9.1796875" style="28"/>
    <col min="8440" max="8440" width="8.7265625" style="28" customWidth="1"/>
    <col min="8441" max="8441" width="9.81640625" style="28" customWidth="1"/>
    <col min="8442" max="8442" width="14.453125" style="28" customWidth="1"/>
    <col min="8443" max="8443" width="7.26953125" style="28" customWidth="1"/>
    <col min="8444" max="8444" width="5.54296875" style="28" customWidth="1"/>
    <col min="8445" max="8445" width="9" style="28" customWidth="1"/>
    <col min="8446" max="8447" width="9.81640625" style="28" customWidth="1"/>
    <col min="8448" max="8448" width="11.1796875" style="28" customWidth="1"/>
    <col min="8449" max="8449" width="2.81640625" style="28" customWidth="1"/>
    <col min="8450" max="8450" width="3.54296875" style="28" customWidth="1"/>
    <col min="8451" max="8695" width="9.1796875" style="28"/>
    <col min="8696" max="8696" width="8.7265625" style="28" customWidth="1"/>
    <col min="8697" max="8697" width="9.81640625" style="28" customWidth="1"/>
    <col min="8698" max="8698" width="14.453125" style="28" customWidth="1"/>
    <col min="8699" max="8699" width="7.26953125" style="28" customWidth="1"/>
    <col min="8700" max="8700" width="5.54296875" style="28" customWidth="1"/>
    <col min="8701" max="8701" width="9" style="28" customWidth="1"/>
    <col min="8702" max="8703" width="9.81640625" style="28" customWidth="1"/>
    <col min="8704" max="8704" width="11.1796875" style="28" customWidth="1"/>
    <col min="8705" max="8705" width="2.81640625" style="28" customWidth="1"/>
    <col min="8706" max="8706" width="3.54296875" style="28" customWidth="1"/>
    <col min="8707" max="8951" width="9.1796875" style="28"/>
    <col min="8952" max="8952" width="8.7265625" style="28" customWidth="1"/>
    <col min="8953" max="8953" width="9.81640625" style="28" customWidth="1"/>
    <col min="8954" max="8954" width="14.453125" style="28" customWidth="1"/>
    <col min="8955" max="8955" width="7.26953125" style="28" customWidth="1"/>
    <col min="8956" max="8956" width="5.54296875" style="28" customWidth="1"/>
    <col min="8957" max="8957" width="9" style="28" customWidth="1"/>
    <col min="8958" max="8959" width="9.81640625" style="28" customWidth="1"/>
    <col min="8960" max="8960" width="11.1796875" style="28" customWidth="1"/>
    <col min="8961" max="8961" width="2.81640625" style="28" customWidth="1"/>
    <col min="8962" max="8962" width="3.54296875" style="28" customWidth="1"/>
    <col min="8963" max="9207" width="9.1796875" style="28"/>
    <col min="9208" max="9208" width="8.7265625" style="28" customWidth="1"/>
    <col min="9209" max="9209" width="9.81640625" style="28" customWidth="1"/>
    <col min="9210" max="9210" width="14.453125" style="28" customWidth="1"/>
    <col min="9211" max="9211" width="7.26953125" style="28" customWidth="1"/>
    <col min="9212" max="9212" width="5.54296875" style="28" customWidth="1"/>
    <col min="9213" max="9213" width="9" style="28" customWidth="1"/>
    <col min="9214" max="9215" width="9.81640625" style="28" customWidth="1"/>
    <col min="9216" max="9216" width="11.1796875" style="28" customWidth="1"/>
    <col min="9217" max="9217" width="2.81640625" style="28" customWidth="1"/>
    <col min="9218" max="9218" width="3.54296875" style="28" customWidth="1"/>
    <col min="9219" max="9463" width="9.1796875" style="28"/>
    <col min="9464" max="9464" width="8.7265625" style="28" customWidth="1"/>
    <col min="9465" max="9465" width="9.81640625" style="28" customWidth="1"/>
    <col min="9466" max="9466" width="14.453125" style="28" customWidth="1"/>
    <col min="9467" max="9467" width="7.26953125" style="28" customWidth="1"/>
    <col min="9468" max="9468" width="5.54296875" style="28" customWidth="1"/>
    <col min="9469" max="9469" width="9" style="28" customWidth="1"/>
    <col min="9470" max="9471" width="9.81640625" style="28" customWidth="1"/>
    <col min="9472" max="9472" width="11.1796875" style="28" customWidth="1"/>
    <col min="9473" max="9473" width="2.81640625" style="28" customWidth="1"/>
    <col min="9474" max="9474" width="3.54296875" style="28" customWidth="1"/>
    <col min="9475" max="9719" width="9.1796875" style="28"/>
    <col min="9720" max="9720" width="8.7265625" style="28" customWidth="1"/>
    <col min="9721" max="9721" width="9.81640625" style="28" customWidth="1"/>
    <col min="9722" max="9722" width="14.453125" style="28" customWidth="1"/>
    <col min="9723" max="9723" width="7.26953125" style="28" customWidth="1"/>
    <col min="9724" max="9724" width="5.54296875" style="28" customWidth="1"/>
    <col min="9725" max="9725" width="9" style="28" customWidth="1"/>
    <col min="9726" max="9727" width="9.81640625" style="28" customWidth="1"/>
    <col min="9728" max="9728" width="11.1796875" style="28" customWidth="1"/>
    <col min="9729" max="9729" width="2.81640625" style="28" customWidth="1"/>
    <col min="9730" max="9730" width="3.54296875" style="28" customWidth="1"/>
    <col min="9731" max="9975" width="9.1796875" style="28"/>
    <col min="9976" max="9976" width="8.7265625" style="28" customWidth="1"/>
    <col min="9977" max="9977" width="9.81640625" style="28" customWidth="1"/>
    <col min="9978" max="9978" width="14.453125" style="28" customWidth="1"/>
    <col min="9979" max="9979" width="7.26953125" style="28" customWidth="1"/>
    <col min="9980" max="9980" width="5.54296875" style="28" customWidth="1"/>
    <col min="9981" max="9981" width="9" style="28" customWidth="1"/>
    <col min="9982" max="9983" width="9.81640625" style="28" customWidth="1"/>
    <col min="9984" max="9984" width="11.1796875" style="28" customWidth="1"/>
    <col min="9985" max="9985" width="2.81640625" style="28" customWidth="1"/>
    <col min="9986" max="9986" width="3.54296875" style="28" customWidth="1"/>
    <col min="9987" max="10231" width="9.1796875" style="28"/>
    <col min="10232" max="10232" width="8.7265625" style="28" customWidth="1"/>
    <col min="10233" max="10233" width="9.81640625" style="28" customWidth="1"/>
    <col min="10234" max="10234" width="14.453125" style="28" customWidth="1"/>
    <col min="10235" max="10235" width="7.26953125" style="28" customWidth="1"/>
    <col min="10236" max="10236" width="5.54296875" style="28" customWidth="1"/>
    <col min="10237" max="10237" width="9" style="28" customWidth="1"/>
    <col min="10238" max="10239" width="9.81640625" style="28" customWidth="1"/>
    <col min="10240" max="10240" width="11.1796875" style="28" customWidth="1"/>
    <col min="10241" max="10241" width="2.81640625" style="28" customWidth="1"/>
    <col min="10242" max="10242" width="3.54296875" style="28" customWidth="1"/>
    <col min="10243" max="10487" width="9.1796875" style="28"/>
    <col min="10488" max="10488" width="8.7265625" style="28" customWidth="1"/>
    <col min="10489" max="10489" width="9.81640625" style="28" customWidth="1"/>
    <col min="10490" max="10490" width="14.453125" style="28" customWidth="1"/>
    <col min="10491" max="10491" width="7.26953125" style="28" customWidth="1"/>
    <col min="10492" max="10492" width="5.54296875" style="28" customWidth="1"/>
    <col min="10493" max="10493" width="9" style="28" customWidth="1"/>
    <col min="10494" max="10495" width="9.81640625" style="28" customWidth="1"/>
    <col min="10496" max="10496" width="11.1796875" style="28" customWidth="1"/>
    <col min="10497" max="10497" width="2.81640625" style="28" customWidth="1"/>
    <col min="10498" max="10498" width="3.54296875" style="28" customWidth="1"/>
    <col min="10499" max="10743" width="9.1796875" style="28"/>
    <col min="10744" max="10744" width="8.7265625" style="28" customWidth="1"/>
    <col min="10745" max="10745" width="9.81640625" style="28" customWidth="1"/>
    <col min="10746" max="10746" width="14.453125" style="28" customWidth="1"/>
    <col min="10747" max="10747" width="7.26953125" style="28" customWidth="1"/>
    <col min="10748" max="10748" width="5.54296875" style="28" customWidth="1"/>
    <col min="10749" max="10749" width="9" style="28" customWidth="1"/>
    <col min="10750" max="10751" width="9.81640625" style="28" customWidth="1"/>
    <col min="10752" max="10752" width="11.1796875" style="28" customWidth="1"/>
    <col min="10753" max="10753" width="2.81640625" style="28" customWidth="1"/>
    <col min="10754" max="10754" width="3.54296875" style="28" customWidth="1"/>
    <col min="10755" max="10999" width="9.1796875" style="28"/>
    <col min="11000" max="11000" width="8.7265625" style="28" customWidth="1"/>
    <col min="11001" max="11001" width="9.81640625" style="28" customWidth="1"/>
    <col min="11002" max="11002" width="14.453125" style="28" customWidth="1"/>
    <col min="11003" max="11003" width="7.26953125" style="28" customWidth="1"/>
    <col min="11004" max="11004" width="5.54296875" style="28" customWidth="1"/>
    <col min="11005" max="11005" width="9" style="28" customWidth="1"/>
    <col min="11006" max="11007" width="9.81640625" style="28" customWidth="1"/>
    <col min="11008" max="11008" width="11.1796875" style="28" customWidth="1"/>
    <col min="11009" max="11009" width="2.81640625" style="28" customWidth="1"/>
    <col min="11010" max="11010" width="3.54296875" style="28" customWidth="1"/>
    <col min="11011" max="11255" width="9.1796875" style="28"/>
    <col min="11256" max="11256" width="8.7265625" style="28" customWidth="1"/>
    <col min="11257" max="11257" width="9.81640625" style="28" customWidth="1"/>
    <col min="11258" max="11258" width="14.453125" style="28" customWidth="1"/>
    <col min="11259" max="11259" width="7.26953125" style="28" customWidth="1"/>
    <col min="11260" max="11260" width="5.54296875" style="28" customWidth="1"/>
    <col min="11261" max="11261" width="9" style="28" customWidth="1"/>
    <col min="11262" max="11263" width="9.81640625" style="28" customWidth="1"/>
    <col min="11264" max="11264" width="11.1796875" style="28" customWidth="1"/>
    <col min="11265" max="11265" width="2.81640625" style="28" customWidth="1"/>
    <col min="11266" max="11266" width="3.54296875" style="28" customWidth="1"/>
    <col min="11267" max="11511" width="9.1796875" style="28"/>
    <col min="11512" max="11512" width="8.7265625" style="28" customWidth="1"/>
    <col min="11513" max="11513" width="9.81640625" style="28" customWidth="1"/>
    <col min="11514" max="11514" width="14.453125" style="28" customWidth="1"/>
    <col min="11515" max="11515" width="7.26953125" style="28" customWidth="1"/>
    <col min="11516" max="11516" width="5.54296875" style="28" customWidth="1"/>
    <col min="11517" max="11517" width="9" style="28" customWidth="1"/>
    <col min="11518" max="11519" width="9.81640625" style="28" customWidth="1"/>
    <col min="11520" max="11520" width="11.1796875" style="28" customWidth="1"/>
    <col min="11521" max="11521" width="2.81640625" style="28" customWidth="1"/>
    <col min="11522" max="11522" width="3.54296875" style="28" customWidth="1"/>
    <col min="11523" max="11767" width="9.1796875" style="28"/>
    <col min="11768" max="11768" width="8.7265625" style="28" customWidth="1"/>
    <col min="11769" max="11769" width="9.81640625" style="28" customWidth="1"/>
    <col min="11770" max="11770" width="14.453125" style="28" customWidth="1"/>
    <col min="11771" max="11771" width="7.26953125" style="28" customWidth="1"/>
    <col min="11772" max="11772" width="5.54296875" style="28" customWidth="1"/>
    <col min="11773" max="11773" width="9" style="28" customWidth="1"/>
    <col min="11774" max="11775" width="9.81640625" style="28" customWidth="1"/>
    <col min="11776" max="11776" width="11.1796875" style="28" customWidth="1"/>
    <col min="11777" max="11777" width="2.81640625" style="28" customWidth="1"/>
    <col min="11778" max="11778" width="3.54296875" style="28" customWidth="1"/>
    <col min="11779" max="12023" width="9.1796875" style="28"/>
    <col min="12024" max="12024" width="8.7265625" style="28" customWidth="1"/>
    <col min="12025" max="12025" width="9.81640625" style="28" customWidth="1"/>
    <col min="12026" max="12026" width="14.453125" style="28" customWidth="1"/>
    <col min="12027" max="12027" width="7.26953125" style="28" customWidth="1"/>
    <col min="12028" max="12028" width="5.54296875" style="28" customWidth="1"/>
    <col min="12029" max="12029" width="9" style="28" customWidth="1"/>
    <col min="12030" max="12031" width="9.81640625" style="28" customWidth="1"/>
    <col min="12032" max="12032" width="11.1796875" style="28" customWidth="1"/>
    <col min="12033" max="12033" width="2.81640625" style="28" customWidth="1"/>
    <col min="12034" max="12034" width="3.54296875" style="28" customWidth="1"/>
    <col min="12035" max="12279" width="9.1796875" style="28"/>
    <col min="12280" max="12280" width="8.7265625" style="28" customWidth="1"/>
    <col min="12281" max="12281" width="9.81640625" style="28" customWidth="1"/>
    <col min="12282" max="12282" width="14.453125" style="28" customWidth="1"/>
    <col min="12283" max="12283" width="7.26953125" style="28" customWidth="1"/>
    <col min="12284" max="12284" width="5.54296875" style="28" customWidth="1"/>
    <col min="12285" max="12285" width="9" style="28" customWidth="1"/>
    <col min="12286" max="12287" width="9.81640625" style="28" customWidth="1"/>
    <col min="12288" max="12288" width="11.1796875" style="28" customWidth="1"/>
    <col min="12289" max="12289" width="2.81640625" style="28" customWidth="1"/>
    <col min="12290" max="12290" width="3.54296875" style="28" customWidth="1"/>
    <col min="12291" max="12535" width="9.1796875" style="28"/>
    <col min="12536" max="12536" width="8.7265625" style="28" customWidth="1"/>
    <col min="12537" max="12537" width="9.81640625" style="28" customWidth="1"/>
    <col min="12538" max="12538" width="14.453125" style="28" customWidth="1"/>
    <col min="12539" max="12539" width="7.26953125" style="28" customWidth="1"/>
    <col min="12540" max="12540" width="5.54296875" style="28" customWidth="1"/>
    <col min="12541" max="12541" width="9" style="28" customWidth="1"/>
    <col min="12542" max="12543" width="9.81640625" style="28" customWidth="1"/>
    <col min="12544" max="12544" width="11.1796875" style="28" customWidth="1"/>
    <col min="12545" max="12545" width="2.81640625" style="28" customWidth="1"/>
    <col min="12546" max="12546" width="3.54296875" style="28" customWidth="1"/>
    <col min="12547" max="12791" width="9.1796875" style="28"/>
    <col min="12792" max="12792" width="8.7265625" style="28" customWidth="1"/>
    <col min="12793" max="12793" width="9.81640625" style="28" customWidth="1"/>
    <col min="12794" max="12794" width="14.453125" style="28" customWidth="1"/>
    <col min="12795" max="12795" width="7.26953125" style="28" customWidth="1"/>
    <col min="12796" max="12796" width="5.54296875" style="28" customWidth="1"/>
    <col min="12797" max="12797" width="9" style="28" customWidth="1"/>
    <col min="12798" max="12799" width="9.81640625" style="28" customWidth="1"/>
    <col min="12800" max="12800" width="11.1796875" style="28" customWidth="1"/>
    <col min="12801" max="12801" width="2.81640625" style="28" customWidth="1"/>
    <col min="12802" max="12802" width="3.54296875" style="28" customWidth="1"/>
    <col min="12803" max="13047" width="9.1796875" style="28"/>
    <col min="13048" max="13048" width="8.7265625" style="28" customWidth="1"/>
    <col min="13049" max="13049" width="9.81640625" style="28" customWidth="1"/>
    <col min="13050" max="13050" width="14.453125" style="28" customWidth="1"/>
    <col min="13051" max="13051" width="7.26953125" style="28" customWidth="1"/>
    <col min="13052" max="13052" width="5.54296875" style="28" customWidth="1"/>
    <col min="13053" max="13053" width="9" style="28" customWidth="1"/>
    <col min="13054" max="13055" width="9.81640625" style="28" customWidth="1"/>
    <col min="13056" max="13056" width="11.1796875" style="28" customWidth="1"/>
    <col min="13057" max="13057" width="2.81640625" style="28" customWidth="1"/>
    <col min="13058" max="13058" width="3.54296875" style="28" customWidth="1"/>
    <col min="13059" max="13303" width="9.1796875" style="28"/>
    <col min="13304" max="13304" width="8.7265625" style="28" customWidth="1"/>
    <col min="13305" max="13305" width="9.81640625" style="28" customWidth="1"/>
    <col min="13306" max="13306" width="14.453125" style="28" customWidth="1"/>
    <col min="13307" max="13307" width="7.26953125" style="28" customWidth="1"/>
    <col min="13308" max="13308" width="5.54296875" style="28" customWidth="1"/>
    <col min="13309" max="13309" width="9" style="28" customWidth="1"/>
    <col min="13310" max="13311" width="9.81640625" style="28" customWidth="1"/>
    <col min="13312" max="13312" width="11.1796875" style="28" customWidth="1"/>
    <col min="13313" max="13313" width="2.81640625" style="28" customWidth="1"/>
    <col min="13314" max="13314" width="3.54296875" style="28" customWidth="1"/>
    <col min="13315" max="13559" width="9.1796875" style="28"/>
    <col min="13560" max="13560" width="8.7265625" style="28" customWidth="1"/>
    <col min="13561" max="13561" width="9.81640625" style="28" customWidth="1"/>
    <col min="13562" max="13562" width="14.453125" style="28" customWidth="1"/>
    <col min="13563" max="13563" width="7.26953125" style="28" customWidth="1"/>
    <col min="13564" max="13564" width="5.54296875" style="28" customWidth="1"/>
    <col min="13565" max="13565" width="9" style="28" customWidth="1"/>
    <col min="13566" max="13567" width="9.81640625" style="28" customWidth="1"/>
    <col min="13568" max="13568" width="11.1796875" style="28" customWidth="1"/>
    <col min="13569" max="13569" width="2.81640625" style="28" customWidth="1"/>
    <col min="13570" max="13570" width="3.54296875" style="28" customWidth="1"/>
    <col min="13571" max="13815" width="9.1796875" style="28"/>
    <col min="13816" max="13816" width="8.7265625" style="28" customWidth="1"/>
    <col min="13817" max="13817" width="9.81640625" style="28" customWidth="1"/>
    <col min="13818" max="13818" width="14.453125" style="28" customWidth="1"/>
    <col min="13819" max="13819" width="7.26953125" style="28" customWidth="1"/>
    <col min="13820" max="13820" width="5.54296875" style="28" customWidth="1"/>
    <col min="13821" max="13821" width="9" style="28" customWidth="1"/>
    <col min="13822" max="13823" width="9.81640625" style="28" customWidth="1"/>
    <col min="13824" max="13824" width="11.1796875" style="28" customWidth="1"/>
    <col min="13825" max="13825" width="2.81640625" style="28" customWidth="1"/>
    <col min="13826" max="13826" width="3.54296875" style="28" customWidth="1"/>
    <col min="13827" max="14071" width="9.1796875" style="28"/>
    <col min="14072" max="14072" width="8.7265625" style="28" customWidth="1"/>
    <col min="14073" max="14073" width="9.81640625" style="28" customWidth="1"/>
    <col min="14074" max="14074" width="14.453125" style="28" customWidth="1"/>
    <col min="14075" max="14075" width="7.26953125" style="28" customWidth="1"/>
    <col min="14076" max="14076" width="5.54296875" style="28" customWidth="1"/>
    <col min="14077" max="14077" width="9" style="28" customWidth="1"/>
    <col min="14078" max="14079" width="9.81640625" style="28" customWidth="1"/>
    <col min="14080" max="14080" width="11.1796875" style="28" customWidth="1"/>
    <col min="14081" max="14081" width="2.81640625" style="28" customWidth="1"/>
    <col min="14082" max="14082" width="3.54296875" style="28" customWidth="1"/>
    <col min="14083" max="14327" width="9.1796875" style="28"/>
    <col min="14328" max="14328" width="8.7265625" style="28" customWidth="1"/>
    <col min="14329" max="14329" width="9.81640625" style="28" customWidth="1"/>
    <col min="14330" max="14330" width="14.453125" style="28" customWidth="1"/>
    <col min="14331" max="14331" width="7.26953125" style="28" customWidth="1"/>
    <col min="14332" max="14332" width="5.54296875" style="28" customWidth="1"/>
    <col min="14333" max="14333" width="9" style="28" customWidth="1"/>
    <col min="14334" max="14335" width="9.81640625" style="28" customWidth="1"/>
    <col min="14336" max="14336" width="11.1796875" style="28" customWidth="1"/>
    <col min="14337" max="14337" width="2.81640625" style="28" customWidth="1"/>
    <col min="14338" max="14338" width="3.54296875" style="28" customWidth="1"/>
    <col min="14339" max="14583" width="9.1796875" style="28"/>
    <col min="14584" max="14584" width="8.7265625" style="28" customWidth="1"/>
    <col min="14585" max="14585" width="9.81640625" style="28" customWidth="1"/>
    <col min="14586" max="14586" width="14.453125" style="28" customWidth="1"/>
    <col min="14587" max="14587" width="7.26953125" style="28" customWidth="1"/>
    <col min="14588" max="14588" width="5.54296875" style="28" customWidth="1"/>
    <col min="14589" max="14589" width="9" style="28" customWidth="1"/>
    <col min="14590" max="14591" width="9.81640625" style="28" customWidth="1"/>
    <col min="14592" max="14592" width="11.1796875" style="28" customWidth="1"/>
    <col min="14593" max="14593" width="2.81640625" style="28" customWidth="1"/>
    <col min="14594" max="14594" width="3.54296875" style="28" customWidth="1"/>
    <col min="14595" max="14839" width="9.1796875" style="28"/>
    <col min="14840" max="14840" width="8.7265625" style="28" customWidth="1"/>
    <col min="14841" max="14841" width="9.81640625" style="28" customWidth="1"/>
    <col min="14842" max="14842" width="14.453125" style="28" customWidth="1"/>
    <col min="14843" max="14843" width="7.26953125" style="28" customWidth="1"/>
    <col min="14844" max="14844" width="5.54296875" style="28" customWidth="1"/>
    <col min="14845" max="14845" width="9" style="28" customWidth="1"/>
    <col min="14846" max="14847" width="9.81640625" style="28" customWidth="1"/>
    <col min="14848" max="14848" width="11.1796875" style="28" customWidth="1"/>
    <col min="14849" max="14849" width="2.81640625" style="28" customWidth="1"/>
    <col min="14850" max="14850" width="3.54296875" style="28" customWidth="1"/>
    <col min="14851" max="15095" width="9.1796875" style="28"/>
    <col min="15096" max="15096" width="8.7265625" style="28" customWidth="1"/>
    <col min="15097" max="15097" width="9.81640625" style="28" customWidth="1"/>
    <col min="15098" max="15098" width="14.453125" style="28" customWidth="1"/>
    <col min="15099" max="15099" width="7.26953125" style="28" customWidth="1"/>
    <col min="15100" max="15100" width="5.54296875" style="28" customWidth="1"/>
    <col min="15101" max="15101" width="9" style="28" customWidth="1"/>
    <col min="15102" max="15103" width="9.81640625" style="28" customWidth="1"/>
    <col min="15104" max="15104" width="11.1796875" style="28" customWidth="1"/>
    <col min="15105" max="15105" width="2.81640625" style="28" customWidth="1"/>
    <col min="15106" max="15106" width="3.54296875" style="28" customWidth="1"/>
    <col min="15107" max="15351" width="9.1796875" style="28"/>
    <col min="15352" max="15352" width="8.7265625" style="28" customWidth="1"/>
    <col min="15353" max="15353" width="9.81640625" style="28" customWidth="1"/>
    <col min="15354" max="15354" width="14.453125" style="28" customWidth="1"/>
    <col min="15355" max="15355" width="7.26953125" style="28" customWidth="1"/>
    <col min="15356" max="15356" width="5.54296875" style="28" customWidth="1"/>
    <col min="15357" max="15357" width="9" style="28" customWidth="1"/>
    <col min="15358" max="15359" width="9.81640625" style="28" customWidth="1"/>
    <col min="15360" max="15360" width="11.1796875" style="28" customWidth="1"/>
    <col min="15361" max="15361" width="2.81640625" style="28" customWidth="1"/>
    <col min="15362" max="15362" width="3.54296875" style="28" customWidth="1"/>
    <col min="15363" max="15607" width="9.1796875" style="28"/>
    <col min="15608" max="15608" width="8.7265625" style="28" customWidth="1"/>
    <col min="15609" max="15609" width="9.81640625" style="28" customWidth="1"/>
    <col min="15610" max="15610" width="14.453125" style="28" customWidth="1"/>
    <col min="15611" max="15611" width="7.26953125" style="28" customWidth="1"/>
    <col min="15612" max="15612" width="5.54296875" style="28" customWidth="1"/>
    <col min="15613" max="15613" width="9" style="28" customWidth="1"/>
    <col min="15614" max="15615" width="9.81640625" style="28" customWidth="1"/>
    <col min="15616" max="15616" width="11.1796875" style="28" customWidth="1"/>
    <col min="15617" max="15617" width="2.81640625" style="28" customWidth="1"/>
    <col min="15618" max="15618" width="3.54296875" style="28" customWidth="1"/>
    <col min="15619" max="15863" width="9.1796875" style="28"/>
    <col min="15864" max="15864" width="8.7265625" style="28" customWidth="1"/>
    <col min="15865" max="15865" width="9.81640625" style="28" customWidth="1"/>
    <col min="15866" max="15866" width="14.453125" style="28" customWidth="1"/>
    <col min="15867" max="15867" width="7.26953125" style="28" customWidth="1"/>
    <col min="15868" max="15868" width="5.54296875" style="28" customWidth="1"/>
    <col min="15869" max="15869" width="9" style="28" customWidth="1"/>
    <col min="15870" max="15871" width="9.81640625" style="28" customWidth="1"/>
    <col min="15872" max="15872" width="11.1796875" style="28" customWidth="1"/>
    <col min="15873" max="15873" width="2.81640625" style="28" customWidth="1"/>
    <col min="15874" max="15874" width="3.54296875" style="28" customWidth="1"/>
    <col min="15875" max="16119" width="9.1796875" style="28"/>
    <col min="16120" max="16120" width="8.7265625" style="28" customWidth="1"/>
    <col min="16121" max="16121" width="9.81640625" style="28" customWidth="1"/>
    <col min="16122" max="16122" width="14.453125" style="28" customWidth="1"/>
    <col min="16123" max="16123" width="7.26953125" style="28" customWidth="1"/>
    <col min="16124" max="16124" width="5.54296875" style="28" customWidth="1"/>
    <col min="16125" max="16125" width="9" style="28" customWidth="1"/>
    <col min="16126" max="16127" width="9.81640625" style="28" customWidth="1"/>
    <col min="16128" max="16128" width="11.1796875" style="28" customWidth="1"/>
    <col min="16129" max="16129" width="2.81640625" style="28" customWidth="1"/>
    <col min="16130" max="16130" width="3.54296875" style="28" customWidth="1"/>
    <col min="16131" max="16384" width="9.1796875" style="28"/>
  </cols>
  <sheetData>
    <row r="1" spans="1:8" ht="46.5" customHeight="1" x14ac:dyDescent="0.35">
      <c r="A1" s="131" t="s">
        <v>248</v>
      </c>
      <c r="B1" s="131"/>
      <c r="C1" s="131"/>
      <c r="D1" s="131"/>
      <c r="E1" s="131"/>
      <c r="F1" s="131"/>
      <c r="G1" s="131"/>
      <c r="H1" s="131"/>
    </row>
    <row r="2" spans="1:8" ht="16.5" customHeight="1" x14ac:dyDescent="0.35">
      <c r="A2" s="100" t="s">
        <v>0</v>
      </c>
      <c r="B2" s="100"/>
      <c r="C2" s="100"/>
      <c r="D2" s="100"/>
      <c r="E2" s="100"/>
      <c r="F2" s="100"/>
      <c r="G2" s="100"/>
      <c r="H2" s="100"/>
    </row>
    <row r="3" spans="1:8" x14ac:dyDescent="0.35">
      <c r="A3" s="115" t="s">
        <v>1</v>
      </c>
      <c r="B3" s="115"/>
      <c r="C3" s="115"/>
      <c r="D3" s="115"/>
      <c r="E3" s="132" t="str">
        <f ca="1">TEXT(TODAY(),"DD/MM/YYYY")</f>
        <v>17/07/2025</v>
      </c>
      <c r="F3" s="132"/>
      <c r="G3" s="132"/>
      <c r="H3" s="132"/>
    </row>
    <row r="4" spans="1:8" ht="15" customHeight="1" x14ac:dyDescent="0.35">
      <c r="A4" s="115" t="s">
        <v>2</v>
      </c>
      <c r="B4" s="115"/>
      <c r="C4" s="115"/>
      <c r="D4" s="115"/>
      <c r="E4" s="126" t="s">
        <v>189</v>
      </c>
      <c r="F4" s="126"/>
      <c r="G4" s="126"/>
      <c r="H4" s="126"/>
    </row>
    <row r="5" spans="1:8" x14ac:dyDescent="0.35">
      <c r="A5" s="115" t="s">
        <v>3</v>
      </c>
      <c r="B5" s="115"/>
      <c r="C5" s="115"/>
      <c r="D5" s="115"/>
      <c r="E5" s="132">
        <v>45845</v>
      </c>
      <c r="F5" s="132"/>
      <c r="G5" s="132"/>
      <c r="H5" s="132"/>
    </row>
    <row r="6" spans="1:8" ht="16.5" customHeight="1" x14ac:dyDescent="0.35">
      <c r="A6" s="115" t="s">
        <v>4</v>
      </c>
      <c r="B6" s="115"/>
      <c r="C6" s="115"/>
      <c r="D6" s="115"/>
      <c r="E6" s="125" t="s">
        <v>190</v>
      </c>
      <c r="F6" s="125"/>
      <c r="G6" s="125"/>
      <c r="H6" s="125"/>
    </row>
    <row r="7" spans="1:8" x14ac:dyDescent="0.35">
      <c r="A7" s="115" t="s">
        <v>5</v>
      </c>
      <c r="B7" s="115"/>
      <c r="C7" s="115"/>
      <c r="D7" s="115"/>
      <c r="E7" s="125" t="str">
        <f>E6</f>
        <v>M/s.Agnel Developers</v>
      </c>
      <c r="F7" s="125"/>
      <c r="G7" s="125"/>
      <c r="H7" s="125"/>
    </row>
    <row r="8" spans="1:8" x14ac:dyDescent="0.35">
      <c r="A8" s="115" t="s">
        <v>6</v>
      </c>
      <c r="B8" s="115"/>
      <c r="C8" s="115"/>
      <c r="D8" s="115"/>
      <c r="E8" s="133" t="s">
        <v>191</v>
      </c>
      <c r="F8" s="133"/>
      <c r="G8" s="133"/>
      <c r="H8" s="133"/>
    </row>
    <row r="9" spans="1:8" x14ac:dyDescent="0.35">
      <c r="A9" s="115" t="s">
        <v>154</v>
      </c>
      <c r="B9" s="115"/>
      <c r="C9" s="115"/>
      <c r="D9" s="115"/>
      <c r="E9" s="115">
        <v>7506503865</v>
      </c>
      <c r="F9" s="115"/>
      <c r="G9" s="115"/>
      <c r="H9" s="115"/>
    </row>
    <row r="10" spans="1:8" x14ac:dyDescent="0.35">
      <c r="A10" s="115" t="s">
        <v>249</v>
      </c>
      <c r="B10" s="115"/>
      <c r="C10" s="115"/>
      <c r="D10" s="115"/>
      <c r="E10" s="115" t="s">
        <v>265</v>
      </c>
      <c r="F10" s="115"/>
      <c r="G10" s="115"/>
      <c r="H10" s="115"/>
    </row>
    <row r="11" spans="1:8" x14ac:dyDescent="0.35">
      <c r="A11" s="95" t="s">
        <v>7</v>
      </c>
      <c r="B11" s="95"/>
      <c r="C11" s="95"/>
      <c r="D11" s="95"/>
      <c r="E11" s="95" t="s">
        <v>232</v>
      </c>
      <c r="F11" s="95"/>
      <c r="G11" s="95"/>
      <c r="H11" s="95"/>
    </row>
    <row r="12" spans="1:8" x14ac:dyDescent="0.35">
      <c r="A12" s="115" t="s">
        <v>8</v>
      </c>
      <c r="B12" s="115"/>
      <c r="C12" s="115"/>
      <c r="D12" s="115"/>
      <c r="E12" s="94" t="s">
        <v>192</v>
      </c>
      <c r="F12" s="94"/>
      <c r="G12" s="94"/>
      <c r="H12" s="94"/>
    </row>
    <row r="13" spans="1:8" ht="32.25" customHeight="1" x14ac:dyDescent="0.35">
      <c r="A13" s="115" t="s">
        <v>9</v>
      </c>
      <c r="B13" s="115"/>
      <c r="C13" s="115"/>
      <c r="D13" s="115"/>
      <c r="E13" s="94" t="s">
        <v>220</v>
      </c>
      <c r="F13" s="95"/>
      <c r="G13" s="95"/>
      <c r="H13" s="95"/>
    </row>
    <row r="14" spans="1:8" ht="50.25" customHeight="1" x14ac:dyDescent="0.35">
      <c r="A14" s="125" t="s">
        <v>10</v>
      </c>
      <c r="B14" s="125"/>
      <c r="C14" s="125" t="s">
        <v>210</v>
      </c>
      <c r="D14" s="125"/>
      <c r="E14" s="125"/>
      <c r="F14" s="125"/>
      <c r="G14" s="125"/>
      <c r="H14" s="125"/>
    </row>
    <row r="15" spans="1:8" x14ac:dyDescent="0.35">
      <c r="A15" s="94" t="s">
        <v>209</v>
      </c>
      <c r="B15" s="94"/>
      <c r="C15" s="94" t="s">
        <v>193</v>
      </c>
      <c r="D15" s="94"/>
      <c r="E15" s="94"/>
      <c r="F15" s="94"/>
      <c r="G15" s="94"/>
      <c r="H15" s="94"/>
    </row>
    <row r="16" spans="1:8" ht="15.75" customHeight="1" x14ac:dyDescent="0.35">
      <c r="A16" s="125" t="s">
        <v>11</v>
      </c>
      <c r="B16" s="125"/>
      <c r="C16" s="95" t="s">
        <v>197</v>
      </c>
      <c r="D16" s="95"/>
      <c r="E16" s="125" t="s">
        <v>101</v>
      </c>
      <c r="F16" s="125"/>
      <c r="G16" s="94" t="s">
        <v>194</v>
      </c>
      <c r="H16" s="94"/>
    </row>
    <row r="17" spans="1:8" x14ac:dyDescent="0.35">
      <c r="A17" s="115" t="s">
        <v>13</v>
      </c>
      <c r="B17" s="115"/>
      <c r="C17" s="94" t="s">
        <v>195</v>
      </c>
      <c r="D17" s="94"/>
      <c r="E17" s="125" t="s">
        <v>12</v>
      </c>
      <c r="F17" s="125"/>
      <c r="G17" s="130" t="s">
        <v>196</v>
      </c>
      <c r="H17" s="130"/>
    </row>
    <row r="18" spans="1:8" x14ac:dyDescent="0.35">
      <c r="A18" s="115" t="s">
        <v>102</v>
      </c>
      <c r="B18" s="115"/>
      <c r="C18" s="94" t="s">
        <v>196</v>
      </c>
      <c r="D18" s="94"/>
      <c r="E18" s="125" t="s">
        <v>14</v>
      </c>
      <c r="F18" s="125"/>
      <c r="G18" s="94">
        <v>400075</v>
      </c>
      <c r="H18" s="94"/>
    </row>
    <row r="19" spans="1:8" ht="32.25" customHeight="1" x14ac:dyDescent="0.35">
      <c r="A19" s="115" t="s">
        <v>155</v>
      </c>
      <c r="B19" s="115"/>
      <c r="C19" s="125" t="s">
        <v>198</v>
      </c>
      <c r="D19" s="125"/>
      <c r="E19" s="125" t="s">
        <v>15</v>
      </c>
      <c r="F19" s="125"/>
      <c r="G19" s="94" t="s">
        <v>222</v>
      </c>
      <c r="H19" s="94"/>
    </row>
    <row r="20" spans="1:8" ht="15" customHeight="1" x14ac:dyDescent="0.35">
      <c r="A20" s="125" t="s">
        <v>104</v>
      </c>
      <c r="B20" s="125"/>
      <c r="C20" s="125"/>
      <c r="D20" s="125"/>
      <c r="E20" s="95" t="s">
        <v>16</v>
      </c>
      <c r="F20" s="95"/>
      <c r="G20" s="95"/>
      <c r="H20" s="95"/>
    </row>
    <row r="21" spans="1:8" ht="18.75" customHeight="1" x14ac:dyDescent="0.35">
      <c r="A21" s="125"/>
      <c r="B21" s="125"/>
      <c r="C21" s="125"/>
      <c r="D21" s="125"/>
      <c r="E21" s="95"/>
      <c r="F21" s="95"/>
      <c r="G21" s="95"/>
      <c r="H21" s="95"/>
    </row>
    <row r="22" spans="1:8" ht="15" customHeight="1" x14ac:dyDescent="0.35">
      <c r="A22" s="125" t="s">
        <v>17</v>
      </c>
      <c r="B22" s="125"/>
      <c r="C22" s="125"/>
      <c r="D22" s="125"/>
      <c r="E22" s="94" t="s">
        <v>18</v>
      </c>
      <c r="F22" s="94"/>
      <c r="G22" s="94"/>
      <c r="H22" s="94"/>
    </row>
    <row r="23" spans="1:8" ht="15" customHeight="1" x14ac:dyDescent="0.35">
      <c r="A23" s="115" t="s">
        <v>19</v>
      </c>
      <c r="B23" s="115"/>
      <c r="C23" s="115"/>
      <c r="D23" s="115"/>
      <c r="E23" s="94" t="str">
        <f>IF(AND(G17="Mumbai"),"Upper Class","Middle Class")</f>
        <v>Upper Class</v>
      </c>
      <c r="F23" s="94"/>
      <c r="G23" s="94"/>
      <c r="H23" s="94"/>
    </row>
    <row r="24" spans="1:8" x14ac:dyDescent="0.35">
      <c r="A24" s="115" t="s">
        <v>20</v>
      </c>
      <c r="B24" s="115"/>
      <c r="C24" s="115"/>
      <c r="D24" s="115"/>
      <c r="E24" s="94" t="s">
        <v>21</v>
      </c>
      <c r="F24" s="94"/>
      <c r="G24" s="94"/>
      <c r="H24" s="94"/>
    </row>
    <row r="25" spans="1:8" ht="15.75" customHeight="1" x14ac:dyDescent="0.35">
      <c r="A25" s="115" t="s">
        <v>22</v>
      </c>
      <c r="B25" s="115"/>
      <c r="C25" s="115"/>
      <c r="D25" s="115"/>
      <c r="E25" s="94" t="str">
        <f>IF(AND(G17="Mumbai"),"Developed","Developing")</f>
        <v>Developed</v>
      </c>
      <c r="F25" s="94"/>
      <c r="G25" s="94"/>
      <c r="H25" s="94"/>
    </row>
    <row r="26" spans="1:8" x14ac:dyDescent="0.35">
      <c r="A26" s="115" t="s">
        <v>23</v>
      </c>
      <c r="B26" s="115"/>
      <c r="C26" s="115"/>
      <c r="D26" s="115"/>
      <c r="E26" s="94" t="s">
        <v>24</v>
      </c>
      <c r="F26" s="94"/>
      <c r="G26" s="94"/>
      <c r="H26" s="94"/>
    </row>
    <row r="27" spans="1:8" x14ac:dyDescent="0.35">
      <c r="A27" s="115" t="s">
        <v>111</v>
      </c>
      <c r="B27" s="115"/>
      <c r="C27" s="115"/>
      <c r="D27" s="115"/>
      <c r="E27" s="94" t="s">
        <v>112</v>
      </c>
      <c r="F27" s="94"/>
      <c r="G27" s="94"/>
      <c r="H27" s="94"/>
    </row>
    <row r="28" spans="1:8" ht="15" customHeight="1" x14ac:dyDescent="0.35">
      <c r="A28" s="125" t="s">
        <v>33</v>
      </c>
      <c r="B28" s="125"/>
      <c r="C28" s="125"/>
      <c r="D28" s="125"/>
      <c r="E28" s="126" t="s">
        <v>202</v>
      </c>
      <c r="F28" s="126"/>
      <c r="G28" s="126"/>
      <c r="H28" s="126"/>
    </row>
    <row r="29" spans="1:8" x14ac:dyDescent="0.35">
      <c r="A29" s="125" t="s">
        <v>123</v>
      </c>
      <c r="B29" s="125"/>
      <c r="C29" s="125"/>
      <c r="D29" s="125"/>
      <c r="E29" s="125" t="s">
        <v>34</v>
      </c>
      <c r="F29" s="125"/>
      <c r="G29" s="125"/>
      <c r="H29" s="125"/>
    </row>
    <row r="30" spans="1:8" s="29" customFormat="1" x14ac:dyDescent="0.35">
      <c r="A30" s="129" t="s">
        <v>124</v>
      </c>
      <c r="B30" s="129"/>
      <c r="C30" s="128" t="s">
        <v>29</v>
      </c>
      <c r="D30" s="128"/>
      <c r="E30" s="128"/>
      <c r="F30" s="128" t="s">
        <v>31</v>
      </c>
      <c r="G30" s="128"/>
      <c r="H30" s="128"/>
    </row>
    <row r="31" spans="1:8" s="29" customFormat="1" x14ac:dyDescent="0.35">
      <c r="A31" s="124" t="s">
        <v>25</v>
      </c>
      <c r="B31" s="124" t="s">
        <v>30</v>
      </c>
      <c r="C31" s="114" t="s">
        <v>30</v>
      </c>
      <c r="D31" s="114"/>
      <c r="E31" s="114"/>
      <c r="F31" s="114" t="s">
        <v>199</v>
      </c>
      <c r="G31" s="114"/>
      <c r="H31" s="114"/>
    </row>
    <row r="32" spans="1:8" x14ac:dyDescent="0.35">
      <c r="A32" s="124" t="s">
        <v>26</v>
      </c>
      <c r="B32" s="124" t="s">
        <v>30</v>
      </c>
      <c r="C32" s="114" t="s">
        <v>30</v>
      </c>
      <c r="D32" s="114"/>
      <c r="E32" s="114"/>
      <c r="F32" s="114" t="s">
        <v>197</v>
      </c>
      <c r="G32" s="114"/>
      <c r="H32" s="114"/>
    </row>
    <row r="33" spans="1:8" s="29" customFormat="1" x14ac:dyDescent="0.35">
      <c r="A33" s="124" t="s">
        <v>28</v>
      </c>
      <c r="B33" s="124" t="s">
        <v>30</v>
      </c>
      <c r="C33" s="114" t="s">
        <v>30</v>
      </c>
      <c r="D33" s="114"/>
      <c r="E33" s="114"/>
      <c r="F33" s="114" t="s">
        <v>200</v>
      </c>
      <c r="G33" s="114"/>
      <c r="H33" s="114"/>
    </row>
    <row r="34" spans="1:8" x14ac:dyDescent="0.35">
      <c r="A34" s="124" t="s">
        <v>27</v>
      </c>
      <c r="B34" s="124" t="s">
        <v>30</v>
      </c>
      <c r="C34" s="114" t="s">
        <v>30</v>
      </c>
      <c r="D34" s="114"/>
      <c r="E34" s="114"/>
      <c r="F34" s="114" t="s">
        <v>201</v>
      </c>
      <c r="G34" s="114"/>
      <c r="H34" s="114"/>
    </row>
    <row r="35" spans="1:8" x14ac:dyDescent="0.35">
      <c r="A35" s="115" t="s">
        <v>32</v>
      </c>
      <c r="B35" s="115"/>
      <c r="C35" s="115"/>
      <c r="D35" s="115"/>
      <c r="E35" s="115"/>
      <c r="F35" s="115"/>
      <c r="G35" s="115"/>
      <c r="H35" s="115"/>
    </row>
    <row r="36" spans="1:8" ht="15.75" customHeight="1" x14ac:dyDescent="0.35">
      <c r="A36" s="115" t="s">
        <v>263</v>
      </c>
      <c r="B36" s="115"/>
      <c r="C36" s="77" t="s">
        <v>264</v>
      </c>
      <c r="D36" s="78"/>
      <c r="E36" s="78"/>
      <c r="F36" s="78"/>
      <c r="G36" s="78"/>
      <c r="H36" s="79"/>
    </row>
    <row r="37" spans="1:8" ht="15.75" customHeight="1" x14ac:dyDescent="0.35">
      <c r="A37" s="115" t="s">
        <v>246</v>
      </c>
      <c r="B37" s="115"/>
      <c r="C37" s="116" t="s">
        <v>247</v>
      </c>
      <c r="D37" s="117"/>
      <c r="E37" s="117"/>
      <c r="F37" s="117"/>
      <c r="G37" s="117"/>
      <c r="H37" s="118"/>
    </row>
    <row r="38" spans="1:8" x14ac:dyDescent="0.35">
      <c r="A38" s="113" t="s">
        <v>35</v>
      </c>
      <c r="B38" s="113"/>
      <c r="C38" s="113"/>
      <c r="D38" s="113"/>
      <c r="E38" s="113"/>
      <c r="F38" s="113"/>
      <c r="G38" s="113"/>
      <c r="H38" s="113"/>
    </row>
    <row r="39" spans="1:8" x14ac:dyDescent="0.35">
      <c r="A39" s="115" t="s">
        <v>36</v>
      </c>
      <c r="B39" s="115"/>
      <c r="C39" s="115"/>
      <c r="D39" s="115"/>
      <c r="E39" s="127">
        <v>15482.92</v>
      </c>
      <c r="F39" s="127"/>
      <c r="G39" s="127"/>
      <c r="H39" s="127"/>
    </row>
    <row r="40" spans="1:8" x14ac:dyDescent="0.35">
      <c r="A40" s="115" t="s">
        <v>37</v>
      </c>
      <c r="B40" s="115"/>
      <c r="C40" s="115"/>
      <c r="D40" s="115"/>
      <c r="E40" s="171">
        <v>1</v>
      </c>
      <c r="F40" s="171"/>
      <c r="G40" s="171"/>
      <c r="H40" s="171"/>
    </row>
    <row r="41" spans="1:8" x14ac:dyDescent="0.35">
      <c r="A41" s="115" t="s">
        <v>38</v>
      </c>
      <c r="B41" s="115"/>
      <c r="C41" s="115"/>
      <c r="D41" s="115"/>
      <c r="E41" s="171">
        <f>E43/E39-E40</f>
        <v>1.1749127425576056</v>
      </c>
      <c r="F41" s="171"/>
      <c r="G41" s="171"/>
      <c r="H41" s="171"/>
    </row>
    <row r="42" spans="1:8" x14ac:dyDescent="0.35">
      <c r="A42" s="115" t="s">
        <v>39</v>
      </c>
      <c r="B42" s="115"/>
      <c r="C42" s="115"/>
      <c r="D42" s="115"/>
      <c r="E42" s="171">
        <f>E40+E41</f>
        <v>2.1749127425576056</v>
      </c>
      <c r="F42" s="171"/>
      <c r="G42" s="171"/>
      <c r="H42" s="171"/>
    </row>
    <row r="43" spans="1:8" x14ac:dyDescent="0.35">
      <c r="A43" s="115" t="s">
        <v>122</v>
      </c>
      <c r="B43" s="115"/>
      <c r="C43" s="115"/>
      <c r="D43" s="115"/>
      <c r="E43" s="176">
        <v>33674</v>
      </c>
      <c r="F43" s="176"/>
      <c r="G43" s="176"/>
      <c r="H43" s="176"/>
    </row>
    <row r="44" spans="1:8" x14ac:dyDescent="0.35">
      <c r="A44" s="95" t="s">
        <v>40</v>
      </c>
      <c r="B44" s="95"/>
      <c r="C44" s="95"/>
      <c r="D44" s="95"/>
      <c r="E44" s="95" t="s">
        <v>232</v>
      </c>
      <c r="F44" s="95"/>
      <c r="G44" s="95"/>
      <c r="H44" s="95"/>
    </row>
    <row r="45" spans="1:8" x14ac:dyDescent="0.35">
      <c r="A45" s="113" t="s">
        <v>41</v>
      </c>
      <c r="B45" s="113"/>
      <c r="C45" s="113"/>
      <c r="D45" s="113"/>
      <c r="E45" s="113"/>
      <c r="F45" s="113"/>
      <c r="G45" s="113"/>
      <c r="H45" s="113"/>
    </row>
    <row r="46" spans="1:8" x14ac:dyDescent="0.35">
      <c r="A46" s="94" t="s">
        <v>42</v>
      </c>
      <c r="B46" s="94"/>
      <c r="C46" s="94" t="s">
        <v>233</v>
      </c>
      <c r="D46" s="94"/>
      <c r="E46" s="94"/>
      <c r="F46" s="59" t="s">
        <v>43</v>
      </c>
      <c r="G46" s="96">
        <v>44602</v>
      </c>
      <c r="H46" s="96"/>
    </row>
    <row r="47" spans="1:8" x14ac:dyDescent="0.35">
      <c r="A47" s="95" t="s">
        <v>44</v>
      </c>
      <c r="B47" s="95"/>
      <c r="C47" s="94" t="str">
        <f>C46</f>
        <v>Mhada-1/404/2022</v>
      </c>
      <c r="D47" s="94"/>
      <c r="E47" s="94"/>
      <c r="F47" s="59" t="s">
        <v>43</v>
      </c>
      <c r="G47" s="96">
        <f>G46</f>
        <v>44602</v>
      </c>
      <c r="H47" s="96"/>
    </row>
    <row r="48" spans="1:8" s="31" customFormat="1" ht="30" customHeight="1" x14ac:dyDescent="0.35">
      <c r="A48" s="94" t="s">
        <v>254</v>
      </c>
      <c r="B48" s="94"/>
      <c r="C48" s="94" t="s">
        <v>256</v>
      </c>
      <c r="D48" s="95"/>
      <c r="E48" s="95"/>
      <c r="F48" s="30" t="s">
        <v>43</v>
      </c>
      <c r="G48" s="96">
        <v>45105</v>
      </c>
      <c r="H48" s="96"/>
    </row>
    <row r="49" spans="1:14" s="31" customFormat="1" ht="94" customHeight="1" x14ac:dyDescent="0.35">
      <c r="A49" s="94"/>
      <c r="B49" s="94"/>
      <c r="C49" s="159" t="s">
        <v>257</v>
      </c>
      <c r="D49" s="160"/>
      <c r="E49" s="160"/>
      <c r="F49" s="160"/>
      <c r="G49" s="160"/>
      <c r="H49" s="161"/>
    </row>
    <row r="50" spans="1:14" s="31" customFormat="1" ht="32.15" customHeight="1" x14ac:dyDescent="0.35">
      <c r="A50" s="94" t="s">
        <v>255</v>
      </c>
      <c r="B50" s="94"/>
      <c r="C50" s="94" t="s">
        <v>258</v>
      </c>
      <c r="D50" s="95"/>
      <c r="E50" s="95"/>
      <c r="F50" s="30" t="s">
        <v>43</v>
      </c>
      <c r="G50" s="96">
        <v>45145</v>
      </c>
      <c r="H50" s="96"/>
    </row>
    <row r="51" spans="1:14" s="31" customFormat="1" ht="111" customHeight="1" x14ac:dyDescent="0.35">
      <c r="A51" s="94"/>
      <c r="B51" s="94"/>
      <c r="C51" s="94" t="s">
        <v>259</v>
      </c>
      <c r="D51" s="94"/>
      <c r="E51" s="94"/>
      <c r="F51" s="76" t="s">
        <v>260</v>
      </c>
      <c r="G51" s="97">
        <v>45188</v>
      </c>
      <c r="H51" s="97"/>
    </row>
    <row r="52" spans="1:14" x14ac:dyDescent="0.35">
      <c r="A52" s="148" t="s">
        <v>45</v>
      </c>
      <c r="B52" s="148"/>
      <c r="C52" s="148" t="s">
        <v>136</v>
      </c>
      <c r="D52" s="113"/>
      <c r="E52" s="113" t="s">
        <v>46</v>
      </c>
      <c r="F52" s="60" t="s">
        <v>43</v>
      </c>
      <c r="G52" s="158" t="s">
        <v>30</v>
      </c>
      <c r="H52" s="158"/>
    </row>
    <row r="53" spans="1:14" x14ac:dyDescent="0.35">
      <c r="A53" s="175" t="s">
        <v>48</v>
      </c>
      <c r="B53" s="175"/>
      <c r="C53" s="175"/>
      <c r="D53" s="175"/>
      <c r="E53" s="175"/>
      <c r="F53" s="175"/>
      <c r="G53" s="175"/>
      <c r="H53" s="175"/>
    </row>
    <row r="54" spans="1:14" x14ac:dyDescent="0.35">
      <c r="A54" s="125" t="s">
        <v>121</v>
      </c>
      <c r="B54" s="125"/>
      <c r="C54" s="125"/>
      <c r="D54" s="115">
        <f>E43</f>
        <v>33674</v>
      </c>
      <c r="E54" s="115"/>
      <c r="F54" s="115"/>
      <c r="G54" s="115"/>
      <c r="H54" s="115"/>
    </row>
    <row r="55" spans="1:14" x14ac:dyDescent="0.35">
      <c r="A55" s="94" t="s">
        <v>49</v>
      </c>
      <c r="B55" s="95"/>
      <c r="C55" s="95"/>
      <c r="D55" s="95" t="s">
        <v>231</v>
      </c>
      <c r="E55" s="95"/>
      <c r="F55" s="95"/>
      <c r="G55" s="95"/>
      <c r="H55" s="95"/>
      <c r="I55" s="32"/>
    </row>
    <row r="56" spans="1:14" x14ac:dyDescent="0.35">
      <c r="A56" s="136" t="s">
        <v>50</v>
      </c>
      <c r="B56" s="137"/>
      <c r="C56" s="138"/>
      <c r="D56" s="134" t="s">
        <v>211</v>
      </c>
      <c r="E56" s="135"/>
      <c r="F56" s="135"/>
      <c r="G56" s="135"/>
      <c r="H56" s="135"/>
      <c r="I56" s="33"/>
    </row>
    <row r="57" spans="1:14" ht="15.75" customHeight="1" x14ac:dyDescent="0.35">
      <c r="A57" s="136" t="s">
        <v>119</v>
      </c>
      <c r="B57" s="137"/>
      <c r="C57" s="137"/>
      <c r="D57" s="172" t="s">
        <v>211</v>
      </c>
      <c r="E57" s="173"/>
      <c r="F57" s="173"/>
      <c r="G57" s="173"/>
      <c r="H57" s="174"/>
      <c r="I57" s="33"/>
    </row>
    <row r="58" spans="1:14" ht="15.75" customHeight="1" x14ac:dyDescent="0.35">
      <c r="A58" s="115" t="s">
        <v>47</v>
      </c>
      <c r="B58" s="115"/>
      <c r="C58" s="115"/>
      <c r="D58" s="125" t="s">
        <v>206</v>
      </c>
      <c r="E58" s="125"/>
      <c r="F58" s="125"/>
      <c r="G58" s="125"/>
      <c r="H58" s="125"/>
      <c r="J58" s="34"/>
      <c r="K58" s="32"/>
      <c r="N58" s="32"/>
    </row>
    <row r="59" spans="1:14" ht="15.75" customHeight="1" x14ac:dyDescent="0.35">
      <c r="A59" s="115" t="s">
        <v>117</v>
      </c>
      <c r="B59" s="115"/>
      <c r="C59" s="115"/>
      <c r="D59" s="147" t="str">
        <f>(IF(G52="NA","60 Years After Completion",IF(G52&lt;&gt;"NA",""&amp;60-ROUNDDOWN((E3-G52)/360,0)&amp;" Years"," ")))</f>
        <v>60 Years After Completion</v>
      </c>
      <c r="E59" s="147"/>
      <c r="F59" s="147"/>
      <c r="G59" s="147"/>
      <c r="H59" s="147"/>
      <c r="N59" s="32"/>
    </row>
    <row r="60" spans="1:14" ht="15.75" customHeight="1" x14ac:dyDescent="0.35">
      <c r="A60" s="115" t="s">
        <v>118</v>
      </c>
      <c r="B60" s="115"/>
      <c r="C60" s="115"/>
      <c r="D60" s="125" t="s">
        <v>24</v>
      </c>
      <c r="E60" s="125"/>
      <c r="F60" s="125"/>
      <c r="G60" s="125"/>
      <c r="H60" s="125"/>
      <c r="J60" s="35"/>
      <c r="K60" s="35"/>
    </row>
    <row r="61" spans="1:14" ht="15.75" customHeight="1" thickBot="1" x14ac:dyDescent="0.4">
      <c r="A61" s="150" t="s">
        <v>116</v>
      </c>
      <c r="B61" s="150"/>
      <c r="C61" s="150"/>
      <c r="D61" s="134" t="str">
        <f ca="1">(IF(G66&gt;95%,"Nothing",IF(G66&gt;0%,"Cement, Aggregate, Steel, etc",IF(G66=0%,"Work not yet Started"))))</f>
        <v>Cement, Aggregate, Steel, etc</v>
      </c>
      <c r="E61" s="134"/>
      <c r="F61" s="134"/>
      <c r="G61" s="134"/>
      <c r="H61" s="134"/>
      <c r="J61" s="35"/>
    </row>
    <row r="62" spans="1:14" ht="15.75" customHeight="1" x14ac:dyDescent="0.35">
      <c r="A62" s="153" t="s">
        <v>173</v>
      </c>
      <c r="B62" s="154"/>
      <c r="C62" s="155" t="s">
        <v>253</v>
      </c>
      <c r="D62" s="156"/>
      <c r="E62" s="156"/>
      <c r="F62" s="156"/>
      <c r="G62" s="156"/>
      <c r="H62" s="157"/>
      <c r="I62" s="22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completed","0")))))))))))&amp;(IF(C68=(D63+F63+H63),", RCC Slab",IF(C68&gt;0,", RCC upto "&amp;C68&amp;" Slab",""))&amp;(IF(C69=H63,", Brickwork",IF(C69&gt;0,", Brickwork upto "&amp;C69&amp;" Floor",""))&amp;(IF(C70=H63,", Internal Plaster",IF(C70&gt;0,", Internal Plaster upto "&amp;C70&amp;" Floor",""))&amp;(IF(C71=H63,", External Plaster",IF(C71&gt;0,", External Plaster upto "&amp;C71&amp;" Floor",""))&amp;(IF(C72=H63,", Flooring",IF(C72&gt;0,", Flooring upto "&amp;C72&amp;" Floor",""))&amp;(IF(C73=H63,", Painting",IF(C73&gt;0,", Painting upto "&amp;C73&amp;" Floor",""))&amp;(IF(C74&gt;0,", Finishing upto "&amp;C74&amp;" Floor","")&amp;(IF(C68&gt;0.5," Completed",""))))))))))))))</f>
        <v>Excavation work Completed. Plinth work completed, RCC Slab, Brickwork, Internal Plaster, External Plaster upto 19 Floor, Flooring upto 8 Floor, Painting upto 7 Floor Completed</v>
      </c>
      <c r="J62" s="36"/>
    </row>
    <row r="63" spans="1:14" x14ac:dyDescent="0.35">
      <c r="A63" s="25" t="s">
        <v>175</v>
      </c>
      <c r="B63" s="63">
        <v>2</v>
      </c>
      <c r="C63" s="63" t="s">
        <v>100</v>
      </c>
      <c r="D63" s="63">
        <v>1</v>
      </c>
      <c r="E63" s="63" t="s">
        <v>99</v>
      </c>
      <c r="F63" s="63">
        <v>0</v>
      </c>
      <c r="G63" s="63" t="s">
        <v>110</v>
      </c>
      <c r="H63" s="26">
        <f ca="1">--TRIM(RIGHT(SUBSTITUTE(LEFT(C62,_xlfn.AGGREGATE(16,6,FIND({0,1,2,3,4,5,6,7,8,9},C62,ROW(INDIRECT("1:"&amp;LEN(C62)))),1))," ",REPT(" ",LEN(C62))),LEN(C62)))</f>
        <v>21</v>
      </c>
      <c r="I63" s="23"/>
      <c r="J63" s="37"/>
    </row>
    <row r="64" spans="1:14" ht="47.15" customHeight="1" x14ac:dyDescent="0.35">
      <c r="A64" s="152" t="s">
        <v>120</v>
      </c>
      <c r="B64" s="113"/>
      <c r="C64" s="148" t="str">
        <f ca="1">I62</f>
        <v>Excavation work Completed. Plinth work completed, RCC Slab, Brickwork, Internal Plaster, External Plaster upto 19 Floor, Flooring upto 8 Floor, Painting upto 7 Floor Completed</v>
      </c>
      <c r="D64" s="148"/>
      <c r="E64" s="148"/>
      <c r="F64" s="148"/>
      <c r="G64" s="148"/>
      <c r="H64" s="149"/>
      <c r="I64" s="23" t="s">
        <v>135</v>
      </c>
      <c r="J64" s="37"/>
    </row>
    <row r="65" spans="1:10" ht="15.75" customHeight="1" x14ac:dyDescent="0.35">
      <c r="A65" s="139" t="s">
        <v>51</v>
      </c>
      <c r="B65" s="140"/>
      <c r="C65" s="58" t="s">
        <v>172</v>
      </c>
      <c r="D65" s="58" t="s">
        <v>113</v>
      </c>
      <c r="E65" s="140" t="s">
        <v>115</v>
      </c>
      <c r="F65" s="140"/>
      <c r="G65" s="140" t="s">
        <v>114</v>
      </c>
      <c r="H65" s="151"/>
      <c r="I65" s="21" t="s">
        <v>174</v>
      </c>
      <c r="J65" s="38">
        <f ca="1">H63*25%</f>
        <v>5.25</v>
      </c>
    </row>
    <row r="66" spans="1:10" x14ac:dyDescent="0.35">
      <c r="A66" s="139" t="s">
        <v>161</v>
      </c>
      <c r="B66" s="140"/>
      <c r="C66" s="39">
        <f ca="1">J67</f>
        <v>21</v>
      </c>
      <c r="D66" s="61">
        <f ca="1">((100/H63)*C66)/100</f>
        <v>1</v>
      </c>
      <c r="E66" s="141">
        <f ca="1">(((C67/H63*10)+(40/(D63+F63+H63)*C68)+(7.5/(H63)*C69)+(7.5/(H63)*C70)+(10/H63*C71)+(10/H63*C72)+(5/H63*C73)+(5/H63*C74)+(5/H63*C75))/100)</f>
        <v>0.7952380952380953</v>
      </c>
      <c r="F66" s="141"/>
      <c r="G66" s="141">
        <f ca="1">((((C66/H63)*20)+((C67/H63)*25)+(30/(H63+F63+D63)*C68)+(5/H63*C69)+(5/H63*C70)+(5/H63*C71)+(5/H63*C72)+(0/H63*C73)+(0/H63*C74)+(5/H63*C75))/100)</f>
        <v>0.91428571428571415</v>
      </c>
      <c r="H66" s="143"/>
      <c r="I66" s="21" t="s">
        <v>130</v>
      </c>
      <c r="J66" s="40">
        <f ca="1">H63*50%</f>
        <v>10.5</v>
      </c>
    </row>
    <row r="67" spans="1:10" x14ac:dyDescent="0.35">
      <c r="A67" s="139" t="s">
        <v>52</v>
      </c>
      <c r="B67" s="140"/>
      <c r="C67" s="41">
        <f ca="1">J75</f>
        <v>21</v>
      </c>
      <c r="D67" s="61">
        <f ca="1">((100/H63)*C67)/100</f>
        <v>1</v>
      </c>
      <c r="E67" s="141"/>
      <c r="F67" s="141"/>
      <c r="G67" s="141"/>
      <c r="H67" s="143"/>
      <c r="I67" s="21" t="s">
        <v>131</v>
      </c>
      <c r="J67" s="40">
        <f ca="1">H63</f>
        <v>21</v>
      </c>
    </row>
    <row r="68" spans="1:10" ht="15.75" customHeight="1" x14ac:dyDescent="0.35">
      <c r="A68" s="139" t="s">
        <v>162</v>
      </c>
      <c r="B68" s="140"/>
      <c r="C68" s="41">
        <v>22</v>
      </c>
      <c r="D68" s="61">
        <f ca="1">((100/(D63+F63+H63))*C68)/100</f>
        <v>1.0000000000000002</v>
      </c>
      <c r="E68" s="141"/>
      <c r="F68" s="141"/>
      <c r="G68" s="141"/>
      <c r="H68" s="143"/>
      <c r="I68" s="21" t="s">
        <v>132</v>
      </c>
      <c r="J68" s="42">
        <f ca="1">(IF(B63&gt;1,(H63/(B63+2)),H63/4))</f>
        <v>5.25</v>
      </c>
    </row>
    <row r="69" spans="1:10" ht="15.75" customHeight="1" x14ac:dyDescent="0.35">
      <c r="A69" s="139" t="s">
        <v>169</v>
      </c>
      <c r="B69" s="140" t="s">
        <v>163</v>
      </c>
      <c r="C69" s="41">
        <f>C68-1</f>
        <v>21</v>
      </c>
      <c r="D69" s="61">
        <f ca="1">((100/H63)*C69)/100</f>
        <v>1</v>
      </c>
      <c r="E69" s="141"/>
      <c r="F69" s="141"/>
      <c r="G69" s="141"/>
      <c r="H69" s="143"/>
      <c r="I69" s="21" t="s">
        <v>133</v>
      </c>
      <c r="J69" s="42">
        <f ca="1">(IF(B63&gt;1,(H63/(B63+2)+J68),H63/4+J68))</f>
        <v>10.5</v>
      </c>
    </row>
    <row r="70" spans="1:10" ht="15.75" customHeight="1" x14ac:dyDescent="0.35">
      <c r="A70" s="139" t="s">
        <v>170</v>
      </c>
      <c r="B70" s="140" t="s">
        <v>163</v>
      </c>
      <c r="C70" s="41">
        <v>21</v>
      </c>
      <c r="D70" s="61">
        <f ca="1">((100/H63)*C70)/100</f>
        <v>1</v>
      </c>
      <c r="E70" s="141"/>
      <c r="F70" s="141"/>
      <c r="G70" s="141"/>
      <c r="H70" s="143"/>
      <c r="I70" s="21" t="s">
        <v>179</v>
      </c>
      <c r="J70" s="42">
        <f ca="1">(IF(B63&gt;1,(H63/(B63+2)+J69),0))</f>
        <v>15.75</v>
      </c>
    </row>
    <row r="71" spans="1:10" ht="15" customHeight="1" x14ac:dyDescent="0.35">
      <c r="A71" s="139" t="s">
        <v>168</v>
      </c>
      <c r="B71" s="140" t="s">
        <v>165</v>
      </c>
      <c r="C71" s="41">
        <v>19</v>
      </c>
      <c r="D71" s="61">
        <f ca="1">((100/(H63))*C71)/100</f>
        <v>0.90476190476190477</v>
      </c>
      <c r="E71" s="141"/>
      <c r="F71" s="141"/>
      <c r="G71" s="141"/>
      <c r="H71" s="143"/>
      <c r="I71" s="21" t="s">
        <v>176</v>
      </c>
      <c r="J71" s="42">
        <f>(IF(B63&gt;2,(H63/(B63+2)+J70),0))</f>
        <v>0</v>
      </c>
    </row>
    <row r="72" spans="1:10" ht="15.75" customHeight="1" x14ac:dyDescent="0.35">
      <c r="A72" s="139" t="s">
        <v>164</v>
      </c>
      <c r="B72" s="140" t="s">
        <v>164</v>
      </c>
      <c r="C72" s="39">
        <v>8</v>
      </c>
      <c r="D72" s="61">
        <f ca="1">((100/H63)*C72)/100</f>
        <v>0.38095238095238093</v>
      </c>
      <c r="E72" s="141"/>
      <c r="F72" s="141"/>
      <c r="G72" s="141"/>
      <c r="H72" s="143"/>
      <c r="I72" s="21" t="s">
        <v>177</v>
      </c>
      <c r="J72" s="43">
        <f>(IF(B63&gt;3,(H63/(B63+2)+J71),0))</f>
        <v>0</v>
      </c>
    </row>
    <row r="73" spans="1:10" ht="15.75" customHeight="1" x14ac:dyDescent="0.35">
      <c r="A73" s="139" t="s">
        <v>171</v>
      </c>
      <c r="B73" s="140"/>
      <c r="C73" s="39">
        <v>7</v>
      </c>
      <c r="D73" s="61">
        <f ca="1">((100/H63)*C73)/100</f>
        <v>0.33333333333333337</v>
      </c>
      <c r="E73" s="141"/>
      <c r="F73" s="141"/>
      <c r="G73" s="141"/>
      <c r="H73" s="143"/>
      <c r="I73" s="21" t="s">
        <v>178</v>
      </c>
      <c r="J73" s="42">
        <f>(IF(B63&gt;4,(H63/(B63+2)+J72),0))</f>
        <v>0</v>
      </c>
    </row>
    <row r="74" spans="1:10" ht="15.75" customHeight="1" x14ac:dyDescent="0.35">
      <c r="A74" s="139" t="s">
        <v>166</v>
      </c>
      <c r="B74" s="140" t="s">
        <v>166</v>
      </c>
      <c r="C74" s="39">
        <v>0</v>
      </c>
      <c r="D74" s="61">
        <f ca="1">((100/(H63))*C74)/100</f>
        <v>0</v>
      </c>
      <c r="E74" s="141"/>
      <c r="F74" s="141"/>
      <c r="G74" s="141"/>
      <c r="H74" s="143"/>
      <c r="I74" s="21" t="s">
        <v>180</v>
      </c>
      <c r="J74" s="42">
        <f>(IF(B63=1,(H63/(B63+3)+J69),IF(B63=0,(H63/4+J69),IF(B63&gt;1,0))))</f>
        <v>0</v>
      </c>
    </row>
    <row r="75" spans="1:10" ht="16" thickBot="1" x14ac:dyDescent="0.4">
      <c r="A75" s="145" t="s">
        <v>167</v>
      </c>
      <c r="B75" s="146"/>
      <c r="C75" s="44">
        <v>0</v>
      </c>
      <c r="D75" s="62">
        <f ca="1">((100/(H63))*C75)/100</f>
        <v>0</v>
      </c>
      <c r="E75" s="142"/>
      <c r="F75" s="142"/>
      <c r="G75" s="142"/>
      <c r="H75" s="144"/>
      <c r="I75" s="24" t="s">
        <v>134</v>
      </c>
      <c r="J75" s="45">
        <f ca="1">(IF(B63&gt;1.5,(H63/(B63+2)+J69+MAX(0,J70-J69)+MAX(0,J71-J70)+MAX(0,J72-J71)+MAX(0,J73-J72)+MAX(0,J74-J73)),IF(B63=1,(H63/(B63+3)+J74),IF(B63=0,H63/4+J74))))</f>
        <v>21</v>
      </c>
    </row>
    <row r="76" spans="1:10" ht="15.75" customHeight="1" x14ac:dyDescent="0.35">
      <c r="A76" s="153" t="s">
        <v>173</v>
      </c>
      <c r="B76" s="154"/>
      <c r="C76" s="155" t="s">
        <v>252</v>
      </c>
      <c r="D76" s="156"/>
      <c r="E76" s="156"/>
      <c r="F76" s="156"/>
      <c r="G76" s="156"/>
      <c r="H76" s="157"/>
      <c r="I76" s="22" t="str">
        <f ca="1">(IF(E80&gt;99%,"All work completed. Please provide OC.",IF(E80&gt;89.8%,"Plinth, RCC, Brick, Plaster, Flooring, Painting work Completed. Finishing work is in process.",IF(E80&lt;94%,(IF(C80=0,"Work not yet Started.",IF(D80=25%,"Piling work in process",IF(D80=50%,"Excavation work in process",IF(D80=100%,"Excavation work Completed. ","0")))&amp;(IF(C81=0%,"",IF(C81=J82,"Footing work is process",IF(C81=J83,"Footing work Completed",IF(C81=J84,"1st Basement Completed",IF(C81=J85,"1st &amp; 2nd Basement Completed",IF(C81=J86,"1st to 3rd Basement Completed",IF(C81=J87,"1st to 4th Basement Completed",IF(C81=J88,"Plinth work is process",IF(C81=J89,"Plinth work completed","0")))))))))))&amp;(IF(C82=(D77+F77+H77),", RCC Slab",IF(C82&gt;0,", RCC upto "&amp;C82&amp;" Slab",""))&amp;(IF(C83=H77,", Brickwork",IF(C83&gt;0,", Brickwork upto "&amp;C83&amp;" Floor",""))&amp;(IF(C84=H77,", Internal Plaster",IF(C84&gt;0,", Internal Plaster upto "&amp;C84&amp;" Floor",""))&amp;(IF(C85=H77,", External Plaster",IF(C85&gt;0,", External Plaster upto "&amp;C85&amp;" Floor",""))&amp;(IF(C86=H77,", Flooring",IF(C86&gt;0,", Flooring upto "&amp;C86&amp;" Floor",""))&amp;(IF(C87=H77,", Painting",IF(C87&gt;0,", Painting upto "&amp;C87&amp;" Floor",""))&amp;(IF(C88&gt;0,", Finishing upto "&amp;C88&amp;" Floor","")&amp;(IF(C82&gt;0.5," Completed",""))))))))))))))</f>
        <v>Excavation work Completed. Plinth work completed, RCC Slab, Brickwork, Internal Plaster, External Plaster upto 20 Floor, Flooring upto 12 Floor, Painting upto 8 Floor Completed</v>
      </c>
      <c r="J76" s="36"/>
    </row>
    <row r="77" spans="1:10" x14ac:dyDescent="0.35">
      <c r="A77" s="25" t="s">
        <v>175</v>
      </c>
      <c r="B77" s="71">
        <v>2</v>
      </c>
      <c r="C77" s="71" t="s">
        <v>100</v>
      </c>
      <c r="D77" s="71">
        <v>1</v>
      </c>
      <c r="E77" s="71" t="s">
        <v>99</v>
      </c>
      <c r="F77" s="71">
        <v>0</v>
      </c>
      <c r="G77" s="71" t="s">
        <v>110</v>
      </c>
      <c r="H77" s="26">
        <f ca="1">--TRIM(RIGHT(SUBSTITUTE(LEFT(C76,_xlfn.AGGREGATE(16,6,FIND({0,1,2,3,4,5,6,7,8,9},C76,ROW(INDIRECT("1:"&amp;LEN(C76)))),1))," ",REPT(" ",LEN(C76))),LEN(C76)))</f>
        <v>21</v>
      </c>
      <c r="I77" s="23"/>
      <c r="J77" s="37"/>
    </row>
    <row r="78" spans="1:10" ht="49.5" customHeight="1" x14ac:dyDescent="0.35">
      <c r="A78" s="152" t="s">
        <v>120</v>
      </c>
      <c r="B78" s="113"/>
      <c r="C78" s="148" t="str">
        <f ca="1">I76</f>
        <v>Excavation work Completed. Plinth work completed, RCC Slab, Brickwork, Internal Plaster, External Plaster upto 20 Floor, Flooring upto 12 Floor, Painting upto 8 Floor Completed</v>
      </c>
      <c r="D78" s="148"/>
      <c r="E78" s="148"/>
      <c r="F78" s="148"/>
      <c r="G78" s="148"/>
      <c r="H78" s="149"/>
      <c r="I78" s="23" t="s">
        <v>135</v>
      </c>
      <c r="J78" s="37"/>
    </row>
    <row r="79" spans="1:10" ht="15.75" customHeight="1" x14ac:dyDescent="0.35">
      <c r="A79" s="139" t="s">
        <v>51</v>
      </c>
      <c r="B79" s="140"/>
      <c r="C79" s="68" t="s">
        <v>172</v>
      </c>
      <c r="D79" s="68" t="s">
        <v>113</v>
      </c>
      <c r="E79" s="140" t="s">
        <v>115</v>
      </c>
      <c r="F79" s="140"/>
      <c r="G79" s="140" t="s">
        <v>114</v>
      </c>
      <c r="H79" s="151"/>
      <c r="I79" s="21" t="s">
        <v>174</v>
      </c>
      <c r="J79" s="38">
        <f ca="1">H77*25%</f>
        <v>5.25</v>
      </c>
    </row>
    <row r="80" spans="1:10" x14ac:dyDescent="0.35">
      <c r="A80" s="139" t="s">
        <v>161</v>
      </c>
      <c r="B80" s="140"/>
      <c r="C80" s="39">
        <f ca="1">J81</f>
        <v>21</v>
      </c>
      <c r="D80" s="69">
        <f ca="1">((100/H77)*C80)/100</f>
        <v>1</v>
      </c>
      <c r="E80" s="141">
        <f ca="1">(((C81/H77*10)+(40/(D77+F77+H77)*C82)+(7.5/(H77)*C83)+(7.5/(H77)*C84)+(10/H77*C85)+(10/H77*C86)+(5/H77*C87)+(5/H77*C88)+(5/H77*C89))/100)</f>
        <v>0.82142857142857129</v>
      </c>
      <c r="F80" s="141"/>
      <c r="G80" s="141">
        <f ca="1">((((C80/H77)*20)+((C81/H77)*25)+(30/(H77+F77+D77)*C82)+(5/H77*C83)+(5/H77*C84)+(5/H77*C85)+(5/H77*C86)+(0/H77*C87)+(0/H77*C88)+(5/H77*C89))/100)</f>
        <v>0.92619047619047623</v>
      </c>
      <c r="H80" s="143"/>
      <c r="I80" s="21" t="s">
        <v>130</v>
      </c>
      <c r="J80" s="40">
        <f ca="1">H77*50%</f>
        <v>10.5</v>
      </c>
    </row>
    <row r="81" spans="1:10" x14ac:dyDescent="0.35">
      <c r="A81" s="139" t="s">
        <v>52</v>
      </c>
      <c r="B81" s="140"/>
      <c r="C81" s="41">
        <f ca="1">J89</f>
        <v>21</v>
      </c>
      <c r="D81" s="69">
        <f ca="1">((100/H77)*C81)/100</f>
        <v>1</v>
      </c>
      <c r="E81" s="141"/>
      <c r="F81" s="141"/>
      <c r="G81" s="141"/>
      <c r="H81" s="143"/>
      <c r="I81" s="21" t="s">
        <v>131</v>
      </c>
      <c r="J81" s="40">
        <f ca="1">H77</f>
        <v>21</v>
      </c>
    </row>
    <row r="82" spans="1:10" ht="15.75" customHeight="1" x14ac:dyDescent="0.35">
      <c r="A82" s="139" t="s">
        <v>162</v>
      </c>
      <c r="B82" s="140"/>
      <c r="C82" s="41">
        <v>22</v>
      </c>
      <c r="D82" s="69">
        <f ca="1">((100/(D77+F77+H77))*C82)/100</f>
        <v>1.0000000000000002</v>
      </c>
      <c r="E82" s="141"/>
      <c r="F82" s="141"/>
      <c r="G82" s="141"/>
      <c r="H82" s="143"/>
      <c r="I82" s="21" t="s">
        <v>132</v>
      </c>
      <c r="J82" s="42">
        <f ca="1">(IF(B77&gt;1,(H77/(B77+2)),H77/4))</f>
        <v>5.25</v>
      </c>
    </row>
    <row r="83" spans="1:10" ht="15.75" customHeight="1" x14ac:dyDescent="0.35">
      <c r="A83" s="139" t="s">
        <v>169</v>
      </c>
      <c r="B83" s="140" t="s">
        <v>163</v>
      </c>
      <c r="C83" s="41">
        <f>C82-1</f>
        <v>21</v>
      </c>
      <c r="D83" s="69">
        <f ca="1">((100/H77)*C83)/100</f>
        <v>1</v>
      </c>
      <c r="E83" s="141"/>
      <c r="F83" s="141"/>
      <c r="G83" s="141"/>
      <c r="H83" s="143"/>
      <c r="I83" s="21" t="s">
        <v>133</v>
      </c>
      <c r="J83" s="42">
        <f ca="1">(IF(B77&gt;1,(H77/(B77+2)+J82),H77/4+J82))</f>
        <v>10.5</v>
      </c>
    </row>
    <row r="84" spans="1:10" ht="15.75" customHeight="1" x14ac:dyDescent="0.35">
      <c r="A84" s="139" t="s">
        <v>170</v>
      </c>
      <c r="B84" s="140" t="s">
        <v>163</v>
      </c>
      <c r="C84" s="41">
        <v>21</v>
      </c>
      <c r="D84" s="69">
        <f ca="1">((100/H77)*C84)/100</f>
        <v>1</v>
      </c>
      <c r="E84" s="141"/>
      <c r="F84" s="141"/>
      <c r="G84" s="141"/>
      <c r="H84" s="143"/>
      <c r="I84" s="21" t="s">
        <v>179</v>
      </c>
      <c r="J84" s="42">
        <f ca="1">(IF(B77&gt;1,(H77/(B77+2)+J83),0))</f>
        <v>15.75</v>
      </c>
    </row>
    <row r="85" spans="1:10" ht="15" customHeight="1" x14ac:dyDescent="0.35">
      <c r="A85" s="139" t="s">
        <v>168</v>
      </c>
      <c r="B85" s="140" t="s">
        <v>165</v>
      </c>
      <c r="C85" s="41">
        <v>20</v>
      </c>
      <c r="D85" s="69">
        <f ca="1">((100/(H77))*C85)/100</f>
        <v>0.95238095238095244</v>
      </c>
      <c r="E85" s="141"/>
      <c r="F85" s="141"/>
      <c r="G85" s="141"/>
      <c r="H85" s="143"/>
      <c r="I85" s="21" t="s">
        <v>176</v>
      </c>
      <c r="J85" s="42">
        <f>(IF(B77&gt;2,(H77/(B77+2)+J84),0))</f>
        <v>0</v>
      </c>
    </row>
    <row r="86" spans="1:10" ht="15.75" customHeight="1" x14ac:dyDescent="0.35">
      <c r="A86" s="139" t="s">
        <v>164</v>
      </c>
      <c r="B86" s="140" t="s">
        <v>164</v>
      </c>
      <c r="C86" s="39">
        <v>12</v>
      </c>
      <c r="D86" s="69">
        <f ca="1">((100/H77)*C86)/100</f>
        <v>0.5714285714285714</v>
      </c>
      <c r="E86" s="141"/>
      <c r="F86" s="141"/>
      <c r="G86" s="141"/>
      <c r="H86" s="143"/>
      <c r="I86" s="21" t="s">
        <v>177</v>
      </c>
      <c r="J86" s="43">
        <f>(IF(B77&gt;3,(H77/(B77+2)+J85),0))</f>
        <v>0</v>
      </c>
    </row>
    <row r="87" spans="1:10" ht="15.75" customHeight="1" x14ac:dyDescent="0.35">
      <c r="A87" s="139" t="s">
        <v>171</v>
      </c>
      <c r="B87" s="140"/>
      <c r="C87" s="39">
        <v>8</v>
      </c>
      <c r="D87" s="69">
        <f ca="1">((100/H77)*C87)/100</f>
        <v>0.38095238095238093</v>
      </c>
      <c r="E87" s="141"/>
      <c r="F87" s="141"/>
      <c r="G87" s="141"/>
      <c r="H87" s="143"/>
      <c r="I87" s="21" t="s">
        <v>178</v>
      </c>
      <c r="J87" s="42">
        <f>(IF(B77&gt;4,(H77/(B77+2)+J86),0))</f>
        <v>0</v>
      </c>
    </row>
    <row r="88" spans="1:10" ht="15.75" customHeight="1" x14ac:dyDescent="0.35">
      <c r="A88" s="139" t="s">
        <v>166</v>
      </c>
      <c r="B88" s="140" t="s">
        <v>166</v>
      </c>
      <c r="C88" s="39">
        <v>0</v>
      </c>
      <c r="D88" s="69">
        <f ca="1">((100/(H77))*C88)/100</f>
        <v>0</v>
      </c>
      <c r="E88" s="141"/>
      <c r="F88" s="141"/>
      <c r="G88" s="141"/>
      <c r="H88" s="143"/>
      <c r="I88" s="21" t="s">
        <v>180</v>
      </c>
      <c r="J88" s="42">
        <f>(IF(B77=1,(H77/(B77+3)+J83),IF(B77=0,(H77/4+J83),IF(B77&gt;1,0))))</f>
        <v>0</v>
      </c>
    </row>
    <row r="89" spans="1:10" ht="16" thickBot="1" x14ac:dyDescent="0.4">
      <c r="A89" s="145" t="s">
        <v>167</v>
      </c>
      <c r="B89" s="146"/>
      <c r="C89" s="44">
        <v>0</v>
      </c>
      <c r="D89" s="70">
        <f ca="1">((100/(H77))*C89)/100</f>
        <v>0</v>
      </c>
      <c r="E89" s="142"/>
      <c r="F89" s="142"/>
      <c r="G89" s="142"/>
      <c r="H89" s="144"/>
      <c r="I89" s="24" t="s">
        <v>134</v>
      </c>
      <c r="J89" s="45">
        <f ca="1">(IF(B77&gt;1.5,(H77/(B77+2)+J83+MAX(0,J84-J83)+MAX(0,J85-J84)+MAX(0,J86-J85)+MAX(0,J87-J86)+MAX(0,J88-J87)),IF(B77=1,(H77/(B77+3)+J88),IF(B77=0,H77/4+J88))))</f>
        <v>21</v>
      </c>
    </row>
    <row r="90" spans="1:10" ht="15.75" customHeight="1" x14ac:dyDescent="0.35">
      <c r="A90" s="153" t="s">
        <v>173</v>
      </c>
      <c r="B90" s="154"/>
      <c r="C90" s="155" t="s">
        <v>251</v>
      </c>
      <c r="D90" s="156"/>
      <c r="E90" s="156"/>
      <c r="F90" s="156"/>
      <c r="G90" s="156"/>
      <c r="H90" s="157"/>
      <c r="I90" s="22" t="str">
        <f ca="1">(IF(E94&gt;99%,"All work completed. Please provide OC.",IF(E94&gt;89.8%,"Plinth, RCC, Brick, Plaster, Flooring, Painting work Completed. Finishing work is in process.",IF(E94&lt;94%,(IF(C94=0,"Work not yet Started.",IF(D94=25%,"Piling work in process",IF(D94=50%,"Excavation work in process",IF(D94=100%,"Excavation work Completed. ","0")))&amp;(IF(C95=0%,"",IF(C95=J96,"Footing work is process",IF(C95=J97,"Footing work Completed",IF(C95=J98,"1st Basement Completed",IF(C95=J99,"1st &amp; 2nd Basement Completed",IF(C95=J100,"1st to 3rd Basement Completed",IF(C95=J101,"1st to 4th Basement Completed",IF(C95=J102,"Plinth work is process",IF(C95=J103,"Plinth work completed","0")))))))))))&amp;(IF(C96=(D91+F91+H91),", RCC Slab",IF(C96&gt;0,", RCC upto "&amp;C96&amp;" Slab",""))&amp;(IF(C97=H91,", Brickwork",IF(C97&gt;0,", Brickwork upto "&amp;C97&amp;" Floor",""))&amp;(IF(C98=H91,", Internal Plaster",IF(C98&gt;0,", Internal Plaster upto "&amp;C98&amp;" Floor",""))&amp;(IF(C99=H91,", External Plaster",IF(C99&gt;0,", External Plaster upto "&amp;C99&amp;" Floor",""))&amp;(IF(C100=H91,", Flooring",IF(C100&gt;0,", Flooring upto "&amp;C100&amp;" Floor",""))&amp;(IF(C101=H91,", Painting",IF(C101&gt;0,", Painting upto "&amp;C101&amp;" Floor",""))&amp;(IF(C102&gt;0,", Finishing upto "&amp;C102&amp;" Floor","")&amp;(IF(C96&gt;0.5," Completed",""))))))))))))))</f>
        <v>Excavation work Completed. Plinth work completed, RCC Slab, Brickwork, Internal Plaster, External Plaster upto 18 Floor, Flooring upto 7 Floor, Painting upto 4 Floor Completed</v>
      </c>
      <c r="J90" s="36"/>
    </row>
    <row r="91" spans="1:10" x14ac:dyDescent="0.35">
      <c r="A91" s="25" t="s">
        <v>175</v>
      </c>
      <c r="B91" s="75">
        <v>2</v>
      </c>
      <c r="C91" s="75" t="s">
        <v>100</v>
      </c>
      <c r="D91" s="75">
        <v>1</v>
      </c>
      <c r="E91" s="75" t="s">
        <v>99</v>
      </c>
      <c r="F91" s="75">
        <v>0</v>
      </c>
      <c r="G91" s="75" t="s">
        <v>110</v>
      </c>
      <c r="H91" s="26">
        <f ca="1">--TRIM(RIGHT(SUBSTITUTE(LEFT(C90,_xlfn.AGGREGATE(16,6,FIND({0,1,2,3,4,5,6,7,8,9},C90,ROW(INDIRECT("1:"&amp;LEN(C90)))),1))," ",REPT(" ",LEN(C90))),LEN(C90)))</f>
        <v>21</v>
      </c>
      <c r="I91" s="23"/>
      <c r="J91" s="37"/>
    </row>
    <row r="92" spans="1:10" ht="47" customHeight="1" x14ac:dyDescent="0.35">
      <c r="A92" s="152" t="s">
        <v>120</v>
      </c>
      <c r="B92" s="113"/>
      <c r="C92" s="148" t="str">
        <f ca="1">I90</f>
        <v>Excavation work Completed. Plinth work completed, RCC Slab, Brickwork, Internal Plaster, External Plaster upto 18 Floor, Flooring upto 7 Floor, Painting upto 4 Floor Completed</v>
      </c>
      <c r="D92" s="148"/>
      <c r="E92" s="148"/>
      <c r="F92" s="148"/>
      <c r="G92" s="148"/>
      <c r="H92" s="149"/>
      <c r="I92" s="23" t="s">
        <v>135</v>
      </c>
      <c r="J92" s="37"/>
    </row>
    <row r="93" spans="1:10" ht="15.75" customHeight="1" x14ac:dyDescent="0.35">
      <c r="A93" s="139" t="s">
        <v>51</v>
      </c>
      <c r="B93" s="140"/>
      <c r="C93" s="72" t="s">
        <v>172</v>
      </c>
      <c r="D93" s="72" t="s">
        <v>113</v>
      </c>
      <c r="E93" s="140" t="s">
        <v>115</v>
      </c>
      <c r="F93" s="140"/>
      <c r="G93" s="140" t="s">
        <v>114</v>
      </c>
      <c r="H93" s="151"/>
      <c r="I93" s="21" t="s">
        <v>174</v>
      </c>
      <c r="J93" s="38">
        <f ca="1">H91*25%</f>
        <v>5.25</v>
      </c>
    </row>
    <row r="94" spans="1:10" x14ac:dyDescent="0.35">
      <c r="A94" s="139" t="s">
        <v>161</v>
      </c>
      <c r="B94" s="140"/>
      <c r="C94" s="39">
        <f ca="1">J95</f>
        <v>21</v>
      </c>
      <c r="D94" s="73">
        <f ca="1">((100/H91)*C94)/100</f>
        <v>1</v>
      </c>
      <c r="E94" s="141">
        <f ca="1">(((C95/H91*10)+(40/(D91+F91+H91)*C96)+(7.5/(H91)*C97)+(7.5/(H91)*C98)+(10/H91*C99)+(10/H91*C100)+(5/H91*C101)+(5/H91*C102)+(5/H91*C103))/100)</f>
        <v>0.77857142857142847</v>
      </c>
      <c r="F94" s="141"/>
      <c r="G94" s="141">
        <f ca="1">((((C94/H91)*20)+((C95/H91)*25)+(30/(H91+F91+D91)*C96)+(5/H91*C97)+(5/H91*C98)+(5/H91*C99)+(5/H91*C100)+(0/H91*C101)+(0/H91*C102)+(5/H91*C103))/100)</f>
        <v>0.90952380952380962</v>
      </c>
      <c r="H94" s="143"/>
      <c r="I94" s="21" t="s">
        <v>130</v>
      </c>
      <c r="J94" s="40">
        <f ca="1">H91*50%</f>
        <v>10.5</v>
      </c>
    </row>
    <row r="95" spans="1:10" x14ac:dyDescent="0.35">
      <c r="A95" s="139" t="s">
        <v>52</v>
      </c>
      <c r="B95" s="140"/>
      <c r="C95" s="41">
        <f ca="1">J103</f>
        <v>21</v>
      </c>
      <c r="D95" s="73">
        <f ca="1">((100/H91)*C95)/100</f>
        <v>1</v>
      </c>
      <c r="E95" s="141"/>
      <c r="F95" s="141"/>
      <c r="G95" s="141"/>
      <c r="H95" s="143"/>
      <c r="I95" s="21" t="s">
        <v>131</v>
      </c>
      <c r="J95" s="40">
        <f ca="1">H91</f>
        <v>21</v>
      </c>
    </row>
    <row r="96" spans="1:10" ht="15.75" customHeight="1" x14ac:dyDescent="0.35">
      <c r="A96" s="139" t="s">
        <v>162</v>
      </c>
      <c r="B96" s="140"/>
      <c r="C96" s="41">
        <v>22</v>
      </c>
      <c r="D96" s="73">
        <f ca="1">((100/(D91+F91+H91))*C96)/100</f>
        <v>1.0000000000000002</v>
      </c>
      <c r="E96" s="141"/>
      <c r="F96" s="141"/>
      <c r="G96" s="141"/>
      <c r="H96" s="143"/>
      <c r="I96" s="21" t="s">
        <v>132</v>
      </c>
      <c r="J96" s="42">
        <f ca="1">(IF(B91&gt;1,(H91/(B91+2)),H91/4))</f>
        <v>5.25</v>
      </c>
    </row>
    <row r="97" spans="1:10" ht="15.75" customHeight="1" x14ac:dyDescent="0.35">
      <c r="A97" s="139" t="s">
        <v>169</v>
      </c>
      <c r="B97" s="140" t="s">
        <v>163</v>
      </c>
      <c r="C97" s="41">
        <f>C96-1</f>
        <v>21</v>
      </c>
      <c r="D97" s="73">
        <f ca="1">((100/H91)*C97)/100</f>
        <v>1</v>
      </c>
      <c r="E97" s="141"/>
      <c r="F97" s="141"/>
      <c r="G97" s="141"/>
      <c r="H97" s="143"/>
      <c r="I97" s="21" t="s">
        <v>133</v>
      </c>
      <c r="J97" s="42">
        <f ca="1">(IF(B91&gt;1,(H91/(B91+2)+J96),H91/4+J96))</f>
        <v>10.5</v>
      </c>
    </row>
    <row r="98" spans="1:10" ht="15.75" customHeight="1" x14ac:dyDescent="0.35">
      <c r="A98" s="139" t="s">
        <v>170</v>
      </c>
      <c r="B98" s="140" t="s">
        <v>163</v>
      </c>
      <c r="C98" s="41">
        <v>21</v>
      </c>
      <c r="D98" s="73">
        <f ca="1">((100/H91)*C98)/100</f>
        <v>1</v>
      </c>
      <c r="E98" s="141"/>
      <c r="F98" s="141"/>
      <c r="G98" s="141"/>
      <c r="H98" s="143"/>
      <c r="I98" s="21" t="s">
        <v>179</v>
      </c>
      <c r="J98" s="42">
        <f ca="1">(IF(B91&gt;1,(H91/(B91+2)+J97),0))</f>
        <v>15.75</v>
      </c>
    </row>
    <row r="99" spans="1:10" ht="15" customHeight="1" x14ac:dyDescent="0.35">
      <c r="A99" s="139" t="s">
        <v>168</v>
      </c>
      <c r="B99" s="140" t="s">
        <v>165</v>
      </c>
      <c r="C99" s="41">
        <v>18</v>
      </c>
      <c r="D99" s="73">
        <f ca="1">((100/(H91))*C99)/100</f>
        <v>0.8571428571428571</v>
      </c>
      <c r="E99" s="141"/>
      <c r="F99" s="141"/>
      <c r="G99" s="141"/>
      <c r="H99" s="143"/>
      <c r="I99" s="21" t="s">
        <v>176</v>
      </c>
      <c r="J99" s="42">
        <f>(IF(B91&gt;2,(H91/(B91+2)+J98),0))</f>
        <v>0</v>
      </c>
    </row>
    <row r="100" spans="1:10" ht="15.75" customHeight="1" x14ac:dyDescent="0.35">
      <c r="A100" s="139" t="s">
        <v>164</v>
      </c>
      <c r="B100" s="140" t="s">
        <v>164</v>
      </c>
      <c r="C100" s="39">
        <v>7</v>
      </c>
      <c r="D100" s="73">
        <f ca="1">((100/H91)*C100)/100</f>
        <v>0.33333333333333337</v>
      </c>
      <c r="E100" s="141"/>
      <c r="F100" s="141"/>
      <c r="G100" s="141"/>
      <c r="H100" s="143"/>
      <c r="I100" s="21" t="s">
        <v>177</v>
      </c>
      <c r="J100" s="43">
        <f>(IF(B91&gt;3,(H91/(B91+2)+J99),0))</f>
        <v>0</v>
      </c>
    </row>
    <row r="101" spans="1:10" ht="15.75" customHeight="1" x14ac:dyDescent="0.35">
      <c r="A101" s="139" t="s">
        <v>171</v>
      </c>
      <c r="B101" s="140"/>
      <c r="C101" s="39">
        <v>4</v>
      </c>
      <c r="D101" s="73">
        <f ca="1">((100/H91)*C101)/100</f>
        <v>0.19047619047619047</v>
      </c>
      <c r="E101" s="141"/>
      <c r="F101" s="141"/>
      <c r="G101" s="141"/>
      <c r="H101" s="143"/>
      <c r="I101" s="21" t="s">
        <v>178</v>
      </c>
      <c r="J101" s="42">
        <f>(IF(B91&gt;4,(H91/(B91+2)+J100),0))</f>
        <v>0</v>
      </c>
    </row>
    <row r="102" spans="1:10" ht="15.75" customHeight="1" x14ac:dyDescent="0.35">
      <c r="A102" s="139" t="s">
        <v>166</v>
      </c>
      <c r="B102" s="140" t="s">
        <v>166</v>
      </c>
      <c r="C102" s="39">
        <v>0</v>
      </c>
      <c r="D102" s="73">
        <f ca="1">((100/(H91))*C102)/100</f>
        <v>0</v>
      </c>
      <c r="E102" s="141"/>
      <c r="F102" s="141"/>
      <c r="G102" s="141"/>
      <c r="H102" s="143"/>
      <c r="I102" s="21" t="s">
        <v>180</v>
      </c>
      <c r="J102" s="42">
        <f>(IF(B91=1,(H91/(B91+3)+J97),IF(B91=0,(H91/4+J97),IF(B91&gt;1,0))))</f>
        <v>0</v>
      </c>
    </row>
    <row r="103" spans="1:10" ht="16" thickBot="1" x14ac:dyDescent="0.4">
      <c r="A103" s="145" t="s">
        <v>167</v>
      </c>
      <c r="B103" s="146"/>
      <c r="C103" s="44">
        <v>0</v>
      </c>
      <c r="D103" s="74">
        <f ca="1">((100/(H91))*C103)/100</f>
        <v>0</v>
      </c>
      <c r="E103" s="142"/>
      <c r="F103" s="142"/>
      <c r="G103" s="142"/>
      <c r="H103" s="144"/>
      <c r="I103" s="24" t="s">
        <v>134</v>
      </c>
      <c r="J103" s="45">
        <f ca="1">(IF(B91&gt;1.5,(H91/(B91+2)+J97+MAX(0,J98-J97)+MAX(0,J99-J98)+MAX(0,J100-J99)+MAX(0,J101-J100)+MAX(0,J102-J101)),IF(B91=1,(H91/(B91+3)+J102),IF(B91=0,H91/4+J102))))</f>
        <v>21</v>
      </c>
    </row>
    <row r="104" spans="1:10" ht="15.75" customHeight="1" x14ac:dyDescent="0.35">
      <c r="A104" s="153" t="s">
        <v>173</v>
      </c>
      <c r="B104" s="154"/>
      <c r="C104" s="155" t="s">
        <v>250</v>
      </c>
      <c r="D104" s="156"/>
      <c r="E104" s="156"/>
      <c r="F104" s="156"/>
      <c r="G104" s="156"/>
      <c r="H104" s="157"/>
      <c r="I104" s="22" t="str">
        <f ca="1">(IF(E108&gt;99%,"All work completed. Please provide OC.",IF(E108&gt;89.8%,"Plinth, RCC, Brick, Plaster, Flooring, Painting work Completed. Finishing work is in process.",IF(E108&lt;94%,(IF(C108=0,"Work not yet Started.",IF(D108=25%,"Piling work in process",IF(D108=50%,"Excavation work in process",IF(D108=100%,"Excavation work Completed. ","0")))&amp;(IF(C109=0%,"",IF(C109=J110,"Footing work is process",IF(C109=J111,"Footing work Completed",IF(C109=J112,"1st Basement Completed",IF(C109=J113,"1st &amp; 2nd Basement Completed",IF(C109=J114,"1st to 3rd Basement Completed",IF(C109=J115,"1st to 4th Basement Completed",IF(C109=J116,"Plinth work is process",IF(C109=J117,"Plinth work completed","0")))))))))))&amp;(IF(C110=(D105+F105+H105),", RCC Slab",IF(C110&gt;0,", RCC upto "&amp;C110&amp;" Slab",""))&amp;(IF(C111=H105,", Brickwork",IF(C111&gt;0,", Brickwork upto "&amp;C111&amp;" Floor",""))&amp;(IF(C112=H105,", Internal Plaster",IF(C112&gt;0,", Internal Plaster upto "&amp;C112&amp;" Floor",""))&amp;(IF(C113=H105,", External Plaster",IF(C113&gt;0,", External Plaster upto "&amp;C113&amp;" Floor",""))&amp;(IF(C114=H105,", Flooring",IF(C114&gt;0,", Flooring upto "&amp;C114&amp;" Floor",""))&amp;(IF(C115=H105,", Painting",IF(C115&gt;0,", Painting upto "&amp;C115&amp;" Floor",""))&amp;(IF(C116&gt;0,", Finishing upto "&amp;C116&amp;" Floor","")&amp;(IF(C110&gt;0.5," Completed",""))))))))))))))</f>
        <v>Excavation work Completed. Plinth work completed, RCC Slab, Brickwork, Internal Plaster, External Plaster upto 18 Floor, Flooring upto 7 Floor, Painting upto 4 Floor Completed</v>
      </c>
      <c r="J104" s="36"/>
    </row>
    <row r="105" spans="1:10" x14ac:dyDescent="0.35">
      <c r="A105" s="25" t="s">
        <v>175</v>
      </c>
      <c r="B105" s="75">
        <v>2</v>
      </c>
      <c r="C105" s="75" t="s">
        <v>100</v>
      </c>
      <c r="D105" s="75">
        <v>1</v>
      </c>
      <c r="E105" s="75" t="s">
        <v>99</v>
      </c>
      <c r="F105" s="75">
        <v>0</v>
      </c>
      <c r="G105" s="75" t="s">
        <v>110</v>
      </c>
      <c r="H105" s="26">
        <f ca="1">--TRIM(RIGHT(SUBSTITUTE(LEFT(C104,_xlfn.AGGREGATE(16,6,FIND({0,1,2,3,4,5,6,7,8,9},C104,ROW(INDIRECT("1:"&amp;LEN(C104)))),1))," ",REPT(" ",LEN(C104))),LEN(C104)))</f>
        <v>21</v>
      </c>
      <c r="I105" s="23"/>
      <c r="J105" s="37"/>
    </row>
    <row r="106" spans="1:10" ht="46.5" customHeight="1" x14ac:dyDescent="0.35">
      <c r="A106" s="152" t="s">
        <v>120</v>
      </c>
      <c r="B106" s="113"/>
      <c r="C106" s="148" t="str">
        <f ca="1">I104</f>
        <v>Excavation work Completed. Plinth work completed, RCC Slab, Brickwork, Internal Plaster, External Plaster upto 18 Floor, Flooring upto 7 Floor, Painting upto 4 Floor Completed</v>
      </c>
      <c r="D106" s="148"/>
      <c r="E106" s="148"/>
      <c r="F106" s="148"/>
      <c r="G106" s="148"/>
      <c r="H106" s="149"/>
      <c r="I106" s="23" t="s">
        <v>135</v>
      </c>
      <c r="J106" s="37"/>
    </row>
    <row r="107" spans="1:10" ht="15.75" customHeight="1" x14ac:dyDescent="0.35">
      <c r="A107" s="139" t="s">
        <v>51</v>
      </c>
      <c r="B107" s="140"/>
      <c r="C107" s="72" t="s">
        <v>172</v>
      </c>
      <c r="D107" s="72" t="s">
        <v>113</v>
      </c>
      <c r="E107" s="140" t="s">
        <v>115</v>
      </c>
      <c r="F107" s="140"/>
      <c r="G107" s="140" t="s">
        <v>114</v>
      </c>
      <c r="H107" s="151"/>
      <c r="I107" s="21" t="s">
        <v>174</v>
      </c>
      <c r="J107" s="38">
        <f ca="1">H105*25%</f>
        <v>5.25</v>
      </c>
    </row>
    <row r="108" spans="1:10" x14ac:dyDescent="0.35">
      <c r="A108" s="139" t="s">
        <v>161</v>
      </c>
      <c r="B108" s="140"/>
      <c r="C108" s="39">
        <f ca="1">J109</f>
        <v>21</v>
      </c>
      <c r="D108" s="73">
        <f ca="1">((100/H105)*C108)/100</f>
        <v>1</v>
      </c>
      <c r="E108" s="141">
        <f ca="1">(((C109/H105*10)+(40/(D105+F105+H105)*C110)+(7.5/(H105)*C111)+(7.5/(H105)*C112)+(10/H105*C113)+(10/H105*C114)+(5/H105*C115)+(5/H105*C116)+(5/H105*C117))/100)</f>
        <v>0.77857142857142847</v>
      </c>
      <c r="F108" s="141"/>
      <c r="G108" s="141">
        <f ca="1">((((C108/H105)*20)+((C109/H105)*25)+(30/(H105+F105+D105)*C110)+(5/H105*C111)+(5/H105*C112)+(5/H105*C113)+(5/H105*C114)+(0/H105*C115)+(0/H105*C116)+(5/H105*C117))/100)</f>
        <v>0.90952380952380962</v>
      </c>
      <c r="H108" s="143"/>
      <c r="I108" s="21" t="s">
        <v>130</v>
      </c>
      <c r="J108" s="40">
        <f ca="1">H105*50%</f>
        <v>10.5</v>
      </c>
    </row>
    <row r="109" spans="1:10" x14ac:dyDescent="0.35">
      <c r="A109" s="139" t="s">
        <v>52</v>
      </c>
      <c r="B109" s="140"/>
      <c r="C109" s="41">
        <f ca="1">J117</f>
        <v>21</v>
      </c>
      <c r="D109" s="73">
        <f ca="1">((100/H105)*C109)/100</f>
        <v>1</v>
      </c>
      <c r="E109" s="141"/>
      <c r="F109" s="141"/>
      <c r="G109" s="141"/>
      <c r="H109" s="143"/>
      <c r="I109" s="21" t="s">
        <v>131</v>
      </c>
      <c r="J109" s="40">
        <f ca="1">H105</f>
        <v>21</v>
      </c>
    </row>
    <row r="110" spans="1:10" ht="15.75" customHeight="1" x14ac:dyDescent="0.35">
      <c r="A110" s="139" t="s">
        <v>162</v>
      </c>
      <c r="B110" s="140"/>
      <c r="C110" s="41">
        <v>22</v>
      </c>
      <c r="D110" s="73">
        <f ca="1">((100/(D105+F105+H105))*C110)/100</f>
        <v>1.0000000000000002</v>
      </c>
      <c r="E110" s="141"/>
      <c r="F110" s="141"/>
      <c r="G110" s="141"/>
      <c r="H110" s="143"/>
      <c r="I110" s="21" t="s">
        <v>132</v>
      </c>
      <c r="J110" s="42">
        <f ca="1">(IF(B105&gt;1,(H105/(B105+2)),H105/4))</f>
        <v>5.25</v>
      </c>
    </row>
    <row r="111" spans="1:10" ht="15.75" customHeight="1" x14ac:dyDescent="0.35">
      <c r="A111" s="139" t="s">
        <v>169</v>
      </c>
      <c r="B111" s="140" t="s">
        <v>163</v>
      </c>
      <c r="C111" s="41">
        <f>C110-1</f>
        <v>21</v>
      </c>
      <c r="D111" s="73">
        <f ca="1">((100/H105)*C111)/100</f>
        <v>1</v>
      </c>
      <c r="E111" s="141"/>
      <c r="F111" s="141"/>
      <c r="G111" s="141"/>
      <c r="H111" s="143"/>
      <c r="I111" s="21" t="s">
        <v>133</v>
      </c>
      <c r="J111" s="42">
        <f ca="1">(IF(B105&gt;1,(H105/(B105+2)+J110),H105/4+J110))</f>
        <v>10.5</v>
      </c>
    </row>
    <row r="112" spans="1:10" ht="15.75" customHeight="1" x14ac:dyDescent="0.35">
      <c r="A112" s="139" t="s">
        <v>170</v>
      </c>
      <c r="B112" s="140" t="s">
        <v>163</v>
      </c>
      <c r="C112" s="41">
        <v>21</v>
      </c>
      <c r="D112" s="73">
        <f ca="1">((100/H105)*C112)/100</f>
        <v>1</v>
      </c>
      <c r="E112" s="141"/>
      <c r="F112" s="141"/>
      <c r="G112" s="141"/>
      <c r="H112" s="143"/>
      <c r="I112" s="21" t="s">
        <v>179</v>
      </c>
      <c r="J112" s="42">
        <f ca="1">(IF(B105&gt;1,(H105/(B105+2)+J111),0))</f>
        <v>15.75</v>
      </c>
    </row>
    <row r="113" spans="1:10" ht="15" customHeight="1" x14ac:dyDescent="0.35">
      <c r="A113" s="139" t="s">
        <v>168</v>
      </c>
      <c r="B113" s="140" t="s">
        <v>165</v>
      </c>
      <c r="C113" s="41">
        <v>18</v>
      </c>
      <c r="D113" s="73">
        <f ca="1">((100/(H105))*C113)/100</f>
        <v>0.8571428571428571</v>
      </c>
      <c r="E113" s="141"/>
      <c r="F113" s="141"/>
      <c r="G113" s="141"/>
      <c r="H113" s="143"/>
      <c r="I113" s="21" t="s">
        <v>176</v>
      </c>
      <c r="J113" s="42">
        <f>(IF(B105&gt;2,(H105/(B105+2)+J112),0))</f>
        <v>0</v>
      </c>
    </row>
    <row r="114" spans="1:10" ht="15.75" customHeight="1" x14ac:dyDescent="0.35">
      <c r="A114" s="139" t="s">
        <v>164</v>
      </c>
      <c r="B114" s="140" t="s">
        <v>164</v>
      </c>
      <c r="C114" s="39">
        <v>7</v>
      </c>
      <c r="D114" s="73">
        <f ca="1">((100/H105)*C114)/100</f>
        <v>0.33333333333333337</v>
      </c>
      <c r="E114" s="141"/>
      <c r="F114" s="141"/>
      <c r="G114" s="141"/>
      <c r="H114" s="143"/>
      <c r="I114" s="21" t="s">
        <v>177</v>
      </c>
      <c r="J114" s="43">
        <f>(IF(B105&gt;3,(H105/(B105+2)+J113),0))</f>
        <v>0</v>
      </c>
    </row>
    <row r="115" spans="1:10" ht="15.75" customHeight="1" x14ac:dyDescent="0.35">
      <c r="A115" s="139" t="s">
        <v>171</v>
      </c>
      <c r="B115" s="140"/>
      <c r="C115" s="39">
        <v>4</v>
      </c>
      <c r="D115" s="73">
        <f ca="1">((100/H105)*C115)/100</f>
        <v>0.19047619047619047</v>
      </c>
      <c r="E115" s="141"/>
      <c r="F115" s="141"/>
      <c r="G115" s="141"/>
      <c r="H115" s="143"/>
      <c r="I115" s="21" t="s">
        <v>178</v>
      </c>
      <c r="J115" s="42">
        <f>(IF(B105&gt;4,(H105/(B105+2)+J114),0))</f>
        <v>0</v>
      </c>
    </row>
    <row r="116" spans="1:10" ht="15.75" customHeight="1" x14ac:dyDescent="0.35">
      <c r="A116" s="139" t="s">
        <v>166</v>
      </c>
      <c r="B116" s="140" t="s">
        <v>166</v>
      </c>
      <c r="C116" s="39">
        <v>0</v>
      </c>
      <c r="D116" s="73">
        <f ca="1">((100/(H105))*C116)/100</f>
        <v>0</v>
      </c>
      <c r="E116" s="141"/>
      <c r="F116" s="141"/>
      <c r="G116" s="141"/>
      <c r="H116" s="143"/>
      <c r="I116" s="21" t="s">
        <v>180</v>
      </c>
      <c r="J116" s="42">
        <f>(IF(B105=1,(H105/(B105+3)+J111),IF(B105=0,(H105/4+J111),IF(B105&gt;1,0))))</f>
        <v>0</v>
      </c>
    </row>
    <row r="117" spans="1:10" ht="16" thickBot="1" x14ac:dyDescent="0.4">
      <c r="A117" s="145" t="s">
        <v>167</v>
      </c>
      <c r="B117" s="146"/>
      <c r="C117" s="44">
        <v>0</v>
      </c>
      <c r="D117" s="74">
        <f ca="1">((100/(H105))*C117)/100</f>
        <v>0</v>
      </c>
      <c r="E117" s="142"/>
      <c r="F117" s="142"/>
      <c r="G117" s="142"/>
      <c r="H117" s="144"/>
      <c r="I117" s="24" t="s">
        <v>134</v>
      </c>
      <c r="J117" s="45">
        <f ca="1">(IF(B105&gt;1.5,(H105/(B105+2)+J111+MAX(0,J112-J111)+MAX(0,J113-J112)+MAX(0,J114-J113)+MAX(0,J115-J114)+MAX(0,J116-J115)),IF(B105=1,(H105/(B105+3)+J116),IF(B105=0,H105/4+J116))))</f>
        <v>21</v>
      </c>
    </row>
    <row r="118" spans="1:10" x14ac:dyDescent="0.35">
      <c r="A118" s="177" t="s">
        <v>150</v>
      </c>
      <c r="B118" s="178"/>
      <c r="C118" s="178"/>
      <c r="D118" s="178"/>
      <c r="E118" s="179"/>
      <c r="F118" s="177" t="str">
        <f ca="1">(IF(D61="Nothing","Yes",IF(D61="Cement, Aggregate, Steel, etc","Under Construction",IF(D61="Work not yet Started","Work not yet Started"))))</f>
        <v>Under Construction</v>
      </c>
      <c r="G118" s="178"/>
      <c r="H118" s="179"/>
    </row>
    <row r="119" spans="1:10" x14ac:dyDescent="0.35">
      <c r="A119" s="115" t="s">
        <v>53</v>
      </c>
      <c r="B119" s="115"/>
      <c r="C119" s="115"/>
      <c r="D119" s="115"/>
      <c r="E119" s="115"/>
      <c r="F119" s="115"/>
      <c r="G119" s="115"/>
      <c r="H119" s="115"/>
    </row>
    <row r="120" spans="1:10" ht="15" customHeight="1" x14ac:dyDescent="0.35">
      <c r="A120" s="95" t="s">
        <v>216</v>
      </c>
      <c r="B120" s="95"/>
      <c r="C120" s="94" t="s">
        <v>212</v>
      </c>
      <c r="D120" s="94"/>
      <c r="E120" s="94"/>
      <c r="F120" s="94"/>
      <c r="G120" s="94"/>
      <c r="H120" s="94"/>
    </row>
    <row r="121" spans="1:10" x14ac:dyDescent="0.35">
      <c r="A121" s="133" t="s">
        <v>54</v>
      </c>
      <c r="B121" s="133"/>
      <c r="C121" s="133"/>
      <c r="D121" s="133"/>
      <c r="E121" s="133"/>
      <c r="F121" s="133"/>
      <c r="G121" s="133"/>
      <c r="H121" s="133"/>
    </row>
    <row r="122" spans="1:10" x14ac:dyDescent="0.35">
      <c r="A122" s="115" t="s">
        <v>103</v>
      </c>
      <c r="B122" s="115"/>
      <c r="C122" s="115"/>
      <c r="D122" s="115"/>
      <c r="E122" s="115"/>
      <c r="F122" s="113">
        <v>17700</v>
      </c>
      <c r="G122" s="113"/>
      <c r="H122" s="113"/>
    </row>
    <row r="123" spans="1:10" hidden="1" x14ac:dyDescent="0.35">
      <c r="A123" s="115" t="s">
        <v>108</v>
      </c>
      <c r="B123" s="115"/>
      <c r="C123" s="115"/>
      <c r="D123" s="115"/>
      <c r="E123" s="115"/>
      <c r="F123" s="95"/>
      <c r="G123" s="95"/>
      <c r="H123" s="95"/>
    </row>
    <row r="124" spans="1:10" hidden="1" x14ac:dyDescent="0.35">
      <c r="A124" s="115" t="s">
        <v>109</v>
      </c>
      <c r="B124" s="115"/>
      <c r="C124" s="115"/>
      <c r="D124" s="115"/>
      <c r="E124" s="115"/>
      <c r="F124" s="95"/>
      <c r="G124" s="95"/>
      <c r="H124" s="95"/>
    </row>
    <row r="125" spans="1:10" s="46" customFormat="1" hidden="1" x14ac:dyDescent="0.3">
      <c r="A125" s="115" t="s">
        <v>125</v>
      </c>
      <c r="B125" s="115"/>
      <c r="C125" s="115"/>
      <c r="D125" s="115"/>
      <c r="E125" s="115"/>
      <c r="F125" s="95" t="s">
        <v>30</v>
      </c>
      <c r="G125" s="95"/>
      <c r="H125" s="95"/>
    </row>
    <row r="126" spans="1:10" s="46" customFormat="1" x14ac:dyDescent="0.3">
      <c r="A126" s="115" t="s">
        <v>126</v>
      </c>
      <c r="B126" s="115"/>
      <c r="C126" s="115"/>
      <c r="D126" s="115"/>
      <c r="E126" s="115"/>
      <c r="F126" s="95" t="s">
        <v>242</v>
      </c>
      <c r="G126" s="95"/>
      <c r="H126" s="95"/>
    </row>
    <row r="127" spans="1:10" s="46" customFormat="1" x14ac:dyDescent="0.3">
      <c r="A127" s="115" t="s">
        <v>219</v>
      </c>
      <c r="B127" s="115"/>
      <c r="C127" s="115"/>
      <c r="D127" s="115"/>
      <c r="E127" s="115"/>
      <c r="F127" s="95" t="s">
        <v>243</v>
      </c>
      <c r="G127" s="95"/>
      <c r="H127" s="95"/>
    </row>
    <row r="128" spans="1:10" s="46" customFormat="1" hidden="1" x14ac:dyDescent="0.3">
      <c r="A128" s="115" t="s">
        <v>127</v>
      </c>
      <c r="B128" s="115"/>
      <c r="C128" s="115"/>
      <c r="D128" s="115"/>
      <c r="E128" s="115"/>
      <c r="F128" s="95" t="s">
        <v>244</v>
      </c>
      <c r="G128" s="95"/>
      <c r="H128" s="95"/>
    </row>
    <row r="129" spans="1:14" s="46" customFormat="1" ht="15.75" hidden="1" customHeight="1" x14ac:dyDescent="0.3">
      <c r="A129" s="115" t="s">
        <v>128</v>
      </c>
      <c r="B129" s="115"/>
      <c r="C129" s="115"/>
      <c r="D129" s="115"/>
      <c r="E129" s="115"/>
      <c r="F129" s="95" t="s">
        <v>244</v>
      </c>
      <c r="G129" s="95"/>
      <c r="H129" s="95"/>
    </row>
    <row r="130" spans="1:14" s="46" customFormat="1" x14ac:dyDescent="0.3">
      <c r="A130" s="115" t="s">
        <v>217</v>
      </c>
      <c r="B130" s="115"/>
      <c r="C130" s="115"/>
      <c r="D130" s="115"/>
      <c r="E130" s="115"/>
      <c r="F130" s="95" t="s">
        <v>244</v>
      </c>
      <c r="G130" s="95"/>
      <c r="H130" s="95"/>
    </row>
    <row r="131" spans="1:14" s="46" customFormat="1" x14ac:dyDescent="0.3">
      <c r="A131" s="115" t="s">
        <v>129</v>
      </c>
      <c r="B131" s="115"/>
      <c r="C131" s="115"/>
      <c r="D131" s="115"/>
      <c r="E131" s="115"/>
      <c r="F131" s="95" t="s">
        <v>245</v>
      </c>
      <c r="G131" s="95"/>
      <c r="H131" s="95"/>
    </row>
    <row r="132" spans="1:14" s="46" customFormat="1" x14ac:dyDescent="0.3">
      <c r="A132" s="115" t="s">
        <v>218</v>
      </c>
      <c r="B132" s="115"/>
      <c r="C132" s="115"/>
      <c r="D132" s="115"/>
      <c r="E132" s="115"/>
      <c r="F132" s="95" t="s">
        <v>242</v>
      </c>
      <c r="G132" s="95"/>
      <c r="H132" s="95"/>
    </row>
    <row r="133" spans="1:14" x14ac:dyDescent="0.35">
      <c r="A133" s="115" t="s">
        <v>55</v>
      </c>
      <c r="B133" s="115"/>
      <c r="C133" s="115"/>
      <c r="D133" s="115"/>
      <c r="E133" s="115"/>
      <c r="F133" s="94" t="s">
        <v>241</v>
      </c>
      <c r="G133" s="94"/>
      <c r="H133" s="94"/>
    </row>
    <row r="134" spans="1:14" s="47" customFormat="1" x14ac:dyDescent="0.35">
      <c r="A134" s="133" t="s">
        <v>56</v>
      </c>
      <c r="B134" s="133"/>
      <c r="C134" s="133"/>
      <c r="D134" s="133"/>
      <c r="E134" s="133"/>
      <c r="F134" s="95">
        <f>F122*0.8</f>
        <v>14160</v>
      </c>
      <c r="G134" s="95"/>
      <c r="H134" s="95"/>
    </row>
    <row r="135" spans="1:14" s="48" customFormat="1" x14ac:dyDescent="0.35">
      <c r="A135" s="119" t="s">
        <v>98</v>
      </c>
      <c r="B135" s="119"/>
      <c r="C135" s="119"/>
      <c r="D135" s="119"/>
      <c r="E135" s="119"/>
      <c r="F135" s="119"/>
      <c r="G135" s="119"/>
      <c r="H135" s="119"/>
    </row>
    <row r="136" spans="1:14" s="48" customFormat="1" ht="15.75" customHeight="1" x14ac:dyDescent="0.35">
      <c r="A136" s="123" t="s">
        <v>57</v>
      </c>
      <c r="B136" s="123"/>
      <c r="C136" s="120" t="s">
        <v>106</v>
      </c>
      <c r="D136" s="120"/>
      <c r="E136" s="122" t="s">
        <v>58</v>
      </c>
      <c r="F136" s="122"/>
      <c r="G136" s="123" t="s">
        <v>59</v>
      </c>
      <c r="H136" s="123"/>
    </row>
    <row r="137" spans="1:14" s="48" customFormat="1" x14ac:dyDescent="0.35">
      <c r="A137" s="111" t="s">
        <v>181</v>
      </c>
      <c r="B137" s="111"/>
      <c r="C137" s="112">
        <f>COUNT(D151:D155)+COUNT(D157:D161)+COUNT(D163:D167)+COUNT(D169:D175)+COUNT(D177:D183)*5+COUNT(D193:D199)*6+COUNT(D201:D207)+COUNT(D209:D215)+COUNT(D217:D223)+COUNT(D225:D231)+COUNT(D233:D239)+COUNT(D241:D247)</f>
        <v>141</v>
      </c>
      <c r="D137" s="112"/>
      <c r="E137" s="110">
        <f>SUM(D151:D155)+SUM(D157:D161)+SUM(D163:D167)+SUM(D169:D175)+SUM(D177:D183)*5+SUM(D193:D199)*6+SUM(D201:D207)+SUM(D209:D215)+SUM(D217:D223)+SUM(D225:D231)+SUM(D233:D239)+SUM(D241:D247)</f>
        <v>110886.76000000001</v>
      </c>
      <c r="F137" s="110"/>
      <c r="G137" s="110">
        <f>SUM(F151:F155)+SUM(F157:F161)+SUM(F163:F167)+SUM(F169:F175)+SUM(F177:F183)*5+SUM(F193:F199)*6+SUM(F201:F207)+SUM(F209:F215)+SUM(F217:F223)+SUM(F225:F231)+SUM(F233:F239)+SUM(F241:F247)</f>
        <v>177418.81599999996</v>
      </c>
      <c r="H137" s="110"/>
    </row>
    <row r="138" spans="1:14" s="48" customFormat="1" x14ac:dyDescent="0.35">
      <c r="A138" s="111" t="s">
        <v>187</v>
      </c>
      <c r="B138" s="111"/>
      <c r="C138" s="112">
        <f>COUNT(D251:D254)+COUNT(D256:D260)+COUNT(D262:D266)+COUNT(D268:D272)+COUNT(D274:D280)+COUNT(D282:D288)*5+COUNT(D290:D296)*6+COUNT(D298:D304)+COUNT(D306:D312)+COUNT(D314:D320)+COUNT(D322:D328)+COUNT(D330:D336)+COUNT(D338:D344)</f>
        <v>145</v>
      </c>
      <c r="D138" s="112"/>
      <c r="E138" s="110">
        <f>SUM(D251:D254)+SUM(D256:D260)+SUM(D262:D266)+SUM(D268:D272)+SUM(D274:D280)+SUM(D282:D288)*5+SUM(D290:D296)*6+SUM(D298:D304)+SUM(D306:D312)+SUM(D314:D320)+SUM(D322:D328)+SUM(D330:D336)+SUM(D338:D344)</f>
        <v>112797.45808</v>
      </c>
      <c r="F138" s="110"/>
      <c r="G138" s="110">
        <f>SUM(F251:F254)+SUM(F256:F260)+SUM(F262:F266)+SUM(F268:F272)+SUM(F274:F280)+SUM(F282:F288)*5+SUM(F290:F296)*6+SUM(F298:F304)+SUM(F306:F312)+SUM(F314:F320)+SUM(F322:F328)+SUM(F330:F336)+SUM(F338:F344)</f>
        <v>180475.93292799999</v>
      </c>
      <c r="H138" s="110"/>
    </row>
    <row r="139" spans="1:14" s="48" customFormat="1" x14ac:dyDescent="0.35">
      <c r="A139" s="111" t="s">
        <v>203</v>
      </c>
      <c r="B139" s="111"/>
      <c r="C139" s="112">
        <f>COUNT(D348:D351)+COUNT(D353:D357)+COUNT(D359:D363)+COUNT(D365:D369)+COUNT(D371:D377)+COUNT(D379:D385)*5+COUNT(D387:D393)*6+COUNT(D395:D401)+COUNT(D403:D409)+COUNT(D411:D417)+COUNT(D419:D425)+COUNT(D427:D433)+COUNT(D435:D441)</f>
        <v>145</v>
      </c>
      <c r="D139" s="112"/>
      <c r="E139" s="110">
        <f>SUM(D348:D351)+SUM(D353:D357)+SUM(D359:D363)+SUM(D365:D369)+SUM(D371:D377)+SUM(D379:D385)*5+SUM(D387:D393)*6+SUM(D395:D401)+SUM(D403:D409)+SUM(D411:D417)+SUM(D419:D425)+SUM(D427:D433)+SUM(D435:D441)</f>
        <v>112409.05295999999</v>
      </c>
      <c r="F139" s="110"/>
      <c r="G139" s="110">
        <f>SUM(F348:F351)+SUM(F353:F357)+SUM(F359:F363)+SUM(F365:F369)+SUM(F371:F377)+SUM(F379:F385)*5+SUM(F387:F393)*6+SUM(F395:F401)+SUM(F403:F409)+SUM(F411:F417)+SUM(F419:F425)+SUM(F427:F433)+SUM(F435:F441)</f>
        <v>179854.48473599998</v>
      </c>
      <c r="H139" s="110"/>
    </row>
    <row r="140" spans="1:14" s="48" customFormat="1" x14ac:dyDescent="0.35">
      <c r="A140" s="111" t="s">
        <v>204</v>
      </c>
      <c r="B140" s="111"/>
      <c r="C140" s="112">
        <f>COUNT(D446:D450)+COUNT(D452:D456)+COUNT(D458:D462)+COUNT(D464:D470)+COUNT(D472:D478)*5+COUNT(D480:D486)*6+COUNT(D488:D494)+COUNT(D496:D502)+COUNT(D504:D510)+COUNT(D512:D518)+COUNT(D520:D526)+COUNT(D528:D534)</f>
        <v>141</v>
      </c>
      <c r="D140" s="112"/>
      <c r="E140" s="110">
        <f>SUM(D446:D450)+SUM(D452:D456)+SUM(D458:D462)+SUM(D464:D470)+SUM(D472:D478)*5+SUM(D480:D486)*6+SUM(D488:D494)+SUM(D496:D502)+SUM(D504:D510)+SUM(D512:D518)+SUM(D520:D526)+SUM(D528:D534)</f>
        <v>110598.94999999998</v>
      </c>
      <c r="F140" s="110"/>
      <c r="G140" s="110">
        <f>SUM(F446:F450)+SUM(F452:F456)+SUM(F458:F462)+SUM(F464:F470)+SUM(F472:F478)*5+SUM(F480:F486)*6+SUM(F488:F494)+SUM(F496:F502)+SUM(F504:F510)+SUM(F512:F518)+SUM(F520:F526)+SUM(F528:F534)</f>
        <v>176958.32000000004</v>
      </c>
      <c r="H140" s="110"/>
    </row>
    <row r="141" spans="1:14" s="48" customFormat="1" x14ac:dyDescent="0.35">
      <c r="A141" s="119" t="s">
        <v>61</v>
      </c>
      <c r="B141" s="119"/>
      <c r="C141" s="120">
        <f>SUM(C137:D140)</f>
        <v>572</v>
      </c>
      <c r="D141" s="120"/>
      <c r="E141" s="121">
        <f>SUM(E137:F140)</f>
        <v>446692.22103999997</v>
      </c>
      <c r="F141" s="122"/>
      <c r="G141" s="123">
        <f>SUM(G137:H140)</f>
        <v>714707.55366400001</v>
      </c>
      <c r="H141" s="123"/>
    </row>
    <row r="142" spans="1:14" s="47" customFormat="1" x14ac:dyDescent="0.35">
      <c r="A142" s="100" t="s">
        <v>62</v>
      </c>
      <c r="B142" s="100"/>
      <c r="C142" s="100"/>
      <c r="D142" s="100"/>
      <c r="E142" s="100"/>
      <c r="F142" s="100"/>
      <c r="G142" s="100"/>
      <c r="H142" s="100"/>
    </row>
    <row r="143" spans="1:14" x14ac:dyDescent="0.35">
      <c r="A143" s="100" t="s">
        <v>63</v>
      </c>
      <c r="B143" s="100"/>
      <c r="C143" s="100"/>
      <c r="D143" s="100"/>
      <c r="E143" s="100"/>
      <c r="F143" s="100"/>
      <c r="G143" s="100"/>
      <c r="H143" s="100"/>
    </row>
    <row r="144" spans="1:14" s="64" customFormat="1" hidden="1" x14ac:dyDescent="0.35">
      <c r="A144" s="89"/>
      <c r="B144" s="103"/>
      <c r="C144" s="103"/>
      <c r="D144" s="103"/>
      <c r="E144" s="103"/>
      <c r="F144" s="103"/>
      <c r="G144" s="103"/>
      <c r="H144" s="90"/>
      <c r="I144" s="49"/>
      <c r="N144" s="49"/>
    </row>
    <row r="145" spans="1:14" ht="47.25" customHeight="1" x14ac:dyDescent="0.35">
      <c r="A145" s="104" t="s">
        <v>152</v>
      </c>
      <c r="B145" s="104" t="s">
        <v>153</v>
      </c>
      <c r="C145" s="106" t="s">
        <v>64</v>
      </c>
      <c r="D145" s="106" t="s">
        <v>65</v>
      </c>
      <c r="E145" s="166" t="s">
        <v>66</v>
      </c>
      <c r="F145" s="57" t="s">
        <v>151</v>
      </c>
      <c r="G145" s="104" t="s">
        <v>67</v>
      </c>
      <c r="H145" s="168"/>
      <c r="I145" s="49"/>
    </row>
    <row r="146" spans="1:14" s="64" customFormat="1" x14ac:dyDescent="0.35">
      <c r="A146" s="105"/>
      <c r="B146" s="105"/>
      <c r="C146" s="107"/>
      <c r="D146" s="107"/>
      <c r="E146" s="167"/>
      <c r="F146" s="20">
        <v>0.6</v>
      </c>
      <c r="G146" s="105"/>
      <c r="H146" s="169"/>
      <c r="I146" s="49"/>
    </row>
    <row r="147" spans="1:14" x14ac:dyDescent="0.35">
      <c r="A147" s="100" t="s">
        <v>181</v>
      </c>
      <c r="B147" s="100"/>
      <c r="C147" s="100"/>
      <c r="D147" s="100"/>
      <c r="E147" s="100"/>
      <c r="F147" s="100"/>
      <c r="G147" s="100"/>
      <c r="H147" s="100"/>
    </row>
    <row r="148" spans="1:14" s="47" customFormat="1" x14ac:dyDescent="0.35">
      <c r="A148" s="100" t="s">
        <v>213</v>
      </c>
      <c r="B148" s="100"/>
      <c r="C148" s="100"/>
      <c r="D148" s="100"/>
      <c r="E148" s="100"/>
      <c r="F148" s="100"/>
      <c r="G148" s="100"/>
      <c r="H148" s="100"/>
      <c r="I148" s="108" t="s">
        <v>238</v>
      </c>
      <c r="J148" s="109"/>
      <c r="K148" s="109"/>
      <c r="L148" s="109"/>
    </row>
    <row r="149" spans="1:14" s="47" customFormat="1" x14ac:dyDescent="0.35">
      <c r="A149" s="100" t="s">
        <v>221</v>
      </c>
      <c r="B149" s="100"/>
      <c r="C149" s="100"/>
      <c r="D149" s="100"/>
      <c r="E149" s="100"/>
      <c r="F149" s="100"/>
      <c r="G149" s="100"/>
      <c r="H149" s="100"/>
      <c r="I149" s="108" t="s">
        <v>237</v>
      </c>
      <c r="J149" s="109"/>
      <c r="K149" s="109"/>
      <c r="L149" s="109"/>
    </row>
    <row r="150" spans="1:14" s="64" customFormat="1" x14ac:dyDescent="0.35">
      <c r="A150" s="99" t="s">
        <v>182</v>
      </c>
      <c r="B150" s="99"/>
      <c r="C150" s="99"/>
      <c r="D150" s="99"/>
      <c r="E150" s="99"/>
      <c r="F150" s="99"/>
      <c r="G150" s="99"/>
      <c r="H150" s="99"/>
      <c r="I150" s="49"/>
      <c r="L150" s="102"/>
      <c r="M150" s="102"/>
    </row>
    <row r="151" spans="1:14" s="64" customFormat="1" x14ac:dyDescent="0.35">
      <c r="A151" s="98">
        <v>2</v>
      </c>
      <c r="B151" s="98"/>
      <c r="C151" s="56" t="s">
        <v>144</v>
      </c>
      <c r="D151" s="50">
        <f>(907.62+20.99)</f>
        <v>928.61</v>
      </c>
      <c r="E151" s="56">
        <v>0</v>
      </c>
      <c r="F151" s="56">
        <f>D151*(($F$146)+1)+E151</f>
        <v>1485.7760000000001</v>
      </c>
      <c r="G151" s="98" t="str">
        <f>A150</f>
        <v>1st Floor for Residential &amp; Amenities</v>
      </c>
      <c r="H151" s="98"/>
      <c r="I151" s="49">
        <f>(84.32)*10.764</f>
        <v>907.62047999999982</v>
      </c>
      <c r="J151" s="64">
        <f>26000/1.55</f>
        <v>16774.193548387095</v>
      </c>
      <c r="N151" s="49"/>
    </row>
    <row r="152" spans="1:14" s="64" customFormat="1" x14ac:dyDescent="0.35">
      <c r="A152" s="98">
        <f>A151+1</f>
        <v>3</v>
      </c>
      <c r="B152" s="98"/>
      <c r="C152" s="56" t="s">
        <v>183</v>
      </c>
      <c r="D152" s="50">
        <f>(555.96+20.02)</f>
        <v>575.98</v>
      </c>
      <c r="E152" s="56">
        <v>0</v>
      </c>
      <c r="F152" s="56">
        <f>D152*(($F$146)+1)+E152</f>
        <v>921.5680000000001</v>
      </c>
      <c r="G152" s="98" t="str">
        <f t="shared" ref="G152:G155" si="0">G151</f>
        <v>1st Floor for Residential &amp; Amenities</v>
      </c>
      <c r="H152" s="98"/>
      <c r="I152" s="49">
        <f>(51.65)*10.764</f>
        <v>555.9606</v>
      </c>
      <c r="N152" s="49"/>
    </row>
    <row r="153" spans="1:14" s="64" customFormat="1" x14ac:dyDescent="0.35">
      <c r="A153" s="98">
        <f>A152+1</f>
        <v>4</v>
      </c>
      <c r="B153" s="98"/>
      <c r="C153" s="56" t="s">
        <v>183</v>
      </c>
      <c r="D153" s="50">
        <f>(811.07+24)</f>
        <v>835.07</v>
      </c>
      <c r="E153" s="56">
        <v>0</v>
      </c>
      <c r="F153" s="56">
        <f t="shared" ref="F153:F155" si="1">D153*(($F$146)+1)+E153</f>
        <v>1336.1120000000001</v>
      </c>
      <c r="G153" s="98" t="str">
        <f t="shared" si="0"/>
        <v>1st Floor for Residential &amp; Amenities</v>
      </c>
      <c r="H153" s="98"/>
      <c r="I153" s="49">
        <f>(75.35)*10.764</f>
        <v>811.06739999999991</v>
      </c>
      <c r="N153" s="49"/>
    </row>
    <row r="154" spans="1:14" s="64" customFormat="1" x14ac:dyDescent="0.35">
      <c r="A154" s="98">
        <f t="shared" ref="A154:A155" si="2">A153+1</f>
        <v>5</v>
      </c>
      <c r="B154" s="98"/>
      <c r="C154" s="56" t="s">
        <v>183</v>
      </c>
      <c r="D154" s="50">
        <f>(600.95+24.97)</f>
        <v>625.92000000000007</v>
      </c>
      <c r="E154" s="56">
        <v>0</v>
      </c>
      <c r="F154" s="56">
        <f t="shared" si="1"/>
        <v>1001.4720000000002</v>
      </c>
      <c r="G154" s="98" t="str">
        <f t="shared" si="0"/>
        <v>1st Floor for Residential &amp; Amenities</v>
      </c>
      <c r="H154" s="98"/>
      <c r="I154" s="49">
        <f>(55.83)*10.764</f>
        <v>600.95411999999999</v>
      </c>
      <c r="N154" s="49"/>
    </row>
    <row r="155" spans="1:14" s="64" customFormat="1" x14ac:dyDescent="0.35">
      <c r="A155" s="98">
        <f t="shared" si="2"/>
        <v>6</v>
      </c>
      <c r="B155" s="98"/>
      <c r="C155" s="56" t="s">
        <v>183</v>
      </c>
      <c r="D155" s="50">
        <f>(723.99+20.99)</f>
        <v>744.98</v>
      </c>
      <c r="E155" s="56">
        <v>0</v>
      </c>
      <c r="F155" s="56">
        <f t="shared" si="1"/>
        <v>1191.9680000000001</v>
      </c>
      <c r="G155" s="98" t="str">
        <f t="shared" si="0"/>
        <v>1st Floor for Residential &amp; Amenities</v>
      </c>
      <c r="H155" s="98"/>
      <c r="I155" s="49">
        <f>(67.26)*10.764</f>
        <v>723.98663999999997</v>
      </c>
      <c r="N155" s="49"/>
    </row>
    <row r="156" spans="1:14" s="64" customFormat="1" x14ac:dyDescent="0.35">
      <c r="A156" s="99" t="s">
        <v>184</v>
      </c>
      <c r="B156" s="99"/>
      <c r="C156" s="99"/>
      <c r="D156" s="99"/>
      <c r="E156" s="99"/>
      <c r="F156" s="99"/>
      <c r="G156" s="99"/>
      <c r="H156" s="99"/>
      <c r="I156" s="49"/>
      <c r="L156" s="102"/>
      <c r="M156" s="102"/>
    </row>
    <row r="157" spans="1:14" s="64" customFormat="1" x14ac:dyDescent="0.35">
      <c r="A157" s="98">
        <v>2</v>
      </c>
      <c r="B157" s="98"/>
      <c r="C157" s="56" t="s">
        <v>144</v>
      </c>
      <c r="D157" s="56">
        <f>(907.62+20.99)</f>
        <v>928.61</v>
      </c>
      <c r="E157" s="56">
        <v>0</v>
      </c>
      <c r="F157" s="56">
        <f>D157*(($F$146)+1)+E157</f>
        <v>1485.7760000000001</v>
      </c>
      <c r="G157" s="98" t="str">
        <f>A156</f>
        <v>2nd Floor for Residential &amp; Amenities</v>
      </c>
      <c r="H157" s="98"/>
      <c r="I157" s="49"/>
      <c r="N157" s="49"/>
    </row>
    <row r="158" spans="1:14" s="64" customFormat="1" x14ac:dyDescent="0.35">
      <c r="A158" s="98">
        <f>A157+1</f>
        <v>3</v>
      </c>
      <c r="B158" s="98"/>
      <c r="C158" s="56" t="s">
        <v>183</v>
      </c>
      <c r="D158" s="56">
        <f>(555.96+20.02)</f>
        <v>575.98</v>
      </c>
      <c r="E158" s="56">
        <v>0</v>
      </c>
      <c r="F158" s="56">
        <f>D158*(($F$146)+1)+E158</f>
        <v>921.5680000000001</v>
      </c>
      <c r="G158" s="98" t="str">
        <f t="shared" ref="G158:G161" si="3">G157</f>
        <v>2nd Floor for Residential &amp; Amenities</v>
      </c>
      <c r="H158" s="98"/>
      <c r="I158" s="49"/>
      <c r="N158" s="49"/>
    </row>
    <row r="159" spans="1:14" s="64" customFormat="1" x14ac:dyDescent="0.35">
      <c r="A159" s="98">
        <f>A158+1</f>
        <v>4</v>
      </c>
      <c r="B159" s="98"/>
      <c r="C159" s="56" t="s">
        <v>183</v>
      </c>
      <c r="D159" s="56">
        <f>(811.07+24)</f>
        <v>835.07</v>
      </c>
      <c r="E159" s="56">
        <v>0</v>
      </c>
      <c r="F159" s="56">
        <f t="shared" ref="F159:F161" si="4">D159*(($F$146)+1)+E159</f>
        <v>1336.1120000000001</v>
      </c>
      <c r="G159" s="98" t="str">
        <f t="shared" si="3"/>
        <v>2nd Floor for Residential &amp; Amenities</v>
      </c>
      <c r="H159" s="98"/>
      <c r="I159" s="49"/>
      <c r="N159" s="49"/>
    </row>
    <row r="160" spans="1:14" s="64" customFormat="1" x14ac:dyDescent="0.35">
      <c r="A160" s="98">
        <f t="shared" ref="A160:A161" si="5">A159+1</f>
        <v>5</v>
      </c>
      <c r="B160" s="98"/>
      <c r="C160" s="56" t="s">
        <v>183</v>
      </c>
      <c r="D160" s="56">
        <f>(582.01+24.97)</f>
        <v>606.98</v>
      </c>
      <c r="E160" s="56">
        <v>0</v>
      </c>
      <c r="F160" s="56">
        <f t="shared" si="4"/>
        <v>971.16800000000012</v>
      </c>
      <c r="G160" s="98" t="str">
        <f t="shared" si="3"/>
        <v>2nd Floor for Residential &amp; Amenities</v>
      </c>
      <c r="H160" s="98"/>
      <c r="I160" s="49"/>
      <c r="N160" s="49"/>
    </row>
    <row r="161" spans="1:16" s="64" customFormat="1" x14ac:dyDescent="0.35">
      <c r="A161" s="98">
        <f t="shared" si="5"/>
        <v>6</v>
      </c>
      <c r="B161" s="98"/>
      <c r="C161" s="56" t="s">
        <v>183</v>
      </c>
      <c r="D161" s="56">
        <f>(723.99+20.99)</f>
        <v>744.98</v>
      </c>
      <c r="E161" s="56">
        <v>0</v>
      </c>
      <c r="F161" s="56">
        <f t="shared" si="4"/>
        <v>1191.9680000000001</v>
      </c>
      <c r="G161" s="98" t="str">
        <f t="shared" si="3"/>
        <v>2nd Floor for Residential &amp; Amenities</v>
      </c>
      <c r="H161" s="98"/>
      <c r="I161" s="49"/>
      <c r="N161" s="49"/>
    </row>
    <row r="162" spans="1:16" s="64" customFormat="1" x14ac:dyDescent="0.35">
      <c r="A162" s="99" t="s">
        <v>185</v>
      </c>
      <c r="B162" s="99"/>
      <c r="C162" s="99"/>
      <c r="D162" s="99"/>
      <c r="E162" s="99"/>
      <c r="F162" s="99"/>
      <c r="G162" s="99"/>
      <c r="H162" s="99"/>
      <c r="I162" s="49"/>
      <c r="L162" s="102"/>
      <c r="M162" s="102"/>
    </row>
    <row r="163" spans="1:16" s="64" customFormat="1" x14ac:dyDescent="0.35">
      <c r="A163" s="98">
        <v>2</v>
      </c>
      <c r="B163" s="98"/>
      <c r="C163" s="56" t="s">
        <v>144</v>
      </c>
      <c r="D163" s="56">
        <f>(907.62+20.99)</f>
        <v>928.61</v>
      </c>
      <c r="E163" s="56">
        <v>0</v>
      </c>
      <c r="F163" s="56">
        <f>D163*(($F$146)+1)+E163</f>
        <v>1485.7760000000001</v>
      </c>
      <c r="G163" s="98" t="str">
        <f>A162</f>
        <v>3rd Floor for Residential &amp; Service Floor</v>
      </c>
      <c r="H163" s="98"/>
      <c r="I163" s="49"/>
      <c r="N163" s="49"/>
    </row>
    <row r="164" spans="1:16" s="64" customFormat="1" x14ac:dyDescent="0.35">
      <c r="A164" s="98">
        <f>A163+1</f>
        <v>3</v>
      </c>
      <c r="B164" s="98"/>
      <c r="C164" s="56" t="s">
        <v>183</v>
      </c>
      <c r="D164" s="56">
        <f>(555.96+20.02)</f>
        <v>575.98</v>
      </c>
      <c r="E164" s="56">
        <v>0</v>
      </c>
      <c r="F164" s="56">
        <f>D164*(($F$146)+1)+E164</f>
        <v>921.5680000000001</v>
      </c>
      <c r="G164" s="98" t="str">
        <f t="shared" ref="G164:G167" si="6">G163</f>
        <v>3rd Floor for Residential &amp; Service Floor</v>
      </c>
      <c r="H164" s="98"/>
      <c r="I164" s="49"/>
      <c r="N164" s="49"/>
    </row>
    <row r="165" spans="1:16" s="64" customFormat="1" x14ac:dyDescent="0.35">
      <c r="A165" s="98">
        <f>A164+1</f>
        <v>4</v>
      </c>
      <c r="B165" s="98"/>
      <c r="C165" s="56" t="s">
        <v>183</v>
      </c>
      <c r="D165" s="56">
        <f>(811.07+24)</f>
        <v>835.07</v>
      </c>
      <c r="E165" s="56">
        <v>0</v>
      </c>
      <c r="F165" s="56">
        <f t="shared" ref="F165:F167" si="7">D165*(($F$146)+1)+E165</f>
        <v>1336.1120000000001</v>
      </c>
      <c r="G165" s="98" t="str">
        <f t="shared" si="6"/>
        <v>3rd Floor for Residential &amp; Service Floor</v>
      </c>
      <c r="H165" s="98"/>
      <c r="I165" s="49"/>
      <c r="N165" s="49"/>
    </row>
    <row r="166" spans="1:16" s="64" customFormat="1" x14ac:dyDescent="0.35">
      <c r="A166" s="98">
        <f t="shared" ref="A166:A167" si="8">A165+1</f>
        <v>5</v>
      </c>
      <c r="B166" s="98"/>
      <c r="C166" s="56" t="s">
        <v>183</v>
      </c>
      <c r="D166" s="56">
        <f>(582.01+24.97)</f>
        <v>606.98</v>
      </c>
      <c r="E166" s="56">
        <v>0</v>
      </c>
      <c r="F166" s="56">
        <f t="shared" si="7"/>
        <v>971.16800000000012</v>
      </c>
      <c r="G166" s="98" t="str">
        <f t="shared" si="6"/>
        <v>3rd Floor for Residential &amp; Service Floor</v>
      </c>
      <c r="H166" s="98"/>
      <c r="I166" s="49"/>
      <c r="N166" s="49"/>
    </row>
    <row r="167" spans="1:16" s="64" customFormat="1" x14ac:dyDescent="0.35">
      <c r="A167" s="98">
        <f t="shared" si="8"/>
        <v>6</v>
      </c>
      <c r="B167" s="98"/>
      <c r="C167" s="56" t="s">
        <v>183</v>
      </c>
      <c r="D167" s="56">
        <f>(723.99+20.99)</f>
        <v>744.98</v>
      </c>
      <c r="E167" s="56">
        <v>0</v>
      </c>
      <c r="F167" s="56">
        <f t="shared" si="7"/>
        <v>1191.9680000000001</v>
      </c>
      <c r="G167" s="98" t="str">
        <f t="shared" si="6"/>
        <v>3rd Floor for Residential &amp; Service Floor</v>
      </c>
      <c r="H167" s="98"/>
      <c r="I167" s="49"/>
      <c r="N167" s="49"/>
    </row>
    <row r="168" spans="1:16" s="64" customFormat="1" x14ac:dyDescent="0.35">
      <c r="A168" s="99" t="s">
        <v>186</v>
      </c>
      <c r="B168" s="99"/>
      <c r="C168" s="99"/>
      <c r="D168" s="99"/>
      <c r="E168" s="99"/>
      <c r="F168" s="99"/>
      <c r="G168" s="99"/>
      <c r="H168" s="99"/>
      <c r="I168" s="49"/>
      <c r="L168" s="102"/>
      <c r="M168" s="102"/>
    </row>
    <row r="169" spans="1:16" s="64" customFormat="1" x14ac:dyDescent="0.35">
      <c r="A169" s="98">
        <v>1</v>
      </c>
      <c r="B169" s="98"/>
      <c r="C169" s="56" t="s">
        <v>183</v>
      </c>
      <c r="D169" s="56">
        <f>(747.02+87.19)</f>
        <v>834.21</v>
      </c>
      <c r="E169" s="56">
        <v>0</v>
      </c>
      <c r="F169" s="56">
        <f>D169*(($F$146)+1)+E169</f>
        <v>1334.7360000000001</v>
      </c>
      <c r="G169" s="98" t="str">
        <f>A168</f>
        <v xml:space="preserve">4th Floor </v>
      </c>
      <c r="H169" s="98"/>
      <c r="I169" s="49"/>
      <c r="N169" s="49"/>
    </row>
    <row r="170" spans="1:16" s="64" customFormat="1" x14ac:dyDescent="0.35">
      <c r="A170" s="98">
        <v>2</v>
      </c>
      <c r="B170" s="98"/>
      <c r="C170" s="56" t="s">
        <v>144</v>
      </c>
      <c r="D170" s="56">
        <f>(907.62+20.99)</f>
        <v>928.61</v>
      </c>
      <c r="E170" s="56">
        <v>0</v>
      </c>
      <c r="F170" s="56">
        <f>D170*(($F$146)+1)+E170</f>
        <v>1485.7760000000001</v>
      </c>
      <c r="G170" s="98" t="str">
        <f>A168</f>
        <v xml:space="preserve">4th Floor </v>
      </c>
      <c r="H170" s="98"/>
      <c r="I170" s="49"/>
      <c r="N170" s="49"/>
    </row>
    <row r="171" spans="1:16" s="64" customFormat="1" x14ac:dyDescent="0.35">
      <c r="A171" s="98">
        <v>3</v>
      </c>
      <c r="B171" s="98"/>
      <c r="C171" s="56" t="s">
        <v>183</v>
      </c>
      <c r="D171" s="56">
        <f>(555.96+20.02)</f>
        <v>575.98</v>
      </c>
      <c r="E171" s="56">
        <v>0</v>
      </c>
      <c r="F171" s="56">
        <f>D171*(($F$146)+1)+E171</f>
        <v>921.5680000000001</v>
      </c>
      <c r="G171" s="98" t="str">
        <f>A168</f>
        <v xml:space="preserve">4th Floor </v>
      </c>
      <c r="H171" s="98"/>
      <c r="I171" s="49"/>
      <c r="N171" s="49"/>
    </row>
    <row r="172" spans="1:16" s="64" customFormat="1" x14ac:dyDescent="0.35">
      <c r="A172" s="98">
        <v>4</v>
      </c>
      <c r="B172" s="98"/>
      <c r="C172" s="56" t="s">
        <v>183</v>
      </c>
      <c r="D172" s="56">
        <f>(811.07+24)</f>
        <v>835.07</v>
      </c>
      <c r="E172" s="56">
        <v>0</v>
      </c>
      <c r="F172" s="56">
        <f>D172*(($F$146)+1)+E172</f>
        <v>1336.1120000000001</v>
      </c>
      <c r="G172" s="98" t="str">
        <f>G169</f>
        <v xml:space="preserve">4th Floor </v>
      </c>
      <c r="H172" s="98"/>
      <c r="I172" s="49"/>
      <c r="N172" s="49"/>
    </row>
    <row r="173" spans="1:16" s="64" customFormat="1" x14ac:dyDescent="0.35">
      <c r="A173" s="98">
        <v>5</v>
      </c>
      <c r="B173" s="98"/>
      <c r="C173" s="56" t="s">
        <v>183</v>
      </c>
      <c r="D173" s="56">
        <f>(582.01+24.97)</f>
        <v>606.98</v>
      </c>
      <c r="E173" s="56">
        <v>0</v>
      </c>
      <c r="F173" s="56">
        <f t="shared" ref="F173:F175" si="9">D173*(($F$146)+1)+E173</f>
        <v>971.16800000000012</v>
      </c>
      <c r="G173" s="98" t="str">
        <f t="shared" ref="G173:G175" si="10">G172</f>
        <v xml:space="preserve">4th Floor </v>
      </c>
      <c r="H173" s="98"/>
      <c r="I173" s="49"/>
      <c r="N173" s="49"/>
    </row>
    <row r="174" spans="1:16" s="64" customFormat="1" x14ac:dyDescent="0.35">
      <c r="A174" s="98">
        <v>6</v>
      </c>
      <c r="B174" s="98"/>
      <c r="C174" s="56" t="s">
        <v>183</v>
      </c>
      <c r="D174" s="56">
        <f>(723.99+20.99)</f>
        <v>744.98</v>
      </c>
      <c r="E174" s="56">
        <v>0</v>
      </c>
      <c r="F174" s="56">
        <f t="shared" si="9"/>
        <v>1191.9680000000001</v>
      </c>
      <c r="G174" s="98" t="str">
        <f t="shared" si="10"/>
        <v xml:space="preserve">4th Floor </v>
      </c>
      <c r="H174" s="98"/>
      <c r="I174" s="49"/>
      <c r="N174" s="49"/>
    </row>
    <row r="175" spans="1:16" s="64" customFormat="1" x14ac:dyDescent="0.35">
      <c r="A175" s="98">
        <v>7</v>
      </c>
      <c r="B175" s="98"/>
      <c r="C175" s="56" t="s">
        <v>183</v>
      </c>
      <c r="D175" s="56">
        <f>(737.01+68.89)</f>
        <v>805.9</v>
      </c>
      <c r="E175" s="56">
        <v>0</v>
      </c>
      <c r="F175" s="56">
        <f t="shared" si="9"/>
        <v>1289.44</v>
      </c>
      <c r="G175" s="98" t="str">
        <f t="shared" si="10"/>
        <v xml:space="preserve">4th Floor </v>
      </c>
      <c r="H175" s="98"/>
      <c r="I175" s="49"/>
      <c r="N175" s="49"/>
    </row>
    <row r="176" spans="1:16" s="64" customFormat="1" x14ac:dyDescent="0.35">
      <c r="A176" s="91" t="s">
        <v>239</v>
      </c>
      <c r="B176" s="92"/>
      <c r="C176" s="92"/>
      <c r="D176" s="92"/>
      <c r="E176" s="92"/>
      <c r="F176" s="92"/>
      <c r="G176" s="92"/>
      <c r="H176" s="93"/>
      <c r="I176" s="49"/>
      <c r="P176" s="51"/>
    </row>
    <row r="177" spans="1:16" s="64" customFormat="1" x14ac:dyDescent="0.35">
      <c r="A177" s="89">
        <v>1</v>
      </c>
      <c r="B177" s="90"/>
      <c r="C177" s="56" t="s">
        <v>183</v>
      </c>
      <c r="D177" s="56">
        <f>(737.01+17.98)</f>
        <v>754.99</v>
      </c>
      <c r="E177" s="56">
        <v>0</v>
      </c>
      <c r="F177" s="56">
        <f t="shared" ref="F177:F182" si="11">D177*(($F$146)+1)+E177</f>
        <v>1207.9840000000002</v>
      </c>
      <c r="G177" s="89" t="str">
        <f>A176</f>
        <v>5th, 6th, 8th, 10th Floor</v>
      </c>
      <c r="H177" s="90"/>
      <c r="I177" s="49"/>
      <c r="N177" s="64" t="str">
        <f t="shared" ref="N177:N182" ca="1" si="12">O177&amp;""&amp;" &amp; "&amp;""&amp;P177</f>
        <v>501 &amp; 1001</v>
      </c>
      <c r="O177" s="64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10^ROW(INDIRECT("1:"&amp;LEN((LEFT(A176,SUM(LEN(A176)-LEN(SUBSTITUTE(A176,{"0","1","2"},""))))))))/10))*100+1</f>
        <v>501</v>
      </c>
      <c r="P177" s="64">
        <f ca="1">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",LEN(A176))),LEN(A176)))))))/10))*100+1</f>
        <v>1001</v>
      </c>
    </row>
    <row r="178" spans="1:16" s="64" customFormat="1" x14ac:dyDescent="0.35">
      <c r="A178" s="89">
        <v>2</v>
      </c>
      <c r="B178" s="90"/>
      <c r="C178" s="56" t="s">
        <v>144</v>
      </c>
      <c r="D178" s="56">
        <f>(907.32+20.99)</f>
        <v>928.31000000000006</v>
      </c>
      <c r="E178" s="56">
        <v>0</v>
      </c>
      <c r="F178" s="56">
        <f t="shared" si="11"/>
        <v>1485.2960000000003</v>
      </c>
      <c r="G178" s="89" t="str">
        <f t="shared" ref="G178:G183" si="13">G177</f>
        <v>5th, 6th, 8th, 10th Floor</v>
      </c>
      <c r="H178" s="90"/>
      <c r="I178" s="49"/>
      <c r="N178" s="64" t="str">
        <f t="shared" ca="1" si="12"/>
        <v>502 &amp; 1002</v>
      </c>
      <c r="O178" s="64">
        <f t="shared" ref="O178:P178" ca="1" si="14">O177+1</f>
        <v>502</v>
      </c>
      <c r="P178" s="64">
        <f t="shared" ca="1" si="14"/>
        <v>1002</v>
      </c>
    </row>
    <row r="179" spans="1:16" s="64" customFormat="1" x14ac:dyDescent="0.35">
      <c r="A179" s="89">
        <v>3</v>
      </c>
      <c r="B179" s="90"/>
      <c r="C179" s="56" t="s">
        <v>183</v>
      </c>
      <c r="D179" s="56">
        <f>(555.96+20.02)</f>
        <v>575.98</v>
      </c>
      <c r="E179" s="56">
        <v>0</v>
      </c>
      <c r="F179" s="56">
        <f t="shared" si="11"/>
        <v>921.5680000000001</v>
      </c>
      <c r="G179" s="89" t="str">
        <f t="shared" si="13"/>
        <v>5th, 6th, 8th, 10th Floor</v>
      </c>
      <c r="H179" s="90"/>
      <c r="I179" s="49"/>
      <c r="N179" s="64" t="str">
        <f t="shared" ca="1" si="12"/>
        <v>503 &amp; 1003</v>
      </c>
      <c r="O179" s="64">
        <f t="shared" ref="O179:P179" ca="1" si="15">O178+1</f>
        <v>503</v>
      </c>
      <c r="P179" s="64">
        <f t="shared" ca="1" si="15"/>
        <v>1003</v>
      </c>
    </row>
    <row r="180" spans="1:16" s="64" customFormat="1" x14ac:dyDescent="0.35">
      <c r="A180" s="89">
        <v>4</v>
      </c>
      <c r="B180" s="90"/>
      <c r="C180" s="56" t="s">
        <v>183</v>
      </c>
      <c r="D180" s="56">
        <f>(811.07+24)</f>
        <v>835.07</v>
      </c>
      <c r="E180" s="56">
        <v>0</v>
      </c>
      <c r="F180" s="56">
        <f t="shared" si="11"/>
        <v>1336.1120000000001</v>
      </c>
      <c r="G180" s="89" t="str">
        <f t="shared" si="13"/>
        <v>5th, 6th, 8th, 10th Floor</v>
      </c>
      <c r="H180" s="90"/>
      <c r="I180" s="49"/>
      <c r="N180" s="64" t="str">
        <f t="shared" ca="1" si="12"/>
        <v>504 &amp; 1004</v>
      </c>
      <c r="O180" s="64">
        <f t="shared" ref="O180:P180" ca="1" si="16">O179+1</f>
        <v>504</v>
      </c>
      <c r="P180" s="64">
        <f t="shared" ca="1" si="16"/>
        <v>1004</v>
      </c>
    </row>
    <row r="181" spans="1:16" s="64" customFormat="1" x14ac:dyDescent="0.35">
      <c r="A181" s="89">
        <v>5</v>
      </c>
      <c r="B181" s="90"/>
      <c r="C181" s="56" t="s">
        <v>183</v>
      </c>
      <c r="D181" s="56">
        <f>(582.01+24.97)</f>
        <v>606.98</v>
      </c>
      <c r="E181" s="56">
        <v>0</v>
      </c>
      <c r="F181" s="56">
        <f t="shared" si="11"/>
        <v>971.16800000000012</v>
      </c>
      <c r="G181" s="89" t="str">
        <f t="shared" si="13"/>
        <v>5th, 6th, 8th, 10th Floor</v>
      </c>
      <c r="H181" s="90"/>
      <c r="I181" s="49"/>
      <c r="N181" s="64" t="str">
        <f t="shared" ca="1" si="12"/>
        <v>505 &amp; 1005</v>
      </c>
      <c r="O181" s="64">
        <f t="shared" ref="O181:P181" ca="1" si="17">O180+1</f>
        <v>505</v>
      </c>
      <c r="P181" s="64">
        <f t="shared" ca="1" si="17"/>
        <v>1005</v>
      </c>
    </row>
    <row r="182" spans="1:16" s="64" customFormat="1" x14ac:dyDescent="0.35">
      <c r="A182" s="89">
        <v>6</v>
      </c>
      <c r="B182" s="90"/>
      <c r="C182" s="56" t="s">
        <v>183</v>
      </c>
      <c r="D182" s="56">
        <f>(723.99+20.99)</f>
        <v>744.98</v>
      </c>
      <c r="E182" s="56">
        <v>0</v>
      </c>
      <c r="F182" s="56">
        <f t="shared" si="11"/>
        <v>1191.9680000000001</v>
      </c>
      <c r="G182" s="89" t="str">
        <f t="shared" si="13"/>
        <v>5th, 6th, 8th, 10th Floor</v>
      </c>
      <c r="H182" s="90"/>
      <c r="I182" s="49"/>
      <c r="N182" s="64" t="str">
        <f t="shared" ca="1" si="12"/>
        <v>506 &amp; 1006</v>
      </c>
      <c r="O182" s="64">
        <f t="shared" ref="O182:P183" ca="1" si="18">O181+1</f>
        <v>506</v>
      </c>
      <c r="P182" s="64">
        <f t="shared" ca="1" si="18"/>
        <v>1006</v>
      </c>
    </row>
    <row r="183" spans="1:16" s="64" customFormat="1" x14ac:dyDescent="0.35">
      <c r="A183" s="89">
        <v>7</v>
      </c>
      <c r="B183" s="90"/>
      <c r="C183" s="56" t="s">
        <v>183</v>
      </c>
      <c r="D183" s="56">
        <f>(725.6+19.59)</f>
        <v>745.19</v>
      </c>
      <c r="E183" s="56">
        <v>0</v>
      </c>
      <c r="F183" s="56">
        <f t="shared" ref="F183" si="19">D183*(($F$146)+1)+E183</f>
        <v>1192.3040000000001</v>
      </c>
      <c r="G183" s="89" t="str">
        <f t="shared" si="13"/>
        <v>5th, 6th, 8th, 10th Floor</v>
      </c>
      <c r="H183" s="90"/>
      <c r="I183" s="49"/>
      <c r="N183" s="64" t="str">
        <f t="shared" ref="N183" ca="1" si="20">O183&amp;""&amp;" &amp; "&amp;""&amp;P183</f>
        <v>507 &amp; 1007</v>
      </c>
      <c r="O183" s="64">
        <f t="shared" ca="1" si="18"/>
        <v>507</v>
      </c>
      <c r="P183" s="64">
        <f t="shared" ca="1" si="18"/>
        <v>1007</v>
      </c>
    </row>
    <row r="184" spans="1:16" s="67" customFormat="1" x14ac:dyDescent="0.35">
      <c r="A184" s="91" t="s">
        <v>240</v>
      </c>
      <c r="B184" s="92"/>
      <c r="C184" s="92"/>
      <c r="D184" s="92"/>
      <c r="E184" s="92"/>
      <c r="F184" s="92"/>
      <c r="G184" s="92"/>
      <c r="H184" s="93"/>
      <c r="I184" s="49"/>
      <c r="P184" s="51"/>
    </row>
    <row r="185" spans="1:16" s="67" customFormat="1" x14ac:dyDescent="0.35">
      <c r="A185" s="89">
        <v>1</v>
      </c>
      <c r="B185" s="90"/>
      <c r="C185" s="66" t="s">
        <v>183</v>
      </c>
      <c r="D185" s="66">
        <v>834</v>
      </c>
      <c r="E185" s="66">
        <v>0</v>
      </c>
      <c r="F185" s="66">
        <f t="shared" ref="F185:F191" si="21">D185*(($F$146)+1)+E185</f>
        <v>1334.4</v>
      </c>
      <c r="G185" s="89" t="str">
        <f>A184</f>
        <v>12th Floor</v>
      </c>
      <c r="H185" s="90"/>
      <c r="I185" s="49"/>
      <c r="N185" s="67" t="str">
        <f t="shared" ref="N185:N191" ca="1" si="22">O185&amp;""&amp;" &amp; "&amp;""&amp;P185</f>
        <v>1201 &amp; 1201</v>
      </c>
      <c r="O185" s="67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10^ROW(INDIRECT("1:"&amp;LEN((LEFT(A184,SUM(LEN(A184)-LEN(SUBSTITUTE(A184,{"0","1","2"},""))))))))/10))*100+1</f>
        <v>1201</v>
      </c>
      <c r="P185" s="67">
        <f ca="1">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",LEN(A184))),LEN(A184)))))))/10))*100+1</f>
        <v>1201</v>
      </c>
    </row>
    <row r="186" spans="1:16" s="67" customFormat="1" x14ac:dyDescent="0.35">
      <c r="A186" s="89">
        <v>2</v>
      </c>
      <c r="B186" s="90"/>
      <c r="C186" s="66" t="s">
        <v>144</v>
      </c>
      <c r="D186" s="66">
        <v>1022</v>
      </c>
      <c r="E186" s="66">
        <v>0</v>
      </c>
      <c r="F186" s="66">
        <f t="shared" si="21"/>
        <v>1635.2</v>
      </c>
      <c r="G186" s="89" t="str">
        <f t="shared" ref="G186:G191" si="23">G185</f>
        <v>12th Floor</v>
      </c>
      <c r="H186" s="90"/>
      <c r="I186" s="49"/>
      <c r="N186" s="67" t="str">
        <f t="shared" ca="1" si="22"/>
        <v>1202 &amp; 1202</v>
      </c>
      <c r="O186" s="67">
        <f t="shared" ref="O186:P186" ca="1" si="24">O185+1</f>
        <v>1202</v>
      </c>
      <c r="P186" s="67">
        <f t="shared" ca="1" si="24"/>
        <v>1202</v>
      </c>
    </row>
    <row r="187" spans="1:16" s="67" customFormat="1" x14ac:dyDescent="0.35">
      <c r="A187" s="89">
        <v>3</v>
      </c>
      <c r="B187" s="90"/>
      <c r="C187" s="66" t="s">
        <v>183</v>
      </c>
      <c r="D187" s="66">
        <v>633</v>
      </c>
      <c r="E187" s="66">
        <v>0</v>
      </c>
      <c r="F187" s="66">
        <f t="shared" si="21"/>
        <v>1012.8000000000001</v>
      </c>
      <c r="G187" s="89" t="str">
        <f t="shared" si="23"/>
        <v>12th Floor</v>
      </c>
      <c r="H187" s="90"/>
      <c r="I187" s="49"/>
      <c r="N187" s="67" t="str">
        <f t="shared" ca="1" si="22"/>
        <v>1203 &amp; 1203</v>
      </c>
      <c r="O187" s="67">
        <f t="shared" ref="O187:P187" ca="1" si="25">O186+1</f>
        <v>1203</v>
      </c>
      <c r="P187" s="67">
        <f t="shared" ca="1" si="25"/>
        <v>1203</v>
      </c>
    </row>
    <row r="188" spans="1:16" s="67" customFormat="1" x14ac:dyDescent="0.35">
      <c r="A188" s="89">
        <v>4</v>
      </c>
      <c r="B188" s="90"/>
      <c r="C188" s="66" t="s">
        <v>183</v>
      </c>
      <c r="D188" s="66">
        <v>953</v>
      </c>
      <c r="E188" s="66">
        <v>0</v>
      </c>
      <c r="F188" s="66">
        <f t="shared" si="21"/>
        <v>1524.8000000000002</v>
      </c>
      <c r="G188" s="89" t="str">
        <f t="shared" si="23"/>
        <v>12th Floor</v>
      </c>
      <c r="H188" s="90"/>
      <c r="I188" s="49"/>
      <c r="N188" s="67" t="str">
        <f t="shared" ca="1" si="22"/>
        <v>1204 &amp; 1204</v>
      </c>
      <c r="O188" s="67">
        <f t="shared" ref="O188:P188" ca="1" si="26">O187+1</f>
        <v>1204</v>
      </c>
      <c r="P188" s="67">
        <f t="shared" ca="1" si="26"/>
        <v>1204</v>
      </c>
    </row>
    <row r="189" spans="1:16" s="67" customFormat="1" x14ac:dyDescent="0.35">
      <c r="A189" s="89">
        <v>5</v>
      </c>
      <c r="B189" s="90"/>
      <c r="C189" s="66" t="s">
        <v>183</v>
      </c>
      <c r="D189" s="66">
        <v>648</v>
      </c>
      <c r="E189" s="66">
        <v>0</v>
      </c>
      <c r="F189" s="66">
        <f t="shared" si="21"/>
        <v>1036.8</v>
      </c>
      <c r="G189" s="89" t="str">
        <f t="shared" si="23"/>
        <v>12th Floor</v>
      </c>
      <c r="H189" s="90"/>
      <c r="I189" s="49">
        <f>17421000/F189</f>
        <v>16802.662037037036</v>
      </c>
      <c r="N189" s="67" t="str">
        <f t="shared" ca="1" si="22"/>
        <v>1205 &amp; 1205</v>
      </c>
      <c r="O189" s="67">
        <f t="shared" ref="O189:P189" ca="1" si="27">O188+1</f>
        <v>1205</v>
      </c>
      <c r="P189" s="67">
        <f t="shared" ca="1" si="27"/>
        <v>1205</v>
      </c>
    </row>
    <row r="190" spans="1:16" s="67" customFormat="1" x14ac:dyDescent="0.35">
      <c r="A190" s="89">
        <v>6</v>
      </c>
      <c r="B190" s="90"/>
      <c r="C190" s="66" t="s">
        <v>183</v>
      </c>
      <c r="D190" s="66">
        <v>800</v>
      </c>
      <c r="E190" s="66">
        <v>0</v>
      </c>
      <c r="F190" s="66">
        <f t="shared" si="21"/>
        <v>1280</v>
      </c>
      <c r="G190" s="89" t="str">
        <f t="shared" si="23"/>
        <v>12th Floor</v>
      </c>
      <c r="H190" s="90"/>
      <c r="I190" s="49">
        <f>22710000/F190</f>
        <v>17742.1875</v>
      </c>
      <c r="N190" s="67" t="str">
        <f t="shared" ca="1" si="22"/>
        <v>1206 &amp; 1206</v>
      </c>
      <c r="O190" s="67">
        <f t="shared" ref="O190:P190" ca="1" si="28">O189+1</f>
        <v>1206</v>
      </c>
      <c r="P190" s="67">
        <f t="shared" ca="1" si="28"/>
        <v>1206</v>
      </c>
    </row>
    <row r="191" spans="1:16" s="67" customFormat="1" x14ac:dyDescent="0.35">
      <c r="A191" s="89">
        <v>7</v>
      </c>
      <c r="B191" s="90"/>
      <c r="C191" s="66" t="s">
        <v>183</v>
      </c>
      <c r="D191" s="66">
        <v>801</v>
      </c>
      <c r="E191" s="66">
        <v>0</v>
      </c>
      <c r="F191" s="66">
        <f t="shared" si="21"/>
        <v>1281.6000000000001</v>
      </c>
      <c r="G191" s="89" t="str">
        <f t="shared" si="23"/>
        <v>12th Floor</v>
      </c>
      <c r="H191" s="90"/>
      <c r="I191" s="49"/>
      <c r="N191" s="67" t="str">
        <f t="shared" ca="1" si="22"/>
        <v>1207 &amp; 1207</v>
      </c>
      <c r="O191" s="67">
        <f t="shared" ref="O191:P191" ca="1" si="29">O190+1</f>
        <v>1207</v>
      </c>
      <c r="P191" s="67">
        <f t="shared" ca="1" si="29"/>
        <v>1207</v>
      </c>
    </row>
    <row r="192" spans="1:16" s="64" customFormat="1" x14ac:dyDescent="0.35">
      <c r="A192" s="91" t="s">
        <v>224</v>
      </c>
      <c r="B192" s="92"/>
      <c r="C192" s="92"/>
      <c r="D192" s="92"/>
      <c r="E192" s="92"/>
      <c r="F192" s="92"/>
      <c r="G192" s="92"/>
      <c r="H192" s="93"/>
      <c r="I192" s="49"/>
      <c r="P192" s="51"/>
    </row>
    <row r="193" spans="1:16" s="64" customFormat="1" x14ac:dyDescent="0.35">
      <c r="A193" s="89">
        <v>1</v>
      </c>
      <c r="B193" s="90"/>
      <c r="C193" s="56" t="s">
        <v>183</v>
      </c>
      <c r="D193" s="56">
        <f>746.16+88.16</f>
        <v>834.31999999999994</v>
      </c>
      <c r="E193" s="56">
        <v>0</v>
      </c>
      <c r="F193" s="56">
        <f t="shared" ref="F193:F199" si="30">D193*(($F$146)+1)+E193</f>
        <v>1334.912</v>
      </c>
      <c r="G193" s="89" t="str">
        <f>A192</f>
        <v>7th, 9th, 11th, 13th, 15th &amp; 17th Floor (Part Refuge Area)</v>
      </c>
      <c r="H193" s="90"/>
      <c r="I193" s="49"/>
      <c r="N193" s="64" t="str">
        <f t="shared" ref="N193:N199" ca="1" si="31">O193&amp;""&amp;" &amp; "&amp;""&amp;P193</f>
        <v>701 &amp; 1701</v>
      </c>
      <c r="O193" s="64">
        <f ca="1">(SUMPRODUCT(MID(0&amp;(LEFT(A192,SUM(LEN(A192)-LEN(SUBSTITUTE(A192,{"0","1","2"},""))))), LARGE(INDEX(ISNUMBER(--MID((LEFT(A192,SUM(LEN(A192)-LEN(SUBSTITUTE(A192,{"0","1","2"},""))))), ROW(INDIRECT("1:"&amp;LEN((LEFT(A192,SUM(LEN(A192)-LEN(SUBSTITUTE(A192,{"0","1","2"},"")))))))), 1)) * ROW(INDIRECT("1:"&amp;LEN((LEFT(A192,SUM(LEN(A192)-LEN(SUBSTITUTE(A192,{"0","1","2"},"")))))))), 0), ROW(INDIRECT("1:"&amp;LEN((LEFT(A192,SUM(LEN(A192)-LEN(SUBSTITUTE(A192,{"0","1","2"},"")))))))))+1, 1) * 10^ROW(INDIRECT("1:"&amp;LEN((LEFT(A192,SUM(LEN(A192)-LEN(SUBSTITUTE(A192,{"0","1","2"},""))))))))/10))*100+1</f>
        <v>701</v>
      </c>
      <c r="P193" s="64">
        <f ca="1">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",LEN(A192))),LEN(A192)))))))/10))*100+1</f>
        <v>1701</v>
      </c>
    </row>
    <row r="194" spans="1:16" s="64" customFormat="1" x14ac:dyDescent="0.35">
      <c r="A194" s="89">
        <v>2</v>
      </c>
      <c r="B194" s="90"/>
      <c r="C194" s="56" t="s">
        <v>144</v>
      </c>
      <c r="D194" s="56">
        <f>924.2+131.64</f>
        <v>1055.8400000000001</v>
      </c>
      <c r="E194" s="56">
        <v>0</v>
      </c>
      <c r="F194" s="56">
        <f t="shared" si="30"/>
        <v>1689.3440000000003</v>
      </c>
      <c r="G194" s="89" t="str">
        <f t="shared" ref="G194:G199" si="32">G193</f>
        <v>7th, 9th, 11th, 13th, 15th &amp; 17th Floor (Part Refuge Area)</v>
      </c>
      <c r="H194" s="90"/>
      <c r="I194" s="49"/>
      <c r="N194" s="64" t="str">
        <f t="shared" ca="1" si="31"/>
        <v>702 &amp; 1702</v>
      </c>
      <c r="O194" s="64">
        <f t="shared" ref="O194:P194" ca="1" si="33">O193+1</f>
        <v>702</v>
      </c>
      <c r="P194" s="64">
        <f t="shared" ca="1" si="33"/>
        <v>1702</v>
      </c>
    </row>
    <row r="195" spans="1:16" s="64" customFormat="1" x14ac:dyDescent="0.35">
      <c r="A195" s="89">
        <v>3</v>
      </c>
      <c r="B195" s="90"/>
      <c r="C195" s="56" t="s">
        <v>183</v>
      </c>
      <c r="D195" s="56">
        <f>(562.24+71.15)</f>
        <v>633.39</v>
      </c>
      <c r="E195" s="56">
        <v>0</v>
      </c>
      <c r="F195" s="56">
        <f t="shared" si="30"/>
        <v>1013.424</v>
      </c>
      <c r="G195" s="89" t="str">
        <f t="shared" si="32"/>
        <v>7th, 9th, 11th, 13th, 15th &amp; 17th Floor (Part Refuge Area)</v>
      </c>
      <c r="H195" s="90"/>
      <c r="I195" s="49"/>
      <c r="N195" s="64" t="str">
        <f t="shared" ca="1" si="31"/>
        <v>703 &amp; 1703</v>
      </c>
      <c r="O195" s="64">
        <f t="shared" ref="O195:P195" ca="1" si="34">O194+1</f>
        <v>703</v>
      </c>
      <c r="P195" s="64">
        <f t="shared" ca="1" si="34"/>
        <v>1703</v>
      </c>
    </row>
    <row r="196" spans="1:16" s="64" customFormat="1" x14ac:dyDescent="0.35">
      <c r="A196" s="89">
        <v>4</v>
      </c>
      <c r="B196" s="90"/>
      <c r="C196" s="56" t="s">
        <v>183</v>
      </c>
      <c r="D196" s="56">
        <f>(825.06+127.55)</f>
        <v>952.6099999999999</v>
      </c>
      <c r="E196" s="56">
        <v>0</v>
      </c>
      <c r="F196" s="56">
        <f t="shared" si="30"/>
        <v>1524.1759999999999</v>
      </c>
      <c r="G196" s="89" t="str">
        <f t="shared" si="32"/>
        <v>7th, 9th, 11th, 13th, 15th &amp; 17th Floor (Part Refuge Area)</v>
      </c>
      <c r="H196" s="90"/>
      <c r="I196" s="49"/>
      <c r="N196" s="64" t="str">
        <f t="shared" ca="1" si="31"/>
        <v>704 &amp; 1704</v>
      </c>
      <c r="O196" s="64">
        <f t="shared" ref="O196:P196" ca="1" si="35">O195+1</f>
        <v>704</v>
      </c>
      <c r="P196" s="64">
        <f t="shared" ca="1" si="35"/>
        <v>1704</v>
      </c>
    </row>
    <row r="197" spans="1:16" s="64" customFormat="1" x14ac:dyDescent="0.35">
      <c r="A197" s="89">
        <v>5</v>
      </c>
      <c r="B197" s="90"/>
      <c r="C197" s="56" t="s">
        <v>183</v>
      </c>
      <c r="D197" s="56">
        <f>(585.99+40.69)</f>
        <v>626.68000000000006</v>
      </c>
      <c r="E197" s="56">
        <v>0</v>
      </c>
      <c r="F197" s="56">
        <f t="shared" si="30"/>
        <v>1002.6880000000001</v>
      </c>
      <c r="G197" s="89" t="str">
        <f t="shared" si="32"/>
        <v>7th, 9th, 11th, 13th, 15th &amp; 17th Floor (Part Refuge Area)</v>
      </c>
      <c r="H197" s="90"/>
      <c r="I197" s="49"/>
      <c r="N197" s="64" t="str">
        <f t="shared" ca="1" si="31"/>
        <v>705 &amp; 1705</v>
      </c>
      <c r="O197" s="64">
        <f t="shared" ref="O197:P197" ca="1" si="36">O196+1</f>
        <v>705</v>
      </c>
      <c r="P197" s="64">
        <f t="shared" ca="1" si="36"/>
        <v>1705</v>
      </c>
    </row>
    <row r="198" spans="1:16" s="64" customFormat="1" x14ac:dyDescent="0.35">
      <c r="A198" s="89">
        <v>6</v>
      </c>
      <c r="B198" s="90"/>
      <c r="C198" s="56" t="s">
        <v>183</v>
      </c>
      <c r="D198" s="56">
        <f>(723.99+20.99)</f>
        <v>744.98</v>
      </c>
      <c r="E198" s="56">
        <v>0</v>
      </c>
      <c r="F198" s="56">
        <f t="shared" si="30"/>
        <v>1191.9680000000001</v>
      </c>
      <c r="G198" s="89" t="str">
        <f t="shared" si="32"/>
        <v>7th, 9th, 11th, 13th, 15th &amp; 17th Floor (Part Refuge Area)</v>
      </c>
      <c r="H198" s="90"/>
      <c r="I198" s="49"/>
      <c r="N198" s="64" t="str">
        <f t="shared" ca="1" si="31"/>
        <v>706 &amp; 1706</v>
      </c>
      <c r="O198" s="64">
        <f t="shared" ref="O198:P198" ca="1" si="37">O197+1</f>
        <v>706</v>
      </c>
      <c r="P198" s="64">
        <f t="shared" ca="1" si="37"/>
        <v>1706</v>
      </c>
    </row>
    <row r="199" spans="1:16" s="64" customFormat="1" x14ac:dyDescent="0.35">
      <c r="A199" s="89">
        <v>7</v>
      </c>
      <c r="B199" s="90"/>
      <c r="C199" s="56" t="s">
        <v>183</v>
      </c>
      <c r="D199" s="56">
        <f>(735.4+66.52)</f>
        <v>801.92</v>
      </c>
      <c r="E199" s="56">
        <v>0</v>
      </c>
      <c r="F199" s="56">
        <f t="shared" si="30"/>
        <v>1283.0720000000001</v>
      </c>
      <c r="G199" s="89" t="str">
        <f t="shared" si="32"/>
        <v>7th, 9th, 11th, 13th, 15th &amp; 17th Floor (Part Refuge Area)</v>
      </c>
      <c r="H199" s="90"/>
      <c r="I199" s="49"/>
      <c r="N199" s="64" t="str">
        <f t="shared" ca="1" si="31"/>
        <v>707 &amp; 1707</v>
      </c>
      <c r="O199" s="64">
        <f t="shared" ref="O199:P199" ca="1" si="38">O198+1</f>
        <v>707</v>
      </c>
      <c r="P199" s="64">
        <f t="shared" ca="1" si="38"/>
        <v>1707</v>
      </c>
    </row>
    <row r="200" spans="1:16" s="64" customFormat="1" x14ac:dyDescent="0.35">
      <c r="A200" s="91" t="s">
        <v>225</v>
      </c>
      <c r="B200" s="92"/>
      <c r="C200" s="92"/>
      <c r="D200" s="92"/>
      <c r="E200" s="92"/>
      <c r="F200" s="92"/>
      <c r="G200" s="92"/>
      <c r="H200" s="93"/>
      <c r="I200" s="49"/>
      <c r="P200" s="51"/>
    </row>
    <row r="201" spans="1:16" s="64" customFormat="1" x14ac:dyDescent="0.35">
      <c r="A201" s="89">
        <v>1</v>
      </c>
      <c r="B201" s="90"/>
      <c r="C201" s="56" t="s">
        <v>183</v>
      </c>
      <c r="D201" s="56">
        <f>746.16+88.16</f>
        <v>834.31999999999994</v>
      </c>
      <c r="E201" s="56">
        <v>0</v>
      </c>
      <c r="F201" s="56">
        <f t="shared" ref="F201:F207" si="39">D201*(($F$146)+1)+E201</f>
        <v>1334.912</v>
      </c>
      <c r="G201" s="89" t="str">
        <f>A200</f>
        <v>14th Floor</v>
      </c>
      <c r="H201" s="90"/>
      <c r="I201" s="49"/>
      <c r="N201" s="64" t="str">
        <f t="shared" ref="N201:N207" ca="1" si="40">O201&amp;""&amp;" &amp; "&amp;""&amp;P201</f>
        <v>101 &amp; 1401</v>
      </c>
      <c r="O201" s="64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10^ROW(INDIRECT("1:"&amp;LEN((LEFT(A200,SUM(LEN(A200)-LEN(SUBSTITUTE(A200,{"0","1","2"},""))))))))/10))*100+1</f>
        <v>101</v>
      </c>
      <c r="P201" s="64">
        <f ca="1">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",LEN(A200))),LEN(A200)))))))/10))*100+1</f>
        <v>1401</v>
      </c>
    </row>
    <row r="202" spans="1:16" s="64" customFormat="1" x14ac:dyDescent="0.35">
      <c r="A202" s="89">
        <v>2</v>
      </c>
      <c r="B202" s="90"/>
      <c r="C202" s="56" t="s">
        <v>144</v>
      </c>
      <c r="D202" s="56">
        <f>(919.68+102.37)</f>
        <v>1022.05</v>
      </c>
      <c r="E202" s="56">
        <v>0</v>
      </c>
      <c r="F202" s="56">
        <f t="shared" si="39"/>
        <v>1635.28</v>
      </c>
      <c r="G202" s="89" t="str">
        <f t="shared" ref="G202:G207" si="41">G201</f>
        <v>14th Floor</v>
      </c>
      <c r="H202" s="90"/>
      <c r="I202" s="49"/>
      <c r="N202" s="64" t="str">
        <f t="shared" ca="1" si="40"/>
        <v>102 &amp; 1402</v>
      </c>
      <c r="O202" s="64">
        <f t="shared" ref="O202:P202" ca="1" si="42">O201+1</f>
        <v>102</v>
      </c>
      <c r="P202" s="64">
        <f t="shared" ca="1" si="42"/>
        <v>1402</v>
      </c>
    </row>
    <row r="203" spans="1:16" s="64" customFormat="1" x14ac:dyDescent="0.35">
      <c r="A203" s="89">
        <v>3</v>
      </c>
      <c r="B203" s="90"/>
      <c r="C203" s="56" t="s">
        <v>183</v>
      </c>
      <c r="D203" s="56">
        <f>(562.42+71.12)</f>
        <v>633.54</v>
      </c>
      <c r="E203" s="56">
        <v>0</v>
      </c>
      <c r="F203" s="56">
        <f t="shared" si="39"/>
        <v>1013.664</v>
      </c>
      <c r="G203" s="89" t="str">
        <f t="shared" si="41"/>
        <v>14th Floor</v>
      </c>
      <c r="H203" s="90"/>
      <c r="I203" s="49"/>
      <c r="N203" s="64" t="str">
        <f t="shared" ca="1" si="40"/>
        <v>103 &amp; 1403</v>
      </c>
      <c r="O203" s="64">
        <f t="shared" ref="O203:P203" ca="1" si="43">O202+1</f>
        <v>103</v>
      </c>
      <c r="P203" s="64">
        <f t="shared" ca="1" si="43"/>
        <v>1403</v>
      </c>
    </row>
    <row r="204" spans="1:16" s="64" customFormat="1" x14ac:dyDescent="0.35">
      <c r="A204" s="89">
        <v>4</v>
      </c>
      <c r="B204" s="90"/>
      <c r="C204" s="56" t="s">
        <v>183</v>
      </c>
      <c r="D204" s="56">
        <f>(825.06+127.55)</f>
        <v>952.6099999999999</v>
      </c>
      <c r="E204" s="56">
        <v>0</v>
      </c>
      <c r="F204" s="56">
        <f t="shared" si="39"/>
        <v>1524.1759999999999</v>
      </c>
      <c r="G204" s="89" t="str">
        <f t="shared" si="41"/>
        <v>14th Floor</v>
      </c>
      <c r="H204" s="90"/>
      <c r="I204" s="49"/>
      <c r="N204" s="64" t="str">
        <f t="shared" ca="1" si="40"/>
        <v>104 &amp; 1404</v>
      </c>
      <c r="O204" s="64">
        <f t="shared" ref="O204:P204" ca="1" si="44">O203+1</f>
        <v>104</v>
      </c>
      <c r="P204" s="64">
        <f t="shared" ca="1" si="44"/>
        <v>1404</v>
      </c>
    </row>
    <row r="205" spans="1:16" s="64" customFormat="1" x14ac:dyDescent="0.35">
      <c r="A205" s="89">
        <v>5</v>
      </c>
      <c r="B205" s="90"/>
      <c r="C205" s="56" t="s">
        <v>183</v>
      </c>
      <c r="D205" s="56">
        <f>(589.11+58.88)</f>
        <v>647.99</v>
      </c>
      <c r="E205" s="56">
        <v>0</v>
      </c>
      <c r="F205" s="56">
        <f t="shared" si="39"/>
        <v>1036.7840000000001</v>
      </c>
      <c r="G205" s="89" t="str">
        <f t="shared" si="41"/>
        <v>14th Floor</v>
      </c>
      <c r="H205" s="90"/>
      <c r="I205" s="49"/>
      <c r="N205" s="64" t="str">
        <f t="shared" ca="1" si="40"/>
        <v>105 &amp; 1405</v>
      </c>
      <c r="O205" s="64">
        <f t="shared" ref="O205:P205" ca="1" si="45">O204+1</f>
        <v>105</v>
      </c>
      <c r="P205" s="64">
        <f t="shared" ca="1" si="45"/>
        <v>1405</v>
      </c>
    </row>
    <row r="206" spans="1:16" s="64" customFormat="1" x14ac:dyDescent="0.35">
      <c r="A206" s="89">
        <v>6</v>
      </c>
      <c r="B206" s="90"/>
      <c r="C206" s="56" t="s">
        <v>183</v>
      </c>
      <c r="D206" s="56">
        <f>(732.68+67.81)</f>
        <v>800.49</v>
      </c>
      <c r="E206" s="56">
        <v>0</v>
      </c>
      <c r="F206" s="56">
        <f t="shared" si="39"/>
        <v>1280.7840000000001</v>
      </c>
      <c r="G206" s="89" t="str">
        <f t="shared" si="41"/>
        <v>14th Floor</v>
      </c>
      <c r="H206" s="90"/>
      <c r="I206" s="49"/>
      <c r="N206" s="64" t="str">
        <f t="shared" ca="1" si="40"/>
        <v>106 &amp; 1406</v>
      </c>
      <c r="O206" s="64">
        <f t="shared" ref="O206:P206" ca="1" si="46">O205+1</f>
        <v>106</v>
      </c>
      <c r="P206" s="64">
        <f t="shared" ca="1" si="46"/>
        <v>1406</v>
      </c>
    </row>
    <row r="207" spans="1:16" s="64" customFormat="1" x14ac:dyDescent="0.35">
      <c r="A207" s="89">
        <v>7</v>
      </c>
      <c r="B207" s="90"/>
      <c r="C207" s="56" t="s">
        <v>183</v>
      </c>
      <c r="D207" s="56">
        <f>(735.4+66.52)</f>
        <v>801.92</v>
      </c>
      <c r="E207" s="56">
        <v>0</v>
      </c>
      <c r="F207" s="56">
        <f t="shared" si="39"/>
        <v>1283.0720000000001</v>
      </c>
      <c r="G207" s="89" t="str">
        <f t="shared" si="41"/>
        <v>14th Floor</v>
      </c>
      <c r="H207" s="90"/>
      <c r="I207" s="49"/>
      <c r="N207" s="64" t="str">
        <f t="shared" ca="1" si="40"/>
        <v>107 &amp; 1407</v>
      </c>
      <c r="O207" s="64">
        <f t="shared" ref="O207:P207" ca="1" si="47">O206+1</f>
        <v>107</v>
      </c>
      <c r="P207" s="64">
        <f t="shared" ca="1" si="47"/>
        <v>1407</v>
      </c>
    </row>
    <row r="208" spans="1:16" s="64" customFormat="1" x14ac:dyDescent="0.35">
      <c r="A208" s="91" t="s">
        <v>226</v>
      </c>
      <c r="B208" s="92"/>
      <c r="C208" s="92"/>
      <c r="D208" s="92"/>
      <c r="E208" s="92"/>
      <c r="F208" s="92"/>
      <c r="G208" s="92"/>
      <c r="H208" s="93"/>
      <c r="I208" s="49"/>
      <c r="P208" s="51"/>
    </row>
    <row r="209" spans="1:16" s="64" customFormat="1" x14ac:dyDescent="0.35">
      <c r="A209" s="89">
        <v>1</v>
      </c>
      <c r="B209" s="90"/>
      <c r="C209" s="56" t="s">
        <v>183</v>
      </c>
      <c r="D209" s="56">
        <f>746.16+88.16</f>
        <v>834.31999999999994</v>
      </c>
      <c r="E209" s="56">
        <v>0</v>
      </c>
      <c r="F209" s="56">
        <f t="shared" ref="F209:F215" si="48">D209*(($F$146)+1)+E209</f>
        <v>1334.912</v>
      </c>
      <c r="G209" s="89" t="str">
        <f>A208</f>
        <v>16th Floor</v>
      </c>
      <c r="H209" s="90"/>
      <c r="I209" s="49"/>
      <c r="N209" s="64" t="str">
        <f t="shared" ref="N209:N215" ca="1" si="49">O209&amp;""&amp;" &amp; "&amp;""&amp;P209</f>
        <v>101 &amp; 1601</v>
      </c>
      <c r="O209" s="64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10^ROW(INDIRECT("1:"&amp;LEN((LEFT(A208,SUM(LEN(A208)-LEN(SUBSTITUTE(A208,{"0","1","2"},""))))))))/10))*100+1</f>
        <v>101</v>
      </c>
      <c r="P209" s="64">
        <f ca="1">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",LEN(A208))),LEN(A208)))))))/10))*100+1</f>
        <v>1601</v>
      </c>
    </row>
    <row r="210" spans="1:16" s="64" customFormat="1" x14ac:dyDescent="0.35">
      <c r="A210" s="89">
        <v>2</v>
      </c>
      <c r="B210" s="90"/>
      <c r="C210" s="56" t="s">
        <v>144</v>
      </c>
      <c r="D210" s="56">
        <f>924.2+131.64</f>
        <v>1055.8400000000001</v>
      </c>
      <c r="E210" s="56">
        <v>0</v>
      </c>
      <c r="F210" s="56">
        <f t="shared" si="48"/>
        <v>1689.3440000000003</v>
      </c>
      <c r="G210" s="89" t="str">
        <f t="shared" ref="G210:G215" si="50">G209</f>
        <v>16th Floor</v>
      </c>
      <c r="H210" s="90"/>
      <c r="I210" s="49"/>
      <c r="N210" s="64" t="str">
        <f t="shared" ca="1" si="49"/>
        <v>102 &amp; 1602</v>
      </c>
      <c r="O210" s="64">
        <f t="shared" ref="O210:P210" ca="1" si="51">O209+1</f>
        <v>102</v>
      </c>
      <c r="P210" s="64">
        <f t="shared" ca="1" si="51"/>
        <v>1602</v>
      </c>
    </row>
    <row r="211" spans="1:16" s="64" customFormat="1" x14ac:dyDescent="0.35">
      <c r="A211" s="89">
        <v>3</v>
      </c>
      <c r="B211" s="90"/>
      <c r="C211" s="56" t="s">
        <v>183</v>
      </c>
      <c r="D211" s="56">
        <f>562.42+71.15</f>
        <v>633.56999999999994</v>
      </c>
      <c r="E211" s="56">
        <v>0</v>
      </c>
      <c r="F211" s="56">
        <f t="shared" si="48"/>
        <v>1013.712</v>
      </c>
      <c r="G211" s="89" t="str">
        <f t="shared" si="50"/>
        <v>16th Floor</v>
      </c>
      <c r="H211" s="90"/>
      <c r="I211" s="49"/>
      <c r="N211" s="64" t="str">
        <f t="shared" ca="1" si="49"/>
        <v>103 &amp; 1603</v>
      </c>
      <c r="O211" s="64">
        <f t="shared" ref="O211:P211" ca="1" si="52">O210+1</f>
        <v>103</v>
      </c>
      <c r="P211" s="64">
        <f t="shared" ca="1" si="52"/>
        <v>1603</v>
      </c>
    </row>
    <row r="212" spans="1:16" s="64" customFormat="1" x14ac:dyDescent="0.35">
      <c r="A212" s="89">
        <v>4</v>
      </c>
      <c r="B212" s="90"/>
      <c r="C212" s="56" t="s">
        <v>183</v>
      </c>
      <c r="D212" s="56">
        <f>825.06+127.55</f>
        <v>952.6099999999999</v>
      </c>
      <c r="E212" s="56">
        <v>0</v>
      </c>
      <c r="F212" s="56">
        <f t="shared" si="48"/>
        <v>1524.1759999999999</v>
      </c>
      <c r="G212" s="89" t="str">
        <f t="shared" si="50"/>
        <v>16th Floor</v>
      </c>
      <c r="H212" s="90"/>
      <c r="I212" s="49"/>
      <c r="N212" s="64" t="str">
        <f t="shared" ca="1" si="49"/>
        <v>104 &amp; 1604</v>
      </c>
      <c r="O212" s="64">
        <f t="shared" ref="O212:P212" ca="1" si="53">O211+1</f>
        <v>104</v>
      </c>
      <c r="P212" s="64">
        <f t="shared" ca="1" si="53"/>
        <v>1604</v>
      </c>
    </row>
    <row r="213" spans="1:16" s="64" customFormat="1" x14ac:dyDescent="0.35">
      <c r="A213" s="89">
        <v>5</v>
      </c>
      <c r="B213" s="90"/>
      <c r="C213" s="56" t="s">
        <v>183</v>
      </c>
      <c r="D213" s="56">
        <f>589.11+71.8</f>
        <v>660.91</v>
      </c>
      <c r="E213" s="56">
        <v>0</v>
      </c>
      <c r="F213" s="56">
        <f t="shared" si="48"/>
        <v>1057.4559999999999</v>
      </c>
      <c r="G213" s="89" t="str">
        <f t="shared" si="50"/>
        <v>16th Floor</v>
      </c>
      <c r="H213" s="90"/>
      <c r="I213" s="49"/>
      <c r="N213" s="64" t="str">
        <f t="shared" ca="1" si="49"/>
        <v>105 &amp; 1605</v>
      </c>
      <c r="O213" s="64">
        <f t="shared" ref="O213:P213" ca="1" si="54">O212+1</f>
        <v>105</v>
      </c>
      <c r="P213" s="64">
        <f t="shared" ca="1" si="54"/>
        <v>1605</v>
      </c>
    </row>
    <row r="214" spans="1:16" s="64" customFormat="1" x14ac:dyDescent="0.35">
      <c r="A214" s="89">
        <v>6</v>
      </c>
      <c r="B214" s="90"/>
      <c r="C214" s="56" t="s">
        <v>183</v>
      </c>
      <c r="D214" s="56">
        <f>736.9+116.14</f>
        <v>853.04</v>
      </c>
      <c r="E214" s="56">
        <v>0</v>
      </c>
      <c r="F214" s="56">
        <f t="shared" si="48"/>
        <v>1364.864</v>
      </c>
      <c r="G214" s="89" t="str">
        <f t="shared" si="50"/>
        <v>16th Floor</v>
      </c>
      <c r="H214" s="90"/>
      <c r="I214" s="49"/>
      <c r="N214" s="64" t="str">
        <f t="shared" ca="1" si="49"/>
        <v>106 &amp; 1606</v>
      </c>
      <c r="O214" s="64">
        <f t="shared" ref="O214:P214" ca="1" si="55">O213+1</f>
        <v>106</v>
      </c>
      <c r="P214" s="64">
        <f t="shared" ca="1" si="55"/>
        <v>1606</v>
      </c>
    </row>
    <row r="215" spans="1:16" s="64" customFormat="1" x14ac:dyDescent="0.35">
      <c r="A215" s="89">
        <v>7</v>
      </c>
      <c r="B215" s="90"/>
      <c r="C215" s="56" t="s">
        <v>183</v>
      </c>
      <c r="D215" s="56">
        <f>735.4+66.52</f>
        <v>801.92</v>
      </c>
      <c r="E215" s="56">
        <v>0</v>
      </c>
      <c r="F215" s="56">
        <f t="shared" si="48"/>
        <v>1283.0720000000001</v>
      </c>
      <c r="G215" s="89" t="str">
        <f t="shared" si="50"/>
        <v>16th Floor</v>
      </c>
      <c r="H215" s="90"/>
      <c r="I215" s="49"/>
      <c r="N215" s="64" t="str">
        <f t="shared" ca="1" si="49"/>
        <v>107 &amp; 1607</v>
      </c>
      <c r="O215" s="64">
        <f t="shared" ref="O215:P215" ca="1" si="56">O214+1</f>
        <v>107</v>
      </c>
      <c r="P215" s="64">
        <f t="shared" ca="1" si="56"/>
        <v>1607</v>
      </c>
    </row>
    <row r="216" spans="1:16" s="64" customFormat="1" x14ac:dyDescent="0.35">
      <c r="A216" s="91" t="s">
        <v>227</v>
      </c>
      <c r="B216" s="92"/>
      <c r="C216" s="92"/>
      <c r="D216" s="92"/>
      <c r="E216" s="92"/>
      <c r="F216" s="92"/>
      <c r="G216" s="92"/>
      <c r="H216" s="93"/>
      <c r="I216" s="49"/>
      <c r="P216" s="51"/>
    </row>
    <row r="217" spans="1:16" s="64" customFormat="1" x14ac:dyDescent="0.35">
      <c r="A217" s="89">
        <v>1</v>
      </c>
      <c r="B217" s="90"/>
      <c r="C217" s="56" t="s">
        <v>183</v>
      </c>
      <c r="D217" s="56">
        <f>746.16+88.16</f>
        <v>834.31999999999994</v>
      </c>
      <c r="E217" s="56">
        <v>0</v>
      </c>
      <c r="F217" s="56">
        <f t="shared" ref="F217:F223" si="57">D217*(($F$146)+1)+E217</f>
        <v>1334.912</v>
      </c>
      <c r="G217" s="89" t="str">
        <f>A216</f>
        <v>18th Floor</v>
      </c>
      <c r="H217" s="90"/>
      <c r="I217" s="49"/>
      <c r="N217" s="64" t="str">
        <f t="shared" ref="N217:N223" ca="1" si="58">O217&amp;""&amp;" &amp; "&amp;""&amp;P217</f>
        <v>101 &amp; 1801</v>
      </c>
      <c r="O217" s="64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10^ROW(INDIRECT("1:"&amp;LEN((LEFT(A216,SUM(LEN(A216)-LEN(SUBSTITUTE(A216,{"0","1","2"},""))))))))/10))*100+1</f>
        <v>101</v>
      </c>
      <c r="P217" s="64">
        <f ca="1">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",LEN(A216))),LEN(A216)))))))/10))*100+1</f>
        <v>1801</v>
      </c>
    </row>
    <row r="218" spans="1:16" s="64" customFormat="1" x14ac:dyDescent="0.35">
      <c r="A218" s="89">
        <v>2</v>
      </c>
      <c r="B218" s="90"/>
      <c r="C218" s="56" t="s">
        <v>144</v>
      </c>
      <c r="D218" s="56">
        <f>924.2+131.64</f>
        <v>1055.8400000000001</v>
      </c>
      <c r="E218" s="56">
        <v>0</v>
      </c>
      <c r="F218" s="56">
        <f t="shared" si="57"/>
        <v>1689.3440000000003</v>
      </c>
      <c r="G218" s="89" t="str">
        <f t="shared" ref="G218:G223" si="59">G217</f>
        <v>18th Floor</v>
      </c>
      <c r="H218" s="90"/>
      <c r="I218" s="49"/>
      <c r="N218" s="64" t="str">
        <f t="shared" ca="1" si="58"/>
        <v>102 &amp; 1802</v>
      </c>
      <c r="O218" s="64">
        <f t="shared" ref="O218:P218" ca="1" si="60">O217+1</f>
        <v>102</v>
      </c>
      <c r="P218" s="64">
        <f t="shared" ca="1" si="60"/>
        <v>1802</v>
      </c>
    </row>
    <row r="219" spans="1:16" s="64" customFormat="1" x14ac:dyDescent="0.35">
      <c r="A219" s="89">
        <v>3</v>
      </c>
      <c r="B219" s="90"/>
      <c r="C219" s="56" t="s">
        <v>183</v>
      </c>
      <c r="D219" s="56">
        <f>562.42+78.36</f>
        <v>640.78</v>
      </c>
      <c r="E219" s="56">
        <v>0</v>
      </c>
      <c r="F219" s="56">
        <f t="shared" si="57"/>
        <v>1025.248</v>
      </c>
      <c r="G219" s="89" t="str">
        <f t="shared" si="59"/>
        <v>18th Floor</v>
      </c>
      <c r="H219" s="90"/>
      <c r="I219" s="49"/>
      <c r="N219" s="64" t="str">
        <f t="shared" ca="1" si="58"/>
        <v>103 &amp; 1803</v>
      </c>
      <c r="O219" s="64">
        <f t="shared" ref="O219:P219" ca="1" si="61">O218+1</f>
        <v>103</v>
      </c>
      <c r="P219" s="64">
        <f t="shared" ca="1" si="61"/>
        <v>1803</v>
      </c>
    </row>
    <row r="220" spans="1:16" s="64" customFormat="1" x14ac:dyDescent="0.35">
      <c r="A220" s="89">
        <v>4</v>
      </c>
      <c r="B220" s="90"/>
      <c r="C220" s="56" t="s">
        <v>183</v>
      </c>
      <c r="D220" s="56">
        <f>827.32+186</f>
        <v>1013.32</v>
      </c>
      <c r="E220" s="56">
        <v>0</v>
      </c>
      <c r="F220" s="56">
        <f t="shared" si="57"/>
        <v>1621.3120000000001</v>
      </c>
      <c r="G220" s="89" t="str">
        <f t="shared" si="59"/>
        <v>18th Floor</v>
      </c>
      <c r="H220" s="90"/>
      <c r="I220" s="49"/>
      <c r="N220" s="64" t="str">
        <f t="shared" ca="1" si="58"/>
        <v>104 &amp; 1804</v>
      </c>
      <c r="O220" s="64">
        <f t="shared" ref="O220:P220" ca="1" si="62">O219+1</f>
        <v>104</v>
      </c>
      <c r="P220" s="64">
        <f t="shared" ca="1" si="62"/>
        <v>1804</v>
      </c>
    </row>
    <row r="221" spans="1:16" s="64" customFormat="1" x14ac:dyDescent="0.35">
      <c r="A221" s="89">
        <v>5</v>
      </c>
      <c r="B221" s="90"/>
      <c r="C221" s="56" t="s">
        <v>183</v>
      </c>
      <c r="D221" s="56">
        <f>589.11+71.8</f>
        <v>660.91</v>
      </c>
      <c r="E221" s="56">
        <v>0</v>
      </c>
      <c r="F221" s="56">
        <f t="shared" si="57"/>
        <v>1057.4559999999999</v>
      </c>
      <c r="G221" s="89" t="str">
        <f t="shared" si="59"/>
        <v>18th Floor</v>
      </c>
      <c r="H221" s="90"/>
      <c r="I221" s="49"/>
      <c r="N221" s="64" t="str">
        <f t="shared" ca="1" si="58"/>
        <v>105 &amp; 1805</v>
      </c>
      <c r="O221" s="64">
        <f t="shared" ref="O221:P221" ca="1" si="63">O220+1</f>
        <v>105</v>
      </c>
      <c r="P221" s="64">
        <f t="shared" ca="1" si="63"/>
        <v>1805</v>
      </c>
    </row>
    <row r="222" spans="1:16" s="64" customFormat="1" x14ac:dyDescent="0.35">
      <c r="A222" s="89">
        <v>6</v>
      </c>
      <c r="B222" s="90"/>
      <c r="C222" s="56" t="s">
        <v>183</v>
      </c>
      <c r="D222" s="56">
        <f>736.9+116.14</f>
        <v>853.04</v>
      </c>
      <c r="E222" s="56">
        <v>0</v>
      </c>
      <c r="F222" s="56">
        <f t="shared" si="57"/>
        <v>1364.864</v>
      </c>
      <c r="G222" s="89" t="str">
        <f t="shared" si="59"/>
        <v>18th Floor</v>
      </c>
      <c r="H222" s="90"/>
      <c r="I222" s="49"/>
      <c r="N222" s="64" t="str">
        <f t="shared" ca="1" si="58"/>
        <v>106 &amp; 1806</v>
      </c>
      <c r="O222" s="64">
        <f t="shared" ref="O222:P222" ca="1" si="64">O221+1</f>
        <v>106</v>
      </c>
      <c r="P222" s="64">
        <f t="shared" ca="1" si="64"/>
        <v>1806</v>
      </c>
    </row>
    <row r="223" spans="1:16" s="64" customFormat="1" x14ac:dyDescent="0.35">
      <c r="A223" s="89">
        <v>7</v>
      </c>
      <c r="B223" s="90"/>
      <c r="C223" s="56" t="s">
        <v>183</v>
      </c>
      <c r="D223" s="56">
        <f>735.4+66.5</f>
        <v>801.9</v>
      </c>
      <c r="E223" s="56">
        <v>0</v>
      </c>
      <c r="F223" s="56">
        <f t="shared" si="57"/>
        <v>1283.04</v>
      </c>
      <c r="G223" s="89" t="str">
        <f t="shared" si="59"/>
        <v>18th Floor</v>
      </c>
      <c r="H223" s="90"/>
      <c r="I223" s="49"/>
      <c r="N223" s="64" t="str">
        <f t="shared" ca="1" si="58"/>
        <v>107 &amp; 1807</v>
      </c>
      <c r="O223" s="64">
        <f t="shared" ref="O223:P223" ca="1" si="65">O222+1</f>
        <v>107</v>
      </c>
      <c r="P223" s="64">
        <f t="shared" ca="1" si="65"/>
        <v>1807</v>
      </c>
    </row>
    <row r="224" spans="1:16" s="64" customFormat="1" x14ac:dyDescent="0.35">
      <c r="A224" s="91" t="s">
        <v>228</v>
      </c>
      <c r="B224" s="92"/>
      <c r="C224" s="92"/>
      <c r="D224" s="92"/>
      <c r="E224" s="92"/>
      <c r="F224" s="92"/>
      <c r="G224" s="92"/>
      <c r="H224" s="93"/>
      <c r="I224" s="49"/>
      <c r="P224" s="51"/>
    </row>
    <row r="225" spans="1:16" s="64" customFormat="1" x14ac:dyDescent="0.35">
      <c r="A225" s="89">
        <v>1</v>
      </c>
      <c r="B225" s="90"/>
      <c r="C225" s="56" t="s">
        <v>183</v>
      </c>
      <c r="D225" s="56">
        <f>746.16+88.16</f>
        <v>834.31999999999994</v>
      </c>
      <c r="E225" s="56">
        <v>0</v>
      </c>
      <c r="F225" s="56">
        <f t="shared" ref="F225:F231" si="66">D225*(($F$146)+1)+E225</f>
        <v>1334.912</v>
      </c>
      <c r="G225" s="89" t="str">
        <f>A224</f>
        <v>19th Floor (Part Refuge Area)</v>
      </c>
      <c r="H225" s="90"/>
      <c r="I225" s="49"/>
      <c r="N225" s="64" t="str">
        <f t="shared" ref="N225:N231" ca="1" si="67">O225&amp;""&amp;" &amp; "&amp;""&amp;P225</f>
        <v>101 &amp; 1901</v>
      </c>
      <c r="O225" s="64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10^ROW(INDIRECT("1:"&amp;LEN((LEFT(A224,SUM(LEN(A224)-LEN(SUBSTITUTE(A224,{"0","1","2"},""))))))))/10))*100+1</f>
        <v>101</v>
      </c>
      <c r="P225" s="64">
        <f ca="1">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",LEN(A224))),LEN(A224)))))))/10))*100+1</f>
        <v>1901</v>
      </c>
    </row>
    <row r="226" spans="1:16" s="64" customFormat="1" x14ac:dyDescent="0.35">
      <c r="A226" s="89">
        <v>2</v>
      </c>
      <c r="B226" s="90"/>
      <c r="C226" s="56" t="s">
        <v>144</v>
      </c>
      <c r="D226" s="56">
        <f>924.2+131.64</f>
        <v>1055.8400000000001</v>
      </c>
      <c r="E226" s="56">
        <v>0</v>
      </c>
      <c r="F226" s="56">
        <f t="shared" si="66"/>
        <v>1689.3440000000003</v>
      </c>
      <c r="G226" s="89" t="str">
        <f t="shared" ref="G226:G231" si="68">G225</f>
        <v>19th Floor (Part Refuge Area)</v>
      </c>
      <c r="H226" s="90"/>
      <c r="I226" s="49"/>
      <c r="N226" s="64" t="str">
        <f t="shared" ca="1" si="67"/>
        <v>102 &amp; 1902</v>
      </c>
      <c r="O226" s="64">
        <f t="shared" ref="O226:P226" ca="1" si="69">O225+1</f>
        <v>102</v>
      </c>
      <c r="P226" s="64">
        <f t="shared" ca="1" si="69"/>
        <v>1902</v>
      </c>
    </row>
    <row r="227" spans="1:16" s="64" customFormat="1" x14ac:dyDescent="0.35">
      <c r="A227" s="89">
        <v>3</v>
      </c>
      <c r="B227" s="90"/>
      <c r="C227" s="56" t="s">
        <v>183</v>
      </c>
      <c r="D227" s="56">
        <f>562.42+78.36</f>
        <v>640.78</v>
      </c>
      <c r="E227" s="56">
        <v>0</v>
      </c>
      <c r="F227" s="56">
        <f t="shared" si="66"/>
        <v>1025.248</v>
      </c>
      <c r="G227" s="89" t="str">
        <f t="shared" si="68"/>
        <v>19th Floor (Part Refuge Area)</v>
      </c>
      <c r="H227" s="90"/>
      <c r="I227" s="49"/>
      <c r="N227" s="64" t="str">
        <f t="shared" ca="1" si="67"/>
        <v>103 &amp; 1903</v>
      </c>
      <c r="O227" s="64">
        <f t="shared" ref="O227:P227" ca="1" si="70">O226+1</f>
        <v>103</v>
      </c>
      <c r="P227" s="64">
        <f t="shared" ca="1" si="70"/>
        <v>1903</v>
      </c>
    </row>
    <row r="228" spans="1:16" s="64" customFormat="1" x14ac:dyDescent="0.35">
      <c r="A228" s="89">
        <v>4</v>
      </c>
      <c r="B228" s="90"/>
      <c r="C228" s="56" t="s">
        <v>183</v>
      </c>
      <c r="D228" s="56">
        <f>827.32+186</f>
        <v>1013.32</v>
      </c>
      <c r="E228" s="56">
        <v>0</v>
      </c>
      <c r="F228" s="56">
        <f t="shared" si="66"/>
        <v>1621.3120000000001</v>
      </c>
      <c r="G228" s="89" t="str">
        <f t="shared" si="68"/>
        <v>19th Floor (Part Refuge Area)</v>
      </c>
      <c r="H228" s="90"/>
      <c r="I228" s="49"/>
      <c r="N228" s="64" t="str">
        <f t="shared" ca="1" si="67"/>
        <v>104 &amp; 1904</v>
      </c>
      <c r="O228" s="64">
        <f t="shared" ref="O228:P228" ca="1" si="71">O227+1</f>
        <v>104</v>
      </c>
      <c r="P228" s="64">
        <f t="shared" ca="1" si="71"/>
        <v>1904</v>
      </c>
    </row>
    <row r="229" spans="1:16" s="64" customFormat="1" x14ac:dyDescent="0.35">
      <c r="A229" s="89">
        <v>5</v>
      </c>
      <c r="B229" s="90"/>
      <c r="C229" s="56" t="s">
        <v>183</v>
      </c>
      <c r="D229" s="56">
        <f>589.11+58.88</f>
        <v>647.99</v>
      </c>
      <c r="E229" s="56">
        <v>0</v>
      </c>
      <c r="F229" s="56">
        <f t="shared" si="66"/>
        <v>1036.7840000000001</v>
      </c>
      <c r="G229" s="89" t="str">
        <f t="shared" si="68"/>
        <v>19th Floor (Part Refuge Area)</v>
      </c>
      <c r="H229" s="90"/>
      <c r="I229" s="49"/>
      <c r="N229" s="64" t="str">
        <f t="shared" ca="1" si="67"/>
        <v>105 &amp; 1905</v>
      </c>
      <c r="O229" s="64">
        <f t="shared" ref="O229:P229" ca="1" si="72">O228+1</f>
        <v>105</v>
      </c>
      <c r="P229" s="64">
        <f t="shared" ca="1" si="72"/>
        <v>1905</v>
      </c>
    </row>
    <row r="230" spans="1:16" s="64" customFormat="1" x14ac:dyDescent="0.35">
      <c r="A230" s="89">
        <v>6</v>
      </c>
      <c r="B230" s="90"/>
      <c r="C230" s="56" t="s">
        <v>183</v>
      </c>
      <c r="D230" s="56">
        <f>732.38+67.81</f>
        <v>800.19</v>
      </c>
      <c r="E230" s="56">
        <v>0</v>
      </c>
      <c r="F230" s="56">
        <f t="shared" si="66"/>
        <v>1280.3040000000001</v>
      </c>
      <c r="G230" s="89" t="str">
        <f t="shared" si="68"/>
        <v>19th Floor (Part Refuge Area)</v>
      </c>
      <c r="H230" s="90"/>
      <c r="I230" s="49"/>
      <c r="N230" s="64" t="str">
        <f t="shared" ca="1" si="67"/>
        <v>106 &amp; 1906</v>
      </c>
      <c r="O230" s="64">
        <f t="shared" ref="O230:P230" ca="1" si="73">O229+1</f>
        <v>106</v>
      </c>
      <c r="P230" s="64">
        <f t="shared" ca="1" si="73"/>
        <v>1906</v>
      </c>
    </row>
    <row r="231" spans="1:16" s="64" customFormat="1" x14ac:dyDescent="0.35">
      <c r="A231" s="89">
        <v>7</v>
      </c>
      <c r="B231" s="90"/>
      <c r="C231" s="56" t="s">
        <v>183</v>
      </c>
      <c r="D231" s="56">
        <f>735.4+66.52</f>
        <v>801.92</v>
      </c>
      <c r="E231" s="56">
        <v>0</v>
      </c>
      <c r="F231" s="56">
        <f t="shared" si="66"/>
        <v>1283.0720000000001</v>
      </c>
      <c r="G231" s="89" t="str">
        <f t="shared" si="68"/>
        <v>19th Floor (Part Refuge Area)</v>
      </c>
      <c r="H231" s="90"/>
      <c r="I231" s="49"/>
      <c r="N231" s="64" t="str">
        <f t="shared" ca="1" si="67"/>
        <v>107 &amp; 1907</v>
      </c>
      <c r="O231" s="64">
        <f t="shared" ref="O231:P231" ca="1" si="74">O230+1</f>
        <v>107</v>
      </c>
      <c r="P231" s="64">
        <f t="shared" ca="1" si="74"/>
        <v>1907</v>
      </c>
    </row>
    <row r="232" spans="1:16" s="64" customFormat="1" x14ac:dyDescent="0.35">
      <c r="A232" s="91" t="s">
        <v>229</v>
      </c>
      <c r="B232" s="92"/>
      <c r="C232" s="92"/>
      <c r="D232" s="92"/>
      <c r="E232" s="92"/>
      <c r="F232" s="92"/>
      <c r="G232" s="92"/>
      <c r="H232" s="93"/>
      <c r="I232" s="49"/>
      <c r="P232" s="51"/>
    </row>
    <row r="233" spans="1:16" s="64" customFormat="1" x14ac:dyDescent="0.35">
      <c r="A233" s="89">
        <v>1</v>
      </c>
      <c r="B233" s="90"/>
      <c r="C233" s="56" t="s">
        <v>183</v>
      </c>
      <c r="D233" s="56">
        <f>(746.16+88.16)</f>
        <v>834.31999999999994</v>
      </c>
      <c r="E233" s="56">
        <v>0</v>
      </c>
      <c r="F233" s="56">
        <f t="shared" ref="F233:F239" si="75">D233*(($F$146)+1)+E233</f>
        <v>1334.912</v>
      </c>
      <c r="G233" s="89" t="str">
        <f>A232</f>
        <v>20th Floor</v>
      </c>
      <c r="H233" s="90"/>
      <c r="I233" s="49"/>
      <c r="N233" s="64" t="str">
        <f t="shared" ref="N233:N239" ca="1" si="76">O233&amp;""&amp;" &amp; "&amp;""&amp;P233</f>
        <v>2001 &amp; 2001</v>
      </c>
      <c r="O233" s="64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10^ROW(INDIRECT("1:"&amp;LEN((LEFT(A232,SUM(LEN(A232)-LEN(SUBSTITUTE(A232,{"0","1","2"},""))))))))/10))*100+1</f>
        <v>2001</v>
      </c>
      <c r="P233" s="64">
        <f ca="1">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",LEN(A232))),LEN(A232)))))))/10))*100+1</f>
        <v>2001</v>
      </c>
    </row>
    <row r="234" spans="1:16" s="64" customFormat="1" x14ac:dyDescent="0.35">
      <c r="A234" s="89">
        <v>2</v>
      </c>
      <c r="B234" s="90"/>
      <c r="C234" s="56" t="s">
        <v>144</v>
      </c>
      <c r="D234" s="56">
        <f>(919.38+102.37)</f>
        <v>1021.75</v>
      </c>
      <c r="E234" s="56">
        <v>0</v>
      </c>
      <c r="F234" s="56">
        <f t="shared" si="75"/>
        <v>1634.8000000000002</v>
      </c>
      <c r="G234" s="89" t="str">
        <f t="shared" ref="G234:G239" si="77">G233</f>
        <v>20th Floor</v>
      </c>
      <c r="H234" s="90"/>
      <c r="I234" s="49"/>
      <c r="N234" s="64" t="str">
        <f t="shared" ca="1" si="76"/>
        <v>2002 &amp; 2002</v>
      </c>
      <c r="O234" s="64">
        <f t="shared" ref="O234:P234" ca="1" si="78">O233+1</f>
        <v>2002</v>
      </c>
      <c r="P234" s="64">
        <f t="shared" ca="1" si="78"/>
        <v>2002</v>
      </c>
    </row>
    <row r="235" spans="1:16" s="64" customFormat="1" x14ac:dyDescent="0.35">
      <c r="A235" s="89">
        <v>3</v>
      </c>
      <c r="B235" s="90"/>
      <c r="C235" s="56" t="s">
        <v>183</v>
      </c>
      <c r="D235" s="56">
        <f>566.08+91.39</f>
        <v>657.47</v>
      </c>
      <c r="E235" s="56">
        <v>0</v>
      </c>
      <c r="F235" s="56">
        <f t="shared" si="75"/>
        <v>1051.952</v>
      </c>
      <c r="G235" s="89" t="str">
        <f t="shared" si="77"/>
        <v>20th Floor</v>
      </c>
      <c r="H235" s="90"/>
      <c r="I235" s="49"/>
      <c r="N235" s="64" t="str">
        <f t="shared" ca="1" si="76"/>
        <v>2003 &amp; 2003</v>
      </c>
      <c r="O235" s="64">
        <f t="shared" ref="O235:P235" ca="1" si="79">O234+1</f>
        <v>2003</v>
      </c>
      <c r="P235" s="64">
        <f t="shared" ca="1" si="79"/>
        <v>2003</v>
      </c>
    </row>
    <row r="236" spans="1:16" s="64" customFormat="1" x14ac:dyDescent="0.35">
      <c r="A236" s="89">
        <v>4</v>
      </c>
      <c r="B236" s="90"/>
      <c r="C236" s="56" t="s">
        <v>183</v>
      </c>
      <c r="D236" s="56">
        <f>827.32+180.08</f>
        <v>1007.4000000000001</v>
      </c>
      <c r="E236" s="56">
        <v>0</v>
      </c>
      <c r="F236" s="56">
        <f t="shared" si="75"/>
        <v>1611.8400000000001</v>
      </c>
      <c r="G236" s="89" t="str">
        <f t="shared" si="77"/>
        <v>20th Floor</v>
      </c>
      <c r="H236" s="90"/>
      <c r="I236" s="49"/>
      <c r="N236" s="64" t="str">
        <f t="shared" ca="1" si="76"/>
        <v>2004 &amp; 2004</v>
      </c>
      <c r="O236" s="64">
        <f t="shared" ref="O236:P236" ca="1" si="80">O235+1</f>
        <v>2004</v>
      </c>
      <c r="P236" s="64">
        <f t="shared" ca="1" si="80"/>
        <v>2004</v>
      </c>
    </row>
    <row r="237" spans="1:16" s="64" customFormat="1" x14ac:dyDescent="0.35">
      <c r="A237" s="89">
        <v>5</v>
      </c>
      <c r="B237" s="90"/>
      <c r="C237" s="56" t="s">
        <v>183</v>
      </c>
      <c r="D237" s="56">
        <f>589.11+58.88</f>
        <v>647.99</v>
      </c>
      <c r="E237" s="56">
        <v>0</v>
      </c>
      <c r="F237" s="56">
        <f t="shared" si="75"/>
        <v>1036.7840000000001</v>
      </c>
      <c r="G237" s="89" t="str">
        <f t="shared" si="77"/>
        <v>20th Floor</v>
      </c>
      <c r="H237" s="90"/>
      <c r="I237" s="49"/>
      <c r="N237" s="64" t="str">
        <f t="shared" ca="1" si="76"/>
        <v>2005 &amp; 2005</v>
      </c>
      <c r="O237" s="64">
        <f t="shared" ref="O237:P237" ca="1" si="81">O236+1</f>
        <v>2005</v>
      </c>
      <c r="P237" s="64">
        <f t="shared" ca="1" si="81"/>
        <v>2005</v>
      </c>
    </row>
    <row r="238" spans="1:16" s="64" customFormat="1" x14ac:dyDescent="0.35">
      <c r="A238" s="89">
        <v>6</v>
      </c>
      <c r="B238" s="90"/>
      <c r="C238" s="56" t="s">
        <v>183</v>
      </c>
      <c r="D238" s="56">
        <f>732.68+67.81</f>
        <v>800.49</v>
      </c>
      <c r="E238" s="56">
        <v>0</v>
      </c>
      <c r="F238" s="56">
        <f t="shared" si="75"/>
        <v>1280.7840000000001</v>
      </c>
      <c r="G238" s="89" t="str">
        <f t="shared" si="77"/>
        <v>20th Floor</v>
      </c>
      <c r="H238" s="90"/>
      <c r="I238" s="49"/>
      <c r="N238" s="64" t="str">
        <f t="shared" ca="1" si="76"/>
        <v>2006 &amp; 2006</v>
      </c>
      <c r="O238" s="64">
        <f t="shared" ref="O238:P238" ca="1" si="82">O237+1</f>
        <v>2006</v>
      </c>
      <c r="P238" s="64">
        <f t="shared" ca="1" si="82"/>
        <v>2006</v>
      </c>
    </row>
    <row r="239" spans="1:16" s="64" customFormat="1" x14ac:dyDescent="0.35">
      <c r="A239" s="89">
        <v>7</v>
      </c>
      <c r="B239" s="90"/>
      <c r="C239" s="56" t="s">
        <v>183</v>
      </c>
      <c r="D239" s="65">
        <f>735.4+66.52</f>
        <v>801.92</v>
      </c>
      <c r="E239" s="56">
        <v>0</v>
      </c>
      <c r="F239" s="56">
        <f t="shared" si="75"/>
        <v>1283.0720000000001</v>
      </c>
      <c r="G239" s="89" t="str">
        <f t="shared" si="77"/>
        <v>20th Floor</v>
      </c>
      <c r="H239" s="90"/>
      <c r="I239" s="49"/>
      <c r="N239" s="64" t="str">
        <f t="shared" ca="1" si="76"/>
        <v>2007 &amp; 2007</v>
      </c>
      <c r="O239" s="64">
        <f t="shared" ref="O239:P239" ca="1" si="83">O238+1</f>
        <v>2007</v>
      </c>
      <c r="P239" s="64">
        <f t="shared" ca="1" si="83"/>
        <v>2007</v>
      </c>
    </row>
    <row r="240" spans="1:16" s="64" customFormat="1" x14ac:dyDescent="0.35">
      <c r="A240" s="91" t="s">
        <v>230</v>
      </c>
      <c r="B240" s="92"/>
      <c r="C240" s="92"/>
      <c r="D240" s="92"/>
      <c r="E240" s="92"/>
      <c r="F240" s="92"/>
      <c r="G240" s="92"/>
      <c r="H240" s="93"/>
      <c r="I240" s="49"/>
      <c r="P240" s="51"/>
    </row>
    <row r="241" spans="1:16" s="64" customFormat="1" x14ac:dyDescent="0.35">
      <c r="A241" s="89">
        <v>1</v>
      </c>
      <c r="B241" s="90"/>
      <c r="C241" s="56" t="s">
        <v>183</v>
      </c>
      <c r="D241" s="65">
        <f>(746.16+88.16)</f>
        <v>834.31999999999994</v>
      </c>
      <c r="E241" s="56">
        <v>0</v>
      </c>
      <c r="F241" s="56">
        <f t="shared" ref="F241:F247" si="84">D241*(($F$146)+1)+E241</f>
        <v>1334.912</v>
      </c>
      <c r="G241" s="89" t="str">
        <f>A240</f>
        <v>21st Floor</v>
      </c>
      <c r="H241" s="90"/>
      <c r="I241" s="49"/>
      <c r="N241" s="64" t="str">
        <f t="shared" ref="N241:N247" ca="1" si="85">O241&amp;""&amp;" &amp; "&amp;""&amp;P241</f>
        <v>2101 &amp; 2101</v>
      </c>
      <c r="O241" s="64">
        <f ca="1">(SUMPRODUCT(MID(0&amp;(LEFT(A240,SUM(LEN(A240)-LEN(SUBSTITUTE(A240,{"0","1","2"},""))))), LARGE(INDEX(ISNUMBER(--MID((LEFT(A240,SUM(LEN(A240)-LEN(SUBSTITUTE(A240,{"0","1","2"},""))))), ROW(INDIRECT("1:"&amp;LEN((LEFT(A240,SUM(LEN(A240)-LEN(SUBSTITUTE(A240,{"0","1","2"},"")))))))), 1)) * ROW(INDIRECT("1:"&amp;LEN((LEFT(A240,SUM(LEN(A240)-LEN(SUBSTITUTE(A240,{"0","1","2"},"")))))))), 0), ROW(INDIRECT("1:"&amp;LEN((LEFT(A240,SUM(LEN(A240)-LEN(SUBSTITUTE(A240,{"0","1","2"},"")))))))))+1, 1) * 10^ROW(INDIRECT("1:"&amp;LEN((LEFT(A240,SUM(LEN(A240)-LEN(SUBSTITUTE(A240,{"0","1","2"},""))))))))/10))*100+1</f>
        <v>2101</v>
      </c>
      <c r="P241" s="64">
        <f ca="1">(SUMPRODUCT(MID(0&amp;(--TRIM(RIGHT(SUBSTITUTE(LEFT(A240,_xlfn.AGGREGATE(16,6,FIND({0,1,2,3,4,5,6,7,8,9},A240,ROW(INDIRECT("1:"&amp;LEN(A240)))),1))," ",REPT(" ",LEN(A240))),LEN(A240)))), LARGE(INDEX(ISNUMBER(--MID((--TRIM(RIGHT(SUBSTITUTE(LEFT(A240,_xlfn.AGGREGATE(16,6,FIND({0,1,2,3,4,5,6,7,8,9},A240,ROW(INDIRECT("1:"&amp;LEN(A240)))),1))," ",REPT(" ",LEN(A240))),LEN(A240)))), ROW(INDIRECT("1:"&amp;LEN((--TRIM(RIGHT(SUBSTITUTE(LEFT(A240,_xlfn.AGGREGATE(16,6,FIND({0,1,2,3,4,5,6,7,8,9},A240,ROW(INDIRECT("1:"&amp;LEN(A240)))),1))," ",REPT(" ",LEN(A240))),LEN(A240))))))), 1)) * ROW(INDIRECT("1:"&amp;LEN((--TRIM(RIGHT(SUBSTITUTE(LEFT(A240,_xlfn.AGGREGATE(16,6,FIND({0,1,2,3,4,5,6,7,8,9},A240,ROW(INDIRECT("1:"&amp;LEN(A240)))),1))," ",REPT(" ",LEN(A240))),LEN(A240))))))), 0), ROW(INDIRECT("1:"&amp;LEN((--TRIM(RIGHT(SUBSTITUTE(LEFT(A240,_xlfn.AGGREGATE(16,6,FIND({0,1,2,3,4,5,6,7,8,9},A240,ROW(INDIRECT("1:"&amp;LEN(A240)))),1))," ",REPT(" ",LEN(A240))),LEN(A240))))))))+1, 1) * 10^ROW(INDIRECT("1:"&amp;LEN((--TRIM(RIGHT(SUBSTITUTE(LEFT(A240,_xlfn.AGGREGATE(16,6,FIND({0,1,2,3,4,5,6,7,8,9},A240,ROW(INDIRECT("1:"&amp;LEN(A240)))),1))," ",REPT(" ",LEN(A240))),LEN(A240)))))))/10))*100+1</f>
        <v>2101</v>
      </c>
    </row>
    <row r="242" spans="1:16" s="64" customFormat="1" x14ac:dyDescent="0.35">
      <c r="A242" s="89">
        <v>2</v>
      </c>
      <c r="B242" s="90"/>
      <c r="C242" s="56" t="s">
        <v>144</v>
      </c>
      <c r="D242" s="65">
        <f>(919.68+102.37)</f>
        <v>1022.05</v>
      </c>
      <c r="E242" s="56">
        <v>0</v>
      </c>
      <c r="F242" s="56">
        <f t="shared" si="84"/>
        <v>1635.28</v>
      </c>
      <c r="G242" s="89" t="str">
        <f t="shared" ref="G242:G247" si="86">G241</f>
        <v>21st Floor</v>
      </c>
      <c r="H242" s="90"/>
      <c r="I242" s="49"/>
      <c r="N242" s="64" t="str">
        <f t="shared" ca="1" si="85"/>
        <v>2102 &amp; 2102</v>
      </c>
      <c r="O242" s="64">
        <f t="shared" ref="O242:P242" ca="1" si="87">O241+1</f>
        <v>2102</v>
      </c>
      <c r="P242" s="64">
        <f t="shared" ca="1" si="87"/>
        <v>2102</v>
      </c>
    </row>
    <row r="243" spans="1:16" s="64" customFormat="1" x14ac:dyDescent="0.35">
      <c r="A243" s="89">
        <v>3</v>
      </c>
      <c r="B243" s="90"/>
      <c r="C243" s="56" t="s">
        <v>183</v>
      </c>
      <c r="D243" s="65">
        <f>562.42+71.15</f>
        <v>633.56999999999994</v>
      </c>
      <c r="E243" s="56">
        <v>0</v>
      </c>
      <c r="F243" s="56">
        <f t="shared" si="84"/>
        <v>1013.712</v>
      </c>
      <c r="G243" s="89" t="str">
        <f t="shared" si="86"/>
        <v>21st Floor</v>
      </c>
      <c r="H243" s="90"/>
      <c r="I243" s="49"/>
      <c r="N243" s="64" t="str">
        <f t="shared" ca="1" si="85"/>
        <v>2103 &amp; 2103</v>
      </c>
      <c r="O243" s="64">
        <f t="shared" ref="O243:P243" ca="1" si="88">O242+1</f>
        <v>2103</v>
      </c>
      <c r="P243" s="64">
        <f t="shared" ca="1" si="88"/>
        <v>2103</v>
      </c>
    </row>
    <row r="244" spans="1:16" s="64" customFormat="1" x14ac:dyDescent="0.35">
      <c r="A244" s="89">
        <v>4</v>
      </c>
      <c r="B244" s="90"/>
      <c r="C244" s="56" t="s">
        <v>183</v>
      </c>
      <c r="D244" s="65">
        <f>827.32+126.69</f>
        <v>954.01</v>
      </c>
      <c r="E244" s="56">
        <v>0</v>
      </c>
      <c r="F244" s="56">
        <f t="shared" si="84"/>
        <v>1526.4160000000002</v>
      </c>
      <c r="G244" s="89" t="str">
        <f t="shared" si="86"/>
        <v>21st Floor</v>
      </c>
      <c r="H244" s="90"/>
      <c r="I244" s="49"/>
      <c r="N244" s="64" t="str">
        <f t="shared" ca="1" si="85"/>
        <v>2104 &amp; 2104</v>
      </c>
      <c r="O244" s="64">
        <f t="shared" ref="O244:P244" ca="1" si="89">O243+1</f>
        <v>2104</v>
      </c>
      <c r="P244" s="64">
        <f t="shared" ca="1" si="89"/>
        <v>2104</v>
      </c>
    </row>
    <row r="245" spans="1:16" s="64" customFormat="1" x14ac:dyDescent="0.35">
      <c r="A245" s="89">
        <v>5</v>
      </c>
      <c r="B245" s="90"/>
      <c r="C245" s="56" t="s">
        <v>183</v>
      </c>
      <c r="D245" s="65">
        <f>589.11+58.88</f>
        <v>647.99</v>
      </c>
      <c r="E245" s="56">
        <v>0</v>
      </c>
      <c r="F245" s="56">
        <f t="shared" si="84"/>
        <v>1036.7840000000001</v>
      </c>
      <c r="G245" s="89" t="str">
        <f t="shared" si="86"/>
        <v>21st Floor</v>
      </c>
      <c r="H245" s="90"/>
      <c r="I245" s="49"/>
      <c r="N245" s="64" t="str">
        <f t="shared" ca="1" si="85"/>
        <v>2105 &amp; 2105</v>
      </c>
      <c r="O245" s="64">
        <f t="shared" ref="O245:P245" ca="1" si="90">O244+1</f>
        <v>2105</v>
      </c>
      <c r="P245" s="64">
        <f t="shared" ca="1" si="90"/>
        <v>2105</v>
      </c>
    </row>
    <row r="246" spans="1:16" s="64" customFormat="1" x14ac:dyDescent="0.35">
      <c r="A246" s="89">
        <v>6</v>
      </c>
      <c r="B246" s="90"/>
      <c r="C246" s="56" t="s">
        <v>183</v>
      </c>
      <c r="D246" s="65">
        <f>732.68+67.81</f>
        <v>800.49</v>
      </c>
      <c r="E246" s="56">
        <v>0</v>
      </c>
      <c r="F246" s="56">
        <f t="shared" si="84"/>
        <v>1280.7840000000001</v>
      </c>
      <c r="G246" s="89" t="str">
        <f t="shared" si="86"/>
        <v>21st Floor</v>
      </c>
      <c r="H246" s="90"/>
      <c r="I246" s="49"/>
      <c r="N246" s="64" t="str">
        <f t="shared" ca="1" si="85"/>
        <v>2106 &amp; 2106</v>
      </c>
      <c r="O246" s="64">
        <f t="shared" ref="O246:P246" ca="1" si="91">O245+1</f>
        <v>2106</v>
      </c>
      <c r="P246" s="64">
        <f t="shared" ca="1" si="91"/>
        <v>2106</v>
      </c>
    </row>
    <row r="247" spans="1:16" s="64" customFormat="1" x14ac:dyDescent="0.35">
      <c r="A247" s="89">
        <v>7</v>
      </c>
      <c r="B247" s="90"/>
      <c r="C247" s="56" t="s">
        <v>183</v>
      </c>
      <c r="D247" s="65">
        <f>735.4+66.52</f>
        <v>801.92</v>
      </c>
      <c r="E247" s="56">
        <v>0</v>
      </c>
      <c r="F247" s="56">
        <f t="shared" si="84"/>
        <v>1283.0720000000001</v>
      </c>
      <c r="G247" s="89" t="str">
        <f t="shared" si="86"/>
        <v>21st Floor</v>
      </c>
      <c r="H247" s="90"/>
      <c r="I247" s="49"/>
      <c r="N247" s="64" t="str">
        <f t="shared" ca="1" si="85"/>
        <v>2107 &amp; 2107</v>
      </c>
      <c r="O247" s="64">
        <f t="shared" ref="O247:P247" ca="1" si="92">O246+1</f>
        <v>2107</v>
      </c>
      <c r="P247" s="64">
        <f t="shared" ca="1" si="92"/>
        <v>2107</v>
      </c>
    </row>
    <row r="248" spans="1:16" x14ac:dyDescent="0.35">
      <c r="A248" s="100" t="s">
        <v>187</v>
      </c>
      <c r="B248" s="100"/>
      <c r="C248" s="100"/>
      <c r="D248" s="100"/>
      <c r="E248" s="100"/>
      <c r="F248" s="100"/>
      <c r="G248" s="100"/>
      <c r="H248" s="100"/>
    </row>
    <row r="249" spans="1:16" s="47" customFormat="1" x14ac:dyDescent="0.35">
      <c r="A249" s="100" t="s">
        <v>213</v>
      </c>
      <c r="B249" s="100"/>
      <c r="C249" s="100"/>
      <c r="D249" s="100"/>
      <c r="E249" s="100"/>
      <c r="F249" s="100"/>
      <c r="G249" s="100"/>
      <c r="H249" s="100"/>
    </row>
    <row r="250" spans="1:16" s="64" customFormat="1" x14ac:dyDescent="0.35">
      <c r="A250" s="101" t="s">
        <v>215</v>
      </c>
      <c r="B250" s="101"/>
      <c r="C250" s="101"/>
      <c r="D250" s="101"/>
      <c r="E250" s="101"/>
      <c r="F250" s="101"/>
      <c r="G250" s="101"/>
      <c r="H250" s="101"/>
      <c r="I250" s="49"/>
      <c r="L250" s="102"/>
      <c r="M250" s="102"/>
    </row>
    <row r="251" spans="1:16" s="64" customFormat="1" x14ac:dyDescent="0.35">
      <c r="A251" s="98">
        <v>5</v>
      </c>
      <c r="B251" s="98"/>
      <c r="C251" s="56" t="s">
        <v>188</v>
      </c>
      <c r="D251" s="56">
        <f>34.49*10.764</f>
        <v>371.25036</v>
      </c>
      <c r="E251" s="56">
        <v>0</v>
      </c>
      <c r="F251" s="56">
        <f>D251*(($F$146)+1)+E251</f>
        <v>594.00057600000002</v>
      </c>
      <c r="G251" s="98" t="str">
        <f>A250</f>
        <v>Ground Floor for Residential &amp; Parking</v>
      </c>
      <c r="H251" s="98"/>
      <c r="I251" s="49"/>
      <c r="N251" s="49"/>
    </row>
    <row r="252" spans="1:16" s="64" customFormat="1" x14ac:dyDescent="0.35">
      <c r="A252" s="98">
        <f>A251+1</f>
        <v>6</v>
      </c>
      <c r="B252" s="98"/>
      <c r="C252" s="56" t="s">
        <v>188</v>
      </c>
      <c r="D252" s="56">
        <f>48.84*10.764</f>
        <v>525.71375999999998</v>
      </c>
      <c r="E252" s="56">
        <v>0</v>
      </c>
      <c r="F252" s="56">
        <f>D252*(($F$146)+1)+E252</f>
        <v>841.14201600000001</v>
      </c>
      <c r="G252" s="98" t="str">
        <f t="shared" ref="G252:G254" si="93">G251</f>
        <v>Ground Floor for Residential &amp; Parking</v>
      </c>
      <c r="H252" s="98"/>
      <c r="I252" s="49"/>
      <c r="N252" s="49"/>
    </row>
    <row r="253" spans="1:16" s="64" customFormat="1" x14ac:dyDescent="0.35">
      <c r="A253" s="98">
        <f>A252+1</f>
        <v>7</v>
      </c>
      <c r="B253" s="98"/>
      <c r="C253" s="56" t="s">
        <v>188</v>
      </c>
      <c r="D253" s="56">
        <f>37.17*10.764</f>
        <v>400.09787999999998</v>
      </c>
      <c r="E253" s="56">
        <v>0</v>
      </c>
      <c r="F253" s="56">
        <f t="shared" ref="F253:F254" si="94">D253*(($F$146)+1)+E253</f>
        <v>640.15660800000001</v>
      </c>
      <c r="G253" s="98" t="str">
        <f t="shared" si="93"/>
        <v>Ground Floor for Residential &amp; Parking</v>
      </c>
      <c r="H253" s="98"/>
      <c r="I253" s="49"/>
      <c r="N253" s="49"/>
    </row>
    <row r="254" spans="1:16" s="64" customFormat="1" x14ac:dyDescent="0.35">
      <c r="A254" s="98">
        <f t="shared" ref="A254" si="95">A253+1</f>
        <v>8</v>
      </c>
      <c r="B254" s="98"/>
      <c r="C254" s="56" t="s">
        <v>188</v>
      </c>
      <c r="D254" s="56">
        <f>72.22*10.764</f>
        <v>777.37607999999989</v>
      </c>
      <c r="E254" s="56">
        <v>0</v>
      </c>
      <c r="F254" s="56">
        <f t="shared" si="94"/>
        <v>1243.8017279999999</v>
      </c>
      <c r="G254" s="98" t="str">
        <f t="shared" si="93"/>
        <v>Ground Floor for Residential &amp; Parking</v>
      </c>
      <c r="H254" s="98"/>
      <c r="I254" s="49"/>
      <c r="N254" s="49"/>
    </row>
    <row r="255" spans="1:16" s="64" customFormat="1" x14ac:dyDescent="0.35">
      <c r="A255" s="99" t="s">
        <v>182</v>
      </c>
      <c r="B255" s="99"/>
      <c r="C255" s="99"/>
      <c r="D255" s="99"/>
      <c r="E255" s="99"/>
      <c r="F255" s="99"/>
      <c r="G255" s="99"/>
      <c r="H255" s="99"/>
      <c r="I255" s="49"/>
      <c r="L255" s="102"/>
      <c r="M255" s="102"/>
    </row>
    <row r="256" spans="1:16" s="64" customFormat="1" x14ac:dyDescent="0.35">
      <c r="A256" s="98">
        <v>2</v>
      </c>
      <c r="B256" s="98"/>
      <c r="C256" s="56" t="s">
        <v>183</v>
      </c>
      <c r="D256" s="56">
        <f>(723.99+20.99)</f>
        <v>744.98</v>
      </c>
      <c r="E256" s="56">
        <v>0</v>
      </c>
      <c r="F256" s="56">
        <f>D256*(($F$146)+1)+E256</f>
        <v>1191.9680000000001</v>
      </c>
      <c r="G256" s="98" t="str">
        <f>A255</f>
        <v>1st Floor for Residential &amp; Amenities</v>
      </c>
      <c r="H256" s="98"/>
      <c r="I256" s="49"/>
      <c r="N256" s="49"/>
    </row>
    <row r="257" spans="1:14" s="64" customFormat="1" x14ac:dyDescent="0.35">
      <c r="A257" s="98">
        <f>A256+1</f>
        <v>3</v>
      </c>
      <c r="B257" s="98"/>
      <c r="C257" s="56" t="s">
        <v>183</v>
      </c>
      <c r="D257" s="56">
        <f>600.95+24.97</f>
        <v>625.92000000000007</v>
      </c>
      <c r="E257" s="56">
        <v>0</v>
      </c>
      <c r="F257" s="56">
        <f>D257*(($F$146)+1)+E257</f>
        <v>1001.4720000000002</v>
      </c>
      <c r="G257" s="98" t="str">
        <f t="shared" ref="G257:G260" si="96">G256</f>
        <v>1st Floor for Residential &amp; Amenities</v>
      </c>
      <c r="H257" s="98"/>
      <c r="I257" s="49"/>
      <c r="N257" s="49"/>
    </row>
    <row r="258" spans="1:14" s="64" customFormat="1" x14ac:dyDescent="0.35">
      <c r="A258" s="98">
        <f>A257+1</f>
        <v>4</v>
      </c>
      <c r="B258" s="98"/>
      <c r="C258" s="56" t="s">
        <v>183</v>
      </c>
      <c r="D258" s="56">
        <f>811.07+24</f>
        <v>835.07</v>
      </c>
      <c r="E258" s="56">
        <v>0</v>
      </c>
      <c r="F258" s="56">
        <f t="shared" ref="F258:F260" si="97">D258*(($F$146)+1)+E258</f>
        <v>1336.1120000000001</v>
      </c>
      <c r="G258" s="98" t="str">
        <f t="shared" si="96"/>
        <v>1st Floor for Residential &amp; Amenities</v>
      </c>
      <c r="H258" s="98"/>
      <c r="I258" s="49"/>
      <c r="N258" s="49"/>
    </row>
    <row r="259" spans="1:14" s="64" customFormat="1" x14ac:dyDescent="0.35">
      <c r="A259" s="98">
        <f t="shared" ref="A259:A260" si="98">A258+1</f>
        <v>5</v>
      </c>
      <c r="B259" s="98"/>
      <c r="C259" s="56" t="s">
        <v>183</v>
      </c>
      <c r="D259" s="56">
        <f>555.96+20.02</f>
        <v>575.98</v>
      </c>
      <c r="E259" s="56">
        <v>0</v>
      </c>
      <c r="F259" s="56">
        <f t="shared" si="97"/>
        <v>921.5680000000001</v>
      </c>
      <c r="G259" s="98" t="str">
        <f t="shared" si="96"/>
        <v>1st Floor for Residential &amp; Amenities</v>
      </c>
      <c r="H259" s="98"/>
      <c r="I259" s="49"/>
      <c r="N259" s="49"/>
    </row>
    <row r="260" spans="1:14" s="64" customFormat="1" x14ac:dyDescent="0.35">
      <c r="A260" s="98">
        <f t="shared" si="98"/>
        <v>6</v>
      </c>
      <c r="B260" s="98"/>
      <c r="C260" s="56" t="s">
        <v>144</v>
      </c>
      <c r="D260" s="56">
        <f>907.62+20.99</f>
        <v>928.61</v>
      </c>
      <c r="E260" s="56">
        <v>0</v>
      </c>
      <c r="F260" s="56">
        <f t="shared" si="97"/>
        <v>1485.7760000000001</v>
      </c>
      <c r="G260" s="98" t="str">
        <f t="shared" si="96"/>
        <v>1st Floor for Residential &amp; Amenities</v>
      </c>
      <c r="H260" s="98"/>
      <c r="I260" s="49"/>
      <c r="N260" s="49"/>
    </row>
    <row r="261" spans="1:14" s="64" customFormat="1" x14ac:dyDescent="0.35">
      <c r="A261" s="99" t="s">
        <v>184</v>
      </c>
      <c r="B261" s="99"/>
      <c r="C261" s="99"/>
      <c r="D261" s="99"/>
      <c r="E261" s="99"/>
      <c r="F261" s="99"/>
      <c r="G261" s="99"/>
      <c r="H261" s="99"/>
      <c r="I261" s="49"/>
      <c r="L261" s="102"/>
      <c r="M261" s="102"/>
    </row>
    <row r="262" spans="1:14" s="64" customFormat="1" x14ac:dyDescent="0.35">
      <c r="A262" s="98">
        <v>2</v>
      </c>
      <c r="B262" s="98"/>
      <c r="C262" s="56" t="s">
        <v>183</v>
      </c>
      <c r="D262" s="65">
        <f>(723.99+20.99)</f>
        <v>744.98</v>
      </c>
      <c r="E262" s="56">
        <v>0</v>
      </c>
      <c r="F262" s="56">
        <f>D262*(($F$146)+1)+E262</f>
        <v>1191.9680000000001</v>
      </c>
      <c r="G262" s="98" t="str">
        <f>A261</f>
        <v>2nd Floor for Residential &amp; Amenities</v>
      </c>
      <c r="H262" s="98"/>
      <c r="I262" s="49"/>
      <c r="N262" s="49"/>
    </row>
    <row r="263" spans="1:14" s="64" customFormat="1" x14ac:dyDescent="0.35">
      <c r="A263" s="98">
        <f>A262+1</f>
        <v>3</v>
      </c>
      <c r="B263" s="98"/>
      <c r="C263" s="56" t="s">
        <v>183</v>
      </c>
      <c r="D263" s="65">
        <f>600.95+24.97</f>
        <v>625.92000000000007</v>
      </c>
      <c r="E263" s="56">
        <v>0</v>
      </c>
      <c r="F263" s="56">
        <f>D263*(($F$146)+1)+E263</f>
        <v>1001.4720000000002</v>
      </c>
      <c r="G263" s="98" t="str">
        <f t="shared" ref="G263:G266" si="99">G262</f>
        <v>2nd Floor for Residential &amp; Amenities</v>
      </c>
      <c r="H263" s="98"/>
      <c r="I263" s="49"/>
      <c r="N263" s="49"/>
    </row>
    <row r="264" spans="1:14" s="64" customFormat="1" x14ac:dyDescent="0.35">
      <c r="A264" s="98">
        <f>A263+1</f>
        <v>4</v>
      </c>
      <c r="B264" s="98"/>
      <c r="C264" s="56" t="s">
        <v>183</v>
      </c>
      <c r="D264" s="65">
        <f>811.07+24</f>
        <v>835.07</v>
      </c>
      <c r="E264" s="56">
        <v>0</v>
      </c>
      <c r="F264" s="56">
        <f t="shared" ref="F264:F266" si="100">D264*(($F$146)+1)+E264</f>
        <v>1336.1120000000001</v>
      </c>
      <c r="G264" s="98" t="str">
        <f t="shared" si="99"/>
        <v>2nd Floor for Residential &amp; Amenities</v>
      </c>
      <c r="H264" s="98"/>
      <c r="I264" s="49"/>
      <c r="N264" s="49"/>
    </row>
    <row r="265" spans="1:14" s="64" customFormat="1" x14ac:dyDescent="0.35">
      <c r="A265" s="98">
        <f t="shared" ref="A265:A266" si="101">A264+1</f>
        <v>5</v>
      </c>
      <c r="B265" s="98"/>
      <c r="C265" s="56" t="s">
        <v>183</v>
      </c>
      <c r="D265" s="65">
        <f>555.96+20.02</f>
        <v>575.98</v>
      </c>
      <c r="E265" s="56">
        <v>0</v>
      </c>
      <c r="F265" s="56">
        <f t="shared" si="100"/>
        <v>921.5680000000001</v>
      </c>
      <c r="G265" s="98" t="str">
        <f t="shared" si="99"/>
        <v>2nd Floor for Residential &amp; Amenities</v>
      </c>
      <c r="H265" s="98"/>
      <c r="I265" s="49"/>
      <c r="N265" s="49"/>
    </row>
    <row r="266" spans="1:14" s="64" customFormat="1" x14ac:dyDescent="0.35">
      <c r="A266" s="98">
        <f t="shared" si="101"/>
        <v>6</v>
      </c>
      <c r="B266" s="98"/>
      <c r="C266" s="56" t="s">
        <v>144</v>
      </c>
      <c r="D266" s="65">
        <f>907.62+20.99</f>
        <v>928.61</v>
      </c>
      <c r="E266" s="56">
        <v>0</v>
      </c>
      <c r="F266" s="56">
        <f t="shared" si="100"/>
        <v>1485.7760000000001</v>
      </c>
      <c r="G266" s="98" t="str">
        <f t="shared" si="99"/>
        <v>2nd Floor for Residential &amp; Amenities</v>
      </c>
      <c r="H266" s="98"/>
      <c r="I266" s="49"/>
      <c r="N266" s="49"/>
    </row>
    <row r="267" spans="1:14" s="64" customFormat="1" x14ac:dyDescent="0.35">
      <c r="A267" s="99" t="s">
        <v>185</v>
      </c>
      <c r="B267" s="99"/>
      <c r="C267" s="99"/>
      <c r="D267" s="99"/>
      <c r="E267" s="99"/>
      <c r="F267" s="99"/>
      <c r="G267" s="99"/>
      <c r="H267" s="99"/>
      <c r="I267" s="49"/>
      <c r="L267" s="102"/>
      <c r="M267" s="102"/>
    </row>
    <row r="268" spans="1:14" s="64" customFormat="1" x14ac:dyDescent="0.35">
      <c r="A268" s="98">
        <v>2</v>
      </c>
      <c r="B268" s="98"/>
      <c r="C268" s="56" t="s">
        <v>183</v>
      </c>
      <c r="D268" s="65">
        <f>(723.99+20.99)</f>
        <v>744.98</v>
      </c>
      <c r="E268" s="56">
        <v>0</v>
      </c>
      <c r="F268" s="56">
        <f>D268*(($F$146)+1)+E268</f>
        <v>1191.9680000000001</v>
      </c>
      <c r="G268" s="98" t="str">
        <f>A267</f>
        <v>3rd Floor for Residential &amp; Service Floor</v>
      </c>
      <c r="H268" s="98"/>
      <c r="I268" s="49"/>
      <c r="N268" s="49"/>
    </row>
    <row r="269" spans="1:14" s="64" customFormat="1" x14ac:dyDescent="0.35">
      <c r="A269" s="98">
        <f>A268+1</f>
        <v>3</v>
      </c>
      <c r="B269" s="98"/>
      <c r="C269" s="56" t="s">
        <v>183</v>
      </c>
      <c r="D269" s="65">
        <f>600.95+24.97</f>
        <v>625.92000000000007</v>
      </c>
      <c r="E269" s="56">
        <v>0</v>
      </c>
      <c r="F269" s="56">
        <f>D269*(($F$146)+1)+E269</f>
        <v>1001.4720000000002</v>
      </c>
      <c r="G269" s="98" t="str">
        <f t="shared" ref="G269:G272" si="102">G268</f>
        <v>3rd Floor for Residential &amp; Service Floor</v>
      </c>
      <c r="H269" s="98"/>
      <c r="I269" s="49"/>
      <c r="N269" s="49"/>
    </row>
    <row r="270" spans="1:14" s="64" customFormat="1" x14ac:dyDescent="0.35">
      <c r="A270" s="98">
        <f>A269+1</f>
        <v>4</v>
      </c>
      <c r="B270" s="98"/>
      <c r="C270" s="56" t="s">
        <v>183</v>
      </c>
      <c r="D270" s="65">
        <f>811.07+24</f>
        <v>835.07</v>
      </c>
      <c r="E270" s="56">
        <v>0</v>
      </c>
      <c r="F270" s="56">
        <f t="shared" ref="F270:F272" si="103">D270*(($F$146)+1)+E270</f>
        <v>1336.1120000000001</v>
      </c>
      <c r="G270" s="98" t="str">
        <f t="shared" si="102"/>
        <v>3rd Floor for Residential &amp; Service Floor</v>
      </c>
      <c r="H270" s="98"/>
      <c r="I270" s="49"/>
      <c r="N270" s="49"/>
    </row>
    <row r="271" spans="1:14" s="64" customFormat="1" x14ac:dyDescent="0.35">
      <c r="A271" s="98">
        <f t="shared" ref="A271:A272" si="104">A270+1</f>
        <v>5</v>
      </c>
      <c r="B271" s="98"/>
      <c r="C271" s="56" t="s">
        <v>183</v>
      </c>
      <c r="D271" s="65">
        <f>555.96+20.02</f>
        <v>575.98</v>
      </c>
      <c r="E271" s="56">
        <v>0</v>
      </c>
      <c r="F271" s="56">
        <f t="shared" si="103"/>
        <v>921.5680000000001</v>
      </c>
      <c r="G271" s="98" t="str">
        <f t="shared" si="102"/>
        <v>3rd Floor for Residential &amp; Service Floor</v>
      </c>
      <c r="H271" s="98"/>
      <c r="I271" s="49"/>
      <c r="N271" s="49"/>
    </row>
    <row r="272" spans="1:14" s="64" customFormat="1" x14ac:dyDescent="0.35">
      <c r="A272" s="98">
        <f t="shared" si="104"/>
        <v>6</v>
      </c>
      <c r="B272" s="98"/>
      <c r="C272" s="56" t="s">
        <v>144</v>
      </c>
      <c r="D272" s="65">
        <f>907.62+20.99</f>
        <v>928.61</v>
      </c>
      <c r="E272" s="56">
        <v>0</v>
      </c>
      <c r="F272" s="56">
        <f t="shared" si="103"/>
        <v>1485.7760000000001</v>
      </c>
      <c r="G272" s="98" t="str">
        <f t="shared" si="102"/>
        <v>3rd Floor for Residential &amp; Service Floor</v>
      </c>
      <c r="H272" s="98"/>
      <c r="I272" s="49"/>
      <c r="N272" s="49"/>
    </row>
    <row r="273" spans="1:16" s="64" customFormat="1" x14ac:dyDescent="0.35">
      <c r="A273" s="99" t="s">
        <v>186</v>
      </c>
      <c r="B273" s="99"/>
      <c r="C273" s="99"/>
      <c r="D273" s="99"/>
      <c r="E273" s="99"/>
      <c r="F273" s="99"/>
      <c r="G273" s="99"/>
      <c r="H273" s="99"/>
      <c r="I273" s="49"/>
      <c r="L273" s="102"/>
      <c r="M273" s="102"/>
    </row>
    <row r="274" spans="1:16" s="64" customFormat="1" x14ac:dyDescent="0.35">
      <c r="A274" s="98">
        <v>1</v>
      </c>
      <c r="B274" s="98"/>
      <c r="C274" s="56" t="s">
        <v>183</v>
      </c>
      <c r="D274" s="56">
        <f>(706.01+68.69)</f>
        <v>774.7</v>
      </c>
      <c r="E274" s="56">
        <v>0</v>
      </c>
      <c r="F274" s="56">
        <f>D274*(($F$146)+1)+E274</f>
        <v>1239.5200000000002</v>
      </c>
      <c r="G274" s="98" t="str">
        <f>A273</f>
        <v xml:space="preserve">4th Floor </v>
      </c>
      <c r="H274" s="98"/>
      <c r="I274" s="49"/>
      <c r="N274" s="49"/>
    </row>
    <row r="275" spans="1:16" s="64" customFormat="1" x14ac:dyDescent="0.35">
      <c r="A275" s="98">
        <v>2</v>
      </c>
      <c r="B275" s="98"/>
      <c r="C275" s="56" t="s">
        <v>183</v>
      </c>
      <c r="D275" s="65">
        <f>(723.99+20.99)</f>
        <v>744.98</v>
      </c>
      <c r="E275" s="56">
        <v>0</v>
      </c>
      <c r="F275" s="56">
        <f>D275*(($F$146)+1)+E275</f>
        <v>1191.9680000000001</v>
      </c>
      <c r="G275" s="98" t="str">
        <f>A273</f>
        <v xml:space="preserve">4th Floor </v>
      </c>
      <c r="H275" s="98"/>
      <c r="I275" s="49"/>
      <c r="N275" s="49"/>
    </row>
    <row r="276" spans="1:16" s="64" customFormat="1" x14ac:dyDescent="0.35">
      <c r="A276" s="98">
        <v>3</v>
      </c>
      <c r="B276" s="98"/>
      <c r="C276" s="56" t="s">
        <v>183</v>
      </c>
      <c r="D276" s="65">
        <f>600.95+24.97</f>
        <v>625.92000000000007</v>
      </c>
      <c r="E276" s="56">
        <v>0</v>
      </c>
      <c r="F276" s="56">
        <f>D276*(($F$146)+1)+E276</f>
        <v>1001.4720000000002</v>
      </c>
      <c r="G276" s="98" t="str">
        <f>A273</f>
        <v xml:space="preserve">4th Floor </v>
      </c>
      <c r="H276" s="98"/>
      <c r="I276" s="49"/>
      <c r="N276" s="49"/>
    </row>
    <row r="277" spans="1:16" s="64" customFormat="1" x14ac:dyDescent="0.35">
      <c r="A277" s="98">
        <v>4</v>
      </c>
      <c r="B277" s="98"/>
      <c r="C277" s="56" t="s">
        <v>183</v>
      </c>
      <c r="D277" s="65">
        <f>811.07+24</f>
        <v>835.07</v>
      </c>
      <c r="E277" s="56">
        <v>0</v>
      </c>
      <c r="F277" s="56">
        <f>D277*(($F$146)+1)+E277</f>
        <v>1336.1120000000001</v>
      </c>
      <c r="G277" s="98" t="str">
        <f>G274</f>
        <v xml:space="preserve">4th Floor </v>
      </c>
      <c r="H277" s="98"/>
      <c r="I277" s="49"/>
      <c r="N277" s="49"/>
    </row>
    <row r="278" spans="1:16" s="64" customFormat="1" x14ac:dyDescent="0.35">
      <c r="A278" s="98">
        <v>5</v>
      </c>
      <c r="B278" s="98"/>
      <c r="C278" s="56" t="s">
        <v>183</v>
      </c>
      <c r="D278" s="65">
        <f>555.96+20.02</f>
        <v>575.98</v>
      </c>
      <c r="E278" s="56">
        <v>0</v>
      </c>
      <c r="F278" s="56">
        <f t="shared" ref="F278:F280" si="105">D278*(($F$146)+1)+E278</f>
        <v>921.5680000000001</v>
      </c>
      <c r="G278" s="98" t="str">
        <f t="shared" ref="G278:G280" si="106">G277</f>
        <v xml:space="preserve">4th Floor </v>
      </c>
      <c r="H278" s="98"/>
      <c r="I278" s="49"/>
      <c r="N278" s="49"/>
    </row>
    <row r="279" spans="1:16" s="64" customFormat="1" x14ac:dyDescent="0.35">
      <c r="A279" s="98">
        <v>6</v>
      </c>
      <c r="B279" s="98"/>
      <c r="C279" s="56" t="s">
        <v>144</v>
      </c>
      <c r="D279" s="65">
        <f>907.62+20.99</f>
        <v>928.61</v>
      </c>
      <c r="E279" s="56">
        <v>0</v>
      </c>
      <c r="F279" s="56">
        <f t="shared" si="105"/>
        <v>1485.7760000000001</v>
      </c>
      <c r="G279" s="98" t="str">
        <f t="shared" si="106"/>
        <v xml:space="preserve">4th Floor </v>
      </c>
      <c r="H279" s="98"/>
      <c r="I279" s="49"/>
      <c r="N279" s="49"/>
    </row>
    <row r="280" spans="1:16" s="64" customFormat="1" x14ac:dyDescent="0.35">
      <c r="A280" s="98">
        <v>7</v>
      </c>
      <c r="B280" s="98"/>
      <c r="C280" s="56" t="s">
        <v>183</v>
      </c>
      <c r="D280" s="56">
        <f>747.02+87.19</f>
        <v>834.21</v>
      </c>
      <c r="E280" s="56">
        <v>0</v>
      </c>
      <c r="F280" s="56">
        <f t="shared" si="105"/>
        <v>1334.7360000000001</v>
      </c>
      <c r="G280" s="98" t="str">
        <f t="shared" si="106"/>
        <v xml:space="preserve">4th Floor </v>
      </c>
      <c r="H280" s="98"/>
      <c r="I280" s="49"/>
      <c r="N280" s="49"/>
    </row>
    <row r="281" spans="1:16" s="64" customFormat="1" x14ac:dyDescent="0.35">
      <c r="A281" s="91" t="s">
        <v>223</v>
      </c>
      <c r="B281" s="92"/>
      <c r="C281" s="92"/>
      <c r="D281" s="92"/>
      <c r="E281" s="92"/>
      <c r="F281" s="92"/>
      <c r="G281" s="92"/>
      <c r="H281" s="93"/>
      <c r="I281" s="49"/>
      <c r="P281" s="51"/>
    </row>
    <row r="282" spans="1:16" s="64" customFormat="1" x14ac:dyDescent="0.35">
      <c r="A282" s="89">
        <v>1</v>
      </c>
      <c r="B282" s="90"/>
      <c r="C282" s="56" t="s">
        <v>183</v>
      </c>
      <c r="D282" s="65">
        <f>695.03+19.59</f>
        <v>714.62</v>
      </c>
      <c r="E282" s="56">
        <v>0</v>
      </c>
      <c r="F282" s="56">
        <f t="shared" ref="F282:F288" si="107">D282*(($F$146)+1)+E282</f>
        <v>1143.3920000000001</v>
      </c>
      <c r="G282" s="89" t="str">
        <f>A281</f>
        <v>5th, 6th, 8th, 10th &amp; 12th Floor</v>
      </c>
      <c r="H282" s="90"/>
      <c r="I282" s="49"/>
      <c r="N282" s="64" t="str">
        <f t="shared" ref="N282:N288" ca="1" si="108">O282&amp;""&amp;" &amp; "&amp;""&amp;P282</f>
        <v>501 &amp; 1201</v>
      </c>
      <c r="O282" s="64">
        <f ca="1">(SUMPRODUCT(MID(0&amp;(LEFT(A281,SUM(LEN(A281)-LEN(SUBSTITUTE(A281,{"0","1","2"},""))))), LARGE(INDEX(ISNUMBER(--MID((LEFT(A281,SUM(LEN(A281)-LEN(SUBSTITUTE(A281,{"0","1","2"},""))))), ROW(INDIRECT("1:"&amp;LEN((LEFT(A281,SUM(LEN(A281)-LEN(SUBSTITUTE(A281,{"0","1","2"},"")))))))), 1)) * ROW(INDIRECT("1:"&amp;LEN((LEFT(A281,SUM(LEN(A281)-LEN(SUBSTITUTE(A281,{"0","1","2"},"")))))))), 0), ROW(INDIRECT("1:"&amp;LEN((LEFT(A281,SUM(LEN(A281)-LEN(SUBSTITUTE(A281,{"0","1","2"},"")))))))))+1, 1) * 10^ROW(INDIRECT("1:"&amp;LEN((LEFT(A281,SUM(LEN(A281)-LEN(SUBSTITUTE(A281,{"0","1","2"},""))))))))/10))*100+1</f>
        <v>501</v>
      </c>
      <c r="P282" s="64">
        <f ca="1">(SUMPRODUCT(MID(0&amp;(--TRIM(RIGHT(SUBSTITUTE(LEFT(A281,_xlfn.AGGREGATE(16,6,FIND({0,1,2,3,4,5,6,7,8,9},A281,ROW(INDIRECT("1:"&amp;LEN(A281)))),1))," ",REPT(" ",LEN(A281))),LEN(A281)))), LARGE(INDEX(ISNUMBER(--MID((--TRIM(RIGHT(SUBSTITUTE(LEFT(A281,_xlfn.AGGREGATE(16,6,FIND({0,1,2,3,4,5,6,7,8,9},A281,ROW(INDIRECT("1:"&amp;LEN(A281)))),1))," ",REPT(" ",LEN(A281))),LEN(A281)))), ROW(INDIRECT("1:"&amp;LEN((--TRIM(RIGHT(SUBSTITUTE(LEFT(A281,_xlfn.AGGREGATE(16,6,FIND({0,1,2,3,4,5,6,7,8,9},A281,ROW(INDIRECT("1:"&amp;LEN(A281)))),1))," ",REPT(" ",LEN(A281))),LEN(A281))))))), 1)) * ROW(INDIRECT("1:"&amp;LEN((--TRIM(RIGHT(SUBSTITUTE(LEFT(A281,_xlfn.AGGREGATE(16,6,FIND({0,1,2,3,4,5,6,7,8,9},A281,ROW(INDIRECT("1:"&amp;LEN(A281)))),1))," ",REPT(" ",LEN(A281))),LEN(A281))))))), 0), ROW(INDIRECT("1:"&amp;LEN((--TRIM(RIGHT(SUBSTITUTE(LEFT(A281,_xlfn.AGGREGATE(16,6,FIND({0,1,2,3,4,5,6,7,8,9},A281,ROW(INDIRECT("1:"&amp;LEN(A281)))),1))," ",REPT(" ",LEN(A281))),LEN(A281))))))))+1, 1) * 10^ROW(INDIRECT("1:"&amp;LEN((--TRIM(RIGHT(SUBSTITUTE(LEFT(A281,_xlfn.AGGREGATE(16,6,FIND({0,1,2,3,4,5,6,7,8,9},A281,ROW(INDIRECT("1:"&amp;LEN(A281)))),1))," ",REPT(" ",LEN(A281))),LEN(A281)))))))/10))*100+1</f>
        <v>1201</v>
      </c>
    </row>
    <row r="283" spans="1:16" s="64" customFormat="1" x14ac:dyDescent="0.35">
      <c r="A283" s="89">
        <v>2</v>
      </c>
      <c r="B283" s="90"/>
      <c r="C283" s="56" t="s">
        <v>183</v>
      </c>
      <c r="D283" s="65">
        <f>(723.99+20.99)</f>
        <v>744.98</v>
      </c>
      <c r="E283" s="56">
        <v>0</v>
      </c>
      <c r="F283" s="56">
        <f t="shared" si="107"/>
        <v>1191.9680000000001</v>
      </c>
      <c r="G283" s="89" t="str">
        <f t="shared" ref="G283:G288" si="109">G282</f>
        <v>5th, 6th, 8th, 10th &amp; 12th Floor</v>
      </c>
      <c r="H283" s="90"/>
      <c r="I283" s="49"/>
      <c r="N283" s="64" t="str">
        <f t="shared" ca="1" si="108"/>
        <v>502 &amp; 1202</v>
      </c>
      <c r="O283" s="64">
        <f t="shared" ref="O283:P283" ca="1" si="110">O282+1</f>
        <v>502</v>
      </c>
      <c r="P283" s="64">
        <f t="shared" ca="1" si="110"/>
        <v>1202</v>
      </c>
    </row>
    <row r="284" spans="1:16" s="64" customFormat="1" x14ac:dyDescent="0.35">
      <c r="A284" s="89">
        <v>3</v>
      </c>
      <c r="B284" s="90"/>
      <c r="C284" s="56" t="s">
        <v>183</v>
      </c>
      <c r="D284" s="65">
        <f>600.95+24.97</f>
        <v>625.92000000000007</v>
      </c>
      <c r="E284" s="56">
        <v>0</v>
      </c>
      <c r="F284" s="56">
        <f t="shared" si="107"/>
        <v>1001.4720000000002</v>
      </c>
      <c r="G284" s="89" t="str">
        <f t="shared" si="109"/>
        <v>5th, 6th, 8th, 10th &amp; 12th Floor</v>
      </c>
      <c r="H284" s="90"/>
      <c r="I284" s="49"/>
      <c r="N284" s="64" t="str">
        <f t="shared" ca="1" si="108"/>
        <v>503 &amp; 1203</v>
      </c>
      <c r="O284" s="64">
        <f t="shared" ref="O284:P284" ca="1" si="111">O283+1</f>
        <v>503</v>
      </c>
      <c r="P284" s="64">
        <f t="shared" ca="1" si="111"/>
        <v>1203</v>
      </c>
    </row>
    <row r="285" spans="1:16" s="64" customFormat="1" x14ac:dyDescent="0.35">
      <c r="A285" s="89">
        <v>4</v>
      </c>
      <c r="B285" s="90"/>
      <c r="C285" s="56" t="s">
        <v>183</v>
      </c>
      <c r="D285" s="65">
        <f>811.07+24</f>
        <v>835.07</v>
      </c>
      <c r="E285" s="56">
        <v>0</v>
      </c>
      <c r="F285" s="56">
        <f t="shared" si="107"/>
        <v>1336.1120000000001</v>
      </c>
      <c r="G285" s="89" t="str">
        <f t="shared" si="109"/>
        <v>5th, 6th, 8th, 10th &amp; 12th Floor</v>
      </c>
      <c r="H285" s="90"/>
      <c r="I285" s="49"/>
      <c r="N285" s="64" t="str">
        <f t="shared" ca="1" si="108"/>
        <v>504 &amp; 1204</v>
      </c>
      <c r="O285" s="64">
        <f t="shared" ref="O285:P285" ca="1" si="112">O284+1</f>
        <v>504</v>
      </c>
      <c r="P285" s="64">
        <f t="shared" ca="1" si="112"/>
        <v>1204</v>
      </c>
    </row>
    <row r="286" spans="1:16" s="64" customFormat="1" x14ac:dyDescent="0.35">
      <c r="A286" s="89">
        <v>5</v>
      </c>
      <c r="B286" s="90"/>
      <c r="C286" s="56" t="s">
        <v>183</v>
      </c>
      <c r="D286" s="65">
        <f>555.96+20.02</f>
        <v>575.98</v>
      </c>
      <c r="E286" s="56">
        <v>0</v>
      </c>
      <c r="F286" s="56">
        <f t="shared" si="107"/>
        <v>921.5680000000001</v>
      </c>
      <c r="G286" s="89" t="str">
        <f t="shared" si="109"/>
        <v>5th, 6th, 8th, 10th &amp; 12th Floor</v>
      </c>
      <c r="H286" s="90"/>
      <c r="I286" s="49"/>
      <c r="N286" s="64" t="str">
        <f t="shared" ca="1" si="108"/>
        <v>505 &amp; 1205</v>
      </c>
      <c r="O286" s="64">
        <f t="shared" ref="O286:P286" ca="1" si="113">O285+1</f>
        <v>505</v>
      </c>
      <c r="P286" s="64">
        <f t="shared" ca="1" si="113"/>
        <v>1205</v>
      </c>
    </row>
    <row r="287" spans="1:16" s="64" customFormat="1" x14ac:dyDescent="0.35">
      <c r="A287" s="89">
        <v>6</v>
      </c>
      <c r="B287" s="90"/>
      <c r="C287" s="56" t="s">
        <v>144</v>
      </c>
      <c r="D287" s="65">
        <f>907.62+20.99</f>
        <v>928.61</v>
      </c>
      <c r="E287" s="56">
        <v>0</v>
      </c>
      <c r="F287" s="56">
        <f t="shared" si="107"/>
        <v>1485.7760000000001</v>
      </c>
      <c r="G287" s="89" t="str">
        <f t="shared" si="109"/>
        <v>5th, 6th, 8th, 10th &amp; 12th Floor</v>
      </c>
      <c r="H287" s="90"/>
      <c r="I287" s="49"/>
      <c r="N287" s="64" t="str">
        <f t="shared" ca="1" si="108"/>
        <v>506 &amp; 1206</v>
      </c>
      <c r="O287" s="64">
        <f t="shared" ref="O287:P287" ca="1" si="114">O286+1</f>
        <v>506</v>
      </c>
      <c r="P287" s="64">
        <f t="shared" ca="1" si="114"/>
        <v>1206</v>
      </c>
    </row>
    <row r="288" spans="1:16" s="64" customFormat="1" x14ac:dyDescent="0.35">
      <c r="A288" s="89">
        <v>7</v>
      </c>
      <c r="B288" s="90"/>
      <c r="C288" s="56" t="s">
        <v>183</v>
      </c>
      <c r="D288" s="65">
        <f>737.02+17.98</f>
        <v>755</v>
      </c>
      <c r="E288" s="56">
        <v>0</v>
      </c>
      <c r="F288" s="56">
        <f t="shared" si="107"/>
        <v>1208</v>
      </c>
      <c r="G288" s="89" t="str">
        <f t="shared" si="109"/>
        <v>5th, 6th, 8th, 10th &amp; 12th Floor</v>
      </c>
      <c r="H288" s="90"/>
      <c r="I288" s="49"/>
      <c r="N288" s="64" t="str">
        <f t="shared" ca="1" si="108"/>
        <v>507 &amp; 1207</v>
      </c>
      <c r="O288" s="64">
        <f t="shared" ref="O288:P288" ca="1" si="115">O287+1</f>
        <v>507</v>
      </c>
      <c r="P288" s="64">
        <f t="shared" ca="1" si="115"/>
        <v>1207</v>
      </c>
    </row>
    <row r="289" spans="1:16" s="64" customFormat="1" x14ac:dyDescent="0.35">
      <c r="A289" s="91" t="s">
        <v>224</v>
      </c>
      <c r="B289" s="92"/>
      <c r="C289" s="92"/>
      <c r="D289" s="92"/>
      <c r="E289" s="92"/>
      <c r="F289" s="92"/>
      <c r="G289" s="92"/>
      <c r="H289" s="93"/>
      <c r="I289" s="49"/>
      <c r="P289" s="51"/>
    </row>
    <row r="290" spans="1:16" s="64" customFormat="1" x14ac:dyDescent="0.35">
      <c r="A290" s="89">
        <v>1</v>
      </c>
      <c r="B290" s="90"/>
      <c r="C290" s="56" t="s">
        <v>183</v>
      </c>
      <c r="D290" s="65">
        <f>704.4+66.52</f>
        <v>770.92</v>
      </c>
      <c r="E290" s="56">
        <v>0</v>
      </c>
      <c r="F290" s="56">
        <f t="shared" ref="F290:F296" si="116">D290*(($F$146)+1)+E290</f>
        <v>1233.472</v>
      </c>
      <c r="G290" s="89" t="str">
        <f>A289</f>
        <v>7th, 9th, 11th, 13th, 15th &amp; 17th Floor (Part Refuge Area)</v>
      </c>
      <c r="H290" s="90"/>
      <c r="I290" s="49"/>
      <c r="N290" s="64" t="str">
        <f t="shared" ref="N290:N296" ca="1" si="117">O290&amp;""&amp;" &amp; "&amp;""&amp;P290</f>
        <v>701 &amp; 1701</v>
      </c>
      <c r="O290" s="64">
        <f ca="1">(SUMPRODUCT(MID(0&amp;(LEFT(A289,SUM(LEN(A289)-LEN(SUBSTITUTE(A289,{"0","1","2"},""))))), LARGE(INDEX(ISNUMBER(--MID((LEFT(A289,SUM(LEN(A289)-LEN(SUBSTITUTE(A289,{"0","1","2"},""))))), ROW(INDIRECT("1:"&amp;LEN((LEFT(A289,SUM(LEN(A289)-LEN(SUBSTITUTE(A289,{"0","1","2"},"")))))))), 1)) * ROW(INDIRECT("1:"&amp;LEN((LEFT(A289,SUM(LEN(A289)-LEN(SUBSTITUTE(A289,{"0","1","2"},"")))))))), 0), ROW(INDIRECT("1:"&amp;LEN((LEFT(A289,SUM(LEN(A289)-LEN(SUBSTITUTE(A289,{"0","1","2"},"")))))))))+1, 1) * 10^ROW(INDIRECT("1:"&amp;LEN((LEFT(A289,SUM(LEN(A289)-LEN(SUBSTITUTE(A289,{"0","1","2"},""))))))))/10))*100+1</f>
        <v>701</v>
      </c>
      <c r="P290" s="64">
        <f ca="1">(SUMPRODUCT(MID(0&amp;(--TRIM(RIGHT(SUBSTITUTE(LEFT(A289,_xlfn.AGGREGATE(16,6,FIND({0,1,2,3,4,5,6,7,8,9},A289,ROW(INDIRECT("1:"&amp;LEN(A289)))),1))," ",REPT(" ",LEN(A289))),LEN(A289)))), LARGE(INDEX(ISNUMBER(--MID((--TRIM(RIGHT(SUBSTITUTE(LEFT(A289,_xlfn.AGGREGATE(16,6,FIND({0,1,2,3,4,5,6,7,8,9},A289,ROW(INDIRECT("1:"&amp;LEN(A289)))),1))," ",REPT(" ",LEN(A289))),LEN(A289)))), ROW(INDIRECT("1:"&amp;LEN((--TRIM(RIGHT(SUBSTITUTE(LEFT(A289,_xlfn.AGGREGATE(16,6,FIND({0,1,2,3,4,5,6,7,8,9},A289,ROW(INDIRECT("1:"&amp;LEN(A289)))),1))," ",REPT(" ",LEN(A289))),LEN(A289))))))), 1)) * ROW(INDIRECT("1:"&amp;LEN((--TRIM(RIGHT(SUBSTITUTE(LEFT(A289,_xlfn.AGGREGATE(16,6,FIND({0,1,2,3,4,5,6,7,8,9},A289,ROW(INDIRECT("1:"&amp;LEN(A289)))),1))," ",REPT(" ",LEN(A289))),LEN(A289))))))), 0), ROW(INDIRECT("1:"&amp;LEN((--TRIM(RIGHT(SUBSTITUTE(LEFT(A289,_xlfn.AGGREGATE(16,6,FIND({0,1,2,3,4,5,6,7,8,9},A289,ROW(INDIRECT("1:"&amp;LEN(A289)))),1))," ",REPT(" ",LEN(A289))),LEN(A289))))))))+1, 1) * 10^ROW(INDIRECT("1:"&amp;LEN((--TRIM(RIGHT(SUBSTITUTE(LEFT(A289,_xlfn.AGGREGATE(16,6,FIND({0,1,2,3,4,5,6,7,8,9},A289,ROW(INDIRECT("1:"&amp;LEN(A289)))),1))," ",REPT(" ",LEN(A289))),LEN(A289)))))))/10))*100+1</f>
        <v>1701</v>
      </c>
    </row>
    <row r="291" spans="1:16" s="64" customFormat="1" x14ac:dyDescent="0.35">
      <c r="A291" s="89">
        <v>2</v>
      </c>
      <c r="B291" s="90"/>
      <c r="C291" s="56" t="s">
        <v>183</v>
      </c>
      <c r="D291" s="65">
        <f>(723.99+20.99)</f>
        <v>744.98</v>
      </c>
      <c r="E291" s="56">
        <v>0</v>
      </c>
      <c r="F291" s="56">
        <f t="shared" si="116"/>
        <v>1191.9680000000001</v>
      </c>
      <c r="G291" s="89" t="str">
        <f t="shared" ref="G291:G296" si="118">G290</f>
        <v>7th, 9th, 11th, 13th, 15th &amp; 17th Floor (Part Refuge Area)</v>
      </c>
      <c r="H291" s="90"/>
      <c r="I291" s="49"/>
      <c r="N291" s="64" t="str">
        <f t="shared" ca="1" si="117"/>
        <v>702 &amp; 1702</v>
      </c>
      <c r="O291" s="64">
        <f t="shared" ref="O291:P291" ca="1" si="119">O290+1</f>
        <v>702</v>
      </c>
      <c r="P291" s="64">
        <f t="shared" ca="1" si="119"/>
        <v>1702</v>
      </c>
    </row>
    <row r="292" spans="1:16" s="64" customFormat="1" x14ac:dyDescent="0.35">
      <c r="A292" s="89">
        <v>3</v>
      </c>
      <c r="B292" s="90"/>
      <c r="C292" s="56" t="s">
        <v>183</v>
      </c>
      <c r="D292" s="65">
        <f>605.26+40.69</f>
        <v>645.95000000000005</v>
      </c>
      <c r="E292" s="56">
        <v>0</v>
      </c>
      <c r="F292" s="56">
        <f t="shared" si="116"/>
        <v>1033.5200000000002</v>
      </c>
      <c r="G292" s="89" t="str">
        <f t="shared" si="118"/>
        <v>7th, 9th, 11th, 13th, 15th &amp; 17th Floor (Part Refuge Area)</v>
      </c>
      <c r="H292" s="90"/>
      <c r="I292" s="49"/>
      <c r="N292" s="64" t="str">
        <f t="shared" ca="1" si="117"/>
        <v>703 &amp; 1703</v>
      </c>
      <c r="O292" s="64">
        <f t="shared" ref="O292:P292" ca="1" si="120">O291+1</f>
        <v>703</v>
      </c>
      <c r="P292" s="64">
        <f t="shared" ca="1" si="120"/>
        <v>1703</v>
      </c>
    </row>
    <row r="293" spans="1:16" s="64" customFormat="1" x14ac:dyDescent="0.35">
      <c r="A293" s="89">
        <v>4</v>
      </c>
      <c r="B293" s="90"/>
      <c r="C293" s="56" t="s">
        <v>183</v>
      </c>
      <c r="D293" s="65">
        <f>825.06+127.55</f>
        <v>952.6099999999999</v>
      </c>
      <c r="E293" s="56">
        <v>0</v>
      </c>
      <c r="F293" s="56">
        <f t="shared" si="116"/>
        <v>1524.1759999999999</v>
      </c>
      <c r="G293" s="89" t="str">
        <f t="shared" si="118"/>
        <v>7th, 9th, 11th, 13th, 15th &amp; 17th Floor (Part Refuge Area)</v>
      </c>
      <c r="H293" s="90"/>
      <c r="I293" s="49"/>
      <c r="N293" s="64" t="str">
        <f t="shared" ca="1" si="117"/>
        <v>704 &amp; 1704</v>
      </c>
      <c r="O293" s="64">
        <f t="shared" ref="O293:P293" ca="1" si="121">O292+1</f>
        <v>704</v>
      </c>
      <c r="P293" s="64">
        <f t="shared" ca="1" si="121"/>
        <v>1704</v>
      </c>
    </row>
    <row r="294" spans="1:16" s="64" customFormat="1" x14ac:dyDescent="0.35">
      <c r="A294" s="89">
        <v>5</v>
      </c>
      <c r="B294" s="90"/>
      <c r="C294" s="56" t="s">
        <v>183</v>
      </c>
      <c r="D294" s="65">
        <f>562.42+71.15</f>
        <v>633.56999999999994</v>
      </c>
      <c r="E294" s="56">
        <v>0</v>
      </c>
      <c r="F294" s="56">
        <f t="shared" si="116"/>
        <v>1013.712</v>
      </c>
      <c r="G294" s="89" t="str">
        <f t="shared" si="118"/>
        <v>7th, 9th, 11th, 13th, 15th &amp; 17th Floor (Part Refuge Area)</v>
      </c>
      <c r="H294" s="90"/>
      <c r="I294" s="49"/>
      <c r="N294" s="64" t="str">
        <f t="shared" ca="1" si="117"/>
        <v>705 &amp; 1705</v>
      </c>
      <c r="O294" s="64">
        <f t="shared" ref="O294:P294" ca="1" si="122">O293+1</f>
        <v>705</v>
      </c>
      <c r="P294" s="64">
        <f t="shared" ca="1" si="122"/>
        <v>1705</v>
      </c>
    </row>
    <row r="295" spans="1:16" s="64" customFormat="1" x14ac:dyDescent="0.35">
      <c r="A295" s="89">
        <v>6</v>
      </c>
      <c r="B295" s="90"/>
      <c r="C295" s="56" t="s">
        <v>144</v>
      </c>
      <c r="D295" s="65">
        <f>924.2+131.61</f>
        <v>1055.81</v>
      </c>
      <c r="E295" s="56">
        <v>0</v>
      </c>
      <c r="F295" s="56">
        <f t="shared" si="116"/>
        <v>1689.296</v>
      </c>
      <c r="G295" s="89" t="str">
        <f t="shared" si="118"/>
        <v>7th, 9th, 11th, 13th, 15th &amp; 17th Floor (Part Refuge Area)</v>
      </c>
      <c r="H295" s="90"/>
      <c r="I295" s="49"/>
      <c r="N295" s="64" t="str">
        <f t="shared" ca="1" si="117"/>
        <v>706 &amp; 1706</v>
      </c>
      <c r="O295" s="64">
        <f t="shared" ref="O295:P295" ca="1" si="123">O294+1</f>
        <v>706</v>
      </c>
      <c r="P295" s="64">
        <f t="shared" ca="1" si="123"/>
        <v>1706</v>
      </c>
    </row>
    <row r="296" spans="1:16" s="64" customFormat="1" x14ac:dyDescent="0.35">
      <c r="A296" s="89">
        <v>7</v>
      </c>
      <c r="B296" s="90"/>
      <c r="C296" s="56" t="s">
        <v>183</v>
      </c>
      <c r="D296" s="65">
        <f>746.16+88.16</f>
        <v>834.31999999999994</v>
      </c>
      <c r="E296" s="56">
        <v>0</v>
      </c>
      <c r="F296" s="56">
        <f t="shared" si="116"/>
        <v>1334.912</v>
      </c>
      <c r="G296" s="89" t="str">
        <f t="shared" si="118"/>
        <v>7th, 9th, 11th, 13th, 15th &amp; 17th Floor (Part Refuge Area)</v>
      </c>
      <c r="H296" s="90"/>
      <c r="I296" s="49"/>
      <c r="N296" s="64" t="str">
        <f t="shared" ca="1" si="117"/>
        <v>707 &amp; 1707</v>
      </c>
      <c r="O296" s="64">
        <f t="shared" ref="O296:P296" ca="1" si="124">O295+1</f>
        <v>707</v>
      </c>
      <c r="P296" s="64">
        <f t="shared" ca="1" si="124"/>
        <v>1707</v>
      </c>
    </row>
    <row r="297" spans="1:16" s="64" customFormat="1" x14ac:dyDescent="0.35">
      <c r="A297" s="91" t="s">
        <v>225</v>
      </c>
      <c r="B297" s="92"/>
      <c r="C297" s="92"/>
      <c r="D297" s="92"/>
      <c r="E297" s="92"/>
      <c r="F297" s="92"/>
      <c r="G297" s="92"/>
      <c r="H297" s="93"/>
      <c r="I297" s="49"/>
      <c r="P297" s="51"/>
    </row>
    <row r="298" spans="1:16" s="64" customFormat="1" x14ac:dyDescent="0.35">
      <c r="A298" s="89">
        <v>1</v>
      </c>
      <c r="B298" s="90"/>
      <c r="C298" s="56" t="s">
        <v>183</v>
      </c>
      <c r="D298" s="65">
        <f>704.4+66.52</f>
        <v>770.92</v>
      </c>
      <c r="E298" s="56">
        <v>0</v>
      </c>
      <c r="F298" s="56">
        <f t="shared" ref="F298:F304" si="125">D298*(($F$146)+1)+E298</f>
        <v>1233.472</v>
      </c>
      <c r="G298" s="89" t="str">
        <f>A297</f>
        <v>14th Floor</v>
      </c>
      <c r="H298" s="90"/>
      <c r="I298" s="49"/>
      <c r="N298" s="64" t="str">
        <f t="shared" ref="N298:N304" ca="1" si="126">O298&amp;""&amp;" &amp; "&amp;""&amp;P298</f>
        <v>101 &amp; 1401</v>
      </c>
      <c r="O298" s="64">
        <f ca="1">(SUMPRODUCT(MID(0&amp;(LEFT(A297,SUM(LEN(A297)-LEN(SUBSTITUTE(A297,{"0","1","2"},""))))), LARGE(INDEX(ISNUMBER(--MID((LEFT(A297,SUM(LEN(A297)-LEN(SUBSTITUTE(A297,{"0","1","2"},""))))), ROW(INDIRECT("1:"&amp;LEN((LEFT(A297,SUM(LEN(A297)-LEN(SUBSTITUTE(A297,{"0","1","2"},"")))))))), 1)) * ROW(INDIRECT("1:"&amp;LEN((LEFT(A297,SUM(LEN(A297)-LEN(SUBSTITUTE(A297,{"0","1","2"},"")))))))), 0), ROW(INDIRECT("1:"&amp;LEN((LEFT(A297,SUM(LEN(A297)-LEN(SUBSTITUTE(A297,{"0","1","2"},"")))))))))+1, 1) * 10^ROW(INDIRECT("1:"&amp;LEN((LEFT(A297,SUM(LEN(A297)-LEN(SUBSTITUTE(A297,{"0","1","2"},""))))))))/10))*100+1</f>
        <v>101</v>
      </c>
      <c r="P298" s="64">
        <f ca="1">(SUMPRODUCT(MID(0&amp;(--TRIM(RIGHT(SUBSTITUTE(LEFT(A297,_xlfn.AGGREGATE(16,6,FIND({0,1,2,3,4,5,6,7,8,9},A297,ROW(INDIRECT("1:"&amp;LEN(A297)))),1))," ",REPT(" ",LEN(A297))),LEN(A297)))), LARGE(INDEX(ISNUMBER(--MID((--TRIM(RIGHT(SUBSTITUTE(LEFT(A297,_xlfn.AGGREGATE(16,6,FIND({0,1,2,3,4,5,6,7,8,9},A297,ROW(INDIRECT("1:"&amp;LEN(A297)))),1))," ",REPT(" ",LEN(A297))),LEN(A297)))), ROW(INDIRECT("1:"&amp;LEN((--TRIM(RIGHT(SUBSTITUTE(LEFT(A297,_xlfn.AGGREGATE(16,6,FIND({0,1,2,3,4,5,6,7,8,9},A297,ROW(INDIRECT("1:"&amp;LEN(A297)))),1))," ",REPT(" ",LEN(A297))),LEN(A297))))))), 1)) * ROW(INDIRECT("1:"&amp;LEN((--TRIM(RIGHT(SUBSTITUTE(LEFT(A297,_xlfn.AGGREGATE(16,6,FIND({0,1,2,3,4,5,6,7,8,9},A297,ROW(INDIRECT("1:"&amp;LEN(A297)))),1))," ",REPT(" ",LEN(A297))),LEN(A297))))))), 0), ROW(INDIRECT("1:"&amp;LEN((--TRIM(RIGHT(SUBSTITUTE(LEFT(A297,_xlfn.AGGREGATE(16,6,FIND({0,1,2,3,4,5,6,7,8,9},A297,ROW(INDIRECT("1:"&amp;LEN(A297)))),1))," ",REPT(" ",LEN(A297))),LEN(A297))))))))+1, 1) * 10^ROW(INDIRECT("1:"&amp;LEN((--TRIM(RIGHT(SUBSTITUTE(LEFT(A297,_xlfn.AGGREGATE(16,6,FIND({0,1,2,3,4,5,6,7,8,9},A297,ROW(INDIRECT("1:"&amp;LEN(A297)))),1))," ",REPT(" ",LEN(A297))),LEN(A297)))))))/10))*100+1</f>
        <v>1401</v>
      </c>
    </row>
    <row r="299" spans="1:16" s="64" customFormat="1" x14ac:dyDescent="0.35">
      <c r="A299" s="89">
        <v>2</v>
      </c>
      <c r="B299" s="90"/>
      <c r="C299" s="56" t="s">
        <v>183</v>
      </c>
      <c r="D299" s="65">
        <f>(733.99+67.81)</f>
        <v>801.8</v>
      </c>
      <c r="E299" s="56">
        <v>0</v>
      </c>
      <c r="F299" s="56">
        <f t="shared" si="125"/>
        <v>1282.8800000000001</v>
      </c>
      <c r="G299" s="89" t="str">
        <f t="shared" ref="G299:G304" si="127">G298</f>
        <v>14th Floor</v>
      </c>
      <c r="H299" s="90"/>
      <c r="I299" s="49"/>
      <c r="N299" s="64" t="str">
        <f t="shared" ca="1" si="126"/>
        <v>102 &amp; 1402</v>
      </c>
      <c r="O299" s="64">
        <f t="shared" ref="O299:P299" ca="1" si="128">O298+1</f>
        <v>102</v>
      </c>
      <c r="P299" s="64">
        <f t="shared" ca="1" si="128"/>
        <v>1402</v>
      </c>
    </row>
    <row r="300" spans="1:16" s="64" customFormat="1" x14ac:dyDescent="0.35">
      <c r="A300" s="89">
        <v>3</v>
      </c>
      <c r="B300" s="90"/>
      <c r="C300" s="56" t="s">
        <v>183</v>
      </c>
      <c r="D300" s="65">
        <f>608.49+58.88</f>
        <v>667.37</v>
      </c>
      <c r="E300" s="56">
        <v>0</v>
      </c>
      <c r="F300" s="56">
        <f t="shared" si="125"/>
        <v>1067.7920000000001</v>
      </c>
      <c r="G300" s="89" t="str">
        <f t="shared" si="127"/>
        <v>14th Floor</v>
      </c>
      <c r="H300" s="90"/>
      <c r="I300" s="49"/>
      <c r="N300" s="64" t="str">
        <f t="shared" ca="1" si="126"/>
        <v>103 &amp; 1403</v>
      </c>
      <c r="O300" s="64">
        <f t="shared" ref="O300:P300" ca="1" si="129">O299+1</f>
        <v>103</v>
      </c>
      <c r="P300" s="64">
        <f t="shared" ca="1" si="129"/>
        <v>1403</v>
      </c>
    </row>
    <row r="301" spans="1:16" s="64" customFormat="1" x14ac:dyDescent="0.35">
      <c r="A301" s="89">
        <v>4</v>
      </c>
      <c r="B301" s="90"/>
      <c r="C301" s="56" t="s">
        <v>183</v>
      </c>
      <c r="D301" s="65">
        <f>825.06+127.55</f>
        <v>952.6099999999999</v>
      </c>
      <c r="E301" s="56">
        <v>0</v>
      </c>
      <c r="F301" s="56">
        <f t="shared" si="125"/>
        <v>1524.1759999999999</v>
      </c>
      <c r="G301" s="89" t="str">
        <f t="shared" si="127"/>
        <v>14th Floor</v>
      </c>
      <c r="H301" s="90"/>
      <c r="I301" s="49"/>
      <c r="N301" s="64" t="str">
        <f t="shared" ca="1" si="126"/>
        <v>104 &amp; 1404</v>
      </c>
      <c r="O301" s="64">
        <f t="shared" ref="O301:P301" ca="1" si="130">O300+1</f>
        <v>104</v>
      </c>
      <c r="P301" s="64">
        <f t="shared" ca="1" si="130"/>
        <v>1404</v>
      </c>
    </row>
    <row r="302" spans="1:16" s="64" customFormat="1" x14ac:dyDescent="0.35">
      <c r="A302" s="89">
        <v>5</v>
      </c>
      <c r="B302" s="90"/>
      <c r="C302" s="56" t="s">
        <v>183</v>
      </c>
      <c r="D302" s="65">
        <f>562.42+71.15</f>
        <v>633.56999999999994</v>
      </c>
      <c r="E302" s="56">
        <v>0</v>
      </c>
      <c r="F302" s="56">
        <f t="shared" si="125"/>
        <v>1013.712</v>
      </c>
      <c r="G302" s="89" t="str">
        <f t="shared" si="127"/>
        <v>14th Floor</v>
      </c>
      <c r="H302" s="90"/>
      <c r="I302" s="49"/>
      <c r="N302" s="64" t="str">
        <f t="shared" ca="1" si="126"/>
        <v>105 &amp; 1405</v>
      </c>
      <c r="O302" s="64">
        <f t="shared" ref="O302:P302" ca="1" si="131">O301+1</f>
        <v>105</v>
      </c>
      <c r="P302" s="64">
        <f t="shared" ca="1" si="131"/>
        <v>1405</v>
      </c>
    </row>
    <row r="303" spans="1:16" s="64" customFormat="1" x14ac:dyDescent="0.35">
      <c r="A303" s="89">
        <v>6</v>
      </c>
      <c r="B303" s="90"/>
      <c r="C303" s="56" t="s">
        <v>144</v>
      </c>
      <c r="D303" s="65">
        <f>919.68+102.37</f>
        <v>1022.05</v>
      </c>
      <c r="E303" s="56">
        <v>0</v>
      </c>
      <c r="F303" s="56">
        <f t="shared" si="125"/>
        <v>1635.28</v>
      </c>
      <c r="G303" s="89" t="str">
        <f t="shared" si="127"/>
        <v>14th Floor</v>
      </c>
      <c r="H303" s="90"/>
      <c r="I303" s="49"/>
      <c r="N303" s="64" t="str">
        <f t="shared" ca="1" si="126"/>
        <v>106 &amp; 1406</v>
      </c>
      <c r="O303" s="64">
        <f t="shared" ref="O303:P303" ca="1" si="132">O302+1</f>
        <v>106</v>
      </c>
      <c r="P303" s="64">
        <f t="shared" ca="1" si="132"/>
        <v>1406</v>
      </c>
    </row>
    <row r="304" spans="1:16" s="64" customFormat="1" x14ac:dyDescent="0.35">
      <c r="A304" s="89">
        <v>7</v>
      </c>
      <c r="B304" s="90"/>
      <c r="C304" s="56" t="s">
        <v>183</v>
      </c>
      <c r="D304" s="65">
        <f>746.16+88.16</f>
        <v>834.31999999999994</v>
      </c>
      <c r="E304" s="56">
        <v>0</v>
      </c>
      <c r="F304" s="56">
        <f t="shared" si="125"/>
        <v>1334.912</v>
      </c>
      <c r="G304" s="89" t="str">
        <f t="shared" si="127"/>
        <v>14th Floor</v>
      </c>
      <c r="H304" s="90"/>
      <c r="I304" s="49"/>
      <c r="N304" s="64" t="str">
        <f t="shared" ca="1" si="126"/>
        <v>107 &amp; 1407</v>
      </c>
      <c r="O304" s="64">
        <f t="shared" ref="O304:P304" ca="1" si="133">O303+1</f>
        <v>107</v>
      </c>
      <c r="P304" s="64">
        <f t="shared" ca="1" si="133"/>
        <v>1407</v>
      </c>
    </row>
    <row r="305" spans="1:16" s="64" customFormat="1" x14ac:dyDescent="0.35">
      <c r="A305" s="91" t="s">
        <v>226</v>
      </c>
      <c r="B305" s="92"/>
      <c r="C305" s="92"/>
      <c r="D305" s="92"/>
      <c r="E305" s="92"/>
      <c r="F305" s="92"/>
      <c r="G305" s="92"/>
      <c r="H305" s="93"/>
      <c r="I305" s="49"/>
      <c r="P305" s="51"/>
    </row>
    <row r="306" spans="1:16" s="64" customFormat="1" x14ac:dyDescent="0.35">
      <c r="A306" s="89">
        <v>1</v>
      </c>
      <c r="B306" s="90"/>
      <c r="C306" s="56" t="s">
        <v>183</v>
      </c>
      <c r="D306" s="65">
        <f>704.4+66.52</f>
        <v>770.92</v>
      </c>
      <c r="E306" s="56">
        <v>0</v>
      </c>
      <c r="F306" s="56">
        <f t="shared" ref="F306:F312" si="134">D306*(($F$146)+1)+E306</f>
        <v>1233.472</v>
      </c>
      <c r="G306" s="89" t="str">
        <f>A305</f>
        <v>16th Floor</v>
      </c>
      <c r="H306" s="90"/>
      <c r="I306" s="49"/>
      <c r="N306" s="64" t="str">
        <f t="shared" ref="N306:N312" ca="1" si="135">O306&amp;""&amp;" &amp; "&amp;""&amp;P306</f>
        <v>101 &amp; 1601</v>
      </c>
      <c r="O306" s="64">
        <f ca="1">(SUMPRODUCT(MID(0&amp;(LEFT(A305,SUM(LEN(A305)-LEN(SUBSTITUTE(A305,{"0","1","2"},""))))), LARGE(INDEX(ISNUMBER(--MID((LEFT(A305,SUM(LEN(A305)-LEN(SUBSTITUTE(A305,{"0","1","2"},""))))), ROW(INDIRECT("1:"&amp;LEN((LEFT(A305,SUM(LEN(A305)-LEN(SUBSTITUTE(A305,{"0","1","2"},"")))))))), 1)) * ROW(INDIRECT("1:"&amp;LEN((LEFT(A305,SUM(LEN(A305)-LEN(SUBSTITUTE(A305,{"0","1","2"},"")))))))), 0), ROW(INDIRECT("1:"&amp;LEN((LEFT(A305,SUM(LEN(A305)-LEN(SUBSTITUTE(A305,{"0","1","2"},"")))))))))+1, 1) * 10^ROW(INDIRECT("1:"&amp;LEN((LEFT(A305,SUM(LEN(A305)-LEN(SUBSTITUTE(A305,{"0","1","2"},""))))))))/10))*100+1</f>
        <v>101</v>
      </c>
      <c r="P306" s="64">
        <f ca="1">(SUMPRODUCT(MID(0&amp;(--TRIM(RIGHT(SUBSTITUTE(LEFT(A305,_xlfn.AGGREGATE(16,6,FIND({0,1,2,3,4,5,6,7,8,9},A305,ROW(INDIRECT("1:"&amp;LEN(A305)))),1))," ",REPT(" ",LEN(A305))),LEN(A305)))), LARGE(INDEX(ISNUMBER(--MID((--TRIM(RIGHT(SUBSTITUTE(LEFT(A305,_xlfn.AGGREGATE(16,6,FIND({0,1,2,3,4,5,6,7,8,9},A305,ROW(INDIRECT("1:"&amp;LEN(A305)))),1))," ",REPT(" ",LEN(A305))),LEN(A305)))), ROW(INDIRECT("1:"&amp;LEN((--TRIM(RIGHT(SUBSTITUTE(LEFT(A305,_xlfn.AGGREGATE(16,6,FIND({0,1,2,3,4,5,6,7,8,9},A305,ROW(INDIRECT("1:"&amp;LEN(A305)))),1))," ",REPT(" ",LEN(A305))),LEN(A305))))))), 1)) * ROW(INDIRECT("1:"&amp;LEN((--TRIM(RIGHT(SUBSTITUTE(LEFT(A305,_xlfn.AGGREGATE(16,6,FIND({0,1,2,3,4,5,6,7,8,9},A305,ROW(INDIRECT("1:"&amp;LEN(A305)))),1))," ",REPT(" ",LEN(A305))),LEN(A305))))))), 0), ROW(INDIRECT("1:"&amp;LEN((--TRIM(RIGHT(SUBSTITUTE(LEFT(A305,_xlfn.AGGREGATE(16,6,FIND({0,1,2,3,4,5,6,7,8,9},A305,ROW(INDIRECT("1:"&amp;LEN(A305)))),1))," ",REPT(" ",LEN(A305))),LEN(A305))))))))+1, 1) * 10^ROW(INDIRECT("1:"&amp;LEN((--TRIM(RIGHT(SUBSTITUTE(LEFT(A305,_xlfn.AGGREGATE(16,6,FIND({0,1,2,3,4,5,6,7,8,9},A305,ROW(INDIRECT("1:"&amp;LEN(A305)))),1))," ",REPT(" ",LEN(A305))),LEN(A305)))))))/10))*100+1</f>
        <v>1601</v>
      </c>
    </row>
    <row r="307" spans="1:16" s="64" customFormat="1" x14ac:dyDescent="0.35">
      <c r="A307" s="89">
        <v>2</v>
      </c>
      <c r="B307" s="90"/>
      <c r="C307" s="56" t="s">
        <v>183</v>
      </c>
      <c r="D307" s="65">
        <f>(737.98+116.14)</f>
        <v>854.12</v>
      </c>
      <c r="E307" s="56">
        <v>0</v>
      </c>
      <c r="F307" s="56">
        <f t="shared" si="134"/>
        <v>1366.5920000000001</v>
      </c>
      <c r="G307" s="89" t="str">
        <f t="shared" ref="G307:G312" si="136">G306</f>
        <v>16th Floor</v>
      </c>
      <c r="H307" s="90"/>
      <c r="I307" s="49"/>
      <c r="N307" s="64" t="str">
        <f t="shared" ca="1" si="135"/>
        <v>102 &amp; 1602</v>
      </c>
      <c r="O307" s="64">
        <f t="shared" ref="O307:P307" ca="1" si="137">O306+1</f>
        <v>102</v>
      </c>
      <c r="P307" s="64">
        <f t="shared" ca="1" si="137"/>
        <v>1602</v>
      </c>
    </row>
    <row r="308" spans="1:16" s="64" customFormat="1" x14ac:dyDescent="0.35">
      <c r="A308" s="89">
        <v>3</v>
      </c>
      <c r="B308" s="90"/>
      <c r="C308" s="56" t="s">
        <v>183</v>
      </c>
      <c r="D308" s="65">
        <f>608.49+71.8</f>
        <v>680.29</v>
      </c>
      <c r="E308" s="56">
        <v>0</v>
      </c>
      <c r="F308" s="56">
        <f t="shared" si="134"/>
        <v>1088.4639999999999</v>
      </c>
      <c r="G308" s="89" t="str">
        <f t="shared" si="136"/>
        <v>16th Floor</v>
      </c>
      <c r="H308" s="90"/>
      <c r="I308" s="49"/>
      <c r="N308" s="64" t="str">
        <f t="shared" ca="1" si="135"/>
        <v>103 &amp; 1603</v>
      </c>
      <c r="O308" s="64">
        <f t="shared" ref="O308:P308" ca="1" si="138">O307+1</f>
        <v>103</v>
      </c>
      <c r="P308" s="64">
        <f t="shared" ca="1" si="138"/>
        <v>1603</v>
      </c>
    </row>
    <row r="309" spans="1:16" s="64" customFormat="1" x14ac:dyDescent="0.35">
      <c r="A309" s="89">
        <v>4</v>
      </c>
      <c r="B309" s="90"/>
      <c r="C309" s="56" t="s">
        <v>183</v>
      </c>
      <c r="D309" s="65">
        <f>825.06+127.55</f>
        <v>952.6099999999999</v>
      </c>
      <c r="E309" s="56">
        <v>0</v>
      </c>
      <c r="F309" s="56">
        <f t="shared" si="134"/>
        <v>1524.1759999999999</v>
      </c>
      <c r="G309" s="89" t="str">
        <f t="shared" si="136"/>
        <v>16th Floor</v>
      </c>
      <c r="H309" s="90"/>
      <c r="I309" s="49"/>
      <c r="N309" s="64" t="str">
        <f t="shared" ca="1" si="135"/>
        <v>104 &amp; 1604</v>
      </c>
      <c r="O309" s="64">
        <f t="shared" ref="O309:P309" ca="1" si="139">O308+1</f>
        <v>104</v>
      </c>
      <c r="P309" s="64">
        <f t="shared" ca="1" si="139"/>
        <v>1604</v>
      </c>
    </row>
    <row r="310" spans="1:16" s="64" customFormat="1" x14ac:dyDescent="0.35">
      <c r="A310" s="89">
        <v>5</v>
      </c>
      <c r="B310" s="90"/>
      <c r="C310" s="56" t="s">
        <v>183</v>
      </c>
      <c r="D310" s="65">
        <f>562.42+71.15</f>
        <v>633.56999999999994</v>
      </c>
      <c r="E310" s="56">
        <v>0</v>
      </c>
      <c r="F310" s="56">
        <f t="shared" si="134"/>
        <v>1013.712</v>
      </c>
      <c r="G310" s="89" t="str">
        <f t="shared" si="136"/>
        <v>16th Floor</v>
      </c>
      <c r="H310" s="90"/>
      <c r="I310" s="49"/>
      <c r="N310" s="64" t="str">
        <f t="shared" ca="1" si="135"/>
        <v>105 &amp; 1605</v>
      </c>
      <c r="O310" s="64">
        <f t="shared" ref="O310:P310" ca="1" si="140">O309+1</f>
        <v>105</v>
      </c>
      <c r="P310" s="64">
        <f t="shared" ca="1" si="140"/>
        <v>1605</v>
      </c>
    </row>
    <row r="311" spans="1:16" s="64" customFormat="1" x14ac:dyDescent="0.35">
      <c r="A311" s="89">
        <v>6</v>
      </c>
      <c r="B311" s="90"/>
      <c r="C311" s="56" t="s">
        <v>144</v>
      </c>
      <c r="D311" s="65">
        <f>924.2+131.64</f>
        <v>1055.8400000000001</v>
      </c>
      <c r="E311" s="56">
        <v>0</v>
      </c>
      <c r="F311" s="56">
        <f t="shared" si="134"/>
        <v>1689.3440000000003</v>
      </c>
      <c r="G311" s="89" t="str">
        <f t="shared" si="136"/>
        <v>16th Floor</v>
      </c>
      <c r="H311" s="90"/>
      <c r="I311" s="49"/>
      <c r="N311" s="64" t="str">
        <f t="shared" ca="1" si="135"/>
        <v>106 &amp; 1606</v>
      </c>
      <c r="O311" s="64">
        <f t="shared" ref="O311:P311" ca="1" si="141">O310+1</f>
        <v>106</v>
      </c>
      <c r="P311" s="64">
        <f t="shared" ca="1" si="141"/>
        <v>1606</v>
      </c>
    </row>
    <row r="312" spans="1:16" s="64" customFormat="1" x14ac:dyDescent="0.35">
      <c r="A312" s="89">
        <v>7</v>
      </c>
      <c r="B312" s="90"/>
      <c r="C312" s="56" t="s">
        <v>183</v>
      </c>
      <c r="D312" s="65">
        <f>746.16+88.16</f>
        <v>834.31999999999994</v>
      </c>
      <c r="E312" s="56">
        <v>0</v>
      </c>
      <c r="F312" s="56">
        <f t="shared" si="134"/>
        <v>1334.912</v>
      </c>
      <c r="G312" s="89" t="str">
        <f t="shared" si="136"/>
        <v>16th Floor</v>
      </c>
      <c r="H312" s="90"/>
      <c r="I312" s="49"/>
      <c r="N312" s="64" t="str">
        <f t="shared" ca="1" si="135"/>
        <v>107 &amp; 1607</v>
      </c>
      <c r="O312" s="64">
        <f t="shared" ref="O312:P312" ca="1" si="142">O311+1</f>
        <v>107</v>
      </c>
      <c r="P312" s="64">
        <f t="shared" ca="1" si="142"/>
        <v>1607</v>
      </c>
    </row>
    <row r="313" spans="1:16" s="64" customFormat="1" x14ac:dyDescent="0.35">
      <c r="A313" s="91" t="s">
        <v>227</v>
      </c>
      <c r="B313" s="92"/>
      <c r="C313" s="92"/>
      <c r="D313" s="92"/>
      <c r="E313" s="92"/>
      <c r="F313" s="92"/>
      <c r="G313" s="92"/>
      <c r="H313" s="93"/>
      <c r="I313" s="49"/>
      <c r="P313" s="51"/>
    </row>
    <row r="314" spans="1:16" s="64" customFormat="1" x14ac:dyDescent="0.35">
      <c r="A314" s="89">
        <v>1</v>
      </c>
      <c r="B314" s="90"/>
      <c r="C314" s="56" t="s">
        <v>183</v>
      </c>
      <c r="D314" s="65">
        <f>704.4+66.52</f>
        <v>770.92</v>
      </c>
      <c r="E314" s="56">
        <v>0</v>
      </c>
      <c r="F314" s="56">
        <f t="shared" ref="F314:F320" si="143">D314*(($F$146)+1)+E314</f>
        <v>1233.472</v>
      </c>
      <c r="G314" s="89" t="str">
        <f>A313</f>
        <v>18th Floor</v>
      </c>
      <c r="H314" s="90"/>
      <c r="I314" s="49"/>
      <c r="N314" s="64" t="str">
        <f t="shared" ref="N314:N320" ca="1" si="144">O314&amp;""&amp;" &amp; "&amp;""&amp;P314</f>
        <v>101 &amp; 1801</v>
      </c>
      <c r="O314" s="64">
        <f ca="1">(SUMPRODUCT(MID(0&amp;(LEFT(A313,SUM(LEN(A313)-LEN(SUBSTITUTE(A313,{"0","1","2"},""))))), LARGE(INDEX(ISNUMBER(--MID((LEFT(A313,SUM(LEN(A313)-LEN(SUBSTITUTE(A313,{"0","1","2"},""))))), ROW(INDIRECT("1:"&amp;LEN((LEFT(A313,SUM(LEN(A313)-LEN(SUBSTITUTE(A313,{"0","1","2"},"")))))))), 1)) * ROW(INDIRECT("1:"&amp;LEN((LEFT(A313,SUM(LEN(A313)-LEN(SUBSTITUTE(A313,{"0","1","2"},"")))))))), 0), ROW(INDIRECT("1:"&amp;LEN((LEFT(A313,SUM(LEN(A313)-LEN(SUBSTITUTE(A313,{"0","1","2"},"")))))))))+1, 1) * 10^ROW(INDIRECT("1:"&amp;LEN((LEFT(A313,SUM(LEN(A313)-LEN(SUBSTITUTE(A313,{"0","1","2"},""))))))))/10))*100+1</f>
        <v>101</v>
      </c>
      <c r="P314" s="64">
        <f ca="1">(SUMPRODUCT(MID(0&amp;(--TRIM(RIGHT(SUBSTITUTE(LEFT(A313,_xlfn.AGGREGATE(16,6,FIND({0,1,2,3,4,5,6,7,8,9},A313,ROW(INDIRECT("1:"&amp;LEN(A313)))),1))," ",REPT(" ",LEN(A313))),LEN(A313)))), LARGE(INDEX(ISNUMBER(--MID((--TRIM(RIGHT(SUBSTITUTE(LEFT(A313,_xlfn.AGGREGATE(16,6,FIND({0,1,2,3,4,5,6,7,8,9},A313,ROW(INDIRECT("1:"&amp;LEN(A313)))),1))," ",REPT(" ",LEN(A313))),LEN(A313)))), ROW(INDIRECT("1:"&amp;LEN((--TRIM(RIGHT(SUBSTITUTE(LEFT(A313,_xlfn.AGGREGATE(16,6,FIND({0,1,2,3,4,5,6,7,8,9},A313,ROW(INDIRECT("1:"&amp;LEN(A313)))),1))," ",REPT(" ",LEN(A313))),LEN(A313))))))), 1)) * ROW(INDIRECT("1:"&amp;LEN((--TRIM(RIGHT(SUBSTITUTE(LEFT(A313,_xlfn.AGGREGATE(16,6,FIND({0,1,2,3,4,5,6,7,8,9},A313,ROW(INDIRECT("1:"&amp;LEN(A313)))),1))," ",REPT(" ",LEN(A313))),LEN(A313))))))), 0), ROW(INDIRECT("1:"&amp;LEN((--TRIM(RIGHT(SUBSTITUTE(LEFT(A313,_xlfn.AGGREGATE(16,6,FIND({0,1,2,3,4,5,6,7,8,9},A313,ROW(INDIRECT("1:"&amp;LEN(A313)))),1))," ",REPT(" ",LEN(A313))),LEN(A313))))))))+1, 1) * 10^ROW(INDIRECT("1:"&amp;LEN((--TRIM(RIGHT(SUBSTITUTE(LEFT(A313,_xlfn.AGGREGATE(16,6,FIND({0,1,2,3,4,5,6,7,8,9},A313,ROW(INDIRECT("1:"&amp;LEN(A313)))),1))," ",REPT(" ",LEN(A313))),LEN(A313)))))))/10))*100+1</f>
        <v>1801</v>
      </c>
    </row>
    <row r="315" spans="1:16" s="64" customFormat="1" x14ac:dyDescent="0.35">
      <c r="A315" s="89">
        <v>2</v>
      </c>
      <c r="B315" s="90"/>
      <c r="C315" s="56" t="s">
        <v>183</v>
      </c>
      <c r="D315" s="65">
        <f>(737.98+116.14)</f>
        <v>854.12</v>
      </c>
      <c r="E315" s="56">
        <v>0</v>
      </c>
      <c r="F315" s="56">
        <f t="shared" si="143"/>
        <v>1366.5920000000001</v>
      </c>
      <c r="G315" s="89" t="str">
        <f t="shared" ref="G315:G320" si="145">G314</f>
        <v>18th Floor</v>
      </c>
      <c r="H315" s="90"/>
      <c r="I315" s="49"/>
      <c r="N315" s="64" t="str">
        <f t="shared" ca="1" si="144"/>
        <v>102 &amp; 1802</v>
      </c>
      <c r="O315" s="64">
        <f t="shared" ref="O315:P315" ca="1" si="146">O314+1</f>
        <v>102</v>
      </c>
      <c r="P315" s="64">
        <f t="shared" ca="1" si="146"/>
        <v>1802</v>
      </c>
    </row>
    <row r="316" spans="1:16" s="64" customFormat="1" x14ac:dyDescent="0.35">
      <c r="A316" s="89">
        <v>3</v>
      </c>
      <c r="B316" s="90"/>
      <c r="C316" s="56" t="s">
        <v>183</v>
      </c>
      <c r="D316" s="65">
        <f>608.49+71.8</f>
        <v>680.29</v>
      </c>
      <c r="E316" s="56">
        <v>0</v>
      </c>
      <c r="F316" s="56">
        <f t="shared" si="143"/>
        <v>1088.4639999999999</v>
      </c>
      <c r="G316" s="89" t="str">
        <f t="shared" si="145"/>
        <v>18th Floor</v>
      </c>
      <c r="H316" s="90"/>
      <c r="I316" s="49"/>
      <c r="N316" s="64" t="str">
        <f t="shared" ca="1" si="144"/>
        <v>103 &amp; 1803</v>
      </c>
      <c r="O316" s="64">
        <f t="shared" ref="O316:P316" ca="1" si="147">O315+1</f>
        <v>103</v>
      </c>
      <c r="P316" s="64">
        <f t="shared" ca="1" si="147"/>
        <v>1803</v>
      </c>
    </row>
    <row r="317" spans="1:16" s="64" customFormat="1" x14ac:dyDescent="0.35">
      <c r="A317" s="89">
        <v>4</v>
      </c>
      <c r="B317" s="90"/>
      <c r="C317" s="56" t="s">
        <v>183</v>
      </c>
      <c r="D317" s="65">
        <f>827.32+186</f>
        <v>1013.32</v>
      </c>
      <c r="E317" s="56">
        <v>0</v>
      </c>
      <c r="F317" s="56">
        <f t="shared" si="143"/>
        <v>1621.3120000000001</v>
      </c>
      <c r="G317" s="89" t="str">
        <f t="shared" si="145"/>
        <v>18th Floor</v>
      </c>
      <c r="H317" s="90"/>
      <c r="I317" s="49"/>
      <c r="N317" s="64" t="str">
        <f t="shared" ca="1" si="144"/>
        <v>104 &amp; 1804</v>
      </c>
      <c r="O317" s="64">
        <f t="shared" ref="O317:P317" ca="1" si="148">O316+1</f>
        <v>104</v>
      </c>
      <c r="P317" s="64">
        <f t="shared" ca="1" si="148"/>
        <v>1804</v>
      </c>
    </row>
    <row r="318" spans="1:16" s="64" customFormat="1" x14ac:dyDescent="0.35">
      <c r="A318" s="89">
        <v>5</v>
      </c>
      <c r="B318" s="90"/>
      <c r="C318" s="56" t="s">
        <v>183</v>
      </c>
      <c r="D318" s="65">
        <f>562.42+78.36</f>
        <v>640.78</v>
      </c>
      <c r="E318" s="56">
        <v>0</v>
      </c>
      <c r="F318" s="56">
        <f t="shared" si="143"/>
        <v>1025.248</v>
      </c>
      <c r="G318" s="89" t="str">
        <f t="shared" si="145"/>
        <v>18th Floor</v>
      </c>
      <c r="H318" s="90"/>
      <c r="I318" s="49"/>
      <c r="N318" s="64" t="str">
        <f t="shared" ca="1" si="144"/>
        <v>105 &amp; 1805</v>
      </c>
      <c r="O318" s="64">
        <f t="shared" ref="O318:P318" ca="1" si="149">O317+1</f>
        <v>105</v>
      </c>
      <c r="P318" s="64">
        <f t="shared" ca="1" si="149"/>
        <v>1805</v>
      </c>
    </row>
    <row r="319" spans="1:16" s="64" customFormat="1" x14ac:dyDescent="0.35">
      <c r="A319" s="89">
        <v>6</v>
      </c>
      <c r="B319" s="90"/>
      <c r="C319" s="56" t="s">
        <v>144</v>
      </c>
      <c r="D319" s="65">
        <f>924.2+131.64</f>
        <v>1055.8400000000001</v>
      </c>
      <c r="E319" s="56">
        <v>0</v>
      </c>
      <c r="F319" s="56">
        <f t="shared" si="143"/>
        <v>1689.3440000000003</v>
      </c>
      <c r="G319" s="89" t="str">
        <f t="shared" si="145"/>
        <v>18th Floor</v>
      </c>
      <c r="H319" s="90"/>
      <c r="I319" s="49"/>
      <c r="N319" s="64" t="str">
        <f t="shared" ca="1" si="144"/>
        <v>106 &amp; 1806</v>
      </c>
      <c r="O319" s="64">
        <f t="shared" ref="O319:P319" ca="1" si="150">O318+1</f>
        <v>106</v>
      </c>
      <c r="P319" s="64">
        <f t="shared" ca="1" si="150"/>
        <v>1806</v>
      </c>
    </row>
    <row r="320" spans="1:16" s="64" customFormat="1" x14ac:dyDescent="0.35">
      <c r="A320" s="89">
        <v>7</v>
      </c>
      <c r="B320" s="90"/>
      <c r="C320" s="56" t="s">
        <v>183</v>
      </c>
      <c r="D320" s="65">
        <f>746.16+88.16</f>
        <v>834.31999999999994</v>
      </c>
      <c r="E320" s="56">
        <v>0</v>
      </c>
      <c r="F320" s="56">
        <f t="shared" si="143"/>
        <v>1334.912</v>
      </c>
      <c r="G320" s="89" t="str">
        <f t="shared" si="145"/>
        <v>18th Floor</v>
      </c>
      <c r="H320" s="90"/>
      <c r="I320" s="49"/>
      <c r="N320" s="64" t="str">
        <f t="shared" ca="1" si="144"/>
        <v>107 &amp; 1807</v>
      </c>
      <c r="O320" s="64">
        <f t="shared" ref="O320:P320" ca="1" si="151">O319+1</f>
        <v>107</v>
      </c>
      <c r="P320" s="64">
        <f t="shared" ca="1" si="151"/>
        <v>1807</v>
      </c>
    </row>
    <row r="321" spans="1:16" s="64" customFormat="1" x14ac:dyDescent="0.35">
      <c r="A321" s="91" t="s">
        <v>228</v>
      </c>
      <c r="B321" s="92"/>
      <c r="C321" s="92"/>
      <c r="D321" s="92"/>
      <c r="E321" s="92"/>
      <c r="F321" s="92"/>
      <c r="G321" s="92"/>
      <c r="H321" s="93"/>
      <c r="I321" s="49"/>
      <c r="P321" s="51"/>
    </row>
    <row r="322" spans="1:16" s="64" customFormat="1" x14ac:dyDescent="0.35">
      <c r="A322" s="89">
        <v>1</v>
      </c>
      <c r="B322" s="90"/>
      <c r="C322" s="56" t="s">
        <v>183</v>
      </c>
      <c r="D322" s="65">
        <f>704.4+66.52</f>
        <v>770.92</v>
      </c>
      <c r="E322" s="56">
        <v>0</v>
      </c>
      <c r="F322" s="56">
        <f t="shared" ref="F322:F328" si="152">D322*(($F$146)+1)+E322</f>
        <v>1233.472</v>
      </c>
      <c r="G322" s="89" t="str">
        <f>A321</f>
        <v>19th Floor (Part Refuge Area)</v>
      </c>
      <c r="H322" s="90"/>
      <c r="I322" s="49"/>
      <c r="N322" s="64" t="str">
        <f t="shared" ref="N322:N328" ca="1" si="153">O322&amp;""&amp;" &amp; "&amp;""&amp;P322</f>
        <v>101 &amp; 1901</v>
      </c>
      <c r="O322" s="64">
        <f ca="1">(SUMPRODUCT(MID(0&amp;(LEFT(A321,SUM(LEN(A321)-LEN(SUBSTITUTE(A321,{"0","1","2"},""))))), LARGE(INDEX(ISNUMBER(--MID((LEFT(A321,SUM(LEN(A321)-LEN(SUBSTITUTE(A321,{"0","1","2"},""))))), ROW(INDIRECT("1:"&amp;LEN((LEFT(A321,SUM(LEN(A321)-LEN(SUBSTITUTE(A321,{"0","1","2"},"")))))))), 1)) * ROW(INDIRECT("1:"&amp;LEN((LEFT(A321,SUM(LEN(A321)-LEN(SUBSTITUTE(A321,{"0","1","2"},"")))))))), 0), ROW(INDIRECT("1:"&amp;LEN((LEFT(A321,SUM(LEN(A321)-LEN(SUBSTITUTE(A321,{"0","1","2"},"")))))))))+1, 1) * 10^ROW(INDIRECT("1:"&amp;LEN((LEFT(A321,SUM(LEN(A321)-LEN(SUBSTITUTE(A321,{"0","1","2"},""))))))))/10))*100+1</f>
        <v>101</v>
      </c>
      <c r="P322" s="64">
        <f ca="1">(SUMPRODUCT(MID(0&amp;(--TRIM(RIGHT(SUBSTITUTE(LEFT(A321,_xlfn.AGGREGATE(16,6,FIND({0,1,2,3,4,5,6,7,8,9},A321,ROW(INDIRECT("1:"&amp;LEN(A321)))),1))," ",REPT(" ",LEN(A321))),LEN(A321)))), LARGE(INDEX(ISNUMBER(--MID((--TRIM(RIGHT(SUBSTITUTE(LEFT(A321,_xlfn.AGGREGATE(16,6,FIND({0,1,2,3,4,5,6,7,8,9},A321,ROW(INDIRECT("1:"&amp;LEN(A321)))),1))," ",REPT(" ",LEN(A321))),LEN(A321)))), ROW(INDIRECT("1:"&amp;LEN((--TRIM(RIGHT(SUBSTITUTE(LEFT(A321,_xlfn.AGGREGATE(16,6,FIND({0,1,2,3,4,5,6,7,8,9},A321,ROW(INDIRECT("1:"&amp;LEN(A321)))),1))," ",REPT(" ",LEN(A321))),LEN(A321))))))), 1)) * ROW(INDIRECT("1:"&amp;LEN((--TRIM(RIGHT(SUBSTITUTE(LEFT(A321,_xlfn.AGGREGATE(16,6,FIND({0,1,2,3,4,5,6,7,8,9},A321,ROW(INDIRECT("1:"&amp;LEN(A321)))),1))," ",REPT(" ",LEN(A321))),LEN(A321))))))), 0), ROW(INDIRECT("1:"&amp;LEN((--TRIM(RIGHT(SUBSTITUTE(LEFT(A321,_xlfn.AGGREGATE(16,6,FIND({0,1,2,3,4,5,6,7,8,9},A321,ROW(INDIRECT("1:"&amp;LEN(A321)))),1))," ",REPT(" ",LEN(A321))),LEN(A321))))))))+1, 1) * 10^ROW(INDIRECT("1:"&amp;LEN((--TRIM(RIGHT(SUBSTITUTE(LEFT(A321,_xlfn.AGGREGATE(16,6,FIND({0,1,2,3,4,5,6,7,8,9},A321,ROW(INDIRECT("1:"&amp;LEN(A321)))),1))," ",REPT(" ",LEN(A321))),LEN(A321)))))))/10))*100+1</f>
        <v>1901</v>
      </c>
    </row>
    <row r="323" spans="1:16" s="64" customFormat="1" x14ac:dyDescent="0.35">
      <c r="A323" s="89">
        <v>2</v>
      </c>
      <c r="B323" s="90"/>
      <c r="C323" s="56" t="s">
        <v>183</v>
      </c>
      <c r="D323" s="65">
        <f>(733.46+67.81)</f>
        <v>801.27</v>
      </c>
      <c r="E323" s="56">
        <v>0</v>
      </c>
      <c r="F323" s="56">
        <f t="shared" si="152"/>
        <v>1282.0320000000002</v>
      </c>
      <c r="G323" s="89" t="str">
        <f t="shared" ref="G323:G328" si="154">G322</f>
        <v>19th Floor (Part Refuge Area)</v>
      </c>
      <c r="H323" s="90"/>
      <c r="I323" s="49"/>
      <c r="N323" s="64" t="str">
        <f t="shared" ca="1" si="153"/>
        <v>102 &amp; 1902</v>
      </c>
      <c r="O323" s="64">
        <f t="shared" ref="O323:P323" ca="1" si="155">O322+1</f>
        <v>102</v>
      </c>
      <c r="P323" s="64">
        <f t="shared" ca="1" si="155"/>
        <v>1902</v>
      </c>
    </row>
    <row r="324" spans="1:16" s="64" customFormat="1" x14ac:dyDescent="0.35">
      <c r="A324" s="89">
        <v>3</v>
      </c>
      <c r="B324" s="90"/>
      <c r="C324" s="56" t="s">
        <v>183</v>
      </c>
      <c r="D324" s="65">
        <f>608.49+58.88</f>
        <v>667.37</v>
      </c>
      <c r="E324" s="56">
        <v>0</v>
      </c>
      <c r="F324" s="56">
        <f t="shared" si="152"/>
        <v>1067.7920000000001</v>
      </c>
      <c r="G324" s="89" t="str">
        <f t="shared" si="154"/>
        <v>19th Floor (Part Refuge Area)</v>
      </c>
      <c r="H324" s="90"/>
      <c r="I324" s="49"/>
      <c r="N324" s="64" t="str">
        <f t="shared" ca="1" si="153"/>
        <v>103 &amp; 1903</v>
      </c>
      <c r="O324" s="64">
        <f t="shared" ref="O324:P324" ca="1" si="156">O323+1</f>
        <v>103</v>
      </c>
      <c r="P324" s="64">
        <f t="shared" ca="1" si="156"/>
        <v>1903</v>
      </c>
    </row>
    <row r="325" spans="1:16" s="64" customFormat="1" x14ac:dyDescent="0.35">
      <c r="A325" s="89">
        <v>4</v>
      </c>
      <c r="B325" s="90"/>
      <c r="C325" s="56" t="s">
        <v>183</v>
      </c>
      <c r="D325" s="65">
        <f>827.32+186</f>
        <v>1013.32</v>
      </c>
      <c r="E325" s="56">
        <v>0</v>
      </c>
      <c r="F325" s="56">
        <f t="shared" si="152"/>
        <v>1621.3120000000001</v>
      </c>
      <c r="G325" s="89" t="str">
        <f t="shared" si="154"/>
        <v>19th Floor (Part Refuge Area)</v>
      </c>
      <c r="H325" s="90"/>
      <c r="I325" s="49"/>
      <c r="N325" s="64" t="str">
        <f t="shared" ca="1" si="153"/>
        <v>104 &amp; 1904</v>
      </c>
      <c r="O325" s="64">
        <f t="shared" ref="O325:P325" ca="1" si="157">O324+1</f>
        <v>104</v>
      </c>
      <c r="P325" s="64">
        <f t="shared" ca="1" si="157"/>
        <v>1904</v>
      </c>
    </row>
    <row r="326" spans="1:16" s="64" customFormat="1" x14ac:dyDescent="0.35">
      <c r="A326" s="89">
        <v>5</v>
      </c>
      <c r="B326" s="90"/>
      <c r="C326" s="56" t="s">
        <v>183</v>
      </c>
      <c r="D326" s="65">
        <f>562.42+78.36</f>
        <v>640.78</v>
      </c>
      <c r="E326" s="56">
        <v>0</v>
      </c>
      <c r="F326" s="56">
        <f t="shared" si="152"/>
        <v>1025.248</v>
      </c>
      <c r="G326" s="89" t="str">
        <f t="shared" si="154"/>
        <v>19th Floor (Part Refuge Area)</v>
      </c>
      <c r="H326" s="90"/>
      <c r="I326" s="49"/>
      <c r="N326" s="64" t="str">
        <f t="shared" ca="1" si="153"/>
        <v>105 &amp; 1905</v>
      </c>
      <c r="O326" s="64">
        <f t="shared" ref="O326:P326" ca="1" si="158">O325+1</f>
        <v>105</v>
      </c>
      <c r="P326" s="64">
        <f t="shared" ca="1" si="158"/>
        <v>1905</v>
      </c>
    </row>
    <row r="327" spans="1:16" s="64" customFormat="1" x14ac:dyDescent="0.35">
      <c r="A327" s="89">
        <v>6</v>
      </c>
      <c r="B327" s="90"/>
      <c r="C327" s="56" t="s">
        <v>144</v>
      </c>
      <c r="D327" s="65">
        <f>924.2+131.64</f>
        <v>1055.8400000000001</v>
      </c>
      <c r="E327" s="56">
        <v>0</v>
      </c>
      <c r="F327" s="56">
        <f t="shared" si="152"/>
        <v>1689.3440000000003</v>
      </c>
      <c r="G327" s="89" t="str">
        <f t="shared" si="154"/>
        <v>19th Floor (Part Refuge Area)</v>
      </c>
      <c r="H327" s="90"/>
      <c r="I327" s="49"/>
      <c r="N327" s="64" t="str">
        <f t="shared" ca="1" si="153"/>
        <v>106 &amp; 1906</v>
      </c>
      <c r="O327" s="64">
        <f t="shared" ref="O327:P327" ca="1" si="159">O326+1</f>
        <v>106</v>
      </c>
      <c r="P327" s="64">
        <f t="shared" ca="1" si="159"/>
        <v>1906</v>
      </c>
    </row>
    <row r="328" spans="1:16" s="64" customFormat="1" x14ac:dyDescent="0.35">
      <c r="A328" s="89">
        <v>7</v>
      </c>
      <c r="B328" s="90"/>
      <c r="C328" s="56" t="s">
        <v>183</v>
      </c>
      <c r="D328" s="65">
        <f>746.16+88.16</f>
        <v>834.31999999999994</v>
      </c>
      <c r="E328" s="56">
        <v>0</v>
      </c>
      <c r="F328" s="56">
        <f t="shared" si="152"/>
        <v>1334.912</v>
      </c>
      <c r="G328" s="89" t="str">
        <f t="shared" si="154"/>
        <v>19th Floor (Part Refuge Area)</v>
      </c>
      <c r="H328" s="90"/>
      <c r="I328" s="49"/>
      <c r="N328" s="64" t="str">
        <f t="shared" ca="1" si="153"/>
        <v>107 &amp; 1907</v>
      </c>
      <c r="O328" s="64">
        <f t="shared" ref="O328:P328" ca="1" si="160">O327+1</f>
        <v>107</v>
      </c>
      <c r="P328" s="64">
        <f t="shared" ca="1" si="160"/>
        <v>1907</v>
      </c>
    </row>
    <row r="329" spans="1:16" s="64" customFormat="1" x14ac:dyDescent="0.35">
      <c r="A329" s="91" t="s">
        <v>229</v>
      </c>
      <c r="B329" s="92"/>
      <c r="C329" s="92"/>
      <c r="D329" s="92"/>
      <c r="E329" s="92"/>
      <c r="F329" s="92"/>
      <c r="G329" s="92"/>
      <c r="H329" s="93"/>
      <c r="I329" s="49"/>
      <c r="P329" s="51"/>
    </row>
    <row r="330" spans="1:16" s="64" customFormat="1" x14ac:dyDescent="0.35">
      <c r="A330" s="89">
        <v>1</v>
      </c>
      <c r="B330" s="90"/>
      <c r="C330" s="56" t="s">
        <v>183</v>
      </c>
      <c r="D330" s="65">
        <f>704.4+66.52</f>
        <v>770.92</v>
      </c>
      <c r="E330" s="56">
        <v>0</v>
      </c>
      <c r="F330" s="56">
        <f t="shared" ref="F330:F336" si="161">D330*(($F$146)+1)+E330</f>
        <v>1233.472</v>
      </c>
      <c r="G330" s="89" t="str">
        <f>A329</f>
        <v>20th Floor</v>
      </c>
      <c r="H330" s="90"/>
      <c r="I330" s="49"/>
      <c r="N330" s="64" t="str">
        <f t="shared" ref="N330:N336" ca="1" si="162">O330&amp;""&amp;" &amp; "&amp;""&amp;P330</f>
        <v>2001 &amp; 2001</v>
      </c>
      <c r="O330" s="64">
        <f ca="1">(SUMPRODUCT(MID(0&amp;(LEFT(A329,SUM(LEN(A329)-LEN(SUBSTITUTE(A329,{"0","1","2"},""))))), LARGE(INDEX(ISNUMBER(--MID((LEFT(A329,SUM(LEN(A329)-LEN(SUBSTITUTE(A329,{"0","1","2"},""))))), ROW(INDIRECT("1:"&amp;LEN((LEFT(A329,SUM(LEN(A329)-LEN(SUBSTITUTE(A329,{"0","1","2"},"")))))))), 1)) * ROW(INDIRECT("1:"&amp;LEN((LEFT(A329,SUM(LEN(A329)-LEN(SUBSTITUTE(A329,{"0","1","2"},"")))))))), 0), ROW(INDIRECT("1:"&amp;LEN((LEFT(A329,SUM(LEN(A329)-LEN(SUBSTITUTE(A329,{"0","1","2"},"")))))))))+1, 1) * 10^ROW(INDIRECT("1:"&amp;LEN((LEFT(A329,SUM(LEN(A329)-LEN(SUBSTITUTE(A329,{"0","1","2"},""))))))))/10))*100+1</f>
        <v>2001</v>
      </c>
      <c r="P330" s="64">
        <f ca="1">(SUMPRODUCT(MID(0&amp;(--TRIM(RIGHT(SUBSTITUTE(LEFT(A329,_xlfn.AGGREGATE(16,6,FIND({0,1,2,3,4,5,6,7,8,9},A329,ROW(INDIRECT("1:"&amp;LEN(A329)))),1))," ",REPT(" ",LEN(A329))),LEN(A329)))), LARGE(INDEX(ISNUMBER(--MID((--TRIM(RIGHT(SUBSTITUTE(LEFT(A329,_xlfn.AGGREGATE(16,6,FIND({0,1,2,3,4,5,6,7,8,9},A329,ROW(INDIRECT("1:"&amp;LEN(A329)))),1))," ",REPT(" ",LEN(A329))),LEN(A329)))), ROW(INDIRECT("1:"&amp;LEN((--TRIM(RIGHT(SUBSTITUTE(LEFT(A329,_xlfn.AGGREGATE(16,6,FIND({0,1,2,3,4,5,6,7,8,9},A329,ROW(INDIRECT("1:"&amp;LEN(A329)))),1))," ",REPT(" ",LEN(A329))),LEN(A329))))))), 1)) * ROW(INDIRECT("1:"&amp;LEN((--TRIM(RIGHT(SUBSTITUTE(LEFT(A329,_xlfn.AGGREGATE(16,6,FIND({0,1,2,3,4,5,6,7,8,9},A329,ROW(INDIRECT("1:"&amp;LEN(A329)))),1))," ",REPT(" ",LEN(A329))),LEN(A329))))))), 0), ROW(INDIRECT("1:"&amp;LEN((--TRIM(RIGHT(SUBSTITUTE(LEFT(A329,_xlfn.AGGREGATE(16,6,FIND({0,1,2,3,4,5,6,7,8,9},A329,ROW(INDIRECT("1:"&amp;LEN(A329)))),1))," ",REPT(" ",LEN(A329))),LEN(A329))))))))+1, 1) * 10^ROW(INDIRECT("1:"&amp;LEN((--TRIM(RIGHT(SUBSTITUTE(LEFT(A329,_xlfn.AGGREGATE(16,6,FIND({0,1,2,3,4,5,6,7,8,9},A329,ROW(INDIRECT("1:"&amp;LEN(A329)))),1))," ",REPT(" ",LEN(A329))),LEN(A329)))))))/10))*100+1</f>
        <v>2001</v>
      </c>
    </row>
    <row r="331" spans="1:16" s="64" customFormat="1" x14ac:dyDescent="0.35">
      <c r="A331" s="89">
        <v>2</v>
      </c>
      <c r="B331" s="90"/>
      <c r="C331" s="56" t="s">
        <v>183</v>
      </c>
      <c r="D331" s="65">
        <f>(733.46+67.81)</f>
        <v>801.27</v>
      </c>
      <c r="E331" s="56">
        <v>0</v>
      </c>
      <c r="F331" s="56">
        <f t="shared" si="161"/>
        <v>1282.0320000000002</v>
      </c>
      <c r="G331" s="89" t="str">
        <f t="shared" ref="G331:G336" si="163">G330</f>
        <v>20th Floor</v>
      </c>
      <c r="H331" s="90"/>
      <c r="I331" s="49"/>
      <c r="N331" s="64" t="str">
        <f t="shared" ca="1" si="162"/>
        <v>2002 &amp; 2002</v>
      </c>
      <c r="O331" s="64">
        <f t="shared" ref="O331:P331" ca="1" si="164">O330+1</f>
        <v>2002</v>
      </c>
      <c r="P331" s="64">
        <f t="shared" ca="1" si="164"/>
        <v>2002</v>
      </c>
    </row>
    <row r="332" spans="1:16" s="64" customFormat="1" x14ac:dyDescent="0.35">
      <c r="A332" s="89">
        <v>3</v>
      </c>
      <c r="B332" s="90"/>
      <c r="C332" s="56" t="s">
        <v>183</v>
      </c>
      <c r="D332" s="65">
        <f>608.49+58.88</f>
        <v>667.37</v>
      </c>
      <c r="E332" s="56">
        <v>0</v>
      </c>
      <c r="F332" s="56">
        <f t="shared" si="161"/>
        <v>1067.7920000000001</v>
      </c>
      <c r="G332" s="89" t="str">
        <f t="shared" si="163"/>
        <v>20th Floor</v>
      </c>
      <c r="H332" s="90"/>
      <c r="I332" s="49"/>
      <c r="N332" s="64" t="str">
        <f t="shared" ca="1" si="162"/>
        <v>2003 &amp; 2003</v>
      </c>
      <c r="O332" s="64">
        <f t="shared" ref="O332:P332" ca="1" si="165">O331+1</f>
        <v>2003</v>
      </c>
      <c r="P332" s="64">
        <f t="shared" ca="1" si="165"/>
        <v>2003</v>
      </c>
    </row>
    <row r="333" spans="1:16" s="64" customFormat="1" x14ac:dyDescent="0.35">
      <c r="A333" s="89">
        <v>4</v>
      </c>
      <c r="B333" s="90"/>
      <c r="C333" s="56" t="s">
        <v>183</v>
      </c>
      <c r="D333" s="65">
        <f>827.32+180.06</f>
        <v>1007.3800000000001</v>
      </c>
      <c r="E333" s="56">
        <v>0</v>
      </c>
      <c r="F333" s="56">
        <f t="shared" si="161"/>
        <v>1611.8080000000002</v>
      </c>
      <c r="G333" s="89" t="str">
        <f t="shared" si="163"/>
        <v>20th Floor</v>
      </c>
      <c r="H333" s="90"/>
      <c r="I333" s="49"/>
      <c r="N333" s="64" t="str">
        <f t="shared" ca="1" si="162"/>
        <v>2004 &amp; 2004</v>
      </c>
      <c r="O333" s="64">
        <f t="shared" ref="O333:P333" ca="1" si="166">O332+1</f>
        <v>2004</v>
      </c>
      <c r="P333" s="64">
        <f t="shared" ca="1" si="166"/>
        <v>2004</v>
      </c>
    </row>
    <row r="334" spans="1:16" s="64" customFormat="1" x14ac:dyDescent="0.35">
      <c r="A334" s="89">
        <v>5</v>
      </c>
      <c r="B334" s="90"/>
      <c r="C334" s="56" t="s">
        <v>183</v>
      </c>
      <c r="D334" s="65">
        <f>566.08+91.39</f>
        <v>657.47</v>
      </c>
      <c r="E334" s="56">
        <v>0</v>
      </c>
      <c r="F334" s="56">
        <f t="shared" si="161"/>
        <v>1051.952</v>
      </c>
      <c r="G334" s="89" t="str">
        <f t="shared" si="163"/>
        <v>20th Floor</v>
      </c>
      <c r="H334" s="90"/>
      <c r="I334" s="49"/>
      <c r="N334" s="64" t="str">
        <f t="shared" ca="1" si="162"/>
        <v>2005 &amp; 2005</v>
      </c>
      <c r="O334" s="64">
        <f t="shared" ref="O334:P334" ca="1" si="167">O333+1</f>
        <v>2005</v>
      </c>
      <c r="P334" s="64">
        <f t="shared" ca="1" si="167"/>
        <v>2005</v>
      </c>
    </row>
    <row r="335" spans="1:16" s="64" customFormat="1" x14ac:dyDescent="0.35">
      <c r="A335" s="89">
        <v>6</v>
      </c>
      <c r="B335" s="90"/>
      <c r="C335" s="56" t="s">
        <v>144</v>
      </c>
      <c r="D335" s="65">
        <f>919.68+102.37</f>
        <v>1022.05</v>
      </c>
      <c r="E335" s="56">
        <v>0</v>
      </c>
      <c r="F335" s="56">
        <f t="shared" si="161"/>
        <v>1635.28</v>
      </c>
      <c r="G335" s="89" t="str">
        <f t="shared" si="163"/>
        <v>20th Floor</v>
      </c>
      <c r="H335" s="90"/>
      <c r="I335" s="49"/>
      <c r="N335" s="64" t="str">
        <f t="shared" ca="1" si="162"/>
        <v>2006 &amp; 2006</v>
      </c>
      <c r="O335" s="64">
        <f t="shared" ref="O335:P335" ca="1" si="168">O334+1</f>
        <v>2006</v>
      </c>
      <c r="P335" s="64">
        <f t="shared" ca="1" si="168"/>
        <v>2006</v>
      </c>
    </row>
    <row r="336" spans="1:16" s="64" customFormat="1" x14ac:dyDescent="0.35">
      <c r="A336" s="89">
        <v>7</v>
      </c>
      <c r="B336" s="90"/>
      <c r="C336" s="56" t="s">
        <v>183</v>
      </c>
      <c r="D336" s="65">
        <f>746.16+88.16</f>
        <v>834.31999999999994</v>
      </c>
      <c r="E336" s="56">
        <v>0</v>
      </c>
      <c r="F336" s="56">
        <f t="shared" si="161"/>
        <v>1334.912</v>
      </c>
      <c r="G336" s="89" t="str">
        <f t="shared" si="163"/>
        <v>20th Floor</v>
      </c>
      <c r="H336" s="90"/>
      <c r="I336" s="49"/>
      <c r="N336" s="64" t="str">
        <f t="shared" ca="1" si="162"/>
        <v>2007 &amp; 2007</v>
      </c>
      <c r="O336" s="64">
        <f t="shared" ref="O336:P336" ca="1" si="169">O335+1</f>
        <v>2007</v>
      </c>
      <c r="P336" s="64">
        <f t="shared" ca="1" si="169"/>
        <v>2007</v>
      </c>
    </row>
    <row r="337" spans="1:16" s="64" customFormat="1" x14ac:dyDescent="0.35">
      <c r="A337" s="91" t="s">
        <v>230</v>
      </c>
      <c r="B337" s="92"/>
      <c r="C337" s="92"/>
      <c r="D337" s="92"/>
      <c r="E337" s="92"/>
      <c r="F337" s="92"/>
      <c r="G337" s="92"/>
      <c r="H337" s="93"/>
      <c r="I337" s="49"/>
      <c r="P337" s="51"/>
    </row>
    <row r="338" spans="1:16" s="64" customFormat="1" x14ac:dyDescent="0.35">
      <c r="A338" s="89">
        <v>1</v>
      </c>
      <c r="B338" s="90"/>
      <c r="C338" s="56" t="s">
        <v>183</v>
      </c>
      <c r="D338" s="65">
        <f>704.4+66.52</f>
        <v>770.92</v>
      </c>
      <c r="E338" s="56">
        <v>0</v>
      </c>
      <c r="F338" s="56">
        <f t="shared" ref="F338:F344" si="170">D338*(($F$146)+1)+E338</f>
        <v>1233.472</v>
      </c>
      <c r="G338" s="89" t="str">
        <f>A337</f>
        <v>21st Floor</v>
      </c>
      <c r="H338" s="90"/>
      <c r="I338" s="49"/>
      <c r="N338" s="64" t="str">
        <f t="shared" ref="N338:N344" ca="1" si="171">O338&amp;""&amp;" &amp; "&amp;""&amp;P338</f>
        <v>2101 &amp; 2101</v>
      </c>
      <c r="O338" s="64">
        <f ca="1">(SUMPRODUCT(MID(0&amp;(LEFT(A337,SUM(LEN(A337)-LEN(SUBSTITUTE(A337,{"0","1","2"},""))))), LARGE(INDEX(ISNUMBER(--MID((LEFT(A337,SUM(LEN(A337)-LEN(SUBSTITUTE(A337,{"0","1","2"},""))))), ROW(INDIRECT("1:"&amp;LEN((LEFT(A337,SUM(LEN(A337)-LEN(SUBSTITUTE(A337,{"0","1","2"},"")))))))), 1)) * ROW(INDIRECT("1:"&amp;LEN((LEFT(A337,SUM(LEN(A337)-LEN(SUBSTITUTE(A337,{"0","1","2"},"")))))))), 0), ROW(INDIRECT("1:"&amp;LEN((LEFT(A337,SUM(LEN(A337)-LEN(SUBSTITUTE(A337,{"0","1","2"},"")))))))))+1, 1) * 10^ROW(INDIRECT("1:"&amp;LEN((LEFT(A337,SUM(LEN(A337)-LEN(SUBSTITUTE(A337,{"0","1","2"},""))))))))/10))*100+1</f>
        <v>2101</v>
      </c>
      <c r="P338" s="64">
        <f ca="1">(SUMPRODUCT(MID(0&amp;(--TRIM(RIGHT(SUBSTITUTE(LEFT(A337,_xlfn.AGGREGATE(16,6,FIND({0,1,2,3,4,5,6,7,8,9},A337,ROW(INDIRECT("1:"&amp;LEN(A337)))),1))," ",REPT(" ",LEN(A337))),LEN(A337)))), LARGE(INDEX(ISNUMBER(--MID((--TRIM(RIGHT(SUBSTITUTE(LEFT(A337,_xlfn.AGGREGATE(16,6,FIND({0,1,2,3,4,5,6,7,8,9},A337,ROW(INDIRECT("1:"&amp;LEN(A337)))),1))," ",REPT(" ",LEN(A337))),LEN(A337)))), ROW(INDIRECT("1:"&amp;LEN((--TRIM(RIGHT(SUBSTITUTE(LEFT(A337,_xlfn.AGGREGATE(16,6,FIND({0,1,2,3,4,5,6,7,8,9},A337,ROW(INDIRECT("1:"&amp;LEN(A337)))),1))," ",REPT(" ",LEN(A337))),LEN(A337))))))), 1)) * ROW(INDIRECT("1:"&amp;LEN((--TRIM(RIGHT(SUBSTITUTE(LEFT(A337,_xlfn.AGGREGATE(16,6,FIND({0,1,2,3,4,5,6,7,8,9},A337,ROW(INDIRECT("1:"&amp;LEN(A337)))),1))," ",REPT(" ",LEN(A337))),LEN(A337))))))), 0), ROW(INDIRECT("1:"&amp;LEN((--TRIM(RIGHT(SUBSTITUTE(LEFT(A337,_xlfn.AGGREGATE(16,6,FIND({0,1,2,3,4,5,6,7,8,9},A337,ROW(INDIRECT("1:"&amp;LEN(A337)))),1))," ",REPT(" ",LEN(A337))),LEN(A337))))))))+1, 1) * 10^ROW(INDIRECT("1:"&amp;LEN((--TRIM(RIGHT(SUBSTITUTE(LEFT(A337,_xlfn.AGGREGATE(16,6,FIND({0,1,2,3,4,5,6,7,8,9},A337,ROW(INDIRECT("1:"&amp;LEN(A337)))),1))," ",REPT(" ",LEN(A337))),LEN(A337)))))))/10))*100+1</f>
        <v>2101</v>
      </c>
    </row>
    <row r="339" spans="1:16" s="64" customFormat="1" x14ac:dyDescent="0.35">
      <c r="A339" s="89">
        <v>2</v>
      </c>
      <c r="B339" s="90"/>
      <c r="C339" s="56" t="s">
        <v>183</v>
      </c>
      <c r="D339" s="65">
        <f>(733.46+67.81)</f>
        <v>801.27</v>
      </c>
      <c r="E339" s="56">
        <v>0</v>
      </c>
      <c r="F339" s="56">
        <f t="shared" si="170"/>
        <v>1282.0320000000002</v>
      </c>
      <c r="G339" s="89" t="str">
        <f t="shared" ref="G339:G344" si="172">G338</f>
        <v>21st Floor</v>
      </c>
      <c r="H339" s="90"/>
      <c r="I339" s="49"/>
      <c r="N339" s="64" t="str">
        <f t="shared" ca="1" si="171"/>
        <v>2102 &amp; 2102</v>
      </c>
      <c r="O339" s="64">
        <f t="shared" ref="O339:P339" ca="1" si="173">O338+1</f>
        <v>2102</v>
      </c>
      <c r="P339" s="64">
        <f t="shared" ca="1" si="173"/>
        <v>2102</v>
      </c>
    </row>
    <row r="340" spans="1:16" s="64" customFormat="1" x14ac:dyDescent="0.35">
      <c r="A340" s="89">
        <v>3</v>
      </c>
      <c r="B340" s="90"/>
      <c r="C340" s="56" t="s">
        <v>183</v>
      </c>
      <c r="D340" s="65">
        <f>608.49+58.88</f>
        <v>667.37</v>
      </c>
      <c r="E340" s="56">
        <v>0</v>
      </c>
      <c r="F340" s="56">
        <f t="shared" si="170"/>
        <v>1067.7920000000001</v>
      </c>
      <c r="G340" s="89" t="str">
        <f t="shared" si="172"/>
        <v>21st Floor</v>
      </c>
      <c r="H340" s="90"/>
      <c r="I340" s="49"/>
      <c r="N340" s="64" t="str">
        <f t="shared" ca="1" si="171"/>
        <v>2103 &amp; 2103</v>
      </c>
      <c r="O340" s="64">
        <f t="shared" ref="O340:P340" ca="1" si="174">O339+1</f>
        <v>2103</v>
      </c>
      <c r="P340" s="64">
        <f t="shared" ca="1" si="174"/>
        <v>2103</v>
      </c>
    </row>
    <row r="341" spans="1:16" s="64" customFormat="1" x14ac:dyDescent="0.35">
      <c r="A341" s="89">
        <v>4</v>
      </c>
      <c r="B341" s="90"/>
      <c r="C341" s="56" t="s">
        <v>183</v>
      </c>
      <c r="D341" s="65">
        <f>827.32+126.69</f>
        <v>954.01</v>
      </c>
      <c r="E341" s="56">
        <v>0</v>
      </c>
      <c r="F341" s="56">
        <f t="shared" si="170"/>
        <v>1526.4160000000002</v>
      </c>
      <c r="G341" s="89" t="str">
        <f t="shared" si="172"/>
        <v>21st Floor</v>
      </c>
      <c r="H341" s="90"/>
      <c r="I341" s="49"/>
      <c r="N341" s="64" t="str">
        <f t="shared" ca="1" si="171"/>
        <v>2104 &amp; 2104</v>
      </c>
      <c r="O341" s="64">
        <f t="shared" ref="O341:P341" ca="1" si="175">O340+1</f>
        <v>2104</v>
      </c>
      <c r="P341" s="64">
        <f t="shared" ca="1" si="175"/>
        <v>2104</v>
      </c>
    </row>
    <row r="342" spans="1:16" s="64" customFormat="1" x14ac:dyDescent="0.35">
      <c r="A342" s="89">
        <v>5</v>
      </c>
      <c r="B342" s="90"/>
      <c r="C342" s="56" t="s">
        <v>183</v>
      </c>
      <c r="D342" s="65">
        <f>562.42+71.15</f>
        <v>633.56999999999994</v>
      </c>
      <c r="E342" s="56">
        <v>0</v>
      </c>
      <c r="F342" s="56">
        <f t="shared" si="170"/>
        <v>1013.712</v>
      </c>
      <c r="G342" s="89" t="str">
        <f t="shared" si="172"/>
        <v>21st Floor</v>
      </c>
      <c r="H342" s="90"/>
      <c r="I342" s="49"/>
      <c r="N342" s="64" t="str">
        <f t="shared" ca="1" si="171"/>
        <v>2105 &amp; 2105</v>
      </c>
      <c r="O342" s="64">
        <f t="shared" ref="O342:P342" ca="1" si="176">O341+1</f>
        <v>2105</v>
      </c>
      <c r="P342" s="64">
        <f t="shared" ca="1" si="176"/>
        <v>2105</v>
      </c>
    </row>
    <row r="343" spans="1:16" s="64" customFormat="1" x14ac:dyDescent="0.35">
      <c r="A343" s="89">
        <v>6</v>
      </c>
      <c r="B343" s="90"/>
      <c r="C343" s="56" t="s">
        <v>144</v>
      </c>
      <c r="D343" s="65">
        <f>919.68+102.37</f>
        <v>1022.05</v>
      </c>
      <c r="E343" s="56">
        <v>0</v>
      </c>
      <c r="F343" s="56">
        <f t="shared" si="170"/>
        <v>1635.28</v>
      </c>
      <c r="G343" s="89" t="str">
        <f t="shared" si="172"/>
        <v>21st Floor</v>
      </c>
      <c r="H343" s="90"/>
      <c r="I343" s="49"/>
      <c r="N343" s="64" t="str">
        <f t="shared" ca="1" si="171"/>
        <v>2106 &amp; 2106</v>
      </c>
      <c r="O343" s="64">
        <f t="shared" ref="O343:P343" ca="1" si="177">O342+1</f>
        <v>2106</v>
      </c>
      <c r="P343" s="64">
        <f t="shared" ca="1" si="177"/>
        <v>2106</v>
      </c>
    </row>
    <row r="344" spans="1:16" s="64" customFormat="1" x14ac:dyDescent="0.35">
      <c r="A344" s="89">
        <v>7</v>
      </c>
      <c r="B344" s="90"/>
      <c r="C344" s="56" t="s">
        <v>183</v>
      </c>
      <c r="D344" s="65">
        <f>746.16+88.16</f>
        <v>834.31999999999994</v>
      </c>
      <c r="E344" s="56">
        <v>0</v>
      </c>
      <c r="F344" s="56">
        <f t="shared" si="170"/>
        <v>1334.912</v>
      </c>
      <c r="G344" s="89" t="str">
        <f t="shared" si="172"/>
        <v>21st Floor</v>
      </c>
      <c r="H344" s="90"/>
      <c r="I344" s="49"/>
      <c r="N344" s="64" t="str">
        <f t="shared" ca="1" si="171"/>
        <v>2107 &amp; 2107</v>
      </c>
      <c r="O344" s="64">
        <f t="shared" ref="O344:P344" ca="1" si="178">O343+1</f>
        <v>2107</v>
      </c>
      <c r="P344" s="64">
        <f t="shared" ca="1" si="178"/>
        <v>2107</v>
      </c>
    </row>
    <row r="345" spans="1:16" x14ac:dyDescent="0.35">
      <c r="A345" s="100" t="s">
        <v>203</v>
      </c>
      <c r="B345" s="100"/>
      <c r="C345" s="100"/>
      <c r="D345" s="100"/>
      <c r="E345" s="100"/>
      <c r="F345" s="100"/>
      <c r="G345" s="100"/>
      <c r="H345" s="100"/>
    </row>
    <row r="346" spans="1:16" s="47" customFormat="1" x14ac:dyDescent="0.35">
      <c r="A346" s="100" t="s">
        <v>213</v>
      </c>
      <c r="B346" s="100"/>
      <c r="C346" s="100"/>
      <c r="D346" s="100"/>
      <c r="E346" s="100"/>
      <c r="F346" s="100"/>
      <c r="G346" s="100"/>
      <c r="H346" s="100"/>
    </row>
    <row r="347" spans="1:16" s="64" customFormat="1" x14ac:dyDescent="0.35">
      <c r="A347" s="101" t="s">
        <v>215</v>
      </c>
      <c r="B347" s="101"/>
      <c r="C347" s="101"/>
      <c r="D347" s="101"/>
      <c r="E347" s="101"/>
      <c r="F347" s="101"/>
      <c r="G347" s="101"/>
      <c r="H347" s="101"/>
      <c r="I347" s="49"/>
      <c r="L347" s="102"/>
      <c r="M347" s="102"/>
    </row>
    <row r="348" spans="1:16" s="64" customFormat="1" x14ac:dyDescent="0.35">
      <c r="A348" s="98">
        <v>1</v>
      </c>
      <c r="B348" s="98"/>
      <c r="C348" s="56" t="s">
        <v>188</v>
      </c>
      <c r="D348" s="56">
        <f>61.14*10.764</f>
        <v>658.11095999999998</v>
      </c>
      <c r="E348" s="56">
        <v>0</v>
      </c>
      <c r="F348" s="56">
        <f>D348*(($F$146)+1)+E348</f>
        <v>1052.9775360000001</v>
      </c>
      <c r="G348" s="98" t="str">
        <f>A347</f>
        <v>Ground Floor for Residential &amp; Parking</v>
      </c>
      <c r="H348" s="98"/>
      <c r="I348" s="49"/>
      <c r="N348" s="49"/>
    </row>
    <row r="349" spans="1:16" s="64" customFormat="1" x14ac:dyDescent="0.35">
      <c r="A349" s="98">
        <f>A348+1</f>
        <v>2</v>
      </c>
      <c r="B349" s="98"/>
      <c r="C349" s="56" t="s">
        <v>188</v>
      </c>
      <c r="D349" s="56">
        <f>37.17*10.764</f>
        <v>400.09787999999998</v>
      </c>
      <c r="E349" s="56">
        <v>0</v>
      </c>
      <c r="F349" s="56">
        <f>D349*(($F$146)+1)+E349</f>
        <v>640.15660800000001</v>
      </c>
      <c r="G349" s="98" t="str">
        <f t="shared" ref="G349:G351" si="179">G348</f>
        <v>Ground Floor for Residential &amp; Parking</v>
      </c>
      <c r="H349" s="98"/>
      <c r="I349" s="49"/>
      <c r="N349" s="49"/>
    </row>
    <row r="350" spans="1:16" s="64" customFormat="1" x14ac:dyDescent="0.35">
      <c r="A350" s="98">
        <f>A349+1</f>
        <v>3</v>
      </c>
      <c r="B350" s="98"/>
      <c r="C350" s="56" t="s">
        <v>188</v>
      </c>
      <c r="D350" s="56">
        <f>48.84*10.764</f>
        <v>525.71375999999998</v>
      </c>
      <c r="E350" s="56">
        <v>0</v>
      </c>
      <c r="F350" s="56">
        <f t="shared" ref="F350:F351" si="180">D350*(($F$146)+1)+E350</f>
        <v>841.14201600000001</v>
      </c>
      <c r="G350" s="98" t="str">
        <f t="shared" si="179"/>
        <v>Ground Floor for Residential &amp; Parking</v>
      </c>
      <c r="H350" s="98"/>
      <c r="I350" s="49"/>
      <c r="N350" s="49"/>
    </row>
    <row r="351" spans="1:16" s="64" customFormat="1" x14ac:dyDescent="0.35">
      <c r="A351" s="98">
        <f t="shared" ref="A351" si="181">A350+1</f>
        <v>4</v>
      </c>
      <c r="B351" s="98"/>
      <c r="C351" s="56" t="s">
        <v>188</v>
      </c>
      <c r="D351" s="56">
        <f>34.49*10.764</f>
        <v>371.25036</v>
      </c>
      <c r="E351" s="56">
        <v>0</v>
      </c>
      <c r="F351" s="56">
        <f t="shared" si="180"/>
        <v>594.00057600000002</v>
      </c>
      <c r="G351" s="98" t="str">
        <f t="shared" si="179"/>
        <v>Ground Floor for Residential &amp; Parking</v>
      </c>
      <c r="H351" s="98"/>
      <c r="I351" s="49"/>
      <c r="N351" s="49"/>
    </row>
    <row r="352" spans="1:16" s="64" customFormat="1" x14ac:dyDescent="0.35">
      <c r="A352" s="99" t="s">
        <v>182</v>
      </c>
      <c r="B352" s="99"/>
      <c r="C352" s="99"/>
      <c r="D352" s="99"/>
      <c r="E352" s="99"/>
      <c r="F352" s="99"/>
      <c r="G352" s="99"/>
      <c r="H352" s="99"/>
      <c r="I352" s="49"/>
      <c r="L352" s="102"/>
      <c r="M352" s="102"/>
    </row>
    <row r="353" spans="1:14" s="64" customFormat="1" x14ac:dyDescent="0.35">
      <c r="A353" s="98">
        <v>2</v>
      </c>
      <c r="B353" s="98"/>
      <c r="C353" s="56" t="s">
        <v>144</v>
      </c>
      <c r="D353" s="56">
        <f>(907.62+20.99)</f>
        <v>928.61</v>
      </c>
      <c r="E353" s="56">
        <v>0</v>
      </c>
      <c r="F353" s="56">
        <f>D353*(($F$146)+1)+E353</f>
        <v>1485.7760000000001</v>
      </c>
      <c r="G353" s="98" t="str">
        <f>A352</f>
        <v>1st Floor for Residential &amp; Amenities</v>
      </c>
      <c r="H353" s="98"/>
      <c r="I353" s="49"/>
      <c r="N353" s="49"/>
    </row>
    <row r="354" spans="1:14" s="64" customFormat="1" x14ac:dyDescent="0.35">
      <c r="A354" s="98">
        <f>A353+1</f>
        <v>3</v>
      </c>
      <c r="B354" s="98"/>
      <c r="C354" s="56" t="s">
        <v>183</v>
      </c>
      <c r="D354" s="56">
        <f>(555.96+20.02)</f>
        <v>575.98</v>
      </c>
      <c r="E354" s="56">
        <v>0</v>
      </c>
      <c r="F354" s="56">
        <f>D354*(($F$146)+1)+E354</f>
        <v>921.5680000000001</v>
      </c>
      <c r="G354" s="98" t="str">
        <f t="shared" ref="G354:G357" si="182">G353</f>
        <v>1st Floor for Residential &amp; Amenities</v>
      </c>
      <c r="H354" s="98"/>
      <c r="I354" s="49"/>
      <c r="N354" s="49"/>
    </row>
    <row r="355" spans="1:14" s="64" customFormat="1" x14ac:dyDescent="0.35">
      <c r="A355" s="98">
        <f>A354+1</f>
        <v>4</v>
      </c>
      <c r="B355" s="98"/>
      <c r="C355" s="56" t="s">
        <v>183</v>
      </c>
      <c r="D355" s="56">
        <f>743.04</f>
        <v>743.04</v>
      </c>
      <c r="E355" s="56">
        <v>0</v>
      </c>
      <c r="F355" s="56">
        <f t="shared" ref="F355:F357" si="183">D355*(($F$146)+1)+E355</f>
        <v>1188.864</v>
      </c>
      <c r="G355" s="98" t="str">
        <f t="shared" si="182"/>
        <v>1st Floor for Residential &amp; Amenities</v>
      </c>
      <c r="H355" s="98"/>
      <c r="I355" s="49"/>
      <c r="N355" s="49"/>
    </row>
    <row r="356" spans="1:14" s="64" customFormat="1" x14ac:dyDescent="0.35">
      <c r="A356" s="98">
        <f t="shared" ref="A356:A357" si="184">A355+1</f>
        <v>5</v>
      </c>
      <c r="B356" s="98"/>
      <c r="C356" s="56" t="s">
        <v>205</v>
      </c>
      <c r="D356" s="56">
        <f>514.95+17.44</f>
        <v>532.3900000000001</v>
      </c>
      <c r="E356" s="56">
        <v>0</v>
      </c>
      <c r="F356" s="56">
        <f t="shared" si="183"/>
        <v>851.82400000000018</v>
      </c>
      <c r="G356" s="98" t="str">
        <f t="shared" si="182"/>
        <v>1st Floor for Residential &amp; Amenities</v>
      </c>
      <c r="H356" s="98"/>
      <c r="I356" s="49"/>
      <c r="N356" s="49"/>
    </row>
    <row r="357" spans="1:14" s="64" customFormat="1" x14ac:dyDescent="0.35">
      <c r="A357" s="98">
        <f t="shared" si="184"/>
        <v>6</v>
      </c>
      <c r="B357" s="98"/>
      <c r="C357" s="56" t="s">
        <v>183</v>
      </c>
      <c r="D357" s="56">
        <f>640.67+20.99</f>
        <v>661.66</v>
      </c>
      <c r="E357" s="56">
        <v>0</v>
      </c>
      <c r="F357" s="56">
        <f t="shared" si="183"/>
        <v>1058.6559999999999</v>
      </c>
      <c r="G357" s="98" t="str">
        <f t="shared" si="182"/>
        <v>1st Floor for Residential &amp; Amenities</v>
      </c>
      <c r="H357" s="98"/>
      <c r="I357" s="49"/>
      <c r="N357" s="49"/>
    </row>
    <row r="358" spans="1:14" s="64" customFormat="1" x14ac:dyDescent="0.35">
      <c r="A358" s="99" t="s">
        <v>184</v>
      </c>
      <c r="B358" s="99"/>
      <c r="C358" s="99"/>
      <c r="D358" s="99"/>
      <c r="E358" s="99"/>
      <c r="F358" s="99"/>
      <c r="G358" s="99"/>
      <c r="H358" s="99"/>
      <c r="I358" s="49"/>
      <c r="L358" s="102"/>
      <c r="M358" s="102"/>
    </row>
    <row r="359" spans="1:14" s="64" customFormat="1" x14ac:dyDescent="0.35">
      <c r="A359" s="98">
        <v>2</v>
      </c>
      <c r="B359" s="98"/>
      <c r="C359" s="56" t="s">
        <v>144</v>
      </c>
      <c r="D359" s="65">
        <f>(907.62+20.99)</f>
        <v>928.61</v>
      </c>
      <c r="E359" s="56">
        <v>0</v>
      </c>
      <c r="F359" s="56">
        <f>D359*(($F$146)+1)+E359</f>
        <v>1485.7760000000001</v>
      </c>
      <c r="G359" s="98" t="str">
        <f>A358</f>
        <v>2nd Floor for Residential &amp; Amenities</v>
      </c>
      <c r="H359" s="98"/>
      <c r="I359" s="49"/>
      <c r="N359" s="49"/>
    </row>
    <row r="360" spans="1:14" s="64" customFormat="1" x14ac:dyDescent="0.35">
      <c r="A360" s="98">
        <f>A359+1</f>
        <v>3</v>
      </c>
      <c r="B360" s="98"/>
      <c r="C360" s="56" t="s">
        <v>183</v>
      </c>
      <c r="D360" s="65">
        <f>(555.96+20.02)</f>
        <v>575.98</v>
      </c>
      <c r="E360" s="56">
        <v>0</v>
      </c>
      <c r="F360" s="56">
        <f>D360*(($F$146)+1)+E360</f>
        <v>921.5680000000001</v>
      </c>
      <c r="G360" s="98" t="str">
        <f t="shared" ref="G360:G363" si="185">G359</f>
        <v>2nd Floor for Residential &amp; Amenities</v>
      </c>
      <c r="H360" s="98"/>
      <c r="I360" s="49"/>
      <c r="N360" s="49"/>
    </row>
    <row r="361" spans="1:14" s="64" customFormat="1" x14ac:dyDescent="0.35">
      <c r="A361" s="98">
        <f>A360+1</f>
        <v>4</v>
      </c>
      <c r="B361" s="98"/>
      <c r="C361" s="56" t="s">
        <v>183</v>
      </c>
      <c r="D361" s="65">
        <f>811.07+24</f>
        <v>835.07</v>
      </c>
      <c r="E361" s="56">
        <v>0</v>
      </c>
      <c r="F361" s="56">
        <f t="shared" ref="F361:F363" si="186">D361*(($F$146)+1)+E361</f>
        <v>1336.1120000000001</v>
      </c>
      <c r="G361" s="98" t="str">
        <f t="shared" si="185"/>
        <v>2nd Floor for Residential &amp; Amenities</v>
      </c>
      <c r="H361" s="98"/>
      <c r="I361" s="49"/>
      <c r="N361" s="49"/>
    </row>
    <row r="362" spans="1:14" s="64" customFormat="1" x14ac:dyDescent="0.35">
      <c r="A362" s="98">
        <f t="shared" ref="A362:A363" si="187">A361+1</f>
        <v>5</v>
      </c>
      <c r="B362" s="98"/>
      <c r="C362" s="56" t="s">
        <v>183</v>
      </c>
      <c r="D362" s="65">
        <f>600.95+24.97</f>
        <v>625.92000000000007</v>
      </c>
      <c r="E362" s="56">
        <v>0</v>
      </c>
      <c r="F362" s="56">
        <f t="shared" si="186"/>
        <v>1001.4720000000002</v>
      </c>
      <c r="G362" s="98" t="str">
        <f t="shared" si="185"/>
        <v>2nd Floor for Residential &amp; Amenities</v>
      </c>
      <c r="H362" s="98"/>
      <c r="I362" s="49"/>
      <c r="N362" s="49"/>
    </row>
    <row r="363" spans="1:14" s="64" customFormat="1" x14ac:dyDescent="0.35">
      <c r="A363" s="98">
        <f t="shared" si="187"/>
        <v>6</v>
      </c>
      <c r="B363" s="98"/>
      <c r="C363" s="56" t="s">
        <v>183</v>
      </c>
      <c r="D363" s="65">
        <f>723.99+20.99</f>
        <v>744.98</v>
      </c>
      <c r="E363" s="56">
        <v>0</v>
      </c>
      <c r="F363" s="56">
        <f t="shared" si="186"/>
        <v>1191.9680000000001</v>
      </c>
      <c r="G363" s="98" t="str">
        <f t="shared" si="185"/>
        <v>2nd Floor for Residential &amp; Amenities</v>
      </c>
      <c r="H363" s="98"/>
      <c r="I363" s="49"/>
      <c r="N363" s="49"/>
    </row>
    <row r="364" spans="1:14" s="64" customFormat="1" x14ac:dyDescent="0.35">
      <c r="A364" s="99" t="s">
        <v>185</v>
      </c>
      <c r="B364" s="99"/>
      <c r="C364" s="99"/>
      <c r="D364" s="99"/>
      <c r="E364" s="99"/>
      <c r="F364" s="99"/>
      <c r="G364" s="99"/>
      <c r="H364" s="99"/>
      <c r="I364" s="49"/>
      <c r="L364" s="102"/>
      <c r="M364" s="102"/>
    </row>
    <row r="365" spans="1:14" s="64" customFormat="1" x14ac:dyDescent="0.35">
      <c r="A365" s="98">
        <v>2</v>
      </c>
      <c r="B365" s="98"/>
      <c r="C365" s="56" t="s">
        <v>144</v>
      </c>
      <c r="D365" s="65">
        <f>(907.62+20.99)</f>
        <v>928.61</v>
      </c>
      <c r="E365" s="56">
        <v>0</v>
      </c>
      <c r="F365" s="56">
        <f>D365*(($F$146)+1)+E365</f>
        <v>1485.7760000000001</v>
      </c>
      <c r="G365" s="98" t="str">
        <f>A364</f>
        <v>3rd Floor for Residential &amp; Service Floor</v>
      </c>
      <c r="H365" s="98"/>
      <c r="I365" s="49"/>
      <c r="N365" s="49"/>
    </row>
    <row r="366" spans="1:14" s="64" customFormat="1" x14ac:dyDescent="0.35">
      <c r="A366" s="98">
        <f>A365+1</f>
        <v>3</v>
      </c>
      <c r="B366" s="98"/>
      <c r="C366" s="56" t="s">
        <v>183</v>
      </c>
      <c r="D366" s="65">
        <f>(555.96+20.02)</f>
        <v>575.98</v>
      </c>
      <c r="E366" s="56">
        <v>0</v>
      </c>
      <c r="F366" s="56">
        <f>D366*(($F$146)+1)+E366</f>
        <v>921.5680000000001</v>
      </c>
      <c r="G366" s="98" t="str">
        <f t="shared" ref="G366:G369" si="188">G365</f>
        <v>3rd Floor for Residential &amp; Service Floor</v>
      </c>
      <c r="H366" s="98"/>
      <c r="I366" s="49"/>
      <c r="N366" s="49"/>
    </row>
    <row r="367" spans="1:14" s="64" customFormat="1" x14ac:dyDescent="0.35">
      <c r="A367" s="98">
        <f>A366+1</f>
        <v>4</v>
      </c>
      <c r="B367" s="98"/>
      <c r="C367" s="56" t="s">
        <v>183</v>
      </c>
      <c r="D367" s="65">
        <f>811.07+24</f>
        <v>835.07</v>
      </c>
      <c r="E367" s="56">
        <v>0</v>
      </c>
      <c r="F367" s="56">
        <f t="shared" ref="F367:F369" si="189">D367*(($F$146)+1)+E367</f>
        <v>1336.1120000000001</v>
      </c>
      <c r="G367" s="98" t="str">
        <f t="shared" si="188"/>
        <v>3rd Floor for Residential &amp; Service Floor</v>
      </c>
      <c r="H367" s="98"/>
      <c r="I367" s="49"/>
      <c r="N367" s="49"/>
    </row>
    <row r="368" spans="1:14" s="64" customFormat="1" x14ac:dyDescent="0.35">
      <c r="A368" s="98">
        <f t="shared" ref="A368:A369" si="190">A367+1</f>
        <v>5</v>
      </c>
      <c r="B368" s="98"/>
      <c r="C368" s="56" t="s">
        <v>183</v>
      </c>
      <c r="D368" s="65">
        <f>600.95+24.97</f>
        <v>625.92000000000007</v>
      </c>
      <c r="E368" s="56">
        <v>0</v>
      </c>
      <c r="F368" s="56">
        <f t="shared" si="189"/>
        <v>1001.4720000000002</v>
      </c>
      <c r="G368" s="98" t="str">
        <f t="shared" si="188"/>
        <v>3rd Floor for Residential &amp; Service Floor</v>
      </c>
      <c r="H368" s="98"/>
      <c r="I368" s="49"/>
      <c r="N368" s="49"/>
    </row>
    <row r="369" spans="1:16" s="64" customFormat="1" x14ac:dyDescent="0.35">
      <c r="A369" s="98">
        <f t="shared" si="190"/>
        <v>6</v>
      </c>
      <c r="B369" s="98"/>
      <c r="C369" s="56" t="s">
        <v>183</v>
      </c>
      <c r="D369" s="65">
        <f>723.99+20.99</f>
        <v>744.98</v>
      </c>
      <c r="E369" s="56">
        <v>0</v>
      </c>
      <c r="F369" s="56">
        <f t="shared" si="189"/>
        <v>1191.9680000000001</v>
      </c>
      <c r="G369" s="98" t="str">
        <f t="shared" si="188"/>
        <v>3rd Floor for Residential &amp; Service Floor</v>
      </c>
      <c r="H369" s="98"/>
      <c r="I369" s="49"/>
      <c r="N369" s="49"/>
    </row>
    <row r="370" spans="1:16" s="64" customFormat="1" x14ac:dyDescent="0.35">
      <c r="A370" s="99" t="s">
        <v>186</v>
      </c>
      <c r="B370" s="99"/>
      <c r="C370" s="99"/>
      <c r="D370" s="99"/>
      <c r="E370" s="99"/>
      <c r="F370" s="99"/>
      <c r="G370" s="99"/>
      <c r="H370" s="99"/>
      <c r="I370" s="49"/>
      <c r="L370" s="102"/>
      <c r="M370" s="102"/>
    </row>
    <row r="371" spans="1:16" s="64" customFormat="1" x14ac:dyDescent="0.35">
      <c r="A371" s="98">
        <v>1</v>
      </c>
      <c r="B371" s="98"/>
      <c r="C371" s="56" t="s">
        <v>183</v>
      </c>
      <c r="D371" s="56">
        <f>(747.02+87.19)</f>
        <v>834.21</v>
      </c>
      <c r="E371" s="56">
        <v>0</v>
      </c>
      <c r="F371" s="56">
        <f>D371*(($F$146)+1)+E371</f>
        <v>1334.7360000000001</v>
      </c>
      <c r="G371" s="98" t="str">
        <f>A370</f>
        <v xml:space="preserve">4th Floor </v>
      </c>
      <c r="H371" s="98"/>
      <c r="I371" s="49"/>
      <c r="N371" s="49"/>
    </row>
    <row r="372" spans="1:16" s="64" customFormat="1" x14ac:dyDescent="0.35">
      <c r="A372" s="98">
        <v>2</v>
      </c>
      <c r="B372" s="98"/>
      <c r="C372" s="56" t="s">
        <v>144</v>
      </c>
      <c r="D372" s="65">
        <f>(907.62+20.99)</f>
        <v>928.61</v>
      </c>
      <c r="E372" s="56">
        <v>0</v>
      </c>
      <c r="F372" s="56">
        <f>D372*(($F$146)+1)+E372</f>
        <v>1485.7760000000001</v>
      </c>
      <c r="G372" s="98" t="str">
        <f>A370</f>
        <v xml:space="preserve">4th Floor </v>
      </c>
      <c r="H372" s="98"/>
      <c r="I372" s="49"/>
      <c r="N372" s="49"/>
    </row>
    <row r="373" spans="1:16" s="64" customFormat="1" x14ac:dyDescent="0.35">
      <c r="A373" s="98">
        <v>3</v>
      </c>
      <c r="B373" s="98"/>
      <c r="C373" s="56" t="s">
        <v>183</v>
      </c>
      <c r="D373" s="65">
        <f>(555.96+20.02)</f>
        <v>575.98</v>
      </c>
      <c r="E373" s="56">
        <v>0</v>
      </c>
      <c r="F373" s="56">
        <f>D373*(($F$146)+1)+E373</f>
        <v>921.5680000000001</v>
      </c>
      <c r="G373" s="98" t="str">
        <f>A370</f>
        <v xml:space="preserve">4th Floor </v>
      </c>
      <c r="H373" s="98"/>
      <c r="I373" s="49"/>
      <c r="N373" s="49"/>
    </row>
    <row r="374" spans="1:16" s="64" customFormat="1" x14ac:dyDescent="0.35">
      <c r="A374" s="98">
        <v>4</v>
      </c>
      <c r="B374" s="98"/>
      <c r="C374" s="56" t="s">
        <v>183</v>
      </c>
      <c r="D374" s="65">
        <f>811.07+24</f>
        <v>835.07</v>
      </c>
      <c r="E374" s="56">
        <v>0</v>
      </c>
      <c r="F374" s="56">
        <f>D374*(($F$146)+1)+E374</f>
        <v>1336.1120000000001</v>
      </c>
      <c r="G374" s="98" t="str">
        <f>G371</f>
        <v xml:space="preserve">4th Floor </v>
      </c>
      <c r="H374" s="98"/>
      <c r="I374" s="49"/>
      <c r="N374" s="49"/>
    </row>
    <row r="375" spans="1:16" s="64" customFormat="1" x14ac:dyDescent="0.35">
      <c r="A375" s="98">
        <v>5</v>
      </c>
      <c r="B375" s="98"/>
      <c r="C375" s="56" t="s">
        <v>183</v>
      </c>
      <c r="D375" s="65">
        <f>600.95+24.97</f>
        <v>625.92000000000007</v>
      </c>
      <c r="E375" s="56">
        <v>0</v>
      </c>
      <c r="F375" s="56">
        <f t="shared" ref="F375:F377" si="191">D375*(($F$146)+1)+E375</f>
        <v>1001.4720000000002</v>
      </c>
      <c r="G375" s="98" t="str">
        <f t="shared" ref="G375:G377" si="192">G374</f>
        <v xml:space="preserve">4th Floor </v>
      </c>
      <c r="H375" s="98"/>
      <c r="I375" s="49"/>
      <c r="N375" s="49"/>
    </row>
    <row r="376" spans="1:16" s="64" customFormat="1" x14ac:dyDescent="0.35">
      <c r="A376" s="98">
        <v>6</v>
      </c>
      <c r="B376" s="98"/>
      <c r="C376" s="56" t="s">
        <v>183</v>
      </c>
      <c r="D376" s="65">
        <f>723.99+20.99</f>
        <v>744.98</v>
      </c>
      <c r="E376" s="56">
        <v>0</v>
      </c>
      <c r="F376" s="56">
        <f t="shared" si="191"/>
        <v>1191.9680000000001</v>
      </c>
      <c r="G376" s="98" t="str">
        <f t="shared" si="192"/>
        <v xml:space="preserve">4th Floor </v>
      </c>
      <c r="H376" s="98"/>
      <c r="I376" s="49"/>
      <c r="N376" s="49"/>
    </row>
    <row r="377" spans="1:16" s="64" customFormat="1" x14ac:dyDescent="0.35">
      <c r="A377" s="98">
        <v>7</v>
      </c>
      <c r="B377" s="98"/>
      <c r="C377" s="56" t="s">
        <v>183</v>
      </c>
      <c r="D377" s="56">
        <f>706.01+68.89</f>
        <v>774.9</v>
      </c>
      <c r="E377" s="56">
        <v>0</v>
      </c>
      <c r="F377" s="56">
        <f t="shared" si="191"/>
        <v>1239.8400000000001</v>
      </c>
      <c r="G377" s="98" t="str">
        <f t="shared" si="192"/>
        <v xml:space="preserve">4th Floor </v>
      </c>
      <c r="H377" s="98"/>
      <c r="I377" s="49"/>
      <c r="N377" s="49"/>
    </row>
    <row r="378" spans="1:16" s="64" customFormat="1" x14ac:dyDescent="0.35">
      <c r="A378" s="91" t="s">
        <v>223</v>
      </c>
      <c r="B378" s="92"/>
      <c r="C378" s="92"/>
      <c r="D378" s="92"/>
      <c r="E378" s="92"/>
      <c r="F378" s="92"/>
      <c r="G378" s="92"/>
      <c r="H378" s="93"/>
      <c r="I378" s="49"/>
      <c r="P378" s="51"/>
    </row>
    <row r="379" spans="1:16" s="64" customFormat="1" x14ac:dyDescent="0.35">
      <c r="A379" s="89">
        <v>1</v>
      </c>
      <c r="B379" s="90"/>
      <c r="C379" s="56" t="s">
        <v>183</v>
      </c>
      <c r="D379" s="65">
        <f>737.01+17.98</f>
        <v>754.99</v>
      </c>
      <c r="E379" s="56">
        <v>0</v>
      </c>
      <c r="F379" s="56">
        <f t="shared" ref="F379:F385" si="193">D379*(($F$146)+1)+E379</f>
        <v>1207.9840000000002</v>
      </c>
      <c r="G379" s="89" t="str">
        <f>A378</f>
        <v>5th, 6th, 8th, 10th &amp; 12th Floor</v>
      </c>
      <c r="H379" s="90"/>
      <c r="I379" s="49"/>
      <c r="N379" s="64" t="str">
        <f t="shared" ref="N379:N385" ca="1" si="194">O379&amp;""&amp;" &amp; "&amp;""&amp;P379</f>
        <v>501 &amp; 1201</v>
      </c>
      <c r="O379" s="64">
        <f ca="1">(SUMPRODUCT(MID(0&amp;(LEFT(A378,SUM(LEN(A378)-LEN(SUBSTITUTE(A378,{"0","1","2"},""))))), LARGE(INDEX(ISNUMBER(--MID((LEFT(A378,SUM(LEN(A378)-LEN(SUBSTITUTE(A378,{"0","1","2"},""))))), ROW(INDIRECT("1:"&amp;LEN((LEFT(A378,SUM(LEN(A378)-LEN(SUBSTITUTE(A378,{"0","1","2"},"")))))))), 1)) * ROW(INDIRECT("1:"&amp;LEN((LEFT(A378,SUM(LEN(A378)-LEN(SUBSTITUTE(A378,{"0","1","2"},"")))))))), 0), ROW(INDIRECT("1:"&amp;LEN((LEFT(A378,SUM(LEN(A378)-LEN(SUBSTITUTE(A378,{"0","1","2"},"")))))))))+1, 1) * 10^ROW(INDIRECT("1:"&amp;LEN((LEFT(A378,SUM(LEN(A378)-LEN(SUBSTITUTE(A378,{"0","1","2"},""))))))))/10))*100+1</f>
        <v>501</v>
      </c>
      <c r="P379" s="64">
        <f ca="1">(SUMPRODUCT(MID(0&amp;(--TRIM(RIGHT(SUBSTITUTE(LEFT(A378,_xlfn.AGGREGATE(16,6,FIND({0,1,2,3,4,5,6,7,8,9},A378,ROW(INDIRECT("1:"&amp;LEN(A378)))),1))," ",REPT(" ",LEN(A378))),LEN(A378)))), LARGE(INDEX(ISNUMBER(--MID((--TRIM(RIGHT(SUBSTITUTE(LEFT(A378,_xlfn.AGGREGATE(16,6,FIND({0,1,2,3,4,5,6,7,8,9},A378,ROW(INDIRECT("1:"&amp;LEN(A378)))),1))," ",REPT(" ",LEN(A378))),LEN(A378)))), ROW(INDIRECT("1:"&amp;LEN((--TRIM(RIGHT(SUBSTITUTE(LEFT(A378,_xlfn.AGGREGATE(16,6,FIND({0,1,2,3,4,5,6,7,8,9},A378,ROW(INDIRECT("1:"&amp;LEN(A378)))),1))," ",REPT(" ",LEN(A378))),LEN(A378))))))), 1)) * ROW(INDIRECT("1:"&amp;LEN((--TRIM(RIGHT(SUBSTITUTE(LEFT(A378,_xlfn.AGGREGATE(16,6,FIND({0,1,2,3,4,5,6,7,8,9},A378,ROW(INDIRECT("1:"&amp;LEN(A378)))),1))," ",REPT(" ",LEN(A378))),LEN(A378))))))), 0), ROW(INDIRECT("1:"&amp;LEN((--TRIM(RIGHT(SUBSTITUTE(LEFT(A378,_xlfn.AGGREGATE(16,6,FIND({0,1,2,3,4,5,6,7,8,9},A378,ROW(INDIRECT("1:"&amp;LEN(A378)))),1))," ",REPT(" ",LEN(A378))),LEN(A378))))))))+1, 1) * 10^ROW(INDIRECT("1:"&amp;LEN((--TRIM(RIGHT(SUBSTITUTE(LEFT(A378,_xlfn.AGGREGATE(16,6,FIND({0,1,2,3,4,5,6,7,8,9},A378,ROW(INDIRECT("1:"&amp;LEN(A378)))),1))," ",REPT(" ",LEN(A378))),LEN(A378)))))))/10))*100+1</f>
        <v>1201</v>
      </c>
    </row>
    <row r="380" spans="1:16" s="64" customFormat="1" x14ac:dyDescent="0.35">
      <c r="A380" s="89">
        <v>2</v>
      </c>
      <c r="B380" s="90"/>
      <c r="C380" s="56" t="s">
        <v>144</v>
      </c>
      <c r="D380" s="65">
        <f>(907.62+20.99)</f>
        <v>928.61</v>
      </c>
      <c r="E380" s="56">
        <v>0</v>
      </c>
      <c r="F380" s="56">
        <f t="shared" si="193"/>
        <v>1485.7760000000001</v>
      </c>
      <c r="G380" s="89" t="str">
        <f t="shared" ref="G380:G385" si="195">G379</f>
        <v>5th, 6th, 8th, 10th &amp; 12th Floor</v>
      </c>
      <c r="H380" s="90"/>
      <c r="I380" s="49"/>
      <c r="N380" s="64" t="str">
        <f t="shared" ca="1" si="194"/>
        <v>502 &amp; 1202</v>
      </c>
      <c r="O380" s="64">
        <f t="shared" ref="O380:P380" ca="1" si="196">O379+1</f>
        <v>502</v>
      </c>
      <c r="P380" s="64">
        <f t="shared" ca="1" si="196"/>
        <v>1202</v>
      </c>
    </row>
    <row r="381" spans="1:16" s="64" customFormat="1" x14ac:dyDescent="0.35">
      <c r="A381" s="89">
        <v>3</v>
      </c>
      <c r="B381" s="90"/>
      <c r="C381" s="56" t="s">
        <v>183</v>
      </c>
      <c r="D381" s="65">
        <f>(555.96+20.02)</f>
        <v>575.98</v>
      </c>
      <c r="E381" s="56">
        <v>0</v>
      </c>
      <c r="F381" s="56">
        <f t="shared" si="193"/>
        <v>921.5680000000001</v>
      </c>
      <c r="G381" s="89" t="str">
        <f t="shared" si="195"/>
        <v>5th, 6th, 8th, 10th &amp; 12th Floor</v>
      </c>
      <c r="H381" s="90"/>
      <c r="I381" s="49"/>
      <c r="N381" s="64" t="str">
        <f t="shared" ca="1" si="194"/>
        <v>503 &amp; 1203</v>
      </c>
      <c r="O381" s="64">
        <f t="shared" ref="O381:P381" ca="1" si="197">O380+1</f>
        <v>503</v>
      </c>
      <c r="P381" s="64">
        <f t="shared" ca="1" si="197"/>
        <v>1203</v>
      </c>
    </row>
    <row r="382" spans="1:16" s="64" customFormat="1" x14ac:dyDescent="0.35">
      <c r="A382" s="89">
        <v>4</v>
      </c>
      <c r="B382" s="90"/>
      <c r="C382" s="56" t="s">
        <v>183</v>
      </c>
      <c r="D382" s="65">
        <f>811.07+24</f>
        <v>835.07</v>
      </c>
      <c r="E382" s="56">
        <v>0</v>
      </c>
      <c r="F382" s="56">
        <f t="shared" si="193"/>
        <v>1336.1120000000001</v>
      </c>
      <c r="G382" s="89" t="str">
        <f t="shared" si="195"/>
        <v>5th, 6th, 8th, 10th &amp; 12th Floor</v>
      </c>
      <c r="H382" s="90"/>
      <c r="I382" s="49"/>
      <c r="N382" s="64" t="str">
        <f t="shared" ca="1" si="194"/>
        <v>504 &amp; 1204</v>
      </c>
      <c r="O382" s="64">
        <f t="shared" ref="O382:P382" ca="1" si="198">O381+1</f>
        <v>504</v>
      </c>
      <c r="P382" s="64">
        <f t="shared" ca="1" si="198"/>
        <v>1204</v>
      </c>
    </row>
    <row r="383" spans="1:16" s="64" customFormat="1" x14ac:dyDescent="0.35">
      <c r="A383" s="89">
        <v>5</v>
      </c>
      <c r="B383" s="90"/>
      <c r="C383" s="56" t="s">
        <v>183</v>
      </c>
      <c r="D383" s="65">
        <f>600.95+24.97</f>
        <v>625.92000000000007</v>
      </c>
      <c r="E383" s="56">
        <v>0</v>
      </c>
      <c r="F383" s="56">
        <f t="shared" si="193"/>
        <v>1001.4720000000002</v>
      </c>
      <c r="G383" s="89" t="str">
        <f t="shared" si="195"/>
        <v>5th, 6th, 8th, 10th &amp; 12th Floor</v>
      </c>
      <c r="H383" s="90"/>
      <c r="I383" s="49"/>
      <c r="N383" s="64" t="str">
        <f t="shared" ca="1" si="194"/>
        <v>505 &amp; 1205</v>
      </c>
      <c r="O383" s="64">
        <f t="shared" ref="O383:P383" ca="1" si="199">O382+1</f>
        <v>505</v>
      </c>
      <c r="P383" s="64">
        <f t="shared" ca="1" si="199"/>
        <v>1205</v>
      </c>
    </row>
    <row r="384" spans="1:16" s="64" customFormat="1" x14ac:dyDescent="0.35">
      <c r="A384" s="89">
        <v>6</v>
      </c>
      <c r="B384" s="90"/>
      <c r="C384" s="56" t="s">
        <v>183</v>
      </c>
      <c r="D384" s="65">
        <f>723.99+20.99</f>
        <v>744.98</v>
      </c>
      <c r="E384" s="56">
        <v>0</v>
      </c>
      <c r="F384" s="56">
        <f t="shared" si="193"/>
        <v>1191.9680000000001</v>
      </c>
      <c r="G384" s="89" t="str">
        <f t="shared" si="195"/>
        <v>5th, 6th, 8th, 10th &amp; 12th Floor</v>
      </c>
      <c r="H384" s="90"/>
      <c r="I384" s="49"/>
      <c r="N384" s="64" t="str">
        <f t="shared" ca="1" si="194"/>
        <v>506 &amp; 1206</v>
      </c>
      <c r="O384" s="64">
        <f t="shared" ref="O384:P384" ca="1" si="200">O383+1</f>
        <v>506</v>
      </c>
      <c r="P384" s="64">
        <f t="shared" ca="1" si="200"/>
        <v>1206</v>
      </c>
    </row>
    <row r="385" spans="1:16" s="64" customFormat="1" x14ac:dyDescent="0.35">
      <c r="A385" s="89">
        <v>7</v>
      </c>
      <c r="B385" s="90"/>
      <c r="C385" s="56" t="s">
        <v>183</v>
      </c>
      <c r="D385" s="65">
        <f>695.03+19.59</f>
        <v>714.62</v>
      </c>
      <c r="E385" s="56">
        <v>0</v>
      </c>
      <c r="F385" s="56">
        <f t="shared" si="193"/>
        <v>1143.3920000000001</v>
      </c>
      <c r="G385" s="89" t="str">
        <f t="shared" si="195"/>
        <v>5th, 6th, 8th, 10th &amp; 12th Floor</v>
      </c>
      <c r="H385" s="90"/>
      <c r="I385" s="49"/>
      <c r="N385" s="64" t="str">
        <f t="shared" ca="1" si="194"/>
        <v>507 &amp; 1207</v>
      </c>
      <c r="O385" s="64">
        <f t="shared" ref="O385:P385" ca="1" si="201">O384+1</f>
        <v>507</v>
      </c>
      <c r="P385" s="64">
        <f t="shared" ca="1" si="201"/>
        <v>1207</v>
      </c>
    </row>
    <row r="386" spans="1:16" s="64" customFormat="1" x14ac:dyDescent="0.35">
      <c r="A386" s="91" t="s">
        <v>224</v>
      </c>
      <c r="B386" s="92"/>
      <c r="C386" s="92"/>
      <c r="D386" s="92"/>
      <c r="E386" s="92"/>
      <c r="F386" s="92"/>
      <c r="G386" s="92"/>
      <c r="H386" s="93"/>
      <c r="I386" s="49"/>
      <c r="P386" s="51"/>
    </row>
    <row r="387" spans="1:16" s="64" customFormat="1" ht="15.75" customHeight="1" x14ac:dyDescent="0.35">
      <c r="A387" s="89">
        <v>1</v>
      </c>
      <c r="B387" s="90"/>
      <c r="C387" s="56" t="s">
        <v>183</v>
      </c>
      <c r="D387" s="65">
        <f>746.16+88.16</f>
        <v>834.31999999999994</v>
      </c>
      <c r="E387" s="56">
        <v>0</v>
      </c>
      <c r="F387" s="56">
        <f t="shared" ref="F387:F393" si="202">D387*(($F$146)+1)+E387</f>
        <v>1334.912</v>
      </c>
      <c r="G387" s="83" t="str">
        <f>A386</f>
        <v>7th, 9th, 11th, 13th, 15th &amp; 17th Floor (Part Refuge Area)</v>
      </c>
      <c r="H387" s="84"/>
      <c r="I387" s="49"/>
      <c r="N387" s="64" t="str">
        <f t="shared" ref="N387:N393" ca="1" si="203">O387&amp;""&amp;" &amp; "&amp;""&amp;P387</f>
        <v>701 &amp; 1701</v>
      </c>
      <c r="O387" s="64">
        <f ca="1">(SUMPRODUCT(MID(0&amp;(LEFT(A386,SUM(LEN(A386)-LEN(SUBSTITUTE(A386,{"0","1","2"},""))))), LARGE(INDEX(ISNUMBER(--MID((LEFT(A386,SUM(LEN(A386)-LEN(SUBSTITUTE(A386,{"0","1","2"},""))))), ROW(INDIRECT("1:"&amp;LEN((LEFT(A386,SUM(LEN(A386)-LEN(SUBSTITUTE(A386,{"0","1","2"},"")))))))), 1)) * ROW(INDIRECT("1:"&amp;LEN((LEFT(A386,SUM(LEN(A386)-LEN(SUBSTITUTE(A386,{"0","1","2"},"")))))))), 0), ROW(INDIRECT("1:"&amp;LEN((LEFT(A386,SUM(LEN(A386)-LEN(SUBSTITUTE(A386,{"0","1","2"},"")))))))))+1, 1) * 10^ROW(INDIRECT("1:"&amp;LEN((LEFT(A386,SUM(LEN(A386)-LEN(SUBSTITUTE(A386,{"0","1","2"},""))))))))/10))*100+1</f>
        <v>701</v>
      </c>
      <c r="P387" s="64">
        <f ca="1">(SUMPRODUCT(MID(0&amp;(--TRIM(RIGHT(SUBSTITUTE(LEFT(A386,_xlfn.AGGREGATE(16,6,FIND({0,1,2,3,4,5,6,7,8,9},A386,ROW(INDIRECT("1:"&amp;LEN(A386)))),1))," ",REPT(" ",LEN(A386))),LEN(A386)))), LARGE(INDEX(ISNUMBER(--MID((--TRIM(RIGHT(SUBSTITUTE(LEFT(A386,_xlfn.AGGREGATE(16,6,FIND({0,1,2,3,4,5,6,7,8,9},A386,ROW(INDIRECT("1:"&amp;LEN(A386)))),1))," ",REPT(" ",LEN(A386))),LEN(A386)))), ROW(INDIRECT("1:"&amp;LEN((--TRIM(RIGHT(SUBSTITUTE(LEFT(A386,_xlfn.AGGREGATE(16,6,FIND({0,1,2,3,4,5,6,7,8,9},A386,ROW(INDIRECT("1:"&amp;LEN(A386)))),1))," ",REPT(" ",LEN(A386))),LEN(A386))))))), 1)) * ROW(INDIRECT("1:"&amp;LEN((--TRIM(RIGHT(SUBSTITUTE(LEFT(A386,_xlfn.AGGREGATE(16,6,FIND({0,1,2,3,4,5,6,7,8,9},A386,ROW(INDIRECT("1:"&amp;LEN(A386)))),1))," ",REPT(" ",LEN(A386))),LEN(A386))))))), 0), ROW(INDIRECT("1:"&amp;LEN((--TRIM(RIGHT(SUBSTITUTE(LEFT(A386,_xlfn.AGGREGATE(16,6,FIND({0,1,2,3,4,5,6,7,8,9},A386,ROW(INDIRECT("1:"&amp;LEN(A386)))),1))," ",REPT(" ",LEN(A386))),LEN(A386))))))))+1, 1) * 10^ROW(INDIRECT("1:"&amp;LEN((--TRIM(RIGHT(SUBSTITUTE(LEFT(A386,_xlfn.AGGREGATE(16,6,FIND({0,1,2,3,4,5,6,7,8,9},A386,ROW(INDIRECT("1:"&amp;LEN(A386)))),1))," ",REPT(" ",LEN(A386))),LEN(A386)))))))/10))*100+1</f>
        <v>1701</v>
      </c>
    </row>
    <row r="388" spans="1:16" s="64" customFormat="1" ht="15.75" customHeight="1" x14ac:dyDescent="0.35">
      <c r="A388" s="89">
        <v>2</v>
      </c>
      <c r="B388" s="90"/>
      <c r="C388" s="56" t="s">
        <v>144</v>
      </c>
      <c r="D388" s="65">
        <f>(924.2+131.64)</f>
        <v>1055.8400000000001</v>
      </c>
      <c r="E388" s="56">
        <v>0</v>
      </c>
      <c r="F388" s="56">
        <f t="shared" si="202"/>
        <v>1689.3440000000003</v>
      </c>
      <c r="G388" s="85"/>
      <c r="H388" s="86"/>
      <c r="I388" s="49"/>
      <c r="N388" s="64" t="str">
        <f t="shared" ca="1" si="203"/>
        <v>702 &amp; 1702</v>
      </c>
      <c r="O388" s="64">
        <f t="shared" ref="O388:P388" ca="1" si="204">O387+1</f>
        <v>702</v>
      </c>
      <c r="P388" s="64">
        <f t="shared" ca="1" si="204"/>
        <v>1702</v>
      </c>
    </row>
    <row r="389" spans="1:16" s="64" customFormat="1" ht="15.75" customHeight="1" x14ac:dyDescent="0.35">
      <c r="A389" s="89">
        <v>3</v>
      </c>
      <c r="B389" s="90"/>
      <c r="C389" s="56" t="s">
        <v>183</v>
      </c>
      <c r="D389" s="65">
        <f>(562.42+71.15)</f>
        <v>633.56999999999994</v>
      </c>
      <c r="E389" s="56">
        <v>0</v>
      </c>
      <c r="F389" s="56">
        <f t="shared" si="202"/>
        <v>1013.712</v>
      </c>
      <c r="G389" s="85"/>
      <c r="H389" s="86"/>
      <c r="I389" s="49"/>
      <c r="N389" s="64" t="str">
        <f t="shared" ca="1" si="203"/>
        <v>703 &amp; 1703</v>
      </c>
      <c r="O389" s="64">
        <f t="shared" ref="O389:P389" ca="1" si="205">O388+1</f>
        <v>703</v>
      </c>
      <c r="P389" s="64">
        <f t="shared" ca="1" si="205"/>
        <v>1703</v>
      </c>
    </row>
    <row r="390" spans="1:16" s="64" customFormat="1" ht="15.75" customHeight="1" x14ac:dyDescent="0.35">
      <c r="A390" s="89">
        <v>4</v>
      </c>
      <c r="B390" s="90"/>
      <c r="C390" s="56" t="s">
        <v>183</v>
      </c>
      <c r="D390" s="65">
        <f>825.06+127.55</f>
        <v>952.6099999999999</v>
      </c>
      <c r="E390" s="56">
        <v>0</v>
      </c>
      <c r="F390" s="56">
        <f t="shared" si="202"/>
        <v>1524.1759999999999</v>
      </c>
      <c r="G390" s="85"/>
      <c r="H390" s="86"/>
      <c r="I390" s="49"/>
      <c r="N390" s="64" t="str">
        <f t="shared" ca="1" si="203"/>
        <v>704 &amp; 1704</v>
      </c>
      <c r="O390" s="64">
        <f t="shared" ref="O390:P390" ca="1" si="206">O389+1</f>
        <v>704</v>
      </c>
      <c r="P390" s="64">
        <f t="shared" ca="1" si="206"/>
        <v>1704</v>
      </c>
    </row>
    <row r="391" spans="1:16" s="64" customFormat="1" ht="15.75" customHeight="1" x14ac:dyDescent="0.35">
      <c r="A391" s="89">
        <v>5</v>
      </c>
      <c r="B391" s="90"/>
      <c r="C391" s="56" t="s">
        <v>183</v>
      </c>
      <c r="D391" s="65">
        <f>605.25+40.69</f>
        <v>645.94000000000005</v>
      </c>
      <c r="E391" s="56">
        <v>0</v>
      </c>
      <c r="F391" s="56">
        <f t="shared" si="202"/>
        <v>1033.5040000000001</v>
      </c>
      <c r="G391" s="85"/>
      <c r="H391" s="86"/>
      <c r="I391" s="49"/>
      <c r="N391" s="64" t="str">
        <f t="shared" ca="1" si="203"/>
        <v>705 &amp; 1705</v>
      </c>
      <c r="O391" s="64">
        <f t="shared" ref="O391:P391" ca="1" si="207">O390+1</f>
        <v>705</v>
      </c>
      <c r="P391" s="64">
        <f t="shared" ca="1" si="207"/>
        <v>1705</v>
      </c>
    </row>
    <row r="392" spans="1:16" s="64" customFormat="1" ht="15.75" customHeight="1" x14ac:dyDescent="0.35">
      <c r="A392" s="89">
        <v>6</v>
      </c>
      <c r="B392" s="90"/>
      <c r="C392" s="56" t="s">
        <v>183</v>
      </c>
      <c r="D392" s="65">
        <f>723.99+20.99</f>
        <v>744.98</v>
      </c>
      <c r="E392" s="56">
        <v>0</v>
      </c>
      <c r="F392" s="56">
        <f t="shared" si="202"/>
        <v>1191.9680000000001</v>
      </c>
      <c r="G392" s="85"/>
      <c r="H392" s="86"/>
      <c r="I392" s="49"/>
      <c r="N392" s="64" t="str">
        <f t="shared" ca="1" si="203"/>
        <v>706 &amp; 1706</v>
      </c>
      <c r="O392" s="64">
        <f t="shared" ref="O392:P392" ca="1" si="208">O391+1</f>
        <v>706</v>
      </c>
      <c r="P392" s="64">
        <f t="shared" ca="1" si="208"/>
        <v>1706</v>
      </c>
    </row>
    <row r="393" spans="1:16" s="64" customFormat="1" ht="15.75" customHeight="1" x14ac:dyDescent="0.35">
      <c r="A393" s="89">
        <v>7</v>
      </c>
      <c r="B393" s="90"/>
      <c r="C393" s="56" t="s">
        <v>183</v>
      </c>
      <c r="D393" s="65">
        <f>704.4+66.52</f>
        <v>770.92</v>
      </c>
      <c r="E393" s="56">
        <v>0</v>
      </c>
      <c r="F393" s="56">
        <f t="shared" si="202"/>
        <v>1233.472</v>
      </c>
      <c r="G393" s="87"/>
      <c r="H393" s="88"/>
      <c r="I393" s="49"/>
      <c r="N393" s="64" t="str">
        <f t="shared" ca="1" si="203"/>
        <v>707 &amp; 1707</v>
      </c>
      <c r="O393" s="64">
        <f t="shared" ref="O393:P393" ca="1" si="209">O392+1</f>
        <v>707</v>
      </c>
      <c r="P393" s="64">
        <f t="shared" ca="1" si="209"/>
        <v>1707</v>
      </c>
    </row>
    <row r="394" spans="1:16" s="64" customFormat="1" x14ac:dyDescent="0.35">
      <c r="A394" s="91" t="s">
        <v>225</v>
      </c>
      <c r="B394" s="92"/>
      <c r="C394" s="92"/>
      <c r="D394" s="92"/>
      <c r="E394" s="92"/>
      <c r="F394" s="92"/>
      <c r="G394" s="92"/>
      <c r="H394" s="93"/>
      <c r="I394" s="49"/>
      <c r="P394" s="51"/>
    </row>
    <row r="395" spans="1:16" s="64" customFormat="1" x14ac:dyDescent="0.35">
      <c r="A395" s="89">
        <v>1</v>
      </c>
      <c r="B395" s="90"/>
      <c r="C395" s="56" t="s">
        <v>183</v>
      </c>
      <c r="D395" s="65">
        <f>746.16+88.16</f>
        <v>834.31999999999994</v>
      </c>
      <c r="E395" s="56">
        <v>0</v>
      </c>
      <c r="F395" s="56">
        <f t="shared" ref="F395:F401" si="210">D395*(($F$146)+1)+E395</f>
        <v>1334.912</v>
      </c>
      <c r="G395" s="83" t="str">
        <f>A394</f>
        <v>14th Floor</v>
      </c>
      <c r="H395" s="84"/>
      <c r="I395" s="49"/>
      <c r="N395" s="64" t="str">
        <f t="shared" ref="N395:N401" ca="1" si="211">O395&amp;""&amp;" &amp; "&amp;""&amp;P395</f>
        <v>101 &amp; 1401</v>
      </c>
      <c r="O395" s="64">
        <f ca="1">(SUMPRODUCT(MID(0&amp;(LEFT(A394,SUM(LEN(A394)-LEN(SUBSTITUTE(A394,{"0","1","2"},""))))), LARGE(INDEX(ISNUMBER(--MID((LEFT(A394,SUM(LEN(A394)-LEN(SUBSTITUTE(A394,{"0","1","2"},""))))), ROW(INDIRECT("1:"&amp;LEN((LEFT(A394,SUM(LEN(A394)-LEN(SUBSTITUTE(A394,{"0","1","2"},"")))))))), 1)) * ROW(INDIRECT("1:"&amp;LEN((LEFT(A394,SUM(LEN(A394)-LEN(SUBSTITUTE(A394,{"0","1","2"},"")))))))), 0), ROW(INDIRECT("1:"&amp;LEN((LEFT(A394,SUM(LEN(A394)-LEN(SUBSTITUTE(A394,{"0","1","2"},"")))))))))+1, 1) * 10^ROW(INDIRECT("1:"&amp;LEN((LEFT(A394,SUM(LEN(A394)-LEN(SUBSTITUTE(A394,{"0","1","2"},""))))))))/10))*100+1</f>
        <v>101</v>
      </c>
      <c r="P395" s="64">
        <f ca="1">(SUMPRODUCT(MID(0&amp;(--TRIM(RIGHT(SUBSTITUTE(LEFT(A394,_xlfn.AGGREGATE(16,6,FIND({0,1,2,3,4,5,6,7,8,9},A394,ROW(INDIRECT("1:"&amp;LEN(A394)))),1))," ",REPT(" ",LEN(A394))),LEN(A394)))), LARGE(INDEX(ISNUMBER(--MID((--TRIM(RIGHT(SUBSTITUTE(LEFT(A394,_xlfn.AGGREGATE(16,6,FIND({0,1,2,3,4,5,6,7,8,9},A394,ROW(INDIRECT("1:"&amp;LEN(A394)))),1))," ",REPT(" ",LEN(A394))),LEN(A394)))), ROW(INDIRECT("1:"&amp;LEN((--TRIM(RIGHT(SUBSTITUTE(LEFT(A394,_xlfn.AGGREGATE(16,6,FIND({0,1,2,3,4,5,6,7,8,9},A394,ROW(INDIRECT("1:"&amp;LEN(A394)))),1))," ",REPT(" ",LEN(A394))),LEN(A394))))))), 1)) * ROW(INDIRECT("1:"&amp;LEN((--TRIM(RIGHT(SUBSTITUTE(LEFT(A394,_xlfn.AGGREGATE(16,6,FIND({0,1,2,3,4,5,6,7,8,9},A394,ROW(INDIRECT("1:"&amp;LEN(A394)))),1))," ",REPT(" ",LEN(A394))),LEN(A394))))))), 0), ROW(INDIRECT("1:"&amp;LEN((--TRIM(RIGHT(SUBSTITUTE(LEFT(A394,_xlfn.AGGREGATE(16,6,FIND({0,1,2,3,4,5,6,7,8,9},A394,ROW(INDIRECT("1:"&amp;LEN(A394)))),1))," ",REPT(" ",LEN(A394))),LEN(A394))))))))+1, 1) * 10^ROW(INDIRECT("1:"&amp;LEN((--TRIM(RIGHT(SUBSTITUTE(LEFT(A394,_xlfn.AGGREGATE(16,6,FIND({0,1,2,3,4,5,6,7,8,9},A394,ROW(INDIRECT("1:"&amp;LEN(A394)))),1))," ",REPT(" ",LEN(A394))),LEN(A394)))))))/10))*100+1</f>
        <v>1401</v>
      </c>
    </row>
    <row r="396" spans="1:16" s="64" customFormat="1" x14ac:dyDescent="0.35">
      <c r="A396" s="89">
        <v>2</v>
      </c>
      <c r="B396" s="90"/>
      <c r="C396" s="56" t="s">
        <v>144</v>
      </c>
      <c r="D396" s="65">
        <f>(919.68+102.37)</f>
        <v>1022.05</v>
      </c>
      <c r="E396" s="56">
        <v>0</v>
      </c>
      <c r="F396" s="56">
        <f t="shared" si="210"/>
        <v>1635.28</v>
      </c>
      <c r="G396" s="85" t="str">
        <f t="shared" ref="G396:G401" si="212">G395</f>
        <v>14th Floor</v>
      </c>
      <c r="H396" s="86"/>
      <c r="I396" s="49"/>
      <c r="N396" s="64" t="str">
        <f t="shared" ca="1" si="211"/>
        <v>102 &amp; 1402</v>
      </c>
      <c r="O396" s="64">
        <f t="shared" ref="O396:P396" ca="1" si="213">O395+1</f>
        <v>102</v>
      </c>
      <c r="P396" s="64">
        <f t="shared" ca="1" si="213"/>
        <v>1402</v>
      </c>
    </row>
    <row r="397" spans="1:16" s="64" customFormat="1" x14ac:dyDescent="0.35">
      <c r="A397" s="89">
        <v>3</v>
      </c>
      <c r="B397" s="90"/>
      <c r="C397" s="56" t="s">
        <v>183</v>
      </c>
      <c r="D397" s="65">
        <f>(562.42+71.15)</f>
        <v>633.56999999999994</v>
      </c>
      <c r="E397" s="56">
        <v>0</v>
      </c>
      <c r="F397" s="56">
        <f t="shared" si="210"/>
        <v>1013.712</v>
      </c>
      <c r="G397" s="85" t="str">
        <f t="shared" si="212"/>
        <v>14th Floor</v>
      </c>
      <c r="H397" s="86"/>
      <c r="I397" s="49"/>
      <c r="N397" s="64" t="str">
        <f t="shared" ca="1" si="211"/>
        <v>103 &amp; 1403</v>
      </c>
      <c r="O397" s="64">
        <f t="shared" ref="O397:P397" ca="1" si="214">O396+1</f>
        <v>103</v>
      </c>
      <c r="P397" s="64">
        <f t="shared" ca="1" si="214"/>
        <v>1403</v>
      </c>
    </row>
    <row r="398" spans="1:16" s="64" customFormat="1" x14ac:dyDescent="0.35">
      <c r="A398" s="89">
        <v>4</v>
      </c>
      <c r="B398" s="90"/>
      <c r="C398" s="56" t="s">
        <v>183</v>
      </c>
      <c r="D398" s="65">
        <f>825.06+127.55</f>
        <v>952.6099999999999</v>
      </c>
      <c r="E398" s="56">
        <v>0</v>
      </c>
      <c r="F398" s="56">
        <f t="shared" si="210"/>
        <v>1524.1759999999999</v>
      </c>
      <c r="G398" s="85" t="str">
        <f t="shared" si="212"/>
        <v>14th Floor</v>
      </c>
      <c r="H398" s="86"/>
      <c r="I398" s="49"/>
      <c r="N398" s="64" t="str">
        <f t="shared" ca="1" si="211"/>
        <v>104 &amp; 1404</v>
      </c>
      <c r="O398" s="64">
        <f t="shared" ref="O398:P398" ca="1" si="215">O397+1</f>
        <v>104</v>
      </c>
      <c r="P398" s="64">
        <f t="shared" ca="1" si="215"/>
        <v>1404</v>
      </c>
    </row>
    <row r="399" spans="1:16" s="64" customFormat="1" x14ac:dyDescent="0.35">
      <c r="A399" s="89">
        <v>5</v>
      </c>
      <c r="B399" s="90"/>
      <c r="C399" s="56" t="s">
        <v>183</v>
      </c>
      <c r="D399" s="65">
        <f>608.49+58.88</f>
        <v>667.37</v>
      </c>
      <c r="E399" s="56">
        <v>0</v>
      </c>
      <c r="F399" s="56">
        <f t="shared" si="210"/>
        <v>1067.7920000000001</v>
      </c>
      <c r="G399" s="85" t="str">
        <f t="shared" si="212"/>
        <v>14th Floor</v>
      </c>
      <c r="H399" s="86"/>
      <c r="I399" s="49"/>
      <c r="N399" s="64" t="str">
        <f t="shared" ca="1" si="211"/>
        <v>105 &amp; 1405</v>
      </c>
      <c r="O399" s="64">
        <f t="shared" ref="O399:P399" ca="1" si="216">O398+1</f>
        <v>105</v>
      </c>
      <c r="P399" s="64">
        <f t="shared" ca="1" si="216"/>
        <v>1405</v>
      </c>
    </row>
    <row r="400" spans="1:16" s="64" customFormat="1" x14ac:dyDescent="0.35">
      <c r="A400" s="89">
        <v>6</v>
      </c>
      <c r="B400" s="90"/>
      <c r="C400" s="56" t="s">
        <v>183</v>
      </c>
      <c r="D400" s="65">
        <f>733.46+67.81</f>
        <v>801.27</v>
      </c>
      <c r="E400" s="56">
        <v>0</v>
      </c>
      <c r="F400" s="56">
        <f t="shared" si="210"/>
        <v>1282.0320000000002</v>
      </c>
      <c r="G400" s="85" t="str">
        <f t="shared" si="212"/>
        <v>14th Floor</v>
      </c>
      <c r="H400" s="86"/>
      <c r="I400" s="49"/>
      <c r="N400" s="64" t="str">
        <f t="shared" ca="1" si="211"/>
        <v>106 &amp; 1406</v>
      </c>
      <c r="O400" s="64">
        <f t="shared" ref="O400:P400" ca="1" si="217">O399+1</f>
        <v>106</v>
      </c>
      <c r="P400" s="64">
        <f t="shared" ca="1" si="217"/>
        <v>1406</v>
      </c>
    </row>
    <row r="401" spans="1:16" s="64" customFormat="1" x14ac:dyDescent="0.35">
      <c r="A401" s="89">
        <v>7</v>
      </c>
      <c r="B401" s="90"/>
      <c r="C401" s="56" t="s">
        <v>183</v>
      </c>
      <c r="D401" s="65">
        <f>704.4+66.52</f>
        <v>770.92</v>
      </c>
      <c r="E401" s="56">
        <v>0</v>
      </c>
      <c r="F401" s="56">
        <f t="shared" si="210"/>
        <v>1233.472</v>
      </c>
      <c r="G401" s="87" t="str">
        <f t="shared" si="212"/>
        <v>14th Floor</v>
      </c>
      <c r="H401" s="88"/>
      <c r="I401" s="49"/>
      <c r="N401" s="64" t="str">
        <f t="shared" ca="1" si="211"/>
        <v>107 &amp; 1407</v>
      </c>
      <c r="O401" s="64">
        <f t="shared" ref="O401:P401" ca="1" si="218">O400+1</f>
        <v>107</v>
      </c>
      <c r="P401" s="64">
        <f t="shared" ca="1" si="218"/>
        <v>1407</v>
      </c>
    </row>
    <row r="402" spans="1:16" s="64" customFormat="1" x14ac:dyDescent="0.35">
      <c r="A402" s="91" t="s">
        <v>226</v>
      </c>
      <c r="B402" s="92"/>
      <c r="C402" s="92"/>
      <c r="D402" s="92"/>
      <c r="E402" s="92"/>
      <c r="F402" s="92"/>
      <c r="G402" s="92"/>
      <c r="H402" s="93"/>
      <c r="I402" s="49"/>
      <c r="P402" s="51"/>
    </row>
    <row r="403" spans="1:16" s="64" customFormat="1" x14ac:dyDescent="0.35">
      <c r="A403" s="89">
        <v>1</v>
      </c>
      <c r="B403" s="90"/>
      <c r="C403" s="56" t="s">
        <v>183</v>
      </c>
      <c r="D403" s="65">
        <f>746.16+88.16</f>
        <v>834.31999999999994</v>
      </c>
      <c r="E403" s="56">
        <v>0</v>
      </c>
      <c r="F403" s="56">
        <f t="shared" ref="F403:F409" si="219">D403*(($F$146)+1)+E403</f>
        <v>1334.912</v>
      </c>
      <c r="G403" s="83" t="str">
        <f>A402</f>
        <v>16th Floor</v>
      </c>
      <c r="H403" s="84"/>
      <c r="I403" s="49"/>
      <c r="N403" s="64" t="str">
        <f t="shared" ref="N403:N409" ca="1" si="220">O403&amp;""&amp;" &amp; "&amp;""&amp;P403</f>
        <v>101 &amp; 1601</v>
      </c>
      <c r="O403" s="64">
        <f ca="1">(SUMPRODUCT(MID(0&amp;(LEFT(A402,SUM(LEN(A402)-LEN(SUBSTITUTE(A402,{"0","1","2"},""))))), LARGE(INDEX(ISNUMBER(--MID((LEFT(A402,SUM(LEN(A402)-LEN(SUBSTITUTE(A402,{"0","1","2"},""))))), ROW(INDIRECT("1:"&amp;LEN((LEFT(A402,SUM(LEN(A402)-LEN(SUBSTITUTE(A402,{"0","1","2"},"")))))))), 1)) * ROW(INDIRECT("1:"&amp;LEN((LEFT(A402,SUM(LEN(A402)-LEN(SUBSTITUTE(A402,{"0","1","2"},"")))))))), 0), ROW(INDIRECT("1:"&amp;LEN((LEFT(A402,SUM(LEN(A402)-LEN(SUBSTITUTE(A402,{"0","1","2"},"")))))))))+1, 1) * 10^ROW(INDIRECT("1:"&amp;LEN((LEFT(A402,SUM(LEN(A402)-LEN(SUBSTITUTE(A402,{"0","1","2"},""))))))))/10))*100+1</f>
        <v>101</v>
      </c>
      <c r="P403" s="64">
        <f ca="1">(SUMPRODUCT(MID(0&amp;(--TRIM(RIGHT(SUBSTITUTE(LEFT(A402,_xlfn.AGGREGATE(16,6,FIND({0,1,2,3,4,5,6,7,8,9},A402,ROW(INDIRECT("1:"&amp;LEN(A402)))),1))," ",REPT(" ",LEN(A402))),LEN(A402)))), LARGE(INDEX(ISNUMBER(--MID((--TRIM(RIGHT(SUBSTITUTE(LEFT(A402,_xlfn.AGGREGATE(16,6,FIND({0,1,2,3,4,5,6,7,8,9},A402,ROW(INDIRECT("1:"&amp;LEN(A402)))),1))," ",REPT(" ",LEN(A402))),LEN(A402)))), ROW(INDIRECT("1:"&amp;LEN((--TRIM(RIGHT(SUBSTITUTE(LEFT(A402,_xlfn.AGGREGATE(16,6,FIND({0,1,2,3,4,5,6,7,8,9},A402,ROW(INDIRECT("1:"&amp;LEN(A402)))),1))," ",REPT(" ",LEN(A402))),LEN(A402))))))), 1)) * ROW(INDIRECT("1:"&amp;LEN((--TRIM(RIGHT(SUBSTITUTE(LEFT(A402,_xlfn.AGGREGATE(16,6,FIND({0,1,2,3,4,5,6,7,8,9},A402,ROW(INDIRECT("1:"&amp;LEN(A402)))),1))," ",REPT(" ",LEN(A402))),LEN(A402))))))), 0), ROW(INDIRECT("1:"&amp;LEN((--TRIM(RIGHT(SUBSTITUTE(LEFT(A402,_xlfn.AGGREGATE(16,6,FIND({0,1,2,3,4,5,6,7,8,9},A402,ROW(INDIRECT("1:"&amp;LEN(A402)))),1))," ",REPT(" ",LEN(A402))),LEN(A402))))))))+1, 1) * 10^ROW(INDIRECT("1:"&amp;LEN((--TRIM(RIGHT(SUBSTITUTE(LEFT(A402,_xlfn.AGGREGATE(16,6,FIND({0,1,2,3,4,5,6,7,8,9},A402,ROW(INDIRECT("1:"&amp;LEN(A402)))),1))," ",REPT(" ",LEN(A402))),LEN(A402)))))))/10))*100+1</f>
        <v>1601</v>
      </c>
    </row>
    <row r="404" spans="1:16" s="64" customFormat="1" x14ac:dyDescent="0.35">
      <c r="A404" s="89">
        <v>2</v>
      </c>
      <c r="B404" s="90"/>
      <c r="C404" s="56" t="s">
        <v>144</v>
      </c>
      <c r="D404" s="65">
        <f>(924.2+131.64)</f>
        <v>1055.8400000000001</v>
      </c>
      <c r="E404" s="56">
        <v>0</v>
      </c>
      <c r="F404" s="56">
        <f t="shared" si="219"/>
        <v>1689.3440000000003</v>
      </c>
      <c r="G404" s="85" t="str">
        <f t="shared" ref="G404:G409" si="221">G403</f>
        <v>16th Floor</v>
      </c>
      <c r="H404" s="86"/>
      <c r="I404" s="49"/>
      <c r="N404" s="64" t="str">
        <f t="shared" ca="1" si="220"/>
        <v>102 &amp; 1602</v>
      </c>
      <c r="O404" s="64">
        <f t="shared" ref="O404:P404" ca="1" si="222">O403+1</f>
        <v>102</v>
      </c>
      <c r="P404" s="64">
        <f t="shared" ca="1" si="222"/>
        <v>1602</v>
      </c>
    </row>
    <row r="405" spans="1:16" s="64" customFormat="1" x14ac:dyDescent="0.35">
      <c r="A405" s="89">
        <v>3</v>
      </c>
      <c r="B405" s="90"/>
      <c r="C405" s="56" t="s">
        <v>183</v>
      </c>
      <c r="D405" s="65">
        <f>(562.42+71.15)</f>
        <v>633.56999999999994</v>
      </c>
      <c r="E405" s="56">
        <v>0</v>
      </c>
      <c r="F405" s="56">
        <f t="shared" si="219"/>
        <v>1013.712</v>
      </c>
      <c r="G405" s="85" t="str">
        <f t="shared" si="221"/>
        <v>16th Floor</v>
      </c>
      <c r="H405" s="86"/>
      <c r="I405" s="49"/>
      <c r="N405" s="64" t="str">
        <f t="shared" ca="1" si="220"/>
        <v>103 &amp; 1603</v>
      </c>
      <c r="O405" s="64">
        <f t="shared" ref="O405:P405" ca="1" si="223">O404+1</f>
        <v>103</v>
      </c>
      <c r="P405" s="64">
        <f t="shared" ca="1" si="223"/>
        <v>1603</v>
      </c>
    </row>
    <row r="406" spans="1:16" s="64" customFormat="1" x14ac:dyDescent="0.35">
      <c r="A406" s="89">
        <v>4</v>
      </c>
      <c r="B406" s="90"/>
      <c r="C406" s="56" t="s">
        <v>183</v>
      </c>
      <c r="D406" s="65">
        <f>825.06+127.55</f>
        <v>952.6099999999999</v>
      </c>
      <c r="E406" s="56">
        <v>0</v>
      </c>
      <c r="F406" s="56">
        <f t="shared" si="219"/>
        <v>1524.1759999999999</v>
      </c>
      <c r="G406" s="85" t="str">
        <f t="shared" si="221"/>
        <v>16th Floor</v>
      </c>
      <c r="H406" s="86"/>
      <c r="I406" s="49"/>
      <c r="N406" s="64" t="str">
        <f t="shared" ca="1" si="220"/>
        <v>104 &amp; 1604</v>
      </c>
      <c r="O406" s="64">
        <f t="shared" ref="O406:P406" ca="1" si="224">O405+1</f>
        <v>104</v>
      </c>
      <c r="P406" s="64">
        <f t="shared" ca="1" si="224"/>
        <v>1604</v>
      </c>
    </row>
    <row r="407" spans="1:16" s="64" customFormat="1" x14ac:dyDescent="0.35">
      <c r="A407" s="89">
        <v>5</v>
      </c>
      <c r="B407" s="90"/>
      <c r="C407" s="56" t="s">
        <v>183</v>
      </c>
      <c r="D407" s="65">
        <f>608.49+71.8</f>
        <v>680.29</v>
      </c>
      <c r="E407" s="56">
        <v>0</v>
      </c>
      <c r="F407" s="56">
        <f t="shared" si="219"/>
        <v>1088.4639999999999</v>
      </c>
      <c r="G407" s="85" t="str">
        <f t="shared" si="221"/>
        <v>16th Floor</v>
      </c>
      <c r="H407" s="86"/>
      <c r="I407" s="49"/>
      <c r="N407" s="64" t="str">
        <f t="shared" ca="1" si="220"/>
        <v>105 &amp; 1605</v>
      </c>
      <c r="O407" s="64">
        <f t="shared" ref="O407:P407" ca="1" si="225">O406+1</f>
        <v>105</v>
      </c>
      <c r="P407" s="64">
        <f t="shared" ca="1" si="225"/>
        <v>1605</v>
      </c>
    </row>
    <row r="408" spans="1:16" s="64" customFormat="1" x14ac:dyDescent="0.35">
      <c r="A408" s="89">
        <v>6</v>
      </c>
      <c r="B408" s="90"/>
      <c r="C408" s="56" t="s">
        <v>183</v>
      </c>
      <c r="D408" s="65">
        <f>737.98+116.14</f>
        <v>854.12</v>
      </c>
      <c r="E408" s="56">
        <v>0</v>
      </c>
      <c r="F408" s="56">
        <f t="shared" si="219"/>
        <v>1366.5920000000001</v>
      </c>
      <c r="G408" s="85" t="str">
        <f t="shared" si="221"/>
        <v>16th Floor</v>
      </c>
      <c r="H408" s="86"/>
      <c r="I408" s="49"/>
      <c r="N408" s="64" t="str">
        <f t="shared" ca="1" si="220"/>
        <v>106 &amp; 1606</v>
      </c>
      <c r="O408" s="64">
        <f t="shared" ref="O408:P408" ca="1" si="226">O407+1</f>
        <v>106</v>
      </c>
      <c r="P408" s="64">
        <f t="shared" ca="1" si="226"/>
        <v>1606</v>
      </c>
    </row>
    <row r="409" spans="1:16" s="64" customFormat="1" x14ac:dyDescent="0.35">
      <c r="A409" s="89">
        <v>7</v>
      </c>
      <c r="B409" s="90"/>
      <c r="C409" s="56" t="s">
        <v>183</v>
      </c>
      <c r="D409" s="65">
        <f>704.4+66.52</f>
        <v>770.92</v>
      </c>
      <c r="E409" s="56">
        <v>0</v>
      </c>
      <c r="F409" s="56">
        <f t="shared" si="219"/>
        <v>1233.472</v>
      </c>
      <c r="G409" s="87" t="str">
        <f t="shared" si="221"/>
        <v>16th Floor</v>
      </c>
      <c r="H409" s="88"/>
      <c r="I409" s="49"/>
      <c r="N409" s="64" t="str">
        <f t="shared" ca="1" si="220"/>
        <v>107 &amp; 1607</v>
      </c>
      <c r="O409" s="64">
        <f t="shared" ref="O409:P409" ca="1" si="227">O408+1</f>
        <v>107</v>
      </c>
      <c r="P409" s="64">
        <f t="shared" ca="1" si="227"/>
        <v>1607</v>
      </c>
    </row>
    <row r="410" spans="1:16" s="64" customFormat="1" x14ac:dyDescent="0.35">
      <c r="A410" s="91" t="s">
        <v>227</v>
      </c>
      <c r="B410" s="92"/>
      <c r="C410" s="92"/>
      <c r="D410" s="92"/>
      <c r="E410" s="92"/>
      <c r="F410" s="92"/>
      <c r="G410" s="92"/>
      <c r="H410" s="93"/>
      <c r="I410" s="49"/>
      <c r="P410" s="51"/>
    </row>
    <row r="411" spans="1:16" s="64" customFormat="1" x14ac:dyDescent="0.35">
      <c r="A411" s="89">
        <v>1</v>
      </c>
      <c r="B411" s="90"/>
      <c r="C411" s="56" t="s">
        <v>183</v>
      </c>
      <c r="D411" s="65">
        <f>746.16+88.16</f>
        <v>834.31999999999994</v>
      </c>
      <c r="E411" s="56">
        <v>0</v>
      </c>
      <c r="F411" s="56">
        <f t="shared" ref="F411:F417" si="228">D411*(($F$146)+1)+E411</f>
        <v>1334.912</v>
      </c>
      <c r="G411" s="83" t="str">
        <f>A410</f>
        <v>18th Floor</v>
      </c>
      <c r="H411" s="84"/>
      <c r="I411" s="49"/>
      <c r="N411" s="64" t="str">
        <f t="shared" ref="N411:N417" ca="1" si="229">O411&amp;""&amp;" &amp; "&amp;""&amp;P411</f>
        <v>101 &amp; 1801</v>
      </c>
      <c r="O411" s="64">
        <f ca="1">(SUMPRODUCT(MID(0&amp;(LEFT(A410,SUM(LEN(A410)-LEN(SUBSTITUTE(A410,{"0","1","2"},""))))), LARGE(INDEX(ISNUMBER(--MID((LEFT(A410,SUM(LEN(A410)-LEN(SUBSTITUTE(A410,{"0","1","2"},""))))), ROW(INDIRECT("1:"&amp;LEN((LEFT(A410,SUM(LEN(A410)-LEN(SUBSTITUTE(A410,{"0","1","2"},"")))))))), 1)) * ROW(INDIRECT("1:"&amp;LEN((LEFT(A410,SUM(LEN(A410)-LEN(SUBSTITUTE(A410,{"0","1","2"},"")))))))), 0), ROW(INDIRECT("1:"&amp;LEN((LEFT(A410,SUM(LEN(A410)-LEN(SUBSTITUTE(A410,{"0","1","2"},"")))))))))+1, 1) * 10^ROW(INDIRECT("1:"&amp;LEN((LEFT(A410,SUM(LEN(A410)-LEN(SUBSTITUTE(A410,{"0","1","2"},""))))))))/10))*100+1</f>
        <v>101</v>
      </c>
      <c r="P411" s="64">
        <f ca="1">(SUMPRODUCT(MID(0&amp;(--TRIM(RIGHT(SUBSTITUTE(LEFT(A410,_xlfn.AGGREGATE(16,6,FIND({0,1,2,3,4,5,6,7,8,9},A410,ROW(INDIRECT("1:"&amp;LEN(A410)))),1))," ",REPT(" ",LEN(A410))),LEN(A410)))), LARGE(INDEX(ISNUMBER(--MID((--TRIM(RIGHT(SUBSTITUTE(LEFT(A410,_xlfn.AGGREGATE(16,6,FIND({0,1,2,3,4,5,6,7,8,9},A410,ROW(INDIRECT("1:"&amp;LEN(A410)))),1))," ",REPT(" ",LEN(A410))),LEN(A410)))), ROW(INDIRECT("1:"&amp;LEN((--TRIM(RIGHT(SUBSTITUTE(LEFT(A410,_xlfn.AGGREGATE(16,6,FIND({0,1,2,3,4,5,6,7,8,9},A410,ROW(INDIRECT("1:"&amp;LEN(A410)))),1))," ",REPT(" ",LEN(A410))),LEN(A410))))))), 1)) * ROW(INDIRECT("1:"&amp;LEN((--TRIM(RIGHT(SUBSTITUTE(LEFT(A410,_xlfn.AGGREGATE(16,6,FIND({0,1,2,3,4,5,6,7,8,9},A410,ROW(INDIRECT("1:"&amp;LEN(A410)))),1))," ",REPT(" ",LEN(A410))),LEN(A410))))))), 0), ROW(INDIRECT("1:"&amp;LEN((--TRIM(RIGHT(SUBSTITUTE(LEFT(A410,_xlfn.AGGREGATE(16,6,FIND({0,1,2,3,4,5,6,7,8,9},A410,ROW(INDIRECT("1:"&amp;LEN(A410)))),1))," ",REPT(" ",LEN(A410))),LEN(A410))))))))+1, 1) * 10^ROW(INDIRECT("1:"&amp;LEN((--TRIM(RIGHT(SUBSTITUTE(LEFT(A410,_xlfn.AGGREGATE(16,6,FIND({0,1,2,3,4,5,6,7,8,9},A410,ROW(INDIRECT("1:"&amp;LEN(A410)))),1))," ",REPT(" ",LEN(A410))),LEN(A410)))))))/10))*100+1</f>
        <v>1801</v>
      </c>
    </row>
    <row r="412" spans="1:16" s="64" customFormat="1" x14ac:dyDescent="0.35">
      <c r="A412" s="89">
        <v>2</v>
      </c>
      <c r="B412" s="90"/>
      <c r="C412" s="56" t="s">
        <v>144</v>
      </c>
      <c r="D412" s="65">
        <f>(924.2+131.64)</f>
        <v>1055.8400000000001</v>
      </c>
      <c r="E412" s="56">
        <v>0</v>
      </c>
      <c r="F412" s="56">
        <f t="shared" si="228"/>
        <v>1689.3440000000003</v>
      </c>
      <c r="G412" s="85"/>
      <c r="H412" s="86"/>
      <c r="I412" s="49"/>
      <c r="N412" s="64" t="str">
        <f t="shared" ca="1" si="229"/>
        <v>102 &amp; 1802</v>
      </c>
      <c r="O412" s="64">
        <f t="shared" ref="O412:P412" ca="1" si="230">O411+1</f>
        <v>102</v>
      </c>
      <c r="P412" s="64">
        <f t="shared" ca="1" si="230"/>
        <v>1802</v>
      </c>
    </row>
    <row r="413" spans="1:16" s="64" customFormat="1" x14ac:dyDescent="0.35">
      <c r="A413" s="89">
        <v>3</v>
      </c>
      <c r="B413" s="90"/>
      <c r="C413" s="56" t="s">
        <v>183</v>
      </c>
      <c r="D413" s="65">
        <f>(562.42+78.36)</f>
        <v>640.78</v>
      </c>
      <c r="E413" s="56">
        <v>0</v>
      </c>
      <c r="F413" s="56">
        <f t="shared" si="228"/>
        <v>1025.248</v>
      </c>
      <c r="G413" s="85"/>
      <c r="H413" s="86"/>
      <c r="I413" s="49"/>
      <c r="N413" s="64" t="str">
        <f t="shared" ca="1" si="229"/>
        <v>103 &amp; 1803</v>
      </c>
      <c r="O413" s="64">
        <f t="shared" ref="O413:P413" ca="1" si="231">O412+1</f>
        <v>103</v>
      </c>
      <c r="P413" s="64">
        <f t="shared" ca="1" si="231"/>
        <v>1803</v>
      </c>
    </row>
    <row r="414" spans="1:16" s="64" customFormat="1" x14ac:dyDescent="0.35">
      <c r="A414" s="89">
        <v>4</v>
      </c>
      <c r="B414" s="90"/>
      <c r="C414" s="56" t="s">
        <v>183</v>
      </c>
      <c r="D414" s="65">
        <f>827.32+186</f>
        <v>1013.32</v>
      </c>
      <c r="E414" s="56">
        <v>0</v>
      </c>
      <c r="F414" s="56">
        <f t="shared" si="228"/>
        <v>1621.3120000000001</v>
      </c>
      <c r="G414" s="85"/>
      <c r="H414" s="86"/>
      <c r="I414" s="49"/>
      <c r="N414" s="64" t="str">
        <f t="shared" ca="1" si="229"/>
        <v>104 &amp; 1804</v>
      </c>
      <c r="O414" s="64">
        <f t="shared" ref="O414:P414" ca="1" si="232">O413+1</f>
        <v>104</v>
      </c>
      <c r="P414" s="64">
        <f t="shared" ca="1" si="232"/>
        <v>1804</v>
      </c>
    </row>
    <row r="415" spans="1:16" s="64" customFormat="1" x14ac:dyDescent="0.35">
      <c r="A415" s="89">
        <v>5</v>
      </c>
      <c r="B415" s="90"/>
      <c r="C415" s="56" t="s">
        <v>183</v>
      </c>
      <c r="D415" s="65">
        <f>608.49+71.8</f>
        <v>680.29</v>
      </c>
      <c r="E415" s="56">
        <v>0</v>
      </c>
      <c r="F415" s="56">
        <f t="shared" si="228"/>
        <v>1088.4639999999999</v>
      </c>
      <c r="G415" s="85"/>
      <c r="H415" s="86"/>
      <c r="I415" s="49"/>
      <c r="N415" s="64" t="str">
        <f t="shared" ca="1" si="229"/>
        <v>105 &amp; 1805</v>
      </c>
      <c r="O415" s="64">
        <f t="shared" ref="O415:P415" ca="1" si="233">O414+1</f>
        <v>105</v>
      </c>
      <c r="P415" s="64">
        <f t="shared" ca="1" si="233"/>
        <v>1805</v>
      </c>
    </row>
    <row r="416" spans="1:16" s="64" customFormat="1" x14ac:dyDescent="0.35">
      <c r="A416" s="89">
        <v>6</v>
      </c>
      <c r="B416" s="90"/>
      <c r="C416" s="56" t="s">
        <v>183</v>
      </c>
      <c r="D416" s="65">
        <f>737.98+116.14</f>
        <v>854.12</v>
      </c>
      <c r="E416" s="56">
        <v>0</v>
      </c>
      <c r="F416" s="56">
        <f t="shared" si="228"/>
        <v>1366.5920000000001</v>
      </c>
      <c r="G416" s="85"/>
      <c r="H416" s="86"/>
      <c r="I416" s="49"/>
      <c r="N416" s="64" t="str">
        <f t="shared" ca="1" si="229"/>
        <v>106 &amp; 1806</v>
      </c>
      <c r="O416" s="64">
        <f t="shared" ref="O416:P416" ca="1" si="234">O415+1</f>
        <v>106</v>
      </c>
      <c r="P416" s="64">
        <f t="shared" ca="1" si="234"/>
        <v>1806</v>
      </c>
    </row>
    <row r="417" spans="1:16" s="64" customFormat="1" x14ac:dyDescent="0.35">
      <c r="A417" s="89">
        <v>7</v>
      </c>
      <c r="B417" s="90"/>
      <c r="C417" s="56" t="s">
        <v>183</v>
      </c>
      <c r="D417" s="65">
        <f>704.4+66.52</f>
        <v>770.92</v>
      </c>
      <c r="E417" s="56">
        <v>0</v>
      </c>
      <c r="F417" s="56">
        <f t="shared" si="228"/>
        <v>1233.472</v>
      </c>
      <c r="G417" s="87"/>
      <c r="H417" s="88"/>
      <c r="I417" s="49"/>
      <c r="N417" s="64" t="str">
        <f t="shared" ca="1" si="229"/>
        <v>107 &amp; 1807</v>
      </c>
      <c r="O417" s="64">
        <f t="shared" ref="O417:P417" ca="1" si="235">O416+1</f>
        <v>107</v>
      </c>
      <c r="P417" s="64">
        <f t="shared" ca="1" si="235"/>
        <v>1807</v>
      </c>
    </row>
    <row r="418" spans="1:16" s="64" customFormat="1" x14ac:dyDescent="0.35">
      <c r="A418" s="91" t="s">
        <v>228</v>
      </c>
      <c r="B418" s="92"/>
      <c r="C418" s="92"/>
      <c r="D418" s="92"/>
      <c r="E418" s="92"/>
      <c r="F418" s="92"/>
      <c r="G418" s="92"/>
      <c r="H418" s="93"/>
      <c r="I418" s="49"/>
      <c r="P418" s="51"/>
    </row>
    <row r="419" spans="1:16" s="64" customFormat="1" ht="15.75" customHeight="1" x14ac:dyDescent="0.35">
      <c r="A419" s="89">
        <v>1</v>
      </c>
      <c r="B419" s="90"/>
      <c r="C419" s="56" t="s">
        <v>183</v>
      </c>
      <c r="D419" s="65">
        <f>746.16+88.16</f>
        <v>834.31999999999994</v>
      </c>
      <c r="E419" s="56">
        <v>0</v>
      </c>
      <c r="F419" s="56">
        <f t="shared" ref="F419:F425" si="236">D419*(($F$146)+1)+E419</f>
        <v>1334.912</v>
      </c>
      <c r="G419" s="83" t="str">
        <f>A418</f>
        <v>19th Floor (Part Refuge Area)</v>
      </c>
      <c r="H419" s="84"/>
      <c r="I419" s="49"/>
      <c r="N419" s="64" t="str">
        <f t="shared" ref="N419:N425" ca="1" si="237">O419&amp;""&amp;" &amp; "&amp;""&amp;P419</f>
        <v>101 &amp; 1901</v>
      </c>
      <c r="O419" s="64">
        <f ca="1">(SUMPRODUCT(MID(0&amp;(LEFT(A418,SUM(LEN(A418)-LEN(SUBSTITUTE(A418,{"0","1","2"},""))))), LARGE(INDEX(ISNUMBER(--MID((LEFT(A418,SUM(LEN(A418)-LEN(SUBSTITUTE(A418,{"0","1","2"},""))))), ROW(INDIRECT("1:"&amp;LEN((LEFT(A418,SUM(LEN(A418)-LEN(SUBSTITUTE(A418,{"0","1","2"},"")))))))), 1)) * ROW(INDIRECT("1:"&amp;LEN((LEFT(A418,SUM(LEN(A418)-LEN(SUBSTITUTE(A418,{"0","1","2"},"")))))))), 0), ROW(INDIRECT("1:"&amp;LEN((LEFT(A418,SUM(LEN(A418)-LEN(SUBSTITUTE(A418,{"0","1","2"},"")))))))))+1, 1) * 10^ROW(INDIRECT("1:"&amp;LEN((LEFT(A418,SUM(LEN(A418)-LEN(SUBSTITUTE(A418,{"0","1","2"},""))))))))/10))*100+1</f>
        <v>101</v>
      </c>
      <c r="P419" s="64">
        <f ca="1">(SUMPRODUCT(MID(0&amp;(--TRIM(RIGHT(SUBSTITUTE(LEFT(A418,_xlfn.AGGREGATE(16,6,FIND({0,1,2,3,4,5,6,7,8,9},A418,ROW(INDIRECT("1:"&amp;LEN(A418)))),1))," ",REPT(" ",LEN(A418))),LEN(A418)))), LARGE(INDEX(ISNUMBER(--MID((--TRIM(RIGHT(SUBSTITUTE(LEFT(A418,_xlfn.AGGREGATE(16,6,FIND({0,1,2,3,4,5,6,7,8,9},A418,ROW(INDIRECT("1:"&amp;LEN(A418)))),1))," ",REPT(" ",LEN(A418))),LEN(A418)))), ROW(INDIRECT("1:"&amp;LEN((--TRIM(RIGHT(SUBSTITUTE(LEFT(A418,_xlfn.AGGREGATE(16,6,FIND({0,1,2,3,4,5,6,7,8,9},A418,ROW(INDIRECT("1:"&amp;LEN(A418)))),1))," ",REPT(" ",LEN(A418))),LEN(A418))))))), 1)) * ROW(INDIRECT("1:"&amp;LEN((--TRIM(RIGHT(SUBSTITUTE(LEFT(A418,_xlfn.AGGREGATE(16,6,FIND({0,1,2,3,4,5,6,7,8,9},A418,ROW(INDIRECT("1:"&amp;LEN(A418)))),1))," ",REPT(" ",LEN(A418))),LEN(A418))))))), 0), ROW(INDIRECT("1:"&amp;LEN((--TRIM(RIGHT(SUBSTITUTE(LEFT(A418,_xlfn.AGGREGATE(16,6,FIND({0,1,2,3,4,5,6,7,8,9},A418,ROW(INDIRECT("1:"&amp;LEN(A418)))),1))," ",REPT(" ",LEN(A418))),LEN(A418))))))))+1, 1) * 10^ROW(INDIRECT("1:"&amp;LEN((--TRIM(RIGHT(SUBSTITUTE(LEFT(A418,_xlfn.AGGREGATE(16,6,FIND({0,1,2,3,4,5,6,7,8,9},A418,ROW(INDIRECT("1:"&amp;LEN(A418)))),1))," ",REPT(" ",LEN(A418))),LEN(A418)))))))/10))*100+1</f>
        <v>1901</v>
      </c>
    </row>
    <row r="420" spans="1:16" s="64" customFormat="1" ht="15.75" customHeight="1" x14ac:dyDescent="0.35">
      <c r="A420" s="89">
        <v>2</v>
      </c>
      <c r="B420" s="90"/>
      <c r="C420" s="56" t="s">
        <v>144</v>
      </c>
      <c r="D420" s="65">
        <f>(924.2+131.64)</f>
        <v>1055.8400000000001</v>
      </c>
      <c r="E420" s="56">
        <v>0</v>
      </c>
      <c r="F420" s="56">
        <f t="shared" si="236"/>
        <v>1689.3440000000003</v>
      </c>
      <c r="G420" s="85"/>
      <c r="H420" s="86"/>
      <c r="I420" s="49"/>
      <c r="N420" s="64" t="str">
        <f t="shared" ca="1" si="237"/>
        <v>102 &amp; 1902</v>
      </c>
      <c r="O420" s="64">
        <f t="shared" ref="O420:P420" ca="1" si="238">O419+1</f>
        <v>102</v>
      </c>
      <c r="P420" s="64">
        <f t="shared" ca="1" si="238"/>
        <v>1902</v>
      </c>
    </row>
    <row r="421" spans="1:16" s="64" customFormat="1" ht="15.75" customHeight="1" x14ac:dyDescent="0.35">
      <c r="A421" s="89">
        <v>3</v>
      </c>
      <c r="B421" s="90"/>
      <c r="C421" s="56" t="s">
        <v>183</v>
      </c>
      <c r="D421" s="65">
        <f>(562.42+78.36)</f>
        <v>640.78</v>
      </c>
      <c r="E421" s="56">
        <v>0</v>
      </c>
      <c r="F421" s="56">
        <f t="shared" si="236"/>
        <v>1025.248</v>
      </c>
      <c r="G421" s="85"/>
      <c r="H421" s="86"/>
      <c r="I421" s="49"/>
      <c r="N421" s="64" t="str">
        <f t="shared" ca="1" si="237"/>
        <v>103 &amp; 1903</v>
      </c>
      <c r="O421" s="64">
        <f t="shared" ref="O421:P421" ca="1" si="239">O420+1</f>
        <v>103</v>
      </c>
      <c r="P421" s="64">
        <f t="shared" ca="1" si="239"/>
        <v>1903</v>
      </c>
    </row>
    <row r="422" spans="1:16" s="64" customFormat="1" ht="15.75" customHeight="1" x14ac:dyDescent="0.35">
      <c r="A422" s="89">
        <v>4</v>
      </c>
      <c r="B422" s="90"/>
      <c r="C422" s="56" t="s">
        <v>183</v>
      </c>
      <c r="D422" s="65">
        <f>827.32+186</f>
        <v>1013.32</v>
      </c>
      <c r="E422" s="56">
        <v>0</v>
      </c>
      <c r="F422" s="56">
        <f t="shared" si="236"/>
        <v>1621.3120000000001</v>
      </c>
      <c r="G422" s="85"/>
      <c r="H422" s="86"/>
      <c r="I422" s="49"/>
      <c r="N422" s="64" t="str">
        <f t="shared" ca="1" si="237"/>
        <v>104 &amp; 1904</v>
      </c>
      <c r="O422" s="64">
        <f t="shared" ref="O422:P422" ca="1" si="240">O421+1</f>
        <v>104</v>
      </c>
      <c r="P422" s="64">
        <f t="shared" ca="1" si="240"/>
        <v>1904</v>
      </c>
    </row>
    <row r="423" spans="1:16" s="64" customFormat="1" ht="15.75" customHeight="1" x14ac:dyDescent="0.35">
      <c r="A423" s="89">
        <v>5</v>
      </c>
      <c r="B423" s="90"/>
      <c r="C423" s="56" t="s">
        <v>183</v>
      </c>
      <c r="D423" s="65">
        <f>608.49+58.88</f>
        <v>667.37</v>
      </c>
      <c r="E423" s="56">
        <v>0</v>
      </c>
      <c r="F423" s="56">
        <f t="shared" si="236"/>
        <v>1067.7920000000001</v>
      </c>
      <c r="G423" s="85"/>
      <c r="H423" s="86"/>
      <c r="I423" s="49"/>
      <c r="N423" s="64" t="str">
        <f t="shared" ca="1" si="237"/>
        <v>105 &amp; 1905</v>
      </c>
      <c r="O423" s="64">
        <f t="shared" ref="O423:P423" ca="1" si="241">O422+1</f>
        <v>105</v>
      </c>
      <c r="P423" s="64">
        <f t="shared" ca="1" si="241"/>
        <v>1905</v>
      </c>
    </row>
    <row r="424" spans="1:16" s="64" customFormat="1" ht="15.75" customHeight="1" x14ac:dyDescent="0.35">
      <c r="A424" s="89">
        <v>6</v>
      </c>
      <c r="B424" s="90"/>
      <c r="C424" s="56" t="s">
        <v>183</v>
      </c>
      <c r="D424" s="65">
        <f>733.46+67.81</f>
        <v>801.27</v>
      </c>
      <c r="E424" s="56">
        <v>0</v>
      </c>
      <c r="F424" s="56">
        <f t="shared" si="236"/>
        <v>1282.0320000000002</v>
      </c>
      <c r="G424" s="85"/>
      <c r="H424" s="86"/>
      <c r="I424" s="49"/>
      <c r="N424" s="64" t="str">
        <f t="shared" ca="1" si="237"/>
        <v>106 &amp; 1906</v>
      </c>
      <c r="O424" s="64">
        <f t="shared" ref="O424:P424" ca="1" si="242">O423+1</f>
        <v>106</v>
      </c>
      <c r="P424" s="64">
        <f t="shared" ca="1" si="242"/>
        <v>1906</v>
      </c>
    </row>
    <row r="425" spans="1:16" s="64" customFormat="1" ht="15.75" customHeight="1" x14ac:dyDescent="0.35">
      <c r="A425" s="89">
        <v>7</v>
      </c>
      <c r="B425" s="90"/>
      <c r="C425" s="56" t="s">
        <v>183</v>
      </c>
      <c r="D425" s="65">
        <f>704.4+66.52</f>
        <v>770.92</v>
      </c>
      <c r="E425" s="56">
        <v>0</v>
      </c>
      <c r="F425" s="56">
        <f t="shared" si="236"/>
        <v>1233.472</v>
      </c>
      <c r="G425" s="87"/>
      <c r="H425" s="88"/>
      <c r="I425" s="49"/>
      <c r="N425" s="64" t="str">
        <f t="shared" ca="1" si="237"/>
        <v>107 &amp; 1907</v>
      </c>
      <c r="O425" s="64">
        <f t="shared" ref="O425:P425" ca="1" si="243">O424+1</f>
        <v>107</v>
      </c>
      <c r="P425" s="64">
        <f t="shared" ca="1" si="243"/>
        <v>1907</v>
      </c>
    </row>
    <row r="426" spans="1:16" s="64" customFormat="1" x14ac:dyDescent="0.35">
      <c r="A426" s="91" t="s">
        <v>229</v>
      </c>
      <c r="B426" s="92"/>
      <c r="C426" s="92"/>
      <c r="D426" s="92"/>
      <c r="E426" s="92"/>
      <c r="F426" s="92"/>
      <c r="G426" s="92"/>
      <c r="H426" s="93"/>
      <c r="I426" s="49"/>
      <c r="P426" s="51"/>
    </row>
    <row r="427" spans="1:16" s="64" customFormat="1" x14ac:dyDescent="0.35">
      <c r="A427" s="89">
        <v>1</v>
      </c>
      <c r="B427" s="90"/>
      <c r="C427" s="56" t="s">
        <v>183</v>
      </c>
      <c r="D427" s="65">
        <f>746.16+88.16</f>
        <v>834.31999999999994</v>
      </c>
      <c r="E427" s="56">
        <v>0</v>
      </c>
      <c r="F427" s="56">
        <f t="shared" ref="F427:F433" si="244">D427*(($F$146)+1)+E427</f>
        <v>1334.912</v>
      </c>
      <c r="G427" s="83" t="str">
        <f>A426</f>
        <v>20th Floor</v>
      </c>
      <c r="H427" s="84"/>
      <c r="I427" s="49"/>
      <c r="N427" s="64" t="str">
        <f t="shared" ref="N427:N433" ca="1" si="245">O427&amp;""&amp;" &amp; "&amp;""&amp;P427</f>
        <v>2001 &amp; 2001</v>
      </c>
      <c r="O427" s="64">
        <f ca="1">(SUMPRODUCT(MID(0&amp;(LEFT(A426,SUM(LEN(A426)-LEN(SUBSTITUTE(A426,{"0","1","2"},""))))), LARGE(INDEX(ISNUMBER(--MID((LEFT(A426,SUM(LEN(A426)-LEN(SUBSTITUTE(A426,{"0","1","2"},""))))), ROW(INDIRECT("1:"&amp;LEN((LEFT(A426,SUM(LEN(A426)-LEN(SUBSTITUTE(A426,{"0","1","2"},"")))))))), 1)) * ROW(INDIRECT("1:"&amp;LEN((LEFT(A426,SUM(LEN(A426)-LEN(SUBSTITUTE(A426,{"0","1","2"},"")))))))), 0), ROW(INDIRECT("1:"&amp;LEN((LEFT(A426,SUM(LEN(A426)-LEN(SUBSTITUTE(A426,{"0","1","2"},"")))))))))+1, 1) * 10^ROW(INDIRECT("1:"&amp;LEN((LEFT(A426,SUM(LEN(A426)-LEN(SUBSTITUTE(A426,{"0","1","2"},""))))))))/10))*100+1</f>
        <v>2001</v>
      </c>
      <c r="P427" s="64">
        <f ca="1">(SUMPRODUCT(MID(0&amp;(--TRIM(RIGHT(SUBSTITUTE(LEFT(A426,_xlfn.AGGREGATE(16,6,FIND({0,1,2,3,4,5,6,7,8,9},A426,ROW(INDIRECT("1:"&amp;LEN(A426)))),1))," ",REPT(" ",LEN(A426))),LEN(A426)))), LARGE(INDEX(ISNUMBER(--MID((--TRIM(RIGHT(SUBSTITUTE(LEFT(A426,_xlfn.AGGREGATE(16,6,FIND({0,1,2,3,4,5,6,7,8,9},A426,ROW(INDIRECT("1:"&amp;LEN(A426)))),1))," ",REPT(" ",LEN(A426))),LEN(A426)))), ROW(INDIRECT("1:"&amp;LEN((--TRIM(RIGHT(SUBSTITUTE(LEFT(A426,_xlfn.AGGREGATE(16,6,FIND({0,1,2,3,4,5,6,7,8,9},A426,ROW(INDIRECT("1:"&amp;LEN(A426)))),1))," ",REPT(" ",LEN(A426))),LEN(A426))))))), 1)) * ROW(INDIRECT("1:"&amp;LEN((--TRIM(RIGHT(SUBSTITUTE(LEFT(A426,_xlfn.AGGREGATE(16,6,FIND({0,1,2,3,4,5,6,7,8,9},A426,ROW(INDIRECT("1:"&amp;LEN(A426)))),1))," ",REPT(" ",LEN(A426))),LEN(A426))))))), 0), ROW(INDIRECT("1:"&amp;LEN((--TRIM(RIGHT(SUBSTITUTE(LEFT(A426,_xlfn.AGGREGATE(16,6,FIND({0,1,2,3,4,5,6,7,8,9},A426,ROW(INDIRECT("1:"&amp;LEN(A426)))),1))," ",REPT(" ",LEN(A426))),LEN(A426))))))))+1, 1) * 10^ROW(INDIRECT("1:"&amp;LEN((--TRIM(RIGHT(SUBSTITUTE(LEFT(A426,_xlfn.AGGREGATE(16,6,FIND({0,1,2,3,4,5,6,7,8,9},A426,ROW(INDIRECT("1:"&amp;LEN(A426)))),1))," ",REPT(" ",LEN(A426))),LEN(A426)))))))/10))*100+1</f>
        <v>2001</v>
      </c>
    </row>
    <row r="428" spans="1:16" s="64" customFormat="1" x14ac:dyDescent="0.35">
      <c r="A428" s="89">
        <v>2</v>
      </c>
      <c r="B428" s="90"/>
      <c r="C428" s="56" t="s">
        <v>144</v>
      </c>
      <c r="D428" s="65">
        <f>(919.68+102.37)</f>
        <v>1022.05</v>
      </c>
      <c r="E428" s="56">
        <v>0</v>
      </c>
      <c r="F428" s="56">
        <f t="shared" si="244"/>
        <v>1635.28</v>
      </c>
      <c r="G428" s="85" t="str">
        <f t="shared" ref="G428:G433" si="246">G427</f>
        <v>20th Floor</v>
      </c>
      <c r="H428" s="86"/>
      <c r="I428" s="49"/>
      <c r="N428" s="64" t="str">
        <f t="shared" ca="1" si="245"/>
        <v>2002 &amp; 2002</v>
      </c>
      <c r="O428" s="64">
        <f t="shared" ref="O428:P428" ca="1" si="247">O427+1</f>
        <v>2002</v>
      </c>
      <c r="P428" s="64">
        <f t="shared" ca="1" si="247"/>
        <v>2002</v>
      </c>
    </row>
    <row r="429" spans="1:16" s="64" customFormat="1" x14ac:dyDescent="0.35">
      <c r="A429" s="89">
        <v>3</v>
      </c>
      <c r="B429" s="90"/>
      <c r="C429" s="56" t="s">
        <v>183</v>
      </c>
      <c r="D429" s="65">
        <f>(566.08+91.39)</f>
        <v>657.47</v>
      </c>
      <c r="E429" s="56">
        <v>0</v>
      </c>
      <c r="F429" s="56">
        <f t="shared" si="244"/>
        <v>1051.952</v>
      </c>
      <c r="G429" s="85" t="str">
        <f t="shared" si="246"/>
        <v>20th Floor</v>
      </c>
      <c r="H429" s="86"/>
      <c r="I429" s="49"/>
      <c r="N429" s="64" t="str">
        <f t="shared" ca="1" si="245"/>
        <v>2003 &amp; 2003</v>
      </c>
      <c r="O429" s="64">
        <f t="shared" ref="O429:P429" ca="1" si="248">O428+1</f>
        <v>2003</v>
      </c>
      <c r="P429" s="64">
        <f t="shared" ca="1" si="248"/>
        <v>2003</v>
      </c>
    </row>
    <row r="430" spans="1:16" s="64" customFormat="1" x14ac:dyDescent="0.35">
      <c r="A430" s="89">
        <v>4</v>
      </c>
      <c r="B430" s="90"/>
      <c r="C430" s="56" t="s">
        <v>183</v>
      </c>
      <c r="D430" s="65">
        <f>827.32+180.06</f>
        <v>1007.3800000000001</v>
      </c>
      <c r="E430" s="56">
        <v>0</v>
      </c>
      <c r="F430" s="56">
        <f t="shared" si="244"/>
        <v>1611.8080000000002</v>
      </c>
      <c r="G430" s="85" t="str">
        <f t="shared" si="246"/>
        <v>20th Floor</v>
      </c>
      <c r="H430" s="86"/>
      <c r="I430" s="49"/>
      <c r="N430" s="64" t="str">
        <f t="shared" ca="1" si="245"/>
        <v>2004 &amp; 2004</v>
      </c>
      <c r="O430" s="64">
        <f t="shared" ref="O430:P430" ca="1" si="249">O429+1</f>
        <v>2004</v>
      </c>
      <c r="P430" s="64">
        <f t="shared" ca="1" si="249"/>
        <v>2004</v>
      </c>
    </row>
    <row r="431" spans="1:16" s="64" customFormat="1" x14ac:dyDescent="0.35">
      <c r="A431" s="89">
        <v>5</v>
      </c>
      <c r="B431" s="90"/>
      <c r="C431" s="56" t="s">
        <v>183</v>
      </c>
      <c r="D431" s="65">
        <f>608.49+58.88</f>
        <v>667.37</v>
      </c>
      <c r="E431" s="56">
        <v>0</v>
      </c>
      <c r="F431" s="56">
        <f t="shared" si="244"/>
        <v>1067.7920000000001</v>
      </c>
      <c r="G431" s="85" t="str">
        <f t="shared" si="246"/>
        <v>20th Floor</v>
      </c>
      <c r="H431" s="86"/>
      <c r="I431" s="49"/>
      <c r="N431" s="64" t="str">
        <f t="shared" ca="1" si="245"/>
        <v>2005 &amp; 2005</v>
      </c>
      <c r="O431" s="64">
        <f t="shared" ref="O431:P431" ca="1" si="250">O430+1</f>
        <v>2005</v>
      </c>
      <c r="P431" s="64">
        <f t="shared" ca="1" si="250"/>
        <v>2005</v>
      </c>
    </row>
    <row r="432" spans="1:16" s="64" customFormat="1" x14ac:dyDescent="0.35">
      <c r="A432" s="89">
        <v>6</v>
      </c>
      <c r="B432" s="90"/>
      <c r="C432" s="56" t="s">
        <v>183</v>
      </c>
      <c r="D432" s="65">
        <f>733.46+67.81</f>
        <v>801.27</v>
      </c>
      <c r="E432" s="56">
        <v>0</v>
      </c>
      <c r="F432" s="56">
        <f t="shared" si="244"/>
        <v>1282.0320000000002</v>
      </c>
      <c r="G432" s="85" t="str">
        <f t="shared" si="246"/>
        <v>20th Floor</v>
      </c>
      <c r="H432" s="86"/>
      <c r="I432" s="49"/>
      <c r="N432" s="64" t="str">
        <f t="shared" ca="1" si="245"/>
        <v>2006 &amp; 2006</v>
      </c>
      <c r="O432" s="64">
        <f t="shared" ref="O432:P432" ca="1" si="251">O431+1</f>
        <v>2006</v>
      </c>
      <c r="P432" s="64">
        <f t="shared" ca="1" si="251"/>
        <v>2006</v>
      </c>
    </row>
    <row r="433" spans="1:16" s="64" customFormat="1" x14ac:dyDescent="0.35">
      <c r="A433" s="89">
        <v>7</v>
      </c>
      <c r="B433" s="90"/>
      <c r="C433" s="56" t="s">
        <v>183</v>
      </c>
      <c r="D433" s="65">
        <f>704.4+66.52</f>
        <v>770.92</v>
      </c>
      <c r="E433" s="56">
        <v>0</v>
      </c>
      <c r="F433" s="56">
        <f t="shared" si="244"/>
        <v>1233.472</v>
      </c>
      <c r="G433" s="87" t="str">
        <f t="shared" si="246"/>
        <v>20th Floor</v>
      </c>
      <c r="H433" s="88"/>
      <c r="I433" s="49"/>
      <c r="N433" s="64" t="str">
        <f t="shared" ca="1" si="245"/>
        <v>2007 &amp; 2007</v>
      </c>
      <c r="O433" s="64">
        <f t="shared" ref="O433:P433" ca="1" si="252">O432+1</f>
        <v>2007</v>
      </c>
      <c r="P433" s="64">
        <f t="shared" ca="1" si="252"/>
        <v>2007</v>
      </c>
    </row>
    <row r="434" spans="1:16" s="64" customFormat="1" x14ac:dyDescent="0.35">
      <c r="A434" s="91" t="s">
        <v>230</v>
      </c>
      <c r="B434" s="92"/>
      <c r="C434" s="92"/>
      <c r="D434" s="92"/>
      <c r="E434" s="92"/>
      <c r="F434" s="92"/>
      <c r="G434" s="92"/>
      <c r="H434" s="93"/>
      <c r="I434" s="49"/>
      <c r="P434" s="51"/>
    </row>
    <row r="435" spans="1:16" s="64" customFormat="1" x14ac:dyDescent="0.35">
      <c r="A435" s="89">
        <v>1</v>
      </c>
      <c r="B435" s="90"/>
      <c r="C435" s="56" t="s">
        <v>183</v>
      </c>
      <c r="D435" s="65">
        <f>746.16+88.16</f>
        <v>834.31999999999994</v>
      </c>
      <c r="E435" s="56">
        <v>0</v>
      </c>
      <c r="F435" s="56">
        <f t="shared" ref="F435:F441" si="253">D435*(($F$146)+1)+E435</f>
        <v>1334.912</v>
      </c>
      <c r="G435" s="83" t="str">
        <f>A434</f>
        <v>21st Floor</v>
      </c>
      <c r="H435" s="84"/>
      <c r="I435" s="49"/>
      <c r="N435" s="64" t="str">
        <f t="shared" ref="N435:N441" ca="1" si="254">O435&amp;""&amp;" &amp; "&amp;""&amp;P435</f>
        <v>2101 &amp; 2101</v>
      </c>
      <c r="O435" s="64">
        <f ca="1">(SUMPRODUCT(MID(0&amp;(LEFT(A434,SUM(LEN(A434)-LEN(SUBSTITUTE(A434,{"0","1","2"},""))))), LARGE(INDEX(ISNUMBER(--MID((LEFT(A434,SUM(LEN(A434)-LEN(SUBSTITUTE(A434,{"0","1","2"},""))))), ROW(INDIRECT("1:"&amp;LEN((LEFT(A434,SUM(LEN(A434)-LEN(SUBSTITUTE(A434,{"0","1","2"},"")))))))), 1)) * ROW(INDIRECT("1:"&amp;LEN((LEFT(A434,SUM(LEN(A434)-LEN(SUBSTITUTE(A434,{"0","1","2"},"")))))))), 0), ROW(INDIRECT("1:"&amp;LEN((LEFT(A434,SUM(LEN(A434)-LEN(SUBSTITUTE(A434,{"0","1","2"},"")))))))))+1, 1) * 10^ROW(INDIRECT("1:"&amp;LEN((LEFT(A434,SUM(LEN(A434)-LEN(SUBSTITUTE(A434,{"0","1","2"},""))))))))/10))*100+1</f>
        <v>2101</v>
      </c>
      <c r="P435" s="64">
        <f ca="1">(SUMPRODUCT(MID(0&amp;(--TRIM(RIGHT(SUBSTITUTE(LEFT(A434,_xlfn.AGGREGATE(16,6,FIND({0,1,2,3,4,5,6,7,8,9},A434,ROW(INDIRECT("1:"&amp;LEN(A434)))),1))," ",REPT(" ",LEN(A434))),LEN(A434)))), LARGE(INDEX(ISNUMBER(--MID((--TRIM(RIGHT(SUBSTITUTE(LEFT(A434,_xlfn.AGGREGATE(16,6,FIND({0,1,2,3,4,5,6,7,8,9},A434,ROW(INDIRECT("1:"&amp;LEN(A434)))),1))," ",REPT(" ",LEN(A434))),LEN(A434)))), ROW(INDIRECT("1:"&amp;LEN((--TRIM(RIGHT(SUBSTITUTE(LEFT(A434,_xlfn.AGGREGATE(16,6,FIND({0,1,2,3,4,5,6,7,8,9},A434,ROW(INDIRECT("1:"&amp;LEN(A434)))),1))," ",REPT(" ",LEN(A434))),LEN(A434))))))), 1)) * ROW(INDIRECT("1:"&amp;LEN((--TRIM(RIGHT(SUBSTITUTE(LEFT(A434,_xlfn.AGGREGATE(16,6,FIND({0,1,2,3,4,5,6,7,8,9},A434,ROW(INDIRECT("1:"&amp;LEN(A434)))),1))," ",REPT(" ",LEN(A434))),LEN(A434))))))), 0), ROW(INDIRECT("1:"&amp;LEN((--TRIM(RIGHT(SUBSTITUTE(LEFT(A434,_xlfn.AGGREGATE(16,6,FIND({0,1,2,3,4,5,6,7,8,9},A434,ROW(INDIRECT("1:"&amp;LEN(A434)))),1))," ",REPT(" ",LEN(A434))),LEN(A434))))))))+1, 1) * 10^ROW(INDIRECT("1:"&amp;LEN((--TRIM(RIGHT(SUBSTITUTE(LEFT(A434,_xlfn.AGGREGATE(16,6,FIND({0,1,2,3,4,5,6,7,8,9},A434,ROW(INDIRECT("1:"&amp;LEN(A434)))),1))," ",REPT(" ",LEN(A434))),LEN(A434)))))))/10))*100+1</f>
        <v>2101</v>
      </c>
    </row>
    <row r="436" spans="1:16" s="64" customFormat="1" x14ac:dyDescent="0.35">
      <c r="A436" s="89">
        <v>2</v>
      </c>
      <c r="B436" s="90"/>
      <c r="C436" s="56" t="s">
        <v>144</v>
      </c>
      <c r="D436" s="65">
        <f>(919.68+102.37)</f>
        <v>1022.05</v>
      </c>
      <c r="E436" s="56">
        <v>0</v>
      </c>
      <c r="F436" s="56">
        <f t="shared" si="253"/>
        <v>1635.28</v>
      </c>
      <c r="G436" s="85" t="str">
        <f t="shared" ref="G436:G441" si="255">G435</f>
        <v>21st Floor</v>
      </c>
      <c r="H436" s="86"/>
      <c r="I436" s="49"/>
      <c r="N436" s="64" t="str">
        <f t="shared" ca="1" si="254"/>
        <v>2102 &amp; 2102</v>
      </c>
      <c r="O436" s="64">
        <f t="shared" ref="O436:P436" ca="1" si="256">O435+1</f>
        <v>2102</v>
      </c>
      <c r="P436" s="64">
        <f t="shared" ca="1" si="256"/>
        <v>2102</v>
      </c>
    </row>
    <row r="437" spans="1:16" s="64" customFormat="1" x14ac:dyDescent="0.35">
      <c r="A437" s="89">
        <v>3</v>
      </c>
      <c r="B437" s="90"/>
      <c r="C437" s="56" t="s">
        <v>183</v>
      </c>
      <c r="D437" s="65">
        <f>(562.42+71.15)</f>
        <v>633.56999999999994</v>
      </c>
      <c r="E437" s="56">
        <v>0</v>
      </c>
      <c r="F437" s="56">
        <f t="shared" si="253"/>
        <v>1013.712</v>
      </c>
      <c r="G437" s="85" t="str">
        <f t="shared" si="255"/>
        <v>21st Floor</v>
      </c>
      <c r="H437" s="86"/>
      <c r="I437" s="49"/>
      <c r="N437" s="64" t="str">
        <f t="shared" ca="1" si="254"/>
        <v>2103 &amp; 2103</v>
      </c>
      <c r="O437" s="64">
        <f t="shared" ref="O437:P437" ca="1" si="257">O436+1</f>
        <v>2103</v>
      </c>
      <c r="P437" s="64">
        <f t="shared" ca="1" si="257"/>
        <v>2103</v>
      </c>
    </row>
    <row r="438" spans="1:16" s="64" customFormat="1" x14ac:dyDescent="0.35">
      <c r="A438" s="89">
        <v>4</v>
      </c>
      <c r="B438" s="90"/>
      <c r="C438" s="56" t="s">
        <v>183</v>
      </c>
      <c r="D438" s="65">
        <f>827.32+126.69</f>
        <v>954.01</v>
      </c>
      <c r="E438" s="56">
        <v>0</v>
      </c>
      <c r="F438" s="56">
        <f t="shared" si="253"/>
        <v>1526.4160000000002</v>
      </c>
      <c r="G438" s="85" t="str">
        <f t="shared" si="255"/>
        <v>21st Floor</v>
      </c>
      <c r="H438" s="86"/>
      <c r="I438" s="49"/>
      <c r="N438" s="64" t="str">
        <f t="shared" ca="1" si="254"/>
        <v>2104 &amp; 2104</v>
      </c>
      <c r="O438" s="64">
        <f t="shared" ref="O438:P438" ca="1" si="258">O437+1</f>
        <v>2104</v>
      </c>
      <c r="P438" s="64">
        <f t="shared" ca="1" si="258"/>
        <v>2104</v>
      </c>
    </row>
    <row r="439" spans="1:16" s="64" customFormat="1" x14ac:dyDescent="0.35">
      <c r="A439" s="89">
        <v>5</v>
      </c>
      <c r="B439" s="90"/>
      <c r="C439" s="56" t="s">
        <v>183</v>
      </c>
      <c r="D439" s="65">
        <f>608.49+58.88</f>
        <v>667.37</v>
      </c>
      <c r="E439" s="56">
        <v>0</v>
      </c>
      <c r="F439" s="56">
        <f t="shared" si="253"/>
        <v>1067.7920000000001</v>
      </c>
      <c r="G439" s="85" t="str">
        <f t="shared" si="255"/>
        <v>21st Floor</v>
      </c>
      <c r="H439" s="86"/>
      <c r="I439" s="49"/>
      <c r="N439" s="64" t="str">
        <f t="shared" ca="1" si="254"/>
        <v>2105 &amp; 2105</v>
      </c>
      <c r="O439" s="64">
        <f t="shared" ref="O439:P439" ca="1" si="259">O438+1</f>
        <v>2105</v>
      </c>
      <c r="P439" s="64">
        <f t="shared" ca="1" si="259"/>
        <v>2105</v>
      </c>
    </row>
    <row r="440" spans="1:16" s="64" customFormat="1" x14ac:dyDescent="0.35">
      <c r="A440" s="89">
        <v>6</v>
      </c>
      <c r="B440" s="90"/>
      <c r="C440" s="56" t="s">
        <v>183</v>
      </c>
      <c r="D440" s="65">
        <f>733.46+67.81</f>
        <v>801.27</v>
      </c>
      <c r="E440" s="56">
        <v>0</v>
      </c>
      <c r="F440" s="56">
        <f t="shared" si="253"/>
        <v>1282.0320000000002</v>
      </c>
      <c r="G440" s="85" t="str">
        <f t="shared" si="255"/>
        <v>21st Floor</v>
      </c>
      <c r="H440" s="86"/>
      <c r="I440" s="49"/>
      <c r="N440" s="64" t="str">
        <f t="shared" ca="1" si="254"/>
        <v>2106 &amp; 2106</v>
      </c>
      <c r="O440" s="64">
        <f t="shared" ref="O440:P440" ca="1" si="260">O439+1</f>
        <v>2106</v>
      </c>
      <c r="P440" s="64">
        <f t="shared" ca="1" si="260"/>
        <v>2106</v>
      </c>
    </row>
    <row r="441" spans="1:16" s="64" customFormat="1" x14ac:dyDescent="0.35">
      <c r="A441" s="89">
        <v>7</v>
      </c>
      <c r="B441" s="90"/>
      <c r="C441" s="56" t="s">
        <v>183</v>
      </c>
      <c r="D441" s="65">
        <f>704.4+66.52</f>
        <v>770.92</v>
      </c>
      <c r="E441" s="56">
        <v>0</v>
      </c>
      <c r="F441" s="56">
        <f t="shared" si="253"/>
        <v>1233.472</v>
      </c>
      <c r="G441" s="87" t="str">
        <f t="shared" si="255"/>
        <v>21st Floor</v>
      </c>
      <c r="H441" s="88"/>
      <c r="I441" s="49"/>
      <c r="N441" s="64" t="str">
        <f t="shared" ca="1" si="254"/>
        <v>2107 &amp; 2107</v>
      </c>
      <c r="O441" s="64">
        <f t="shared" ref="O441:P441" ca="1" si="261">O440+1</f>
        <v>2107</v>
      </c>
      <c r="P441" s="64">
        <f t="shared" ca="1" si="261"/>
        <v>2107</v>
      </c>
    </row>
    <row r="442" spans="1:16" x14ac:dyDescent="0.35">
      <c r="A442" s="100" t="s">
        <v>204</v>
      </c>
      <c r="B442" s="100"/>
      <c r="C442" s="100"/>
      <c r="D442" s="100"/>
      <c r="E442" s="100"/>
      <c r="F442" s="100"/>
      <c r="G442" s="100"/>
      <c r="H442" s="100"/>
    </row>
    <row r="443" spans="1:16" s="47" customFormat="1" x14ac:dyDescent="0.35">
      <c r="A443" s="100" t="s">
        <v>213</v>
      </c>
      <c r="B443" s="100"/>
      <c r="C443" s="100"/>
      <c r="D443" s="100"/>
      <c r="E443" s="100"/>
      <c r="F443" s="100"/>
      <c r="G443" s="100"/>
      <c r="H443" s="100"/>
    </row>
    <row r="444" spans="1:16" s="64" customFormat="1" x14ac:dyDescent="0.35">
      <c r="A444" s="99" t="s">
        <v>214</v>
      </c>
      <c r="B444" s="99"/>
      <c r="C444" s="99"/>
      <c r="D444" s="99"/>
      <c r="E444" s="99"/>
      <c r="F444" s="99"/>
      <c r="G444" s="99"/>
      <c r="H444" s="99"/>
      <c r="I444" s="49"/>
      <c r="L444" s="102"/>
      <c r="M444" s="102"/>
    </row>
    <row r="445" spans="1:16" s="64" customFormat="1" x14ac:dyDescent="0.35">
      <c r="A445" s="99" t="s">
        <v>182</v>
      </c>
      <c r="B445" s="99"/>
      <c r="C445" s="99"/>
      <c r="D445" s="99"/>
      <c r="E445" s="99"/>
      <c r="F445" s="99"/>
      <c r="G445" s="99"/>
      <c r="H445" s="99"/>
      <c r="I445" s="49"/>
      <c r="L445" s="102"/>
      <c r="M445" s="102"/>
    </row>
    <row r="446" spans="1:16" s="64" customFormat="1" ht="15.75" customHeight="1" x14ac:dyDescent="0.35">
      <c r="A446" s="98">
        <v>2</v>
      </c>
      <c r="B446" s="98"/>
      <c r="C446" s="56" t="s">
        <v>183</v>
      </c>
      <c r="D446" s="56">
        <f>(639.6+20.99)</f>
        <v>660.59</v>
      </c>
      <c r="E446" s="56">
        <v>0</v>
      </c>
      <c r="F446" s="56">
        <f>D446*(($F$146)+1)+E446</f>
        <v>1056.9440000000002</v>
      </c>
      <c r="G446" s="83" t="str">
        <f>A445</f>
        <v>1st Floor for Residential &amp; Amenities</v>
      </c>
      <c r="H446" s="84"/>
      <c r="I446" s="49"/>
      <c r="N446" s="49"/>
    </row>
    <row r="447" spans="1:16" s="64" customFormat="1" ht="15.75" customHeight="1" x14ac:dyDescent="0.35">
      <c r="A447" s="98">
        <f>A446+1</f>
        <v>3</v>
      </c>
      <c r="B447" s="98"/>
      <c r="C447" s="56" t="s">
        <v>205</v>
      </c>
      <c r="D447" s="56">
        <f>(495.14+17.44)</f>
        <v>512.58000000000004</v>
      </c>
      <c r="E447" s="56">
        <v>0</v>
      </c>
      <c r="F447" s="56">
        <f>D447*(($F$146)+1)+E447</f>
        <v>820.12800000000016</v>
      </c>
      <c r="G447" s="85" t="str">
        <f t="shared" ref="G447:G450" si="262">G446</f>
        <v>1st Floor for Residential &amp; Amenities</v>
      </c>
      <c r="H447" s="86"/>
      <c r="I447" s="49"/>
      <c r="N447" s="49"/>
    </row>
    <row r="448" spans="1:16" s="64" customFormat="1" ht="15.75" customHeight="1" x14ac:dyDescent="0.35">
      <c r="A448" s="98">
        <f>A447+1</f>
        <v>4</v>
      </c>
      <c r="B448" s="98"/>
      <c r="C448" s="56" t="s">
        <v>183</v>
      </c>
      <c r="D448" s="56">
        <f>743.04+0</f>
        <v>743.04</v>
      </c>
      <c r="E448" s="56">
        <v>0</v>
      </c>
      <c r="F448" s="56">
        <f t="shared" ref="F448:F450" si="263">D448*(($F$146)+1)+E448</f>
        <v>1188.864</v>
      </c>
      <c r="G448" s="85" t="str">
        <f t="shared" si="262"/>
        <v>1st Floor for Residential &amp; Amenities</v>
      </c>
      <c r="H448" s="86"/>
      <c r="I448" s="49"/>
      <c r="N448" s="49"/>
    </row>
    <row r="449" spans="1:14" s="64" customFormat="1" ht="15.75" customHeight="1" x14ac:dyDescent="0.35">
      <c r="A449" s="98">
        <f t="shared" ref="A449:A450" si="264">A448+1</f>
        <v>5</v>
      </c>
      <c r="B449" s="98"/>
      <c r="C449" s="56" t="s">
        <v>183</v>
      </c>
      <c r="D449" s="56">
        <f>555.96+20.02</f>
        <v>575.98</v>
      </c>
      <c r="E449" s="56">
        <v>0</v>
      </c>
      <c r="F449" s="56">
        <f t="shared" si="263"/>
        <v>921.5680000000001</v>
      </c>
      <c r="G449" s="85" t="str">
        <f t="shared" si="262"/>
        <v>1st Floor for Residential &amp; Amenities</v>
      </c>
      <c r="H449" s="86"/>
      <c r="I449" s="49"/>
      <c r="N449" s="49"/>
    </row>
    <row r="450" spans="1:14" s="64" customFormat="1" ht="15.75" customHeight="1" x14ac:dyDescent="0.35">
      <c r="A450" s="98">
        <f t="shared" si="264"/>
        <v>6</v>
      </c>
      <c r="B450" s="98"/>
      <c r="C450" s="56" t="s">
        <v>144</v>
      </c>
      <c r="D450" s="56">
        <f>907.62+20.99</f>
        <v>928.61</v>
      </c>
      <c r="E450" s="56">
        <v>0</v>
      </c>
      <c r="F450" s="56">
        <f t="shared" si="263"/>
        <v>1485.7760000000001</v>
      </c>
      <c r="G450" s="85" t="str">
        <f t="shared" si="262"/>
        <v>1st Floor for Residential &amp; Amenities</v>
      </c>
      <c r="H450" s="86"/>
      <c r="I450" s="49"/>
      <c r="N450" s="49"/>
    </row>
    <row r="451" spans="1:14" s="64" customFormat="1" x14ac:dyDescent="0.35">
      <c r="A451" s="99" t="s">
        <v>184</v>
      </c>
      <c r="B451" s="99"/>
      <c r="C451" s="99"/>
      <c r="D451" s="99"/>
      <c r="E451" s="99"/>
      <c r="F451" s="99"/>
      <c r="G451" s="99"/>
      <c r="H451" s="99"/>
      <c r="I451" s="49"/>
      <c r="L451" s="102"/>
      <c r="M451" s="102"/>
    </row>
    <row r="452" spans="1:14" s="64" customFormat="1" ht="15.75" customHeight="1" x14ac:dyDescent="0.35">
      <c r="A452" s="98">
        <v>2</v>
      </c>
      <c r="B452" s="98"/>
      <c r="C452" s="56" t="s">
        <v>183</v>
      </c>
      <c r="D452" s="65">
        <f>(723.99+20.99)</f>
        <v>744.98</v>
      </c>
      <c r="E452" s="56">
        <v>0</v>
      </c>
      <c r="F452" s="56">
        <f>D452*(($F$146)+1)+E452</f>
        <v>1191.9680000000001</v>
      </c>
      <c r="G452" s="83" t="str">
        <f>A451</f>
        <v>2nd Floor for Residential &amp; Amenities</v>
      </c>
      <c r="H452" s="84"/>
      <c r="I452" s="49"/>
      <c r="N452" s="49"/>
    </row>
    <row r="453" spans="1:14" s="64" customFormat="1" ht="15.75" customHeight="1" x14ac:dyDescent="0.35">
      <c r="A453" s="98">
        <f>A452+1</f>
        <v>3</v>
      </c>
      <c r="B453" s="98"/>
      <c r="C453" s="56" t="s">
        <v>183</v>
      </c>
      <c r="D453" s="65">
        <f>582+24.97</f>
        <v>606.97</v>
      </c>
      <c r="E453" s="56">
        <v>0</v>
      </c>
      <c r="F453" s="56">
        <f>D453*(($F$146)+1)+E453</f>
        <v>971.15200000000004</v>
      </c>
      <c r="G453" s="85" t="str">
        <f t="shared" ref="G453:G456" si="265">G452</f>
        <v>2nd Floor for Residential &amp; Amenities</v>
      </c>
      <c r="H453" s="86"/>
      <c r="I453" s="49"/>
      <c r="N453" s="49"/>
    </row>
    <row r="454" spans="1:14" s="64" customFormat="1" ht="15.75" customHeight="1" x14ac:dyDescent="0.35">
      <c r="A454" s="98">
        <f>A453+1</f>
        <v>4</v>
      </c>
      <c r="B454" s="98"/>
      <c r="C454" s="56" t="s">
        <v>183</v>
      </c>
      <c r="D454" s="65">
        <f>811.07+24</f>
        <v>835.07</v>
      </c>
      <c r="E454" s="56">
        <v>0</v>
      </c>
      <c r="F454" s="56">
        <f t="shared" ref="F454:F456" si="266">D454*(($F$146)+1)+E454</f>
        <v>1336.1120000000001</v>
      </c>
      <c r="G454" s="85" t="str">
        <f t="shared" si="265"/>
        <v>2nd Floor for Residential &amp; Amenities</v>
      </c>
      <c r="H454" s="86"/>
      <c r="I454" s="49"/>
      <c r="N454" s="49"/>
    </row>
    <row r="455" spans="1:14" s="64" customFormat="1" ht="15.75" customHeight="1" x14ac:dyDescent="0.35">
      <c r="A455" s="98">
        <f t="shared" ref="A455:A456" si="267">A454+1</f>
        <v>5</v>
      </c>
      <c r="B455" s="98"/>
      <c r="C455" s="56" t="s">
        <v>183</v>
      </c>
      <c r="D455" s="65">
        <f>555.96+20.02</f>
        <v>575.98</v>
      </c>
      <c r="E455" s="56">
        <v>0</v>
      </c>
      <c r="F455" s="56">
        <f t="shared" si="266"/>
        <v>921.5680000000001</v>
      </c>
      <c r="G455" s="85" t="str">
        <f t="shared" si="265"/>
        <v>2nd Floor for Residential &amp; Amenities</v>
      </c>
      <c r="H455" s="86"/>
      <c r="I455" s="49"/>
      <c r="N455" s="49"/>
    </row>
    <row r="456" spans="1:14" s="64" customFormat="1" ht="15.75" customHeight="1" x14ac:dyDescent="0.35">
      <c r="A456" s="98">
        <f t="shared" si="267"/>
        <v>6</v>
      </c>
      <c r="B456" s="98"/>
      <c r="C456" s="56" t="s">
        <v>144</v>
      </c>
      <c r="D456" s="65">
        <f>907.62+20.99</f>
        <v>928.61</v>
      </c>
      <c r="E456" s="56">
        <v>0</v>
      </c>
      <c r="F456" s="56">
        <f t="shared" si="266"/>
        <v>1485.7760000000001</v>
      </c>
      <c r="G456" s="85" t="str">
        <f t="shared" si="265"/>
        <v>2nd Floor for Residential &amp; Amenities</v>
      </c>
      <c r="H456" s="86"/>
      <c r="I456" s="49"/>
      <c r="N456" s="49"/>
    </row>
    <row r="457" spans="1:14" s="64" customFormat="1" x14ac:dyDescent="0.35">
      <c r="A457" s="99" t="s">
        <v>185</v>
      </c>
      <c r="B457" s="99"/>
      <c r="C457" s="99"/>
      <c r="D457" s="99"/>
      <c r="E457" s="99"/>
      <c r="F457" s="99"/>
      <c r="G457" s="99"/>
      <c r="H457" s="99"/>
      <c r="I457" s="49"/>
      <c r="L457" s="102"/>
      <c r="M457" s="102"/>
    </row>
    <row r="458" spans="1:14" s="64" customFormat="1" ht="15.75" customHeight="1" x14ac:dyDescent="0.35">
      <c r="A458" s="98">
        <v>2</v>
      </c>
      <c r="B458" s="98"/>
      <c r="C458" s="56" t="s">
        <v>183</v>
      </c>
      <c r="D458" s="65">
        <f>(723.99+20.99)</f>
        <v>744.98</v>
      </c>
      <c r="E458" s="56">
        <v>0</v>
      </c>
      <c r="F458" s="56">
        <f>D458*(($F$146)+1)+E458</f>
        <v>1191.9680000000001</v>
      </c>
      <c r="G458" s="83" t="str">
        <f>A457</f>
        <v>3rd Floor for Residential &amp; Service Floor</v>
      </c>
      <c r="H458" s="84"/>
      <c r="I458" s="49"/>
      <c r="N458" s="49"/>
    </row>
    <row r="459" spans="1:14" s="64" customFormat="1" ht="15.75" customHeight="1" x14ac:dyDescent="0.35">
      <c r="A459" s="98">
        <f>A458+1</f>
        <v>3</v>
      </c>
      <c r="B459" s="98"/>
      <c r="C459" s="56" t="s">
        <v>183</v>
      </c>
      <c r="D459" s="65">
        <f>582+24.97</f>
        <v>606.97</v>
      </c>
      <c r="E459" s="56">
        <v>0</v>
      </c>
      <c r="F459" s="56">
        <f>D459*(($F$146)+1)+E459</f>
        <v>971.15200000000004</v>
      </c>
      <c r="G459" s="85" t="str">
        <f t="shared" ref="G459:G462" si="268">G458</f>
        <v>3rd Floor for Residential &amp; Service Floor</v>
      </c>
      <c r="H459" s="86"/>
      <c r="I459" s="49"/>
      <c r="N459" s="49"/>
    </row>
    <row r="460" spans="1:14" s="64" customFormat="1" ht="15.75" customHeight="1" x14ac:dyDescent="0.35">
      <c r="A460" s="98">
        <f>A459+1</f>
        <v>4</v>
      </c>
      <c r="B460" s="98"/>
      <c r="C460" s="56" t="s">
        <v>183</v>
      </c>
      <c r="D460" s="65">
        <f>811.07+24</f>
        <v>835.07</v>
      </c>
      <c r="E460" s="56">
        <v>0</v>
      </c>
      <c r="F460" s="56">
        <f t="shared" ref="F460:F462" si="269">D460*(($F$146)+1)+E460</f>
        <v>1336.1120000000001</v>
      </c>
      <c r="G460" s="85" t="str">
        <f t="shared" si="268"/>
        <v>3rd Floor for Residential &amp; Service Floor</v>
      </c>
      <c r="H460" s="86"/>
      <c r="I460" s="49"/>
      <c r="N460" s="49"/>
    </row>
    <row r="461" spans="1:14" s="64" customFormat="1" ht="15.75" customHeight="1" x14ac:dyDescent="0.35">
      <c r="A461" s="98">
        <f t="shared" ref="A461:A462" si="270">A460+1</f>
        <v>5</v>
      </c>
      <c r="B461" s="98"/>
      <c r="C461" s="56" t="s">
        <v>183</v>
      </c>
      <c r="D461" s="65">
        <f>555.96+20.02</f>
        <v>575.98</v>
      </c>
      <c r="E461" s="56">
        <v>0</v>
      </c>
      <c r="F461" s="56">
        <f t="shared" si="269"/>
        <v>921.5680000000001</v>
      </c>
      <c r="G461" s="85" t="str">
        <f t="shared" si="268"/>
        <v>3rd Floor for Residential &amp; Service Floor</v>
      </c>
      <c r="H461" s="86"/>
      <c r="I461" s="49"/>
      <c r="N461" s="49"/>
    </row>
    <row r="462" spans="1:14" s="64" customFormat="1" ht="15.75" customHeight="1" x14ac:dyDescent="0.35">
      <c r="A462" s="98">
        <f t="shared" si="270"/>
        <v>6</v>
      </c>
      <c r="B462" s="98"/>
      <c r="C462" s="56" t="s">
        <v>144</v>
      </c>
      <c r="D462" s="65">
        <f>907.62+20.99</f>
        <v>928.61</v>
      </c>
      <c r="E462" s="56">
        <v>0</v>
      </c>
      <c r="F462" s="56">
        <f t="shared" si="269"/>
        <v>1485.7760000000001</v>
      </c>
      <c r="G462" s="85" t="str">
        <f t="shared" si="268"/>
        <v>3rd Floor for Residential &amp; Service Floor</v>
      </c>
      <c r="H462" s="86"/>
      <c r="I462" s="49"/>
      <c r="N462" s="49"/>
    </row>
    <row r="463" spans="1:14" s="64" customFormat="1" x14ac:dyDescent="0.35">
      <c r="A463" s="99" t="s">
        <v>186</v>
      </c>
      <c r="B463" s="99"/>
      <c r="C463" s="99"/>
      <c r="D463" s="99"/>
      <c r="E463" s="99"/>
      <c r="F463" s="99"/>
      <c r="G463" s="99"/>
      <c r="H463" s="99"/>
      <c r="I463" s="49"/>
      <c r="L463" s="102"/>
      <c r="M463" s="102"/>
    </row>
    <row r="464" spans="1:14" s="64" customFormat="1" x14ac:dyDescent="0.35">
      <c r="A464" s="98">
        <v>1</v>
      </c>
      <c r="B464" s="98"/>
      <c r="C464" s="56" t="s">
        <v>183</v>
      </c>
      <c r="D464" s="56">
        <f>737.01+68.89</f>
        <v>805.9</v>
      </c>
      <c r="E464" s="56">
        <v>0</v>
      </c>
      <c r="F464" s="56">
        <f>D464*(($F$146)+1)+E464</f>
        <v>1289.44</v>
      </c>
      <c r="G464" s="83" t="str">
        <f>A463</f>
        <v xml:space="preserve">4th Floor </v>
      </c>
      <c r="H464" s="84"/>
      <c r="I464" s="49"/>
      <c r="N464" s="49"/>
    </row>
    <row r="465" spans="1:16" s="64" customFormat="1" x14ac:dyDescent="0.35">
      <c r="A465" s="98">
        <v>2</v>
      </c>
      <c r="B465" s="98"/>
      <c r="C465" s="56" t="s">
        <v>183</v>
      </c>
      <c r="D465" s="65">
        <f>(723.99+20.99)</f>
        <v>744.98</v>
      </c>
      <c r="E465" s="56">
        <v>0</v>
      </c>
      <c r="F465" s="56">
        <f>D465*(($F$146)+1)+E465</f>
        <v>1191.9680000000001</v>
      </c>
      <c r="G465" s="85"/>
      <c r="H465" s="86"/>
      <c r="I465" s="49"/>
      <c r="N465" s="49"/>
    </row>
    <row r="466" spans="1:16" s="64" customFormat="1" x14ac:dyDescent="0.35">
      <c r="A466" s="98">
        <v>3</v>
      </c>
      <c r="B466" s="98"/>
      <c r="C466" s="56" t="s">
        <v>183</v>
      </c>
      <c r="D466" s="65">
        <f>582+24.97</f>
        <v>606.97</v>
      </c>
      <c r="E466" s="56">
        <v>0</v>
      </c>
      <c r="F466" s="56">
        <f>D466*(($F$146)+1)+E466</f>
        <v>971.15200000000004</v>
      </c>
      <c r="G466" s="85"/>
      <c r="H466" s="86"/>
      <c r="I466" s="49"/>
      <c r="N466" s="49"/>
    </row>
    <row r="467" spans="1:16" s="64" customFormat="1" x14ac:dyDescent="0.35">
      <c r="A467" s="98">
        <v>4</v>
      </c>
      <c r="B467" s="98"/>
      <c r="C467" s="56" t="s">
        <v>183</v>
      </c>
      <c r="D467" s="65">
        <f>811.07+24</f>
        <v>835.07</v>
      </c>
      <c r="E467" s="56">
        <v>0</v>
      </c>
      <c r="F467" s="56">
        <f>D467*(($F$146)+1)+E467</f>
        <v>1336.1120000000001</v>
      </c>
      <c r="G467" s="85"/>
      <c r="H467" s="86"/>
      <c r="I467" s="49"/>
      <c r="N467" s="49"/>
    </row>
    <row r="468" spans="1:16" s="64" customFormat="1" x14ac:dyDescent="0.35">
      <c r="A468" s="98">
        <v>5</v>
      </c>
      <c r="B468" s="98"/>
      <c r="C468" s="56" t="s">
        <v>183</v>
      </c>
      <c r="D468" s="65">
        <f>555.96+20.02</f>
        <v>575.98</v>
      </c>
      <c r="E468" s="56">
        <v>0</v>
      </c>
      <c r="F468" s="56">
        <f t="shared" ref="F468:F470" si="271">D468*(($F$146)+1)+E468</f>
        <v>921.5680000000001</v>
      </c>
      <c r="G468" s="85"/>
      <c r="H468" s="86"/>
      <c r="I468" s="49"/>
      <c r="N468" s="49"/>
    </row>
    <row r="469" spans="1:16" s="64" customFormat="1" x14ac:dyDescent="0.35">
      <c r="A469" s="98">
        <v>6</v>
      </c>
      <c r="B469" s="98"/>
      <c r="C469" s="56" t="s">
        <v>144</v>
      </c>
      <c r="D469" s="65">
        <f>907.62+20.99</f>
        <v>928.61</v>
      </c>
      <c r="E469" s="56">
        <v>0</v>
      </c>
      <c r="F469" s="56">
        <f t="shared" si="271"/>
        <v>1485.7760000000001</v>
      </c>
      <c r="G469" s="85"/>
      <c r="H469" s="86"/>
      <c r="I469" s="49"/>
      <c r="N469" s="49"/>
    </row>
    <row r="470" spans="1:16" s="64" customFormat="1" x14ac:dyDescent="0.35">
      <c r="A470" s="98">
        <v>7</v>
      </c>
      <c r="B470" s="98"/>
      <c r="C470" s="56" t="s">
        <v>183</v>
      </c>
      <c r="D470" s="56">
        <f>747.02+87.19</f>
        <v>834.21</v>
      </c>
      <c r="E470" s="56">
        <v>0</v>
      </c>
      <c r="F470" s="56">
        <f t="shared" si="271"/>
        <v>1334.7360000000001</v>
      </c>
      <c r="G470" s="87"/>
      <c r="H470" s="88"/>
      <c r="I470" s="49"/>
      <c r="N470" s="49"/>
    </row>
    <row r="471" spans="1:16" s="64" customFormat="1" x14ac:dyDescent="0.35">
      <c r="A471" s="91" t="s">
        <v>223</v>
      </c>
      <c r="B471" s="92"/>
      <c r="C471" s="92"/>
      <c r="D471" s="92"/>
      <c r="E471" s="92"/>
      <c r="F471" s="92"/>
      <c r="G471" s="92"/>
      <c r="H471" s="93"/>
      <c r="I471" s="49"/>
      <c r="P471" s="51"/>
    </row>
    <row r="472" spans="1:16" s="64" customFormat="1" ht="15.75" customHeight="1" x14ac:dyDescent="0.35">
      <c r="A472" s="89">
        <v>1</v>
      </c>
      <c r="B472" s="90"/>
      <c r="C472" s="56" t="s">
        <v>183</v>
      </c>
      <c r="D472" s="65">
        <f>725.6+19.59</f>
        <v>745.19</v>
      </c>
      <c r="E472" s="56">
        <v>0</v>
      </c>
      <c r="F472" s="56">
        <f t="shared" ref="F472:F478" si="272">D472*(($F$146)+1)+E472</f>
        <v>1192.3040000000001</v>
      </c>
      <c r="G472" s="83" t="str">
        <f>A471</f>
        <v>5th, 6th, 8th, 10th &amp; 12th Floor</v>
      </c>
      <c r="H472" s="84"/>
      <c r="I472" s="49"/>
      <c r="N472" s="64" t="str">
        <f t="shared" ref="N472:N478" ca="1" si="273">O472&amp;""&amp;" &amp; "&amp;""&amp;P472</f>
        <v>501 &amp; 1201</v>
      </c>
      <c r="O472" s="64">
        <f ca="1">(SUMPRODUCT(MID(0&amp;(LEFT(A471,SUM(LEN(A471)-LEN(SUBSTITUTE(A471,{"0","1","2"},""))))), LARGE(INDEX(ISNUMBER(--MID((LEFT(A471,SUM(LEN(A471)-LEN(SUBSTITUTE(A471,{"0","1","2"},""))))), ROW(INDIRECT("1:"&amp;LEN((LEFT(A471,SUM(LEN(A471)-LEN(SUBSTITUTE(A471,{"0","1","2"},"")))))))), 1)) * ROW(INDIRECT("1:"&amp;LEN((LEFT(A471,SUM(LEN(A471)-LEN(SUBSTITUTE(A471,{"0","1","2"},"")))))))), 0), ROW(INDIRECT("1:"&amp;LEN((LEFT(A471,SUM(LEN(A471)-LEN(SUBSTITUTE(A471,{"0","1","2"},"")))))))))+1, 1) * 10^ROW(INDIRECT("1:"&amp;LEN((LEFT(A471,SUM(LEN(A471)-LEN(SUBSTITUTE(A471,{"0","1","2"},""))))))))/10))*100+1</f>
        <v>501</v>
      </c>
      <c r="P472" s="64">
        <f ca="1">(SUMPRODUCT(MID(0&amp;(--TRIM(RIGHT(SUBSTITUTE(LEFT(A471,_xlfn.AGGREGATE(16,6,FIND({0,1,2,3,4,5,6,7,8,9},A471,ROW(INDIRECT("1:"&amp;LEN(A471)))),1))," ",REPT(" ",LEN(A471))),LEN(A471)))), LARGE(INDEX(ISNUMBER(--MID((--TRIM(RIGHT(SUBSTITUTE(LEFT(A471,_xlfn.AGGREGATE(16,6,FIND({0,1,2,3,4,5,6,7,8,9},A471,ROW(INDIRECT("1:"&amp;LEN(A471)))),1))," ",REPT(" ",LEN(A471))),LEN(A471)))), ROW(INDIRECT("1:"&amp;LEN((--TRIM(RIGHT(SUBSTITUTE(LEFT(A471,_xlfn.AGGREGATE(16,6,FIND({0,1,2,3,4,5,6,7,8,9},A471,ROW(INDIRECT("1:"&amp;LEN(A471)))),1))," ",REPT(" ",LEN(A471))),LEN(A471))))))), 1)) * ROW(INDIRECT("1:"&amp;LEN((--TRIM(RIGHT(SUBSTITUTE(LEFT(A471,_xlfn.AGGREGATE(16,6,FIND({0,1,2,3,4,5,6,7,8,9},A471,ROW(INDIRECT("1:"&amp;LEN(A471)))),1))," ",REPT(" ",LEN(A471))),LEN(A471))))))), 0), ROW(INDIRECT("1:"&amp;LEN((--TRIM(RIGHT(SUBSTITUTE(LEFT(A471,_xlfn.AGGREGATE(16,6,FIND({0,1,2,3,4,5,6,7,8,9},A471,ROW(INDIRECT("1:"&amp;LEN(A471)))),1))," ",REPT(" ",LEN(A471))),LEN(A471))))))))+1, 1) * 10^ROW(INDIRECT("1:"&amp;LEN((--TRIM(RIGHT(SUBSTITUTE(LEFT(A471,_xlfn.AGGREGATE(16,6,FIND({0,1,2,3,4,5,6,7,8,9},A471,ROW(INDIRECT("1:"&amp;LEN(A471)))),1))," ",REPT(" ",LEN(A471))),LEN(A471)))))))/10))*100+1</f>
        <v>1201</v>
      </c>
    </row>
    <row r="473" spans="1:16" s="64" customFormat="1" ht="15.75" customHeight="1" x14ac:dyDescent="0.35">
      <c r="A473" s="89">
        <v>2</v>
      </c>
      <c r="B473" s="90"/>
      <c r="C473" s="56" t="s">
        <v>183</v>
      </c>
      <c r="D473" s="65">
        <f>(723.99+20.99)</f>
        <v>744.98</v>
      </c>
      <c r="E473" s="56">
        <v>0</v>
      </c>
      <c r="F473" s="56">
        <f t="shared" si="272"/>
        <v>1191.9680000000001</v>
      </c>
      <c r="G473" s="85"/>
      <c r="H473" s="86"/>
      <c r="I473" s="49"/>
      <c r="N473" s="64" t="str">
        <f t="shared" ca="1" si="273"/>
        <v>502 &amp; 1202</v>
      </c>
      <c r="O473" s="64">
        <f t="shared" ref="O473:P473" ca="1" si="274">O472+1</f>
        <v>502</v>
      </c>
      <c r="P473" s="64">
        <f t="shared" ca="1" si="274"/>
        <v>1202</v>
      </c>
    </row>
    <row r="474" spans="1:16" s="64" customFormat="1" ht="15.75" customHeight="1" x14ac:dyDescent="0.35">
      <c r="A474" s="89">
        <v>3</v>
      </c>
      <c r="B474" s="90"/>
      <c r="C474" s="56" t="s">
        <v>183</v>
      </c>
      <c r="D474" s="65">
        <f>582+24.97</f>
        <v>606.97</v>
      </c>
      <c r="E474" s="56">
        <v>0</v>
      </c>
      <c r="F474" s="56">
        <f t="shared" si="272"/>
        <v>971.15200000000004</v>
      </c>
      <c r="G474" s="85"/>
      <c r="H474" s="86"/>
      <c r="I474" s="49"/>
      <c r="N474" s="64" t="str">
        <f t="shared" ca="1" si="273"/>
        <v>503 &amp; 1203</v>
      </c>
      <c r="O474" s="64">
        <f t="shared" ref="O474:P474" ca="1" si="275">O473+1</f>
        <v>503</v>
      </c>
      <c r="P474" s="64">
        <f t="shared" ca="1" si="275"/>
        <v>1203</v>
      </c>
    </row>
    <row r="475" spans="1:16" s="64" customFormat="1" ht="15.75" customHeight="1" x14ac:dyDescent="0.35">
      <c r="A475" s="89">
        <v>4</v>
      </c>
      <c r="B475" s="90"/>
      <c r="C475" s="56" t="s">
        <v>183</v>
      </c>
      <c r="D475" s="65">
        <f>811.07+24</f>
        <v>835.07</v>
      </c>
      <c r="E475" s="56">
        <v>0</v>
      </c>
      <c r="F475" s="56">
        <f t="shared" si="272"/>
        <v>1336.1120000000001</v>
      </c>
      <c r="G475" s="85"/>
      <c r="H475" s="86"/>
      <c r="I475" s="49"/>
      <c r="N475" s="64" t="str">
        <f t="shared" ca="1" si="273"/>
        <v>504 &amp; 1204</v>
      </c>
      <c r="O475" s="64">
        <f t="shared" ref="O475:P475" ca="1" si="276">O474+1</f>
        <v>504</v>
      </c>
      <c r="P475" s="64">
        <f t="shared" ca="1" si="276"/>
        <v>1204</v>
      </c>
    </row>
    <row r="476" spans="1:16" s="64" customFormat="1" ht="15.75" customHeight="1" x14ac:dyDescent="0.35">
      <c r="A476" s="89">
        <v>5</v>
      </c>
      <c r="B476" s="90"/>
      <c r="C476" s="56" t="s">
        <v>183</v>
      </c>
      <c r="D476" s="65">
        <f>555.96+20.02</f>
        <v>575.98</v>
      </c>
      <c r="E476" s="56">
        <v>0</v>
      </c>
      <c r="F476" s="56">
        <f t="shared" si="272"/>
        <v>921.5680000000001</v>
      </c>
      <c r="G476" s="85"/>
      <c r="H476" s="86"/>
      <c r="I476" s="49"/>
      <c r="N476" s="64" t="str">
        <f t="shared" ca="1" si="273"/>
        <v>505 &amp; 1205</v>
      </c>
      <c r="O476" s="64">
        <f t="shared" ref="O476:P476" ca="1" si="277">O475+1</f>
        <v>505</v>
      </c>
      <c r="P476" s="64">
        <f t="shared" ca="1" si="277"/>
        <v>1205</v>
      </c>
    </row>
    <row r="477" spans="1:16" s="64" customFormat="1" ht="15.75" customHeight="1" x14ac:dyDescent="0.35">
      <c r="A477" s="89">
        <v>6</v>
      </c>
      <c r="B477" s="90"/>
      <c r="C477" s="56" t="s">
        <v>144</v>
      </c>
      <c r="D477" s="65">
        <f>907.62+20.99</f>
        <v>928.61</v>
      </c>
      <c r="E477" s="56">
        <v>0</v>
      </c>
      <c r="F477" s="56">
        <f t="shared" si="272"/>
        <v>1485.7760000000001</v>
      </c>
      <c r="G477" s="85"/>
      <c r="H477" s="86"/>
      <c r="I477" s="49"/>
      <c r="N477" s="64" t="str">
        <f t="shared" ca="1" si="273"/>
        <v>506 &amp; 1206</v>
      </c>
      <c r="O477" s="64">
        <f t="shared" ref="O477:P477" ca="1" si="278">O476+1</f>
        <v>506</v>
      </c>
      <c r="P477" s="64">
        <f t="shared" ca="1" si="278"/>
        <v>1206</v>
      </c>
    </row>
    <row r="478" spans="1:16" s="64" customFormat="1" ht="15.75" customHeight="1" x14ac:dyDescent="0.35">
      <c r="A478" s="89">
        <v>7</v>
      </c>
      <c r="B478" s="90"/>
      <c r="C478" s="56" t="s">
        <v>183</v>
      </c>
      <c r="D478" s="65">
        <f>737.01+17.98</f>
        <v>754.99</v>
      </c>
      <c r="E478" s="56">
        <v>0</v>
      </c>
      <c r="F478" s="56">
        <f t="shared" si="272"/>
        <v>1207.9840000000002</v>
      </c>
      <c r="G478" s="87"/>
      <c r="H478" s="88"/>
      <c r="I478" s="49"/>
      <c r="N478" s="64" t="str">
        <f t="shared" ca="1" si="273"/>
        <v>507 &amp; 1207</v>
      </c>
      <c r="O478" s="64">
        <f t="shared" ref="O478:P478" ca="1" si="279">O477+1</f>
        <v>507</v>
      </c>
      <c r="P478" s="64">
        <f t="shared" ca="1" si="279"/>
        <v>1207</v>
      </c>
    </row>
    <row r="479" spans="1:16" s="64" customFormat="1" x14ac:dyDescent="0.35">
      <c r="A479" s="91" t="s">
        <v>224</v>
      </c>
      <c r="B479" s="92"/>
      <c r="C479" s="92"/>
      <c r="D479" s="92"/>
      <c r="E479" s="92"/>
      <c r="F479" s="92"/>
      <c r="G479" s="92"/>
      <c r="H479" s="93"/>
      <c r="I479" s="49"/>
      <c r="P479" s="51"/>
    </row>
    <row r="480" spans="1:16" s="64" customFormat="1" ht="15.75" customHeight="1" x14ac:dyDescent="0.35">
      <c r="A480" s="89">
        <v>1</v>
      </c>
      <c r="B480" s="90"/>
      <c r="C480" s="56" t="s">
        <v>183</v>
      </c>
      <c r="D480" s="65">
        <f>735.4+66.52</f>
        <v>801.92</v>
      </c>
      <c r="E480" s="56">
        <v>0</v>
      </c>
      <c r="F480" s="56">
        <f t="shared" ref="F480:F486" si="280">D480*(($F$146)+1)+E480</f>
        <v>1283.0720000000001</v>
      </c>
      <c r="G480" s="83" t="str">
        <f>A479</f>
        <v>7th, 9th, 11th, 13th, 15th &amp; 17th Floor (Part Refuge Area)</v>
      </c>
      <c r="H480" s="84"/>
      <c r="I480" s="49"/>
      <c r="N480" s="64" t="str">
        <f t="shared" ref="N480:N486" ca="1" si="281">O480&amp;""&amp;" &amp; "&amp;""&amp;P480</f>
        <v>701 &amp; 1701</v>
      </c>
      <c r="O480" s="64">
        <f ca="1">(SUMPRODUCT(MID(0&amp;(LEFT(A479,SUM(LEN(A479)-LEN(SUBSTITUTE(A479,{"0","1","2"},""))))), LARGE(INDEX(ISNUMBER(--MID((LEFT(A479,SUM(LEN(A479)-LEN(SUBSTITUTE(A479,{"0","1","2"},""))))), ROW(INDIRECT("1:"&amp;LEN((LEFT(A479,SUM(LEN(A479)-LEN(SUBSTITUTE(A479,{"0","1","2"},"")))))))), 1)) * ROW(INDIRECT("1:"&amp;LEN((LEFT(A479,SUM(LEN(A479)-LEN(SUBSTITUTE(A479,{"0","1","2"},"")))))))), 0), ROW(INDIRECT("1:"&amp;LEN((LEFT(A479,SUM(LEN(A479)-LEN(SUBSTITUTE(A479,{"0","1","2"},"")))))))))+1, 1) * 10^ROW(INDIRECT("1:"&amp;LEN((LEFT(A479,SUM(LEN(A479)-LEN(SUBSTITUTE(A479,{"0","1","2"},""))))))))/10))*100+1</f>
        <v>701</v>
      </c>
      <c r="P480" s="64">
        <f ca="1">(SUMPRODUCT(MID(0&amp;(--TRIM(RIGHT(SUBSTITUTE(LEFT(A479,_xlfn.AGGREGATE(16,6,FIND({0,1,2,3,4,5,6,7,8,9},A479,ROW(INDIRECT("1:"&amp;LEN(A479)))),1))," ",REPT(" ",LEN(A479))),LEN(A479)))), LARGE(INDEX(ISNUMBER(--MID((--TRIM(RIGHT(SUBSTITUTE(LEFT(A479,_xlfn.AGGREGATE(16,6,FIND({0,1,2,3,4,5,6,7,8,9},A479,ROW(INDIRECT("1:"&amp;LEN(A479)))),1))," ",REPT(" ",LEN(A479))),LEN(A479)))), ROW(INDIRECT("1:"&amp;LEN((--TRIM(RIGHT(SUBSTITUTE(LEFT(A479,_xlfn.AGGREGATE(16,6,FIND({0,1,2,3,4,5,6,7,8,9},A479,ROW(INDIRECT("1:"&amp;LEN(A479)))),1))," ",REPT(" ",LEN(A479))),LEN(A479))))))), 1)) * ROW(INDIRECT("1:"&amp;LEN((--TRIM(RIGHT(SUBSTITUTE(LEFT(A479,_xlfn.AGGREGATE(16,6,FIND({0,1,2,3,4,5,6,7,8,9},A479,ROW(INDIRECT("1:"&amp;LEN(A479)))),1))," ",REPT(" ",LEN(A479))),LEN(A479))))))), 0), ROW(INDIRECT("1:"&amp;LEN((--TRIM(RIGHT(SUBSTITUTE(LEFT(A479,_xlfn.AGGREGATE(16,6,FIND({0,1,2,3,4,5,6,7,8,9},A479,ROW(INDIRECT("1:"&amp;LEN(A479)))),1))," ",REPT(" ",LEN(A479))),LEN(A479))))))))+1, 1) * 10^ROW(INDIRECT("1:"&amp;LEN((--TRIM(RIGHT(SUBSTITUTE(LEFT(A479,_xlfn.AGGREGATE(16,6,FIND({0,1,2,3,4,5,6,7,8,9},A479,ROW(INDIRECT("1:"&amp;LEN(A479)))),1))," ",REPT(" ",LEN(A479))),LEN(A479)))))))/10))*100+1</f>
        <v>1701</v>
      </c>
    </row>
    <row r="481" spans="1:16" s="64" customFormat="1" ht="15.75" customHeight="1" x14ac:dyDescent="0.35">
      <c r="A481" s="89">
        <v>2</v>
      </c>
      <c r="B481" s="90"/>
      <c r="C481" s="56" t="s">
        <v>183</v>
      </c>
      <c r="D481" s="65">
        <f>(723.99+20.99)</f>
        <v>744.98</v>
      </c>
      <c r="E481" s="56">
        <v>0</v>
      </c>
      <c r="F481" s="56">
        <f t="shared" si="280"/>
        <v>1191.9680000000001</v>
      </c>
      <c r="G481" s="85"/>
      <c r="H481" s="86"/>
      <c r="I481" s="49"/>
      <c r="N481" s="64" t="str">
        <f t="shared" ca="1" si="281"/>
        <v>702 &amp; 1702</v>
      </c>
      <c r="O481" s="64">
        <f t="shared" ref="O481:P481" ca="1" si="282">O480+1</f>
        <v>702</v>
      </c>
      <c r="P481" s="64">
        <f t="shared" ca="1" si="282"/>
        <v>1702</v>
      </c>
    </row>
    <row r="482" spans="1:16" s="64" customFormat="1" ht="15.75" customHeight="1" x14ac:dyDescent="0.35">
      <c r="A482" s="89">
        <v>3</v>
      </c>
      <c r="B482" s="90"/>
      <c r="C482" s="56" t="s">
        <v>183</v>
      </c>
      <c r="D482" s="65">
        <f>585.99+40.69</f>
        <v>626.68000000000006</v>
      </c>
      <c r="E482" s="56">
        <v>0</v>
      </c>
      <c r="F482" s="56">
        <f t="shared" si="280"/>
        <v>1002.6880000000001</v>
      </c>
      <c r="G482" s="85"/>
      <c r="H482" s="86"/>
      <c r="I482" s="49"/>
      <c r="N482" s="64" t="str">
        <f t="shared" ca="1" si="281"/>
        <v>703 &amp; 1703</v>
      </c>
      <c r="O482" s="64">
        <f t="shared" ref="O482:P482" ca="1" si="283">O481+1</f>
        <v>703</v>
      </c>
      <c r="P482" s="64">
        <f t="shared" ca="1" si="283"/>
        <v>1703</v>
      </c>
    </row>
    <row r="483" spans="1:16" s="64" customFormat="1" ht="15.75" customHeight="1" x14ac:dyDescent="0.35">
      <c r="A483" s="89">
        <v>4</v>
      </c>
      <c r="B483" s="90"/>
      <c r="C483" s="56" t="s">
        <v>183</v>
      </c>
      <c r="D483" s="65">
        <f>825.06+127.55</f>
        <v>952.6099999999999</v>
      </c>
      <c r="E483" s="56">
        <v>0</v>
      </c>
      <c r="F483" s="56">
        <f t="shared" si="280"/>
        <v>1524.1759999999999</v>
      </c>
      <c r="G483" s="85"/>
      <c r="H483" s="86"/>
      <c r="I483" s="49"/>
      <c r="N483" s="64" t="str">
        <f t="shared" ca="1" si="281"/>
        <v>704 &amp; 1704</v>
      </c>
      <c r="O483" s="64">
        <f t="shared" ref="O483:P483" ca="1" si="284">O482+1</f>
        <v>704</v>
      </c>
      <c r="P483" s="64">
        <f t="shared" ca="1" si="284"/>
        <v>1704</v>
      </c>
    </row>
    <row r="484" spans="1:16" s="64" customFormat="1" ht="15.75" customHeight="1" x14ac:dyDescent="0.35">
      <c r="A484" s="89">
        <v>5</v>
      </c>
      <c r="B484" s="90"/>
      <c r="C484" s="56" t="s">
        <v>183</v>
      </c>
      <c r="D484" s="65">
        <f>562.42+71.15</f>
        <v>633.56999999999994</v>
      </c>
      <c r="E484" s="56">
        <v>0</v>
      </c>
      <c r="F484" s="56">
        <f t="shared" si="280"/>
        <v>1013.712</v>
      </c>
      <c r="G484" s="85"/>
      <c r="H484" s="86"/>
      <c r="I484" s="49"/>
      <c r="N484" s="64" t="str">
        <f t="shared" ca="1" si="281"/>
        <v>705 &amp; 1705</v>
      </c>
      <c r="O484" s="64">
        <f t="shared" ref="O484:P484" ca="1" si="285">O483+1</f>
        <v>705</v>
      </c>
      <c r="P484" s="64">
        <f t="shared" ca="1" si="285"/>
        <v>1705</v>
      </c>
    </row>
    <row r="485" spans="1:16" s="64" customFormat="1" ht="15.75" customHeight="1" x14ac:dyDescent="0.35">
      <c r="A485" s="89">
        <v>6</v>
      </c>
      <c r="B485" s="90"/>
      <c r="C485" s="56" t="s">
        <v>144</v>
      </c>
      <c r="D485" s="65">
        <f>924.2+131.64</f>
        <v>1055.8400000000001</v>
      </c>
      <c r="E485" s="56">
        <v>0</v>
      </c>
      <c r="F485" s="56">
        <f t="shared" si="280"/>
        <v>1689.3440000000003</v>
      </c>
      <c r="G485" s="85"/>
      <c r="H485" s="86"/>
      <c r="I485" s="49"/>
      <c r="N485" s="64" t="str">
        <f t="shared" ca="1" si="281"/>
        <v>706 &amp; 1706</v>
      </c>
      <c r="O485" s="64">
        <f t="shared" ref="O485:P485" ca="1" si="286">O484+1</f>
        <v>706</v>
      </c>
      <c r="P485" s="64">
        <f t="shared" ca="1" si="286"/>
        <v>1706</v>
      </c>
    </row>
    <row r="486" spans="1:16" s="64" customFormat="1" ht="15.75" customHeight="1" x14ac:dyDescent="0.35">
      <c r="A486" s="89">
        <v>7</v>
      </c>
      <c r="B486" s="90"/>
      <c r="C486" s="56" t="s">
        <v>183</v>
      </c>
      <c r="D486" s="65">
        <f>746.16+88.16</f>
        <v>834.31999999999994</v>
      </c>
      <c r="E486" s="56">
        <v>0</v>
      </c>
      <c r="F486" s="56">
        <f t="shared" si="280"/>
        <v>1334.912</v>
      </c>
      <c r="G486" s="87"/>
      <c r="H486" s="88"/>
      <c r="I486" s="49"/>
      <c r="N486" s="64" t="str">
        <f t="shared" ca="1" si="281"/>
        <v>707 &amp; 1707</v>
      </c>
      <c r="O486" s="64">
        <f t="shared" ref="O486:P486" ca="1" si="287">O485+1</f>
        <v>707</v>
      </c>
      <c r="P486" s="64">
        <f t="shared" ca="1" si="287"/>
        <v>1707</v>
      </c>
    </row>
    <row r="487" spans="1:16" s="64" customFormat="1" x14ac:dyDescent="0.35">
      <c r="A487" s="91" t="s">
        <v>225</v>
      </c>
      <c r="B487" s="92"/>
      <c r="C487" s="92"/>
      <c r="D487" s="92"/>
      <c r="E487" s="92"/>
      <c r="F487" s="92"/>
      <c r="G487" s="92"/>
      <c r="H487" s="93"/>
      <c r="I487" s="49"/>
      <c r="P487" s="51"/>
    </row>
    <row r="488" spans="1:16" s="64" customFormat="1" x14ac:dyDescent="0.35">
      <c r="A488" s="89">
        <v>1</v>
      </c>
      <c r="B488" s="90"/>
      <c r="C488" s="56" t="s">
        <v>183</v>
      </c>
      <c r="D488" s="65">
        <f>735.4+66.52</f>
        <v>801.92</v>
      </c>
      <c r="E488" s="56">
        <v>0</v>
      </c>
      <c r="F488" s="56">
        <f t="shared" ref="F488:F494" si="288">D488*(($F$146)+1)+E488</f>
        <v>1283.0720000000001</v>
      </c>
      <c r="G488" s="83" t="str">
        <f>A487</f>
        <v>14th Floor</v>
      </c>
      <c r="H488" s="84"/>
      <c r="I488" s="49"/>
      <c r="N488" s="64" t="str">
        <f t="shared" ref="N488:N494" ca="1" si="289">O488&amp;""&amp;" &amp; "&amp;""&amp;P488</f>
        <v>101 &amp; 1401</v>
      </c>
      <c r="O488" s="64">
        <f ca="1">(SUMPRODUCT(MID(0&amp;(LEFT(A487,SUM(LEN(A487)-LEN(SUBSTITUTE(A487,{"0","1","2"},""))))), LARGE(INDEX(ISNUMBER(--MID((LEFT(A487,SUM(LEN(A487)-LEN(SUBSTITUTE(A487,{"0","1","2"},""))))), ROW(INDIRECT("1:"&amp;LEN((LEFT(A487,SUM(LEN(A487)-LEN(SUBSTITUTE(A487,{"0","1","2"},"")))))))), 1)) * ROW(INDIRECT("1:"&amp;LEN((LEFT(A487,SUM(LEN(A487)-LEN(SUBSTITUTE(A487,{"0","1","2"},"")))))))), 0), ROW(INDIRECT("1:"&amp;LEN((LEFT(A487,SUM(LEN(A487)-LEN(SUBSTITUTE(A487,{"0","1","2"},"")))))))))+1, 1) * 10^ROW(INDIRECT("1:"&amp;LEN((LEFT(A487,SUM(LEN(A487)-LEN(SUBSTITUTE(A487,{"0","1","2"},""))))))))/10))*100+1</f>
        <v>101</v>
      </c>
      <c r="P488" s="64">
        <f ca="1">(SUMPRODUCT(MID(0&amp;(--TRIM(RIGHT(SUBSTITUTE(LEFT(A487,_xlfn.AGGREGATE(16,6,FIND({0,1,2,3,4,5,6,7,8,9},A487,ROW(INDIRECT("1:"&amp;LEN(A487)))),1))," ",REPT(" ",LEN(A487))),LEN(A487)))), LARGE(INDEX(ISNUMBER(--MID((--TRIM(RIGHT(SUBSTITUTE(LEFT(A487,_xlfn.AGGREGATE(16,6,FIND({0,1,2,3,4,5,6,7,8,9},A487,ROW(INDIRECT("1:"&amp;LEN(A487)))),1))," ",REPT(" ",LEN(A487))),LEN(A487)))), ROW(INDIRECT("1:"&amp;LEN((--TRIM(RIGHT(SUBSTITUTE(LEFT(A487,_xlfn.AGGREGATE(16,6,FIND({0,1,2,3,4,5,6,7,8,9},A487,ROW(INDIRECT("1:"&amp;LEN(A487)))),1))," ",REPT(" ",LEN(A487))),LEN(A487))))))), 1)) * ROW(INDIRECT("1:"&amp;LEN((--TRIM(RIGHT(SUBSTITUTE(LEFT(A487,_xlfn.AGGREGATE(16,6,FIND({0,1,2,3,4,5,6,7,8,9},A487,ROW(INDIRECT("1:"&amp;LEN(A487)))),1))," ",REPT(" ",LEN(A487))),LEN(A487))))))), 0), ROW(INDIRECT("1:"&amp;LEN((--TRIM(RIGHT(SUBSTITUTE(LEFT(A487,_xlfn.AGGREGATE(16,6,FIND({0,1,2,3,4,5,6,7,8,9},A487,ROW(INDIRECT("1:"&amp;LEN(A487)))),1))," ",REPT(" ",LEN(A487))),LEN(A487))))))))+1, 1) * 10^ROW(INDIRECT("1:"&amp;LEN((--TRIM(RIGHT(SUBSTITUTE(LEFT(A487,_xlfn.AGGREGATE(16,6,FIND({0,1,2,3,4,5,6,7,8,9},A487,ROW(INDIRECT("1:"&amp;LEN(A487)))),1))," ",REPT(" ",LEN(A487))),LEN(A487)))))))/10))*100+1</f>
        <v>1401</v>
      </c>
    </row>
    <row r="489" spans="1:16" s="64" customFormat="1" x14ac:dyDescent="0.35">
      <c r="A489" s="89">
        <v>2</v>
      </c>
      <c r="B489" s="90"/>
      <c r="C489" s="56" t="s">
        <v>183</v>
      </c>
      <c r="D489" s="65">
        <f>(732.38+67.81)</f>
        <v>800.19</v>
      </c>
      <c r="E489" s="56">
        <v>0</v>
      </c>
      <c r="F489" s="56">
        <f t="shared" si="288"/>
        <v>1280.3040000000001</v>
      </c>
      <c r="G489" s="85"/>
      <c r="H489" s="86"/>
      <c r="I489" s="49"/>
      <c r="N489" s="64" t="str">
        <f t="shared" ca="1" si="289"/>
        <v>102 &amp; 1402</v>
      </c>
      <c r="O489" s="64">
        <f t="shared" ref="O489:P489" ca="1" si="290">O488+1</f>
        <v>102</v>
      </c>
      <c r="P489" s="64">
        <f t="shared" ca="1" si="290"/>
        <v>1402</v>
      </c>
    </row>
    <row r="490" spans="1:16" s="64" customFormat="1" x14ac:dyDescent="0.35">
      <c r="A490" s="89">
        <v>3</v>
      </c>
      <c r="B490" s="90"/>
      <c r="C490" s="56" t="s">
        <v>183</v>
      </c>
      <c r="D490" s="65">
        <f>589.11+58.88</f>
        <v>647.99</v>
      </c>
      <c r="E490" s="56">
        <v>0</v>
      </c>
      <c r="F490" s="56">
        <f t="shared" si="288"/>
        <v>1036.7840000000001</v>
      </c>
      <c r="G490" s="85"/>
      <c r="H490" s="86"/>
      <c r="I490" s="49"/>
      <c r="N490" s="64" t="str">
        <f t="shared" ca="1" si="289"/>
        <v>103 &amp; 1403</v>
      </c>
      <c r="O490" s="64">
        <f t="shared" ref="O490:P490" ca="1" si="291">O489+1</f>
        <v>103</v>
      </c>
      <c r="P490" s="64">
        <f t="shared" ca="1" si="291"/>
        <v>1403</v>
      </c>
    </row>
    <row r="491" spans="1:16" s="64" customFormat="1" x14ac:dyDescent="0.35">
      <c r="A491" s="89">
        <v>4</v>
      </c>
      <c r="B491" s="90"/>
      <c r="C491" s="56" t="s">
        <v>183</v>
      </c>
      <c r="D491" s="65">
        <f>825.06+127.55</f>
        <v>952.6099999999999</v>
      </c>
      <c r="E491" s="56">
        <v>0</v>
      </c>
      <c r="F491" s="56">
        <f t="shared" si="288"/>
        <v>1524.1759999999999</v>
      </c>
      <c r="G491" s="85"/>
      <c r="H491" s="86"/>
      <c r="I491" s="49"/>
      <c r="N491" s="64" t="str">
        <f t="shared" ca="1" si="289"/>
        <v>104 &amp; 1404</v>
      </c>
      <c r="O491" s="64">
        <f t="shared" ref="O491:P491" ca="1" si="292">O490+1</f>
        <v>104</v>
      </c>
      <c r="P491" s="64">
        <f t="shared" ca="1" si="292"/>
        <v>1404</v>
      </c>
    </row>
    <row r="492" spans="1:16" s="64" customFormat="1" x14ac:dyDescent="0.35">
      <c r="A492" s="89">
        <v>5</v>
      </c>
      <c r="B492" s="90"/>
      <c r="C492" s="56" t="s">
        <v>183</v>
      </c>
      <c r="D492" s="65">
        <f>562.42+71.15</f>
        <v>633.56999999999994</v>
      </c>
      <c r="E492" s="56">
        <v>0</v>
      </c>
      <c r="F492" s="56">
        <f t="shared" si="288"/>
        <v>1013.712</v>
      </c>
      <c r="G492" s="85"/>
      <c r="H492" s="86"/>
      <c r="I492" s="49"/>
      <c r="N492" s="64" t="str">
        <f t="shared" ca="1" si="289"/>
        <v>105 &amp; 1405</v>
      </c>
      <c r="O492" s="64">
        <f t="shared" ref="O492:P492" ca="1" si="293">O491+1</f>
        <v>105</v>
      </c>
      <c r="P492" s="64">
        <f t="shared" ca="1" si="293"/>
        <v>1405</v>
      </c>
    </row>
    <row r="493" spans="1:16" s="64" customFormat="1" x14ac:dyDescent="0.35">
      <c r="A493" s="89">
        <v>6</v>
      </c>
      <c r="B493" s="90"/>
      <c r="C493" s="56" t="s">
        <v>144</v>
      </c>
      <c r="D493" s="65">
        <f>919.68+102.37</f>
        <v>1022.05</v>
      </c>
      <c r="E493" s="56">
        <v>0</v>
      </c>
      <c r="F493" s="56">
        <f t="shared" si="288"/>
        <v>1635.28</v>
      </c>
      <c r="G493" s="85"/>
      <c r="H493" s="86"/>
      <c r="I493" s="49"/>
      <c r="N493" s="64" t="str">
        <f t="shared" ca="1" si="289"/>
        <v>106 &amp; 1406</v>
      </c>
      <c r="O493" s="64">
        <f t="shared" ref="O493:P493" ca="1" si="294">O492+1</f>
        <v>106</v>
      </c>
      <c r="P493" s="64">
        <f t="shared" ca="1" si="294"/>
        <v>1406</v>
      </c>
    </row>
    <row r="494" spans="1:16" s="64" customFormat="1" x14ac:dyDescent="0.35">
      <c r="A494" s="89">
        <v>7</v>
      </c>
      <c r="B494" s="90"/>
      <c r="C494" s="56" t="s">
        <v>183</v>
      </c>
      <c r="D494" s="65">
        <f>746.16+88.16</f>
        <v>834.31999999999994</v>
      </c>
      <c r="E494" s="56">
        <v>0</v>
      </c>
      <c r="F494" s="56">
        <f t="shared" si="288"/>
        <v>1334.912</v>
      </c>
      <c r="G494" s="87"/>
      <c r="H494" s="88"/>
      <c r="I494" s="49"/>
      <c r="N494" s="64" t="str">
        <f t="shared" ca="1" si="289"/>
        <v>107 &amp; 1407</v>
      </c>
      <c r="O494" s="64">
        <f t="shared" ref="O494:P494" ca="1" si="295">O493+1</f>
        <v>107</v>
      </c>
      <c r="P494" s="64">
        <f t="shared" ca="1" si="295"/>
        <v>1407</v>
      </c>
    </row>
    <row r="495" spans="1:16" s="64" customFormat="1" x14ac:dyDescent="0.35">
      <c r="A495" s="91" t="s">
        <v>226</v>
      </c>
      <c r="B495" s="92"/>
      <c r="C495" s="92"/>
      <c r="D495" s="92"/>
      <c r="E495" s="92"/>
      <c r="F495" s="92"/>
      <c r="G495" s="92"/>
      <c r="H495" s="93"/>
      <c r="I495" s="49"/>
      <c r="P495" s="51"/>
    </row>
    <row r="496" spans="1:16" s="64" customFormat="1" x14ac:dyDescent="0.35">
      <c r="A496" s="89">
        <v>1</v>
      </c>
      <c r="B496" s="90"/>
      <c r="C496" s="56" t="s">
        <v>183</v>
      </c>
      <c r="D496" s="65">
        <f>735.4+66.52</f>
        <v>801.92</v>
      </c>
      <c r="E496" s="56">
        <v>0</v>
      </c>
      <c r="F496" s="56">
        <f t="shared" ref="F496:F502" si="296">D496*(($F$146)+1)+E496</f>
        <v>1283.0720000000001</v>
      </c>
      <c r="G496" s="83" t="str">
        <f>A495</f>
        <v>16th Floor</v>
      </c>
      <c r="H496" s="84"/>
      <c r="I496" s="49"/>
      <c r="N496" s="64" t="str">
        <f t="shared" ref="N496:N502" ca="1" si="297">O496&amp;""&amp;" &amp; "&amp;""&amp;P496</f>
        <v>101 &amp; 1601</v>
      </c>
      <c r="O496" s="64">
        <f ca="1">(SUMPRODUCT(MID(0&amp;(LEFT(A495,SUM(LEN(A495)-LEN(SUBSTITUTE(A495,{"0","1","2"},""))))), LARGE(INDEX(ISNUMBER(--MID((LEFT(A495,SUM(LEN(A495)-LEN(SUBSTITUTE(A495,{"0","1","2"},""))))), ROW(INDIRECT("1:"&amp;LEN((LEFT(A495,SUM(LEN(A495)-LEN(SUBSTITUTE(A495,{"0","1","2"},"")))))))), 1)) * ROW(INDIRECT("1:"&amp;LEN((LEFT(A495,SUM(LEN(A495)-LEN(SUBSTITUTE(A495,{"0","1","2"},"")))))))), 0), ROW(INDIRECT("1:"&amp;LEN((LEFT(A495,SUM(LEN(A495)-LEN(SUBSTITUTE(A495,{"0","1","2"},"")))))))))+1, 1) * 10^ROW(INDIRECT("1:"&amp;LEN((LEFT(A495,SUM(LEN(A495)-LEN(SUBSTITUTE(A495,{"0","1","2"},""))))))))/10))*100+1</f>
        <v>101</v>
      </c>
      <c r="P496" s="64">
        <f ca="1">(SUMPRODUCT(MID(0&amp;(--TRIM(RIGHT(SUBSTITUTE(LEFT(A495,_xlfn.AGGREGATE(16,6,FIND({0,1,2,3,4,5,6,7,8,9},A495,ROW(INDIRECT("1:"&amp;LEN(A495)))),1))," ",REPT(" ",LEN(A495))),LEN(A495)))), LARGE(INDEX(ISNUMBER(--MID((--TRIM(RIGHT(SUBSTITUTE(LEFT(A495,_xlfn.AGGREGATE(16,6,FIND({0,1,2,3,4,5,6,7,8,9},A495,ROW(INDIRECT("1:"&amp;LEN(A495)))),1))," ",REPT(" ",LEN(A495))),LEN(A495)))), ROW(INDIRECT("1:"&amp;LEN((--TRIM(RIGHT(SUBSTITUTE(LEFT(A495,_xlfn.AGGREGATE(16,6,FIND({0,1,2,3,4,5,6,7,8,9},A495,ROW(INDIRECT("1:"&amp;LEN(A495)))),1))," ",REPT(" ",LEN(A495))),LEN(A495))))))), 1)) * ROW(INDIRECT("1:"&amp;LEN((--TRIM(RIGHT(SUBSTITUTE(LEFT(A495,_xlfn.AGGREGATE(16,6,FIND({0,1,2,3,4,5,6,7,8,9},A495,ROW(INDIRECT("1:"&amp;LEN(A495)))),1))," ",REPT(" ",LEN(A495))),LEN(A495))))))), 0), ROW(INDIRECT("1:"&amp;LEN((--TRIM(RIGHT(SUBSTITUTE(LEFT(A495,_xlfn.AGGREGATE(16,6,FIND({0,1,2,3,4,5,6,7,8,9},A495,ROW(INDIRECT("1:"&amp;LEN(A495)))),1))," ",REPT(" ",LEN(A495))),LEN(A495))))))))+1, 1) * 10^ROW(INDIRECT("1:"&amp;LEN((--TRIM(RIGHT(SUBSTITUTE(LEFT(A495,_xlfn.AGGREGATE(16,6,FIND({0,1,2,3,4,5,6,7,8,9},A495,ROW(INDIRECT("1:"&amp;LEN(A495)))),1))," ",REPT(" ",LEN(A495))),LEN(A495)))))))/10))*100+1</f>
        <v>1601</v>
      </c>
    </row>
    <row r="497" spans="1:16" s="64" customFormat="1" x14ac:dyDescent="0.35">
      <c r="A497" s="89">
        <v>2</v>
      </c>
      <c r="B497" s="90"/>
      <c r="C497" s="56" t="s">
        <v>183</v>
      </c>
      <c r="D497" s="65">
        <f>(736.9+116.14)</f>
        <v>853.04</v>
      </c>
      <c r="E497" s="56">
        <v>0</v>
      </c>
      <c r="F497" s="56">
        <f t="shared" si="296"/>
        <v>1364.864</v>
      </c>
      <c r="G497" s="85"/>
      <c r="H497" s="86"/>
      <c r="I497" s="49"/>
      <c r="N497" s="64" t="str">
        <f t="shared" ca="1" si="297"/>
        <v>102 &amp; 1602</v>
      </c>
      <c r="O497" s="64">
        <f t="shared" ref="O497:P497" ca="1" si="298">O496+1</f>
        <v>102</v>
      </c>
      <c r="P497" s="64">
        <f t="shared" ca="1" si="298"/>
        <v>1602</v>
      </c>
    </row>
    <row r="498" spans="1:16" s="64" customFormat="1" x14ac:dyDescent="0.35">
      <c r="A498" s="89">
        <v>3</v>
      </c>
      <c r="B498" s="90"/>
      <c r="C498" s="56" t="s">
        <v>183</v>
      </c>
      <c r="D498" s="65">
        <f>589.11+71.8</f>
        <v>660.91</v>
      </c>
      <c r="E498" s="56">
        <v>0</v>
      </c>
      <c r="F498" s="56">
        <f t="shared" si="296"/>
        <v>1057.4559999999999</v>
      </c>
      <c r="G498" s="85"/>
      <c r="H498" s="86"/>
      <c r="I498" s="49"/>
      <c r="N498" s="64" t="str">
        <f t="shared" ca="1" si="297"/>
        <v>103 &amp; 1603</v>
      </c>
      <c r="O498" s="64">
        <f t="shared" ref="O498:P498" ca="1" si="299">O497+1</f>
        <v>103</v>
      </c>
      <c r="P498" s="64">
        <f t="shared" ca="1" si="299"/>
        <v>1603</v>
      </c>
    </row>
    <row r="499" spans="1:16" s="64" customFormat="1" x14ac:dyDescent="0.35">
      <c r="A499" s="89">
        <v>4</v>
      </c>
      <c r="B499" s="90"/>
      <c r="C499" s="56" t="s">
        <v>183</v>
      </c>
      <c r="D499" s="65">
        <f>825.06+127.55</f>
        <v>952.6099999999999</v>
      </c>
      <c r="E499" s="56">
        <v>0</v>
      </c>
      <c r="F499" s="56">
        <f t="shared" si="296"/>
        <v>1524.1759999999999</v>
      </c>
      <c r="G499" s="85"/>
      <c r="H499" s="86"/>
      <c r="I499" s="49"/>
      <c r="N499" s="64" t="str">
        <f t="shared" ca="1" si="297"/>
        <v>104 &amp; 1604</v>
      </c>
      <c r="O499" s="64">
        <f t="shared" ref="O499:P499" ca="1" si="300">O498+1</f>
        <v>104</v>
      </c>
      <c r="P499" s="64">
        <f t="shared" ca="1" si="300"/>
        <v>1604</v>
      </c>
    </row>
    <row r="500" spans="1:16" s="64" customFormat="1" x14ac:dyDescent="0.35">
      <c r="A500" s="89">
        <v>5</v>
      </c>
      <c r="B500" s="90"/>
      <c r="C500" s="56" t="s">
        <v>183</v>
      </c>
      <c r="D500" s="65">
        <f>562.42+71.15</f>
        <v>633.56999999999994</v>
      </c>
      <c r="E500" s="56">
        <v>0</v>
      </c>
      <c r="F500" s="56">
        <f t="shared" si="296"/>
        <v>1013.712</v>
      </c>
      <c r="G500" s="85"/>
      <c r="H500" s="86"/>
      <c r="I500" s="49"/>
      <c r="N500" s="64" t="str">
        <f t="shared" ca="1" si="297"/>
        <v>105 &amp; 1605</v>
      </c>
      <c r="O500" s="64">
        <f t="shared" ref="O500:P500" ca="1" si="301">O499+1</f>
        <v>105</v>
      </c>
      <c r="P500" s="64">
        <f t="shared" ca="1" si="301"/>
        <v>1605</v>
      </c>
    </row>
    <row r="501" spans="1:16" s="64" customFormat="1" x14ac:dyDescent="0.35">
      <c r="A501" s="89">
        <v>6</v>
      </c>
      <c r="B501" s="90"/>
      <c r="C501" s="56" t="s">
        <v>144</v>
      </c>
      <c r="D501" s="65">
        <f>924.2+131.64</f>
        <v>1055.8400000000001</v>
      </c>
      <c r="E501" s="56">
        <v>0</v>
      </c>
      <c r="F501" s="56">
        <f t="shared" si="296"/>
        <v>1689.3440000000003</v>
      </c>
      <c r="G501" s="85"/>
      <c r="H501" s="86"/>
      <c r="I501" s="49"/>
      <c r="N501" s="64" t="str">
        <f t="shared" ca="1" si="297"/>
        <v>106 &amp; 1606</v>
      </c>
      <c r="O501" s="64">
        <f t="shared" ref="O501:P501" ca="1" si="302">O500+1</f>
        <v>106</v>
      </c>
      <c r="P501" s="64">
        <f t="shared" ca="1" si="302"/>
        <v>1606</v>
      </c>
    </row>
    <row r="502" spans="1:16" s="64" customFormat="1" x14ac:dyDescent="0.35">
      <c r="A502" s="89">
        <v>7</v>
      </c>
      <c r="B502" s="90"/>
      <c r="C502" s="56" t="s">
        <v>183</v>
      </c>
      <c r="D502" s="65">
        <f>746.16+88.16</f>
        <v>834.31999999999994</v>
      </c>
      <c r="E502" s="56">
        <v>0</v>
      </c>
      <c r="F502" s="56">
        <f t="shared" si="296"/>
        <v>1334.912</v>
      </c>
      <c r="G502" s="87"/>
      <c r="H502" s="88"/>
      <c r="I502" s="49"/>
      <c r="N502" s="64" t="str">
        <f t="shared" ca="1" si="297"/>
        <v>107 &amp; 1607</v>
      </c>
      <c r="O502" s="64">
        <f t="shared" ref="O502:P502" ca="1" si="303">O501+1</f>
        <v>107</v>
      </c>
      <c r="P502" s="64">
        <f t="shared" ca="1" si="303"/>
        <v>1607</v>
      </c>
    </row>
    <row r="503" spans="1:16" s="64" customFormat="1" x14ac:dyDescent="0.35">
      <c r="A503" s="91" t="s">
        <v>227</v>
      </c>
      <c r="B503" s="92"/>
      <c r="C503" s="92"/>
      <c r="D503" s="92"/>
      <c r="E503" s="92"/>
      <c r="F503" s="92"/>
      <c r="G503" s="92"/>
      <c r="H503" s="93"/>
      <c r="I503" s="49"/>
      <c r="P503" s="51"/>
    </row>
    <row r="504" spans="1:16" s="64" customFormat="1" x14ac:dyDescent="0.35">
      <c r="A504" s="89">
        <v>1</v>
      </c>
      <c r="B504" s="90"/>
      <c r="C504" s="56" t="s">
        <v>183</v>
      </c>
      <c r="D504" s="65">
        <f>735.4+66.52</f>
        <v>801.92</v>
      </c>
      <c r="E504" s="56">
        <v>0</v>
      </c>
      <c r="F504" s="56">
        <f t="shared" ref="F504:F510" si="304">D504*(($F$146)+1)+E504</f>
        <v>1283.0720000000001</v>
      </c>
      <c r="G504" s="83" t="str">
        <f>A503</f>
        <v>18th Floor</v>
      </c>
      <c r="H504" s="84"/>
      <c r="I504" s="49"/>
      <c r="N504" s="64" t="str">
        <f t="shared" ref="N504:N510" ca="1" si="305">O504&amp;""&amp;" &amp; "&amp;""&amp;P504</f>
        <v>101 &amp; 1801</v>
      </c>
      <c r="O504" s="64">
        <f ca="1">(SUMPRODUCT(MID(0&amp;(LEFT(A503,SUM(LEN(A503)-LEN(SUBSTITUTE(A503,{"0","1","2"},""))))), LARGE(INDEX(ISNUMBER(--MID((LEFT(A503,SUM(LEN(A503)-LEN(SUBSTITUTE(A503,{"0","1","2"},""))))), ROW(INDIRECT("1:"&amp;LEN((LEFT(A503,SUM(LEN(A503)-LEN(SUBSTITUTE(A503,{"0","1","2"},"")))))))), 1)) * ROW(INDIRECT("1:"&amp;LEN((LEFT(A503,SUM(LEN(A503)-LEN(SUBSTITUTE(A503,{"0","1","2"},"")))))))), 0), ROW(INDIRECT("1:"&amp;LEN((LEFT(A503,SUM(LEN(A503)-LEN(SUBSTITUTE(A503,{"0","1","2"},"")))))))))+1, 1) * 10^ROW(INDIRECT("1:"&amp;LEN((LEFT(A503,SUM(LEN(A503)-LEN(SUBSTITUTE(A503,{"0","1","2"},""))))))))/10))*100+1</f>
        <v>101</v>
      </c>
      <c r="P504" s="64">
        <f ca="1">(SUMPRODUCT(MID(0&amp;(--TRIM(RIGHT(SUBSTITUTE(LEFT(A503,_xlfn.AGGREGATE(16,6,FIND({0,1,2,3,4,5,6,7,8,9},A503,ROW(INDIRECT("1:"&amp;LEN(A503)))),1))," ",REPT(" ",LEN(A503))),LEN(A503)))), LARGE(INDEX(ISNUMBER(--MID((--TRIM(RIGHT(SUBSTITUTE(LEFT(A503,_xlfn.AGGREGATE(16,6,FIND({0,1,2,3,4,5,6,7,8,9},A503,ROW(INDIRECT("1:"&amp;LEN(A503)))),1))," ",REPT(" ",LEN(A503))),LEN(A503)))), ROW(INDIRECT("1:"&amp;LEN((--TRIM(RIGHT(SUBSTITUTE(LEFT(A503,_xlfn.AGGREGATE(16,6,FIND({0,1,2,3,4,5,6,7,8,9},A503,ROW(INDIRECT("1:"&amp;LEN(A503)))),1))," ",REPT(" ",LEN(A503))),LEN(A503))))))), 1)) * ROW(INDIRECT("1:"&amp;LEN((--TRIM(RIGHT(SUBSTITUTE(LEFT(A503,_xlfn.AGGREGATE(16,6,FIND({0,1,2,3,4,5,6,7,8,9},A503,ROW(INDIRECT("1:"&amp;LEN(A503)))),1))," ",REPT(" ",LEN(A503))),LEN(A503))))))), 0), ROW(INDIRECT("1:"&amp;LEN((--TRIM(RIGHT(SUBSTITUTE(LEFT(A503,_xlfn.AGGREGATE(16,6,FIND({0,1,2,3,4,5,6,7,8,9},A503,ROW(INDIRECT("1:"&amp;LEN(A503)))),1))," ",REPT(" ",LEN(A503))),LEN(A503))))))))+1, 1) * 10^ROW(INDIRECT("1:"&amp;LEN((--TRIM(RIGHT(SUBSTITUTE(LEFT(A503,_xlfn.AGGREGATE(16,6,FIND({0,1,2,3,4,5,6,7,8,9},A503,ROW(INDIRECT("1:"&amp;LEN(A503)))),1))," ",REPT(" ",LEN(A503))),LEN(A503)))))))/10))*100+1</f>
        <v>1801</v>
      </c>
    </row>
    <row r="505" spans="1:16" s="64" customFormat="1" x14ac:dyDescent="0.35">
      <c r="A505" s="89">
        <v>2</v>
      </c>
      <c r="B505" s="90"/>
      <c r="C505" s="56" t="s">
        <v>183</v>
      </c>
      <c r="D505" s="65">
        <f>(736.9+116.14)</f>
        <v>853.04</v>
      </c>
      <c r="E505" s="56">
        <v>0</v>
      </c>
      <c r="F505" s="56">
        <f t="shared" si="304"/>
        <v>1364.864</v>
      </c>
      <c r="G505" s="85"/>
      <c r="H505" s="86"/>
      <c r="I505" s="49"/>
      <c r="N505" s="64" t="str">
        <f t="shared" ca="1" si="305"/>
        <v>102 &amp; 1802</v>
      </c>
      <c r="O505" s="64">
        <f t="shared" ref="O505:P505" ca="1" si="306">O504+1</f>
        <v>102</v>
      </c>
      <c r="P505" s="64">
        <f t="shared" ca="1" si="306"/>
        <v>1802</v>
      </c>
    </row>
    <row r="506" spans="1:16" s="64" customFormat="1" x14ac:dyDescent="0.35">
      <c r="A506" s="89">
        <v>3</v>
      </c>
      <c r="B506" s="90"/>
      <c r="C506" s="56" t="s">
        <v>183</v>
      </c>
      <c r="D506" s="65">
        <f>589.11+71.8</f>
        <v>660.91</v>
      </c>
      <c r="E506" s="56">
        <v>0</v>
      </c>
      <c r="F506" s="56">
        <f t="shared" si="304"/>
        <v>1057.4559999999999</v>
      </c>
      <c r="G506" s="85"/>
      <c r="H506" s="86"/>
      <c r="I506" s="49"/>
      <c r="N506" s="64" t="str">
        <f t="shared" ca="1" si="305"/>
        <v>103 &amp; 1803</v>
      </c>
      <c r="O506" s="64">
        <f t="shared" ref="O506:P506" ca="1" si="307">O505+1</f>
        <v>103</v>
      </c>
      <c r="P506" s="64">
        <f t="shared" ca="1" si="307"/>
        <v>1803</v>
      </c>
    </row>
    <row r="507" spans="1:16" s="64" customFormat="1" x14ac:dyDescent="0.35">
      <c r="A507" s="89">
        <v>4</v>
      </c>
      <c r="B507" s="90"/>
      <c r="C507" s="56" t="s">
        <v>183</v>
      </c>
      <c r="D507" s="65">
        <f>827.32+186</f>
        <v>1013.32</v>
      </c>
      <c r="E507" s="56">
        <v>0</v>
      </c>
      <c r="F507" s="56">
        <f t="shared" si="304"/>
        <v>1621.3120000000001</v>
      </c>
      <c r="G507" s="85"/>
      <c r="H507" s="86"/>
      <c r="I507" s="49"/>
      <c r="N507" s="64" t="str">
        <f t="shared" ca="1" si="305"/>
        <v>104 &amp; 1804</v>
      </c>
      <c r="O507" s="64">
        <f t="shared" ref="O507:P507" ca="1" si="308">O506+1</f>
        <v>104</v>
      </c>
      <c r="P507" s="64">
        <f t="shared" ca="1" si="308"/>
        <v>1804</v>
      </c>
    </row>
    <row r="508" spans="1:16" s="64" customFormat="1" x14ac:dyDescent="0.35">
      <c r="A508" s="89">
        <v>5</v>
      </c>
      <c r="B508" s="90"/>
      <c r="C508" s="56" t="s">
        <v>183</v>
      </c>
      <c r="D508" s="65">
        <f>562.42+78.36</f>
        <v>640.78</v>
      </c>
      <c r="E508" s="56">
        <v>0</v>
      </c>
      <c r="F508" s="56">
        <f t="shared" si="304"/>
        <v>1025.248</v>
      </c>
      <c r="G508" s="85"/>
      <c r="H508" s="86"/>
      <c r="I508" s="49"/>
      <c r="N508" s="64" t="str">
        <f t="shared" ca="1" si="305"/>
        <v>105 &amp; 1805</v>
      </c>
      <c r="O508" s="64">
        <f t="shared" ref="O508:P508" ca="1" si="309">O507+1</f>
        <v>105</v>
      </c>
      <c r="P508" s="64">
        <f t="shared" ca="1" si="309"/>
        <v>1805</v>
      </c>
    </row>
    <row r="509" spans="1:16" s="64" customFormat="1" x14ac:dyDescent="0.35">
      <c r="A509" s="89">
        <v>6</v>
      </c>
      <c r="B509" s="90"/>
      <c r="C509" s="56" t="s">
        <v>144</v>
      </c>
      <c r="D509" s="65">
        <f>924.2+131.64</f>
        <v>1055.8400000000001</v>
      </c>
      <c r="E509" s="56">
        <v>0</v>
      </c>
      <c r="F509" s="56">
        <f t="shared" si="304"/>
        <v>1689.3440000000003</v>
      </c>
      <c r="G509" s="85"/>
      <c r="H509" s="86"/>
      <c r="I509" s="49"/>
      <c r="N509" s="64" t="str">
        <f t="shared" ca="1" si="305"/>
        <v>106 &amp; 1806</v>
      </c>
      <c r="O509" s="64">
        <f t="shared" ref="O509:P509" ca="1" si="310">O508+1</f>
        <v>106</v>
      </c>
      <c r="P509" s="64">
        <f t="shared" ca="1" si="310"/>
        <v>1806</v>
      </c>
    </row>
    <row r="510" spans="1:16" s="64" customFormat="1" x14ac:dyDescent="0.35">
      <c r="A510" s="89">
        <v>7</v>
      </c>
      <c r="B510" s="90"/>
      <c r="C510" s="56" t="s">
        <v>183</v>
      </c>
      <c r="D510" s="65">
        <f>746.16+88.16</f>
        <v>834.31999999999994</v>
      </c>
      <c r="E510" s="56">
        <v>0</v>
      </c>
      <c r="F510" s="56">
        <f t="shared" si="304"/>
        <v>1334.912</v>
      </c>
      <c r="G510" s="87"/>
      <c r="H510" s="88"/>
      <c r="I510" s="49"/>
      <c r="N510" s="64" t="str">
        <f t="shared" ca="1" si="305"/>
        <v>107 &amp; 1807</v>
      </c>
      <c r="O510" s="64">
        <f t="shared" ref="O510:P510" ca="1" si="311">O509+1</f>
        <v>107</v>
      </c>
      <c r="P510" s="64">
        <f t="shared" ca="1" si="311"/>
        <v>1807</v>
      </c>
    </row>
    <row r="511" spans="1:16" s="64" customFormat="1" x14ac:dyDescent="0.35">
      <c r="A511" s="91" t="s">
        <v>228</v>
      </c>
      <c r="B511" s="92"/>
      <c r="C511" s="92"/>
      <c r="D511" s="92"/>
      <c r="E511" s="92"/>
      <c r="F511" s="92"/>
      <c r="G511" s="92"/>
      <c r="H511" s="93"/>
      <c r="I511" s="49"/>
      <c r="P511" s="51"/>
    </row>
    <row r="512" spans="1:16" s="64" customFormat="1" ht="15.75" customHeight="1" x14ac:dyDescent="0.35">
      <c r="A512" s="89">
        <v>1</v>
      </c>
      <c r="B512" s="90"/>
      <c r="C512" s="56" t="s">
        <v>183</v>
      </c>
      <c r="D512" s="65">
        <f>735.4+66.52</f>
        <v>801.92</v>
      </c>
      <c r="E512" s="56">
        <v>0</v>
      </c>
      <c r="F512" s="56">
        <f t="shared" ref="F512:F518" si="312">D512*(($F$146)+1)+E512</f>
        <v>1283.0720000000001</v>
      </c>
      <c r="G512" s="83" t="str">
        <f>A511</f>
        <v>19th Floor (Part Refuge Area)</v>
      </c>
      <c r="H512" s="84"/>
      <c r="I512" s="49"/>
      <c r="N512" s="64" t="str">
        <f t="shared" ref="N512:N518" ca="1" si="313">O512&amp;""&amp;" &amp; "&amp;""&amp;P512</f>
        <v>101 &amp; 1901</v>
      </c>
      <c r="O512" s="64">
        <f ca="1">(SUMPRODUCT(MID(0&amp;(LEFT(A511,SUM(LEN(A511)-LEN(SUBSTITUTE(A511,{"0","1","2"},""))))), LARGE(INDEX(ISNUMBER(--MID((LEFT(A511,SUM(LEN(A511)-LEN(SUBSTITUTE(A511,{"0","1","2"},""))))), ROW(INDIRECT("1:"&amp;LEN((LEFT(A511,SUM(LEN(A511)-LEN(SUBSTITUTE(A511,{"0","1","2"},"")))))))), 1)) * ROW(INDIRECT("1:"&amp;LEN((LEFT(A511,SUM(LEN(A511)-LEN(SUBSTITUTE(A511,{"0","1","2"},"")))))))), 0), ROW(INDIRECT("1:"&amp;LEN((LEFT(A511,SUM(LEN(A511)-LEN(SUBSTITUTE(A511,{"0","1","2"},"")))))))))+1, 1) * 10^ROW(INDIRECT("1:"&amp;LEN((LEFT(A511,SUM(LEN(A511)-LEN(SUBSTITUTE(A511,{"0","1","2"},""))))))))/10))*100+1</f>
        <v>101</v>
      </c>
      <c r="P512" s="64">
        <f ca="1">(SUMPRODUCT(MID(0&amp;(--TRIM(RIGHT(SUBSTITUTE(LEFT(A511,_xlfn.AGGREGATE(16,6,FIND({0,1,2,3,4,5,6,7,8,9},A511,ROW(INDIRECT("1:"&amp;LEN(A511)))),1))," ",REPT(" ",LEN(A511))),LEN(A511)))), LARGE(INDEX(ISNUMBER(--MID((--TRIM(RIGHT(SUBSTITUTE(LEFT(A511,_xlfn.AGGREGATE(16,6,FIND({0,1,2,3,4,5,6,7,8,9},A511,ROW(INDIRECT("1:"&amp;LEN(A511)))),1))," ",REPT(" ",LEN(A511))),LEN(A511)))), ROW(INDIRECT("1:"&amp;LEN((--TRIM(RIGHT(SUBSTITUTE(LEFT(A511,_xlfn.AGGREGATE(16,6,FIND({0,1,2,3,4,5,6,7,8,9},A511,ROW(INDIRECT("1:"&amp;LEN(A511)))),1))," ",REPT(" ",LEN(A511))),LEN(A511))))))), 1)) * ROW(INDIRECT("1:"&amp;LEN((--TRIM(RIGHT(SUBSTITUTE(LEFT(A511,_xlfn.AGGREGATE(16,6,FIND({0,1,2,3,4,5,6,7,8,9},A511,ROW(INDIRECT("1:"&amp;LEN(A511)))),1))," ",REPT(" ",LEN(A511))),LEN(A511))))))), 0), ROW(INDIRECT("1:"&amp;LEN((--TRIM(RIGHT(SUBSTITUTE(LEFT(A511,_xlfn.AGGREGATE(16,6,FIND({0,1,2,3,4,5,6,7,8,9},A511,ROW(INDIRECT("1:"&amp;LEN(A511)))),1))," ",REPT(" ",LEN(A511))),LEN(A511))))))))+1, 1) * 10^ROW(INDIRECT("1:"&amp;LEN((--TRIM(RIGHT(SUBSTITUTE(LEFT(A511,_xlfn.AGGREGATE(16,6,FIND({0,1,2,3,4,5,6,7,8,9},A511,ROW(INDIRECT("1:"&amp;LEN(A511)))),1))," ",REPT(" ",LEN(A511))),LEN(A511)))))))/10))*100+1</f>
        <v>1901</v>
      </c>
    </row>
    <row r="513" spans="1:16" s="64" customFormat="1" ht="15.75" customHeight="1" x14ac:dyDescent="0.35">
      <c r="A513" s="89">
        <v>2</v>
      </c>
      <c r="B513" s="90"/>
      <c r="C513" s="56" t="s">
        <v>183</v>
      </c>
      <c r="D513" s="65">
        <f>(732.38+67.81)</f>
        <v>800.19</v>
      </c>
      <c r="E513" s="56">
        <v>0</v>
      </c>
      <c r="F513" s="56">
        <f t="shared" si="312"/>
        <v>1280.3040000000001</v>
      </c>
      <c r="G513" s="85"/>
      <c r="H513" s="86"/>
      <c r="I513" s="49"/>
      <c r="N513" s="64" t="str">
        <f t="shared" ca="1" si="313"/>
        <v>102 &amp; 1902</v>
      </c>
      <c r="O513" s="64">
        <f t="shared" ref="O513:P513" ca="1" si="314">O512+1</f>
        <v>102</v>
      </c>
      <c r="P513" s="64">
        <f t="shared" ca="1" si="314"/>
        <v>1902</v>
      </c>
    </row>
    <row r="514" spans="1:16" s="64" customFormat="1" ht="15.75" customHeight="1" x14ac:dyDescent="0.35">
      <c r="A514" s="89">
        <v>3</v>
      </c>
      <c r="B514" s="90"/>
      <c r="C514" s="56" t="s">
        <v>183</v>
      </c>
      <c r="D514" s="65">
        <f>589.11+58.88</f>
        <v>647.99</v>
      </c>
      <c r="E514" s="56">
        <v>0</v>
      </c>
      <c r="F514" s="56">
        <f t="shared" si="312"/>
        <v>1036.7840000000001</v>
      </c>
      <c r="G514" s="85"/>
      <c r="H514" s="86"/>
      <c r="I514" s="49"/>
      <c r="N514" s="64" t="str">
        <f t="shared" ca="1" si="313"/>
        <v>103 &amp; 1903</v>
      </c>
      <c r="O514" s="64">
        <f t="shared" ref="O514:P514" ca="1" si="315">O513+1</f>
        <v>103</v>
      </c>
      <c r="P514" s="64">
        <f t="shared" ca="1" si="315"/>
        <v>1903</v>
      </c>
    </row>
    <row r="515" spans="1:16" s="64" customFormat="1" ht="15.75" customHeight="1" x14ac:dyDescent="0.35">
      <c r="A515" s="89">
        <v>4</v>
      </c>
      <c r="B515" s="90"/>
      <c r="C515" s="56" t="s">
        <v>183</v>
      </c>
      <c r="D515" s="65">
        <f>827.32+186</f>
        <v>1013.32</v>
      </c>
      <c r="E515" s="56">
        <v>0</v>
      </c>
      <c r="F515" s="56">
        <f t="shared" si="312"/>
        <v>1621.3120000000001</v>
      </c>
      <c r="G515" s="85"/>
      <c r="H515" s="86"/>
      <c r="I515" s="49"/>
      <c r="N515" s="64" t="str">
        <f t="shared" ca="1" si="313"/>
        <v>104 &amp; 1904</v>
      </c>
      <c r="O515" s="64">
        <f t="shared" ref="O515:P515" ca="1" si="316">O514+1</f>
        <v>104</v>
      </c>
      <c r="P515" s="64">
        <f t="shared" ca="1" si="316"/>
        <v>1904</v>
      </c>
    </row>
    <row r="516" spans="1:16" s="64" customFormat="1" ht="15.75" customHeight="1" x14ac:dyDescent="0.35">
      <c r="A516" s="89">
        <v>5</v>
      </c>
      <c r="B516" s="90"/>
      <c r="C516" s="56" t="s">
        <v>183</v>
      </c>
      <c r="D516" s="65">
        <f>562.42+78.36</f>
        <v>640.78</v>
      </c>
      <c r="E516" s="56">
        <v>0</v>
      </c>
      <c r="F516" s="56">
        <f t="shared" si="312"/>
        <v>1025.248</v>
      </c>
      <c r="G516" s="85"/>
      <c r="H516" s="86"/>
      <c r="I516" s="49"/>
      <c r="N516" s="64" t="str">
        <f t="shared" ca="1" si="313"/>
        <v>105 &amp; 1905</v>
      </c>
      <c r="O516" s="64">
        <f t="shared" ref="O516:P516" ca="1" si="317">O515+1</f>
        <v>105</v>
      </c>
      <c r="P516" s="64">
        <f t="shared" ca="1" si="317"/>
        <v>1905</v>
      </c>
    </row>
    <row r="517" spans="1:16" s="64" customFormat="1" ht="15.75" customHeight="1" x14ac:dyDescent="0.35">
      <c r="A517" s="89">
        <v>6</v>
      </c>
      <c r="B517" s="90"/>
      <c r="C517" s="56" t="s">
        <v>144</v>
      </c>
      <c r="D517" s="65">
        <f>924.2+131.64</f>
        <v>1055.8400000000001</v>
      </c>
      <c r="E517" s="56">
        <v>0</v>
      </c>
      <c r="F517" s="56">
        <f t="shared" si="312"/>
        <v>1689.3440000000003</v>
      </c>
      <c r="G517" s="85"/>
      <c r="H517" s="86"/>
      <c r="I517" s="49"/>
      <c r="N517" s="64" t="str">
        <f t="shared" ca="1" si="313"/>
        <v>106 &amp; 1906</v>
      </c>
      <c r="O517" s="64">
        <f t="shared" ref="O517:P517" ca="1" si="318">O516+1</f>
        <v>106</v>
      </c>
      <c r="P517" s="64">
        <f t="shared" ca="1" si="318"/>
        <v>1906</v>
      </c>
    </row>
    <row r="518" spans="1:16" s="64" customFormat="1" ht="15.75" customHeight="1" x14ac:dyDescent="0.35">
      <c r="A518" s="89">
        <v>7</v>
      </c>
      <c r="B518" s="90"/>
      <c r="C518" s="56" t="s">
        <v>183</v>
      </c>
      <c r="D518" s="65">
        <f>746.16+88.16</f>
        <v>834.31999999999994</v>
      </c>
      <c r="E518" s="56">
        <v>0</v>
      </c>
      <c r="F518" s="56">
        <f t="shared" si="312"/>
        <v>1334.912</v>
      </c>
      <c r="G518" s="87"/>
      <c r="H518" s="88"/>
      <c r="I518" s="49"/>
      <c r="N518" s="64" t="str">
        <f t="shared" ca="1" si="313"/>
        <v>107 &amp; 1907</v>
      </c>
      <c r="O518" s="64">
        <f t="shared" ref="O518:P518" ca="1" si="319">O517+1</f>
        <v>107</v>
      </c>
      <c r="P518" s="64">
        <f t="shared" ca="1" si="319"/>
        <v>1907</v>
      </c>
    </row>
    <row r="519" spans="1:16" s="64" customFormat="1" x14ac:dyDescent="0.35">
      <c r="A519" s="91" t="s">
        <v>229</v>
      </c>
      <c r="B519" s="92"/>
      <c r="C519" s="92"/>
      <c r="D519" s="92"/>
      <c r="E519" s="92"/>
      <c r="F519" s="92"/>
      <c r="G519" s="92"/>
      <c r="H519" s="93"/>
      <c r="I519" s="49"/>
      <c r="P519" s="51"/>
    </row>
    <row r="520" spans="1:16" s="64" customFormat="1" x14ac:dyDescent="0.35">
      <c r="A520" s="89">
        <v>1</v>
      </c>
      <c r="B520" s="90"/>
      <c r="C520" s="56" t="s">
        <v>183</v>
      </c>
      <c r="D520" s="65">
        <f>735.4+66.52</f>
        <v>801.92</v>
      </c>
      <c r="E520" s="56">
        <v>0</v>
      </c>
      <c r="F520" s="56">
        <f t="shared" ref="F520:F526" si="320">D520*(($F$146)+1)+E520</f>
        <v>1283.0720000000001</v>
      </c>
      <c r="G520" s="83" t="str">
        <f>A519</f>
        <v>20th Floor</v>
      </c>
      <c r="H520" s="84"/>
      <c r="I520" s="49"/>
      <c r="N520" s="64" t="str">
        <f t="shared" ref="N520:N526" ca="1" si="321">O520&amp;""&amp;" &amp; "&amp;""&amp;P520</f>
        <v>2001 &amp; 2001</v>
      </c>
      <c r="O520" s="64">
        <f ca="1">(SUMPRODUCT(MID(0&amp;(LEFT(A519,SUM(LEN(A519)-LEN(SUBSTITUTE(A519,{"0","1","2"},""))))), LARGE(INDEX(ISNUMBER(--MID((LEFT(A519,SUM(LEN(A519)-LEN(SUBSTITUTE(A519,{"0","1","2"},""))))), ROW(INDIRECT("1:"&amp;LEN((LEFT(A519,SUM(LEN(A519)-LEN(SUBSTITUTE(A519,{"0","1","2"},"")))))))), 1)) * ROW(INDIRECT("1:"&amp;LEN((LEFT(A519,SUM(LEN(A519)-LEN(SUBSTITUTE(A519,{"0","1","2"},"")))))))), 0), ROW(INDIRECT("1:"&amp;LEN((LEFT(A519,SUM(LEN(A519)-LEN(SUBSTITUTE(A519,{"0","1","2"},"")))))))))+1, 1) * 10^ROW(INDIRECT("1:"&amp;LEN((LEFT(A519,SUM(LEN(A519)-LEN(SUBSTITUTE(A519,{"0","1","2"},""))))))))/10))*100+1</f>
        <v>2001</v>
      </c>
      <c r="P520" s="64">
        <f ca="1">(SUMPRODUCT(MID(0&amp;(--TRIM(RIGHT(SUBSTITUTE(LEFT(A519,_xlfn.AGGREGATE(16,6,FIND({0,1,2,3,4,5,6,7,8,9},A519,ROW(INDIRECT("1:"&amp;LEN(A519)))),1))," ",REPT(" ",LEN(A519))),LEN(A519)))), LARGE(INDEX(ISNUMBER(--MID((--TRIM(RIGHT(SUBSTITUTE(LEFT(A519,_xlfn.AGGREGATE(16,6,FIND({0,1,2,3,4,5,6,7,8,9},A519,ROW(INDIRECT("1:"&amp;LEN(A519)))),1))," ",REPT(" ",LEN(A519))),LEN(A519)))), ROW(INDIRECT("1:"&amp;LEN((--TRIM(RIGHT(SUBSTITUTE(LEFT(A519,_xlfn.AGGREGATE(16,6,FIND({0,1,2,3,4,5,6,7,8,9},A519,ROW(INDIRECT("1:"&amp;LEN(A519)))),1))," ",REPT(" ",LEN(A519))),LEN(A519))))))), 1)) * ROW(INDIRECT("1:"&amp;LEN((--TRIM(RIGHT(SUBSTITUTE(LEFT(A519,_xlfn.AGGREGATE(16,6,FIND({0,1,2,3,4,5,6,7,8,9},A519,ROW(INDIRECT("1:"&amp;LEN(A519)))),1))," ",REPT(" ",LEN(A519))),LEN(A519))))))), 0), ROW(INDIRECT("1:"&amp;LEN((--TRIM(RIGHT(SUBSTITUTE(LEFT(A519,_xlfn.AGGREGATE(16,6,FIND({0,1,2,3,4,5,6,7,8,9},A519,ROW(INDIRECT("1:"&amp;LEN(A519)))),1))," ",REPT(" ",LEN(A519))),LEN(A519))))))))+1, 1) * 10^ROW(INDIRECT("1:"&amp;LEN((--TRIM(RIGHT(SUBSTITUTE(LEFT(A519,_xlfn.AGGREGATE(16,6,FIND({0,1,2,3,4,5,6,7,8,9},A519,ROW(INDIRECT("1:"&amp;LEN(A519)))),1))," ",REPT(" ",LEN(A519))),LEN(A519)))))))/10))*100+1</f>
        <v>2001</v>
      </c>
    </row>
    <row r="521" spans="1:16" s="64" customFormat="1" x14ac:dyDescent="0.35">
      <c r="A521" s="89">
        <v>2</v>
      </c>
      <c r="B521" s="90"/>
      <c r="C521" s="56" t="s">
        <v>183</v>
      </c>
      <c r="D521" s="65">
        <f>(732.38+67.81)</f>
        <v>800.19</v>
      </c>
      <c r="E521" s="56">
        <v>0</v>
      </c>
      <c r="F521" s="56">
        <f t="shared" si="320"/>
        <v>1280.3040000000001</v>
      </c>
      <c r="G521" s="85"/>
      <c r="H521" s="86"/>
      <c r="I521" s="49"/>
      <c r="N521" s="64" t="str">
        <f t="shared" ca="1" si="321"/>
        <v>2002 &amp; 2002</v>
      </c>
      <c r="O521" s="64">
        <f t="shared" ref="O521:P521" ca="1" si="322">O520+1</f>
        <v>2002</v>
      </c>
      <c r="P521" s="64">
        <f t="shared" ca="1" si="322"/>
        <v>2002</v>
      </c>
    </row>
    <row r="522" spans="1:16" s="64" customFormat="1" x14ac:dyDescent="0.35">
      <c r="A522" s="89">
        <v>3</v>
      </c>
      <c r="B522" s="90"/>
      <c r="C522" s="56" t="s">
        <v>183</v>
      </c>
      <c r="D522" s="65">
        <f>589.11+58.88</f>
        <v>647.99</v>
      </c>
      <c r="E522" s="56">
        <v>0</v>
      </c>
      <c r="F522" s="56">
        <f t="shared" si="320"/>
        <v>1036.7840000000001</v>
      </c>
      <c r="G522" s="85"/>
      <c r="H522" s="86"/>
      <c r="I522" s="49"/>
      <c r="N522" s="64" t="str">
        <f t="shared" ca="1" si="321"/>
        <v>2003 &amp; 2003</v>
      </c>
      <c r="O522" s="64">
        <f t="shared" ref="O522:P522" ca="1" si="323">O521+1</f>
        <v>2003</v>
      </c>
      <c r="P522" s="64">
        <f t="shared" ca="1" si="323"/>
        <v>2003</v>
      </c>
    </row>
    <row r="523" spans="1:16" s="64" customFormat="1" x14ac:dyDescent="0.35">
      <c r="A523" s="89">
        <v>4</v>
      </c>
      <c r="B523" s="90"/>
      <c r="C523" s="56" t="s">
        <v>183</v>
      </c>
      <c r="D523" s="65">
        <f>827.32+180.08</f>
        <v>1007.4000000000001</v>
      </c>
      <c r="E523" s="56">
        <v>0</v>
      </c>
      <c r="F523" s="56">
        <f t="shared" si="320"/>
        <v>1611.8400000000001</v>
      </c>
      <c r="G523" s="85"/>
      <c r="H523" s="86"/>
      <c r="I523" s="49"/>
      <c r="N523" s="64" t="str">
        <f t="shared" ca="1" si="321"/>
        <v>2004 &amp; 2004</v>
      </c>
      <c r="O523" s="64">
        <f t="shared" ref="O523:P523" ca="1" si="324">O522+1</f>
        <v>2004</v>
      </c>
      <c r="P523" s="64">
        <f t="shared" ca="1" si="324"/>
        <v>2004</v>
      </c>
    </row>
    <row r="524" spans="1:16" s="64" customFormat="1" x14ac:dyDescent="0.35">
      <c r="A524" s="89">
        <v>5</v>
      </c>
      <c r="B524" s="90"/>
      <c r="C524" s="56" t="s">
        <v>183</v>
      </c>
      <c r="D524" s="65">
        <f>566.08+91.39</f>
        <v>657.47</v>
      </c>
      <c r="E524" s="56">
        <v>0</v>
      </c>
      <c r="F524" s="56">
        <f t="shared" si="320"/>
        <v>1051.952</v>
      </c>
      <c r="G524" s="85"/>
      <c r="H524" s="86"/>
      <c r="I524" s="49"/>
      <c r="N524" s="64" t="str">
        <f t="shared" ca="1" si="321"/>
        <v>2005 &amp; 2005</v>
      </c>
      <c r="O524" s="64">
        <f t="shared" ref="O524:P524" ca="1" si="325">O523+1</f>
        <v>2005</v>
      </c>
      <c r="P524" s="64">
        <f t="shared" ca="1" si="325"/>
        <v>2005</v>
      </c>
    </row>
    <row r="525" spans="1:16" s="64" customFormat="1" x14ac:dyDescent="0.35">
      <c r="A525" s="89">
        <v>6</v>
      </c>
      <c r="B525" s="90"/>
      <c r="C525" s="56" t="s">
        <v>144</v>
      </c>
      <c r="D525" s="65">
        <f>919.68+102.37</f>
        <v>1022.05</v>
      </c>
      <c r="E525" s="56">
        <v>0</v>
      </c>
      <c r="F525" s="56">
        <f t="shared" si="320"/>
        <v>1635.28</v>
      </c>
      <c r="G525" s="85"/>
      <c r="H525" s="86"/>
      <c r="I525" s="49"/>
      <c r="N525" s="64" t="str">
        <f t="shared" ca="1" si="321"/>
        <v>2006 &amp; 2006</v>
      </c>
      <c r="O525" s="64">
        <f t="shared" ref="O525:P525" ca="1" si="326">O524+1</f>
        <v>2006</v>
      </c>
      <c r="P525" s="64">
        <f t="shared" ca="1" si="326"/>
        <v>2006</v>
      </c>
    </row>
    <row r="526" spans="1:16" s="64" customFormat="1" x14ac:dyDescent="0.35">
      <c r="A526" s="89">
        <v>7</v>
      </c>
      <c r="B526" s="90"/>
      <c r="C526" s="56" t="s">
        <v>183</v>
      </c>
      <c r="D526" s="65">
        <f>746.16+88.16</f>
        <v>834.31999999999994</v>
      </c>
      <c r="E526" s="56">
        <v>0</v>
      </c>
      <c r="F526" s="56">
        <f t="shared" si="320"/>
        <v>1334.912</v>
      </c>
      <c r="G526" s="87"/>
      <c r="H526" s="88"/>
      <c r="I526" s="49"/>
      <c r="N526" s="64" t="str">
        <f t="shared" ca="1" si="321"/>
        <v>2007 &amp; 2007</v>
      </c>
      <c r="O526" s="64">
        <f t="shared" ref="O526:P526" ca="1" si="327">O525+1</f>
        <v>2007</v>
      </c>
      <c r="P526" s="64">
        <f t="shared" ca="1" si="327"/>
        <v>2007</v>
      </c>
    </row>
    <row r="527" spans="1:16" s="64" customFormat="1" x14ac:dyDescent="0.35">
      <c r="A527" s="91" t="s">
        <v>230</v>
      </c>
      <c r="B527" s="92"/>
      <c r="C527" s="92"/>
      <c r="D527" s="92"/>
      <c r="E527" s="92"/>
      <c r="F527" s="92"/>
      <c r="G527" s="92"/>
      <c r="H527" s="93"/>
      <c r="I527" s="49"/>
      <c r="P527" s="51"/>
    </row>
    <row r="528" spans="1:16" s="64" customFormat="1" x14ac:dyDescent="0.35">
      <c r="A528" s="89">
        <v>1</v>
      </c>
      <c r="B528" s="90"/>
      <c r="C528" s="56" t="s">
        <v>183</v>
      </c>
      <c r="D528" s="65">
        <f>735.4+66.52</f>
        <v>801.92</v>
      </c>
      <c r="E528" s="56">
        <v>0</v>
      </c>
      <c r="F528" s="56">
        <f t="shared" ref="F528:F534" si="328">D528*(($F$146)+1)+E528</f>
        <v>1283.0720000000001</v>
      </c>
      <c r="G528" s="83" t="str">
        <f>A527</f>
        <v>21st Floor</v>
      </c>
      <c r="H528" s="84"/>
      <c r="I528" s="49"/>
      <c r="N528" s="64" t="str">
        <f t="shared" ref="N528:N534" ca="1" si="329">O528&amp;""&amp;" &amp; "&amp;""&amp;P528</f>
        <v>2101 &amp; 2101</v>
      </c>
      <c r="O528" s="64">
        <f ca="1">(SUMPRODUCT(MID(0&amp;(LEFT(A527,SUM(LEN(A527)-LEN(SUBSTITUTE(A527,{"0","1","2"},""))))), LARGE(INDEX(ISNUMBER(--MID((LEFT(A527,SUM(LEN(A527)-LEN(SUBSTITUTE(A527,{"0","1","2"},""))))), ROW(INDIRECT("1:"&amp;LEN((LEFT(A527,SUM(LEN(A527)-LEN(SUBSTITUTE(A527,{"0","1","2"},"")))))))), 1)) * ROW(INDIRECT("1:"&amp;LEN((LEFT(A527,SUM(LEN(A527)-LEN(SUBSTITUTE(A527,{"0","1","2"},"")))))))), 0), ROW(INDIRECT("1:"&amp;LEN((LEFT(A527,SUM(LEN(A527)-LEN(SUBSTITUTE(A527,{"0","1","2"},"")))))))))+1, 1) * 10^ROW(INDIRECT("1:"&amp;LEN((LEFT(A527,SUM(LEN(A527)-LEN(SUBSTITUTE(A527,{"0","1","2"},""))))))))/10))*100+1</f>
        <v>2101</v>
      </c>
      <c r="P528" s="64">
        <f ca="1">(SUMPRODUCT(MID(0&amp;(--TRIM(RIGHT(SUBSTITUTE(LEFT(A527,_xlfn.AGGREGATE(16,6,FIND({0,1,2,3,4,5,6,7,8,9},A527,ROW(INDIRECT("1:"&amp;LEN(A527)))),1))," ",REPT(" ",LEN(A527))),LEN(A527)))), LARGE(INDEX(ISNUMBER(--MID((--TRIM(RIGHT(SUBSTITUTE(LEFT(A527,_xlfn.AGGREGATE(16,6,FIND({0,1,2,3,4,5,6,7,8,9},A527,ROW(INDIRECT("1:"&amp;LEN(A527)))),1))," ",REPT(" ",LEN(A527))),LEN(A527)))), ROW(INDIRECT("1:"&amp;LEN((--TRIM(RIGHT(SUBSTITUTE(LEFT(A527,_xlfn.AGGREGATE(16,6,FIND({0,1,2,3,4,5,6,7,8,9},A527,ROW(INDIRECT("1:"&amp;LEN(A527)))),1))," ",REPT(" ",LEN(A527))),LEN(A527))))))), 1)) * ROW(INDIRECT("1:"&amp;LEN((--TRIM(RIGHT(SUBSTITUTE(LEFT(A527,_xlfn.AGGREGATE(16,6,FIND({0,1,2,3,4,5,6,7,8,9},A527,ROW(INDIRECT("1:"&amp;LEN(A527)))),1))," ",REPT(" ",LEN(A527))),LEN(A527))))))), 0), ROW(INDIRECT("1:"&amp;LEN((--TRIM(RIGHT(SUBSTITUTE(LEFT(A527,_xlfn.AGGREGATE(16,6,FIND({0,1,2,3,4,5,6,7,8,9},A527,ROW(INDIRECT("1:"&amp;LEN(A527)))),1))," ",REPT(" ",LEN(A527))),LEN(A527))))))))+1, 1) * 10^ROW(INDIRECT("1:"&amp;LEN((--TRIM(RIGHT(SUBSTITUTE(LEFT(A527,_xlfn.AGGREGATE(16,6,FIND({0,1,2,3,4,5,6,7,8,9},A527,ROW(INDIRECT("1:"&amp;LEN(A527)))),1))," ",REPT(" ",LEN(A527))),LEN(A527)))))))/10))*100+1</f>
        <v>2101</v>
      </c>
    </row>
    <row r="529" spans="1:16" s="64" customFormat="1" x14ac:dyDescent="0.35">
      <c r="A529" s="89">
        <v>2</v>
      </c>
      <c r="B529" s="90"/>
      <c r="C529" s="56" t="s">
        <v>183</v>
      </c>
      <c r="D529" s="65">
        <f>(732.38+67.81)</f>
        <v>800.19</v>
      </c>
      <c r="E529" s="56">
        <v>0</v>
      </c>
      <c r="F529" s="56">
        <f t="shared" si="328"/>
        <v>1280.3040000000001</v>
      </c>
      <c r="G529" s="85"/>
      <c r="H529" s="86"/>
      <c r="I529" s="49"/>
      <c r="N529" s="64" t="str">
        <f t="shared" ca="1" si="329"/>
        <v>2102 &amp; 2102</v>
      </c>
      <c r="O529" s="64">
        <f t="shared" ref="O529:P529" ca="1" si="330">O528+1</f>
        <v>2102</v>
      </c>
      <c r="P529" s="64">
        <f t="shared" ca="1" si="330"/>
        <v>2102</v>
      </c>
    </row>
    <row r="530" spans="1:16" s="64" customFormat="1" x14ac:dyDescent="0.35">
      <c r="A530" s="89">
        <v>3</v>
      </c>
      <c r="B530" s="90"/>
      <c r="C530" s="56" t="s">
        <v>183</v>
      </c>
      <c r="D530" s="65">
        <f>589.11+58.88</f>
        <v>647.99</v>
      </c>
      <c r="E530" s="56">
        <v>0</v>
      </c>
      <c r="F530" s="56">
        <f t="shared" si="328"/>
        <v>1036.7840000000001</v>
      </c>
      <c r="G530" s="85"/>
      <c r="H530" s="86"/>
      <c r="I530" s="49"/>
      <c r="N530" s="64" t="str">
        <f t="shared" ca="1" si="329"/>
        <v>2103 &amp; 2103</v>
      </c>
      <c r="O530" s="64">
        <f t="shared" ref="O530:P530" ca="1" si="331">O529+1</f>
        <v>2103</v>
      </c>
      <c r="P530" s="64">
        <f t="shared" ca="1" si="331"/>
        <v>2103</v>
      </c>
    </row>
    <row r="531" spans="1:16" s="64" customFormat="1" x14ac:dyDescent="0.35">
      <c r="A531" s="89">
        <v>4</v>
      </c>
      <c r="B531" s="90"/>
      <c r="C531" s="56" t="s">
        <v>183</v>
      </c>
      <c r="D531" s="65">
        <f>827.32+126.69</f>
        <v>954.01</v>
      </c>
      <c r="E531" s="56">
        <v>0</v>
      </c>
      <c r="F531" s="56">
        <f t="shared" si="328"/>
        <v>1526.4160000000002</v>
      </c>
      <c r="G531" s="85"/>
      <c r="H531" s="86"/>
      <c r="I531" s="49"/>
      <c r="N531" s="64" t="str">
        <f t="shared" ca="1" si="329"/>
        <v>2104 &amp; 2104</v>
      </c>
      <c r="O531" s="64">
        <f t="shared" ref="O531:P531" ca="1" si="332">O530+1</f>
        <v>2104</v>
      </c>
      <c r="P531" s="64">
        <f t="shared" ca="1" si="332"/>
        <v>2104</v>
      </c>
    </row>
    <row r="532" spans="1:16" s="64" customFormat="1" x14ac:dyDescent="0.35">
      <c r="A532" s="89">
        <v>5</v>
      </c>
      <c r="B532" s="90"/>
      <c r="C532" s="56" t="s">
        <v>183</v>
      </c>
      <c r="D532" s="65">
        <f>562.42+71.15</f>
        <v>633.56999999999994</v>
      </c>
      <c r="E532" s="56">
        <v>0</v>
      </c>
      <c r="F532" s="56">
        <f t="shared" si="328"/>
        <v>1013.712</v>
      </c>
      <c r="G532" s="85"/>
      <c r="H532" s="86"/>
      <c r="I532" s="49"/>
      <c r="N532" s="64" t="str">
        <f t="shared" ca="1" si="329"/>
        <v>2105 &amp; 2105</v>
      </c>
      <c r="O532" s="64">
        <f t="shared" ref="O532:P532" ca="1" si="333">O531+1</f>
        <v>2105</v>
      </c>
      <c r="P532" s="64">
        <f t="shared" ca="1" si="333"/>
        <v>2105</v>
      </c>
    </row>
    <row r="533" spans="1:16" s="64" customFormat="1" x14ac:dyDescent="0.35">
      <c r="A533" s="89">
        <v>6</v>
      </c>
      <c r="B533" s="90"/>
      <c r="C533" s="56" t="s">
        <v>144</v>
      </c>
      <c r="D533" s="65">
        <f>919.68+102.37</f>
        <v>1022.05</v>
      </c>
      <c r="E533" s="56">
        <v>0</v>
      </c>
      <c r="F533" s="56">
        <f t="shared" si="328"/>
        <v>1635.28</v>
      </c>
      <c r="G533" s="85"/>
      <c r="H533" s="86"/>
      <c r="I533" s="49"/>
      <c r="N533" s="64" t="str">
        <f t="shared" ca="1" si="329"/>
        <v>2106 &amp; 2106</v>
      </c>
      <c r="O533" s="64">
        <f t="shared" ref="O533:P533" ca="1" si="334">O532+1</f>
        <v>2106</v>
      </c>
      <c r="P533" s="64">
        <f t="shared" ca="1" si="334"/>
        <v>2106</v>
      </c>
    </row>
    <row r="534" spans="1:16" s="64" customFormat="1" x14ac:dyDescent="0.35">
      <c r="A534" s="89">
        <v>7</v>
      </c>
      <c r="B534" s="90"/>
      <c r="C534" s="56" t="s">
        <v>183</v>
      </c>
      <c r="D534" s="65">
        <f>746.16+88.16</f>
        <v>834.31999999999994</v>
      </c>
      <c r="E534" s="56">
        <v>0</v>
      </c>
      <c r="F534" s="56">
        <f t="shared" si="328"/>
        <v>1334.912</v>
      </c>
      <c r="G534" s="87"/>
      <c r="H534" s="88"/>
      <c r="I534" s="49"/>
      <c r="N534" s="64" t="str">
        <f t="shared" ca="1" si="329"/>
        <v>2107 &amp; 2107</v>
      </c>
      <c r="O534" s="64">
        <f t="shared" ref="O534:P534" ca="1" si="335">O533+1</f>
        <v>2107</v>
      </c>
      <c r="P534" s="64">
        <f t="shared" ca="1" si="335"/>
        <v>2107</v>
      </c>
    </row>
    <row r="535" spans="1:16" s="48" customFormat="1" x14ac:dyDescent="0.35">
      <c r="A535" s="164" t="s">
        <v>75</v>
      </c>
      <c r="B535" s="164"/>
      <c r="C535" s="164"/>
      <c r="D535" s="164"/>
      <c r="E535" s="164"/>
      <c r="F535" s="164"/>
      <c r="G535" s="164"/>
      <c r="H535" s="164"/>
    </row>
    <row r="536" spans="1:16" s="48" customFormat="1" x14ac:dyDescent="0.35">
      <c r="A536" s="27">
        <v>1</v>
      </c>
      <c r="B536" s="80" t="s">
        <v>261</v>
      </c>
      <c r="C536" s="81"/>
      <c r="D536" s="81"/>
      <c r="E536" s="81"/>
      <c r="F536" s="81"/>
      <c r="G536" s="81"/>
      <c r="H536" s="82"/>
    </row>
    <row r="537" spans="1:16" s="48" customFormat="1" x14ac:dyDescent="0.35">
      <c r="A537" s="27">
        <f>A536+1</f>
        <v>2</v>
      </c>
      <c r="B537" s="80" t="s">
        <v>207</v>
      </c>
      <c r="C537" s="81"/>
      <c r="D537" s="81"/>
      <c r="E537" s="81"/>
      <c r="F537" s="81"/>
      <c r="G537" s="81"/>
      <c r="H537" s="82"/>
    </row>
    <row r="538" spans="1:16" s="48" customFormat="1" x14ac:dyDescent="0.35">
      <c r="A538" s="27">
        <f t="shared" ref="A538:A545" si="336">A537+1</f>
        <v>3</v>
      </c>
      <c r="B538" s="80" t="s">
        <v>156</v>
      </c>
      <c r="C538" s="81"/>
      <c r="D538" s="81"/>
      <c r="E538" s="81"/>
      <c r="F538" s="81"/>
      <c r="G538" s="81"/>
      <c r="H538" s="82"/>
    </row>
    <row r="539" spans="1:16" s="48" customFormat="1" x14ac:dyDescent="0.35">
      <c r="A539" s="27">
        <f t="shared" si="336"/>
        <v>4</v>
      </c>
      <c r="B539" s="80" t="s">
        <v>208</v>
      </c>
      <c r="C539" s="81"/>
      <c r="D539" s="81"/>
      <c r="E539" s="81"/>
      <c r="F539" s="81"/>
      <c r="G539" s="81"/>
      <c r="H539" s="82"/>
    </row>
    <row r="540" spans="1:16" s="48" customFormat="1" x14ac:dyDescent="0.35">
      <c r="A540" s="27">
        <f t="shared" si="336"/>
        <v>5</v>
      </c>
      <c r="B540" s="80" t="s">
        <v>157</v>
      </c>
      <c r="C540" s="81"/>
      <c r="D540" s="81"/>
      <c r="E540" s="81"/>
      <c r="F540" s="81"/>
      <c r="G540" s="81"/>
      <c r="H540" s="82"/>
    </row>
    <row r="541" spans="1:16" s="48" customFormat="1" x14ac:dyDescent="0.35">
      <c r="A541" s="27">
        <f t="shared" si="336"/>
        <v>6</v>
      </c>
      <c r="B541" s="80" t="s">
        <v>158</v>
      </c>
      <c r="C541" s="81"/>
      <c r="D541" s="81"/>
      <c r="E541" s="81"/>
      <c r="F541" s="81"/>
      <c r="G541" s="81"/>
      <c r="H541" s="82"/>
    </row>
    <row r="542" spans="1:16" s="48" customFormat="1" ht="33" customHeight="1" x14ac:dyDescent="0.35">
      <c r="A542" s="27">
        <f t="shared" si="336"/>
        <v>7</v>
      </c>
      <c r="B542" s="80" t="s">
        <v>234</v>
      </c>
      <c r="C542" s="81"/>
      <c r="D542" s="81"/>
      <c r="E542" s="81"/>
      <c r="F542" s="81"/>
      <c r="G542" s="81"/>
      <c r="H542" s="82"/>
    </row>
    <row r="543" spans="1:16" s="48" customFormat="1" x14ac:dyDescent="0.35">
      <c r="A543" s="27">
        <f t="shared" si="336"/>
        <v>8</v>
      </c>
      <c r="B543" s="80" t="s">
        <v>236</v>
      </c>
      <c r="C543" s="81"/>
      <c r="D543" s="81"/>
      <c r="E543" s="81"/>
      <c r="F543" s="81"/>
      <c r="G543" s="81"/>
      <c r="H543" s="82"/>
    </row>
    <row r="544" spans="1:16" s="48" customFormat="1" x14ac:dyDescent="0.35">
      <c r="A544" s="27">
        <f t="shared" si="336"/>
        <v>9</v>
      </c>
      <c r="B544" s="80" t="s">
        <v>235</v>
      </c>
      <c r="C544" s="81"/>
      <c r="D544" s="81"/>
      <c r="E544" s="81"/>
      <c r="F544" s="81"/>
      <c r="G544" s="81"/>
      <c r="H544" s="82"/>
    </row>
    <row r="545" spans="1:8" s="48" customFormat="1" x14ac:dyDescent="0.35">
      <c r="A545" s="27">
        <f t="shared" si="336"/>
        <v>10</v>
      </c>
      <c r="B545" s="80" t="s">
        <v>262</v>
      </c>
      <c r="C545" s="81"/>
      <c r="D545" s="81"/>
      <c r="E545" s="81"/>
      <c r="F545" s="81"/>
      <c r="G545" s="81"/>
      <c r="H545" s="82"/>
    </row>
    <row r="546" spans="1:8" x14ac:dyDescent="0.35">
      <c r="A546" s="170" t="s">
        <v>68</v>
      </c>
      <c r="B546" s="170"/>
      <c r="C546" s="170"/>
      <c r="D546" s="170"/>
      <c r="E546" s="170"/>
      <c r="F546" s="170"/>
      <c r="G546" s="170"/>
      <c r="H546" s="170"/>
    </row>
    <row r="547" spans="1:8" x14ac:dyDescent="0.35">
      <c r="A547" s="115" t="s">
        <v>69</v>
      </c>
      <c r="B547" s="115"/>
      <c r="C547" s="115"/>
      <c r="D547" s="115"/>
      <c r="E547" s="115"/>
      <c r="F547" s="115"/>
      <c r="G547" s="115"/>
      <c r="H547" s="115"/>
    </row>
    <row r="548" spans="1:8" ht="15.75" customHeight="1" x14ac:dyDescent="0.35">
      <c r="A548" s="165" t="s">
        <v>70</v>
      </c>
      <c r="B548" s="165"/>
      <c r="C548" s="165"/>
      <c r="D548" s="165"/>
      <c r="E548" s="165"/>
      <c r="F548" s="165"/>
      <c r="G548" s="165"/>
      <c r="H548" s="165"/>
    </row>
    <row r="549" spans="1:8" x14ac:dyDescent="0.35">
      <c r="A549" s="115" t="s">
        <v>71</v>
      </c>
      <c r="B549" s="115"/>
      <c r="C549" s="115"/>
      <c r="D549" s="115"/>
      <c r="E549" s="115"/>
      <c r="F549" s="115"/>
      <c r="G549" s="115"/>
      <c r="H549" s="115"/>
    </row>
    <row r="550" spans="1:8" x14ac:dyDescent="0.35">
      <c r="A550" s="115" t="s">
        <v>72</v>
      </c>
      <c r="B550" s="115"/>
      <c r="C550" s="115"/>
      <c r="D550" s="115"/>
      <c r="E550" s="115"/>
      <c r="F550" s="115"/>
      <c r="G550" s="115"/>
      <c r="H550" s="115"/>
    </row>
    <row r="551" spans="1:8" x14ac:dyDescent="0.35">
      <c r="A551" s="115" t="s">
        <v>159</v>
      </c>
      <c r="B551" s="115"/>
      <c r="C551" s="115"/>
      <c r="D551" s="115"/>
      <c r="E551" s="115"/>
      <c r="F551" s="115"/>
      <c r="G551" s="115"/>
      <c r="H551" s="115"/>
    </row>
    <row r="552" spans="1:8" ht="35.25" customHeight="1" x14ac:dyDescent="0.35">
      <c r="A552" s="125" t="s">
        <v>160</v>
      </c>
      <c r="B552" s="125"/>
      <c r="C552" s="125"/>
      <c r="D552" s="125"/>
      <c r="E552" s="125"/>
      <c r="F552" s="125"/>
      <c r="G552" s="125"/>
      <c r="H552" s="125"/>
    </row>
    <row r="553" spans="1:8" x14ac:dyDescent="0.35">
      <c r="A553" s="163" t="s">
        <v>105</v>
      </c>
      <c r="B553" s="163"/>
      <c r="C553" s="163" t="s">
        <v>267</v>
      </c>
      <c r="D553" s="163"/>
      <c r="E553" s="163" t="s">
        <v>137</v>
      </c>
      <c r="F553" s="163"/>
      <c r="G553" s="163" t="s">
        <v>266</v>
      </c>
      <c r="H553" s="163"/>
    </row>
    <row r="554" spans="1:8" x14ac:dyDescent="0.35">
      <c r="A554" s="162" t="s">
        <v>107</v>
      </c>
      <c r="B554" s="162"/>
      <c r="C554" s="162"/>
      <c r="D554" s="162"/>
      <c r="E554" s="162"/>
      <c r="F554" s="162"/>
      <c r="G554" s="162"/>
      <c r="H554" s="162"/>
    </row>
    <row r="555" spans="1:8" x14ac:dyDescent="0.35">
      <c r="A555" s="162"/>
      <c r="B555" s="162"/>
      <c r="C555" s="162"/>
      <c r="D555" s="162"/>
      <c r="E555" s="162"/>
      <c r="F555" s="162"/>
      <c r="G555" s="162"/>
      <c r="H555" s="162"/>
    </row>
    <row r="556" spans="1:8" x14ac:dyDescent="0.35">
      <c r="A556" s="162"/>
      <c r="B556" s="162"/>
      <c r="C556" s="162"/>
      <c r="D556" s="162"/>
      <c r="E556" s="162"/>
      <c r="F556" s="162"/>
      <c r="G556" s="162"/>
      <c r="H556" s="162"/>
    </row>
    <row r="557" spans="1:8" x14ac:dyDescent="0.35">
      <c r="A557" s="162"/>
      <c r="B557" s="162"/>
      <c r="C557" s="162"/>
      <c r="D557" s="162"/>
      <c r="E557" s="162"/>
      <c r="F557" s="162"/>
      <c r="G557" s="162"/>
      <c r="H557" s="162"/>
    </row>
    <row r="558" spans="1:8" x14ac:dyDescent="0.35">
      <c r="A558" s="52" t="s">
        <v>73</v>
      </c>
      <c r="B558" s="53"/>
      <c r="C558" s="53"/>
      <c r="D558" s="52" t="str">
        <f>E8</f>
        <v>The Views</v>
      </c>
      <c r="F558" s="53"/>
      <c r="G558" s="53"/>
      <c r="H558" s="53"/>
    </row>
    <row r="559" spans="1:8" x14ac:dyDescent="0.35">
      <c r="A559" s="53"/>
      <c r="B559" s="53"/>
      <c r="C559" s="53"/>
      <c r="D559" s="53"/>
      <c r="E559" s="53"/>
      <c r="F559" s="53"/>
      <c r="G559" s="53"/>
      <c r="H559" s="53"/>
    </row>
    <row r="560" spans="1:8" x14ac:dyDescent="0.35">
      <c r="A560" s="53"/>
      <c r="B560" s="53"/>
      <c r="C560" s="53"/>
      <c r="D560" s="53"/>
      <c r="E560" s="53"/>
      <c r="F560" s="53"/>
      <c r="G560" s="53"/>
      <c r="H560" s="53"/>
    </row>
    <row r="561" ht="15" customHeight="1" x14ac:dyDescent="0.35"/>
    <row r="601" spans="1:1" x14ac:dyDescent="0.35">
      <c r="A601" s="55" t="s">
        <v>74</v>
      </c>
    </row>
  </sheetData>
  <mergeCells count="924">
    <mergeCell ref="A116:B116"/>
    <mergeCell ref="A117:B117"/>
    <mergeCell ref="G520:H526"/>
    <mergeCell ref="G528:H534"/>
    <mergeCell ref="G387:H393"/>
    <mergeCell ref="G395:H401"/>
    <mergeCell ref="G403:H409"/>
    <mergeCell ref="G411:H417"/>
    <mergeCell ref="G419:H425"/>
    <mergeCell ref="G427:H433"/>
    <mergeCell ref="G435:H441"/>
    <mergeCell ref="G446:H450"/>
    <mergeCell ref="G452:H456"/>
    <mergeCell ref="G458:H462"/>
    <mergeCell ref="G472:H478"/>
    <mergeCell ref="G464:H470"/>
    <mergeCell ref="G480:H486"/>
    <mergeCell ref="A495:H495"/>
    <mergeCell ref="A496:B496"/>
    <mergeCell ref="A497:B497"/>
    <mergeCell ref="C137:D137"/>
    <mergeCell ref="E137:F137"/>
    <mergeCell ref="G137:H137"/>
    <mergeCell ref="A126:E126"/>
    <mergeCell ref="A99:B99"/>
    <mergeCell ref="A100:B100"/>
    <mergeCell ref="A101:B101"/>
    <mergeCell ref="A102:B102"/>
    <mergeCell ref="A103:B103"/>
    <mergeCell ref="A104:B104"/>
    <mergeCell ref="C104:H104"/>
    <mergeCell ref="A106:B106"/>
    <mergeCell ref="C106:H106"/>
    <mergeCell ref="A107:B107"/>
    <mergeCell ref="E107:F107"/>
    <mergeCell ref="G107:H107"/>
    <mergeCell ref="A108:B108"/>
    <mergeCell ref="E108:F117"/>
    <mergeCell ref="G108:H117"/>
    <mergeCell ref="A109:B109"/>
    <mergeCell ref="A110:B110"/>
    <mergeCell ref="A111:B111"/>
    <mergeCell ref="A112:B112"/>
    <mergeCell ref="A113:B113"/>
    <mergeCell ref="A123:E123"/>
    <mergeCell ref="A118:E118"/>
    <mergeCell ref="F118:H118"/>
    <mergeCell ref="E40:H40"/>
    <mergeCell ref="A40:D40"/>
    <mergeCell ref="A46:B46"/>
    <mergeCell ref="C46:E46"/>
    <mergeCell ref="G46:H46"/>
    <mergeCell ref="G48:H48"/>
    <mergeCell ref="D54:H54"/>
    <mergeCell ref="C48:E48"/>
    <mergeCell ref="A57:C57"/>
    <mergeCell ref="D57:H57"/>
    <mergeCell ref="C47:E47"/>
    <mergeCell ref="A52:B52"/>
    <mergeCell ref="C52:E52"/>
    <mergeCell ref="A47:B47"/>
    <mergeCell ref="A53:H53"/>
    <mergeCell ref="A54:C54"/>
    <mergeCell ref="A55:C55"/>
    <mergeCell ref="D55:H55"/>
    <mergeCell ref="A41:D41"/>
    <mergeCell ref="E41:H41"/>
    <mergeCell ref="E42:H42"/>
    <mergeCell ref="E43:H43"/>
    <mergeCell ref="E44:H44"/>
    <mergeCell ref="A42:D42"/>
    <mergeCell ref="A551:H551"/>
    <mergeCell ref="A548:H548"/>
    <mergeCell ref="G356:H356"/>
    <mergeCell ref="A151:B151"/>
    <mergeCell ref="A136:B136"/>
    <mergeCell ref="D145:D146"/>
    <mergeCell ref="E145:E146"/>
    <mergeCell ref="G145:H146"/>
    <mergeCell ref="A71:B71"/>
    <mergeCell ref="F122:H122"/>
    <mergeCell ref="A119:H119"/>
    <mergeCell ref="A120:B120"/>
    <mergeCell ref="A121:H121"/>
    <mergeCell ref="A345:H345"/>
    <mergeCell ref="A546:H546"/>
    <mergeCell ref="A547:H547"/>
    <mergeCell ref="E136:F136"/>
    <mergeCell ref="F128:H128"/>
    <mergeCell ref="A122:E122"/>
    <mergeCell ref="A132:E132"/>
    <mergeCell ref="A124:E124"/>
    <mergeCell ref="C136:D136"/>
    <mergeCell ref="G136:H136"/>
    <mergeCell ref="F124:H124"/>
    <mergeCell ref="A142:H142"/>
    <mergeCell ref="G52:H52"/>
    <mergeCell ref="C49:H49"/>
    <mergeCell ref="A554:H557"/>
    <mergeCell ref="A553:B553"/>
    <mergeCell ref="E553:F553"/>
    <mergeCell ref="C553:D553"/>
    <mergeCell ref="G553:H553"/>
    <mergeCell ref="A133:E133"/>
    <mergeCell ref="F133:H133"/>
    <mergeCell ref="A134:E134"/>
    <mergeCell ref="F134:H134"/>
    <mergeCell ref="A150:H150"/>
    <mergeCell ref="A137:B137"/>
    <mergeCell ref="A348:B348"/>
    <mergeCell ref="A549:H549"/>
    <mergeCell ref="A135:H135"/>
    <mergeCell ref="A552:H552"/>
    <mergeCell ref="A550:H550"/>
    <mergeCell ref="A535:H535"/>
    <mergeCell ref="G355:H355"/>
    <mergeCell ref="B145:B146"/>
    <mergeCell ref="A352:H352"/>
    <mergeCell ref="F123:H123"/>
    <mergeCell ref="A76:B76"/>
    <mergeCell ref="C76:H76"/>
    <mergeCell ref="A78:B78"/>
    <mergeCell ref="C78:H78"/>
    <mergeCell ref="A79:B79"/>
    <mergeCell ref="E79:F79"/>
    <mergeCell ref="G79:H79"/>
    <mergeCell ref="A80:B80"/>
    <mergeCell ref="E80:F89"/>
    <mergeCell ref="G80:H89"/>
    <mergeCell ref="A81:B81"/>
    <mergeCell ref="A82:B82"/>
    <mergeCell ref="C120:H120"/>
    <mergeCell ref="A83:B83"/>
    <mergeCell ref="A84:B84"/>
    <mergeCell ref="A85:B85"/>
    <mergeCell ref="A86:B86"/>
    <mergeCell ref="A87:B87"/>
    <mergeCell ref="A88:B88"/>
    <mergeCell ref="A89:B89"/>
    <mergeCell ref="A90:B90"/>
    <mergeCell ref="C90:H90"/>
    <mergeCell ref="A92:B92"/>
    <mergeCell ref="C92:H92"/>
    <mergeCell ref="A93:B93"/>
    <mergeCell ref="E93:F93"/>
    <mergeCell ref="G93:H93"/>
    <mergeCell ref="A94:B94"/>
    <mergeCell ref="E94:F103"/>
    <mergeCell ref="G94:H103"/>
    <mergeCell ref="A95:B95"/>
    <mergeCell ref="A96:B96"/>
    <mergeCell ref="A97:B97"/>
    <mergeCell ref="A98:B98"/>
    <mergeCell ref="A114:B114"/>
    <mergeCell ref="A115:B115"/>
    <mergeCell ref="E65:F65"/>
    <mergeCell ref="A61:C61"/>
    <mergeCell ref="D61:H61"/>
    <mergeCell ref="A66:B66"/>
    <mergeCell ref="G65:H65"/>
    <mergeCell ref="A64:B64"/>
    <mergeCell ref="A62:B62"/>
    <mergeCell ref="C62:H62"/>
    <mergeCell ref="A70:B70"/>
    <mergeCell ref="A43:D43"/>
    <mergeCell ref="A44:D44"/>
    <mergeCell ref="A45:H45"/>
    <mergeCell ref="D56:H56"/>
    <mergeCell ref="A56:C56"/>
    <mergeCell ref="G47:H47"/>
    <mergeCell ref="A48:B49"/>
    <mergeCell ref="A72:B72"/>
    <mergeCell ref="A65:B65"/>
    <mergeCell ref="A68:B68"/>
    <mergeCell ref="A58:C58"/>
    <mergeCell ref="A59:C59"/>
    <mergeCell ref="D58:H58"/>
    <mergeCell ref="E66:F75"/>
    <mergeCell ref="G66:H75"/>
    <mergeCell ref="A74:B74"/>
    <mergeCell ref="A75:B75"/>
    <mergeCell ref="D59:H59"/>
    <mergeCell ref="A73:B73"/>
    <mergeCell ref="A60:C60"/>
    <mergeCell ref="D60:H60"/>
    <mergeCell ref="C64:H64"/>
    <mergeCell ref="A67:B67"/>
    <mergeCell ref="A69:B69"/>
    <mergeCell ref="A10:D10"/>
    <mergeCell ref="E10:H10"/>
    <mergeCell ref="A11:D11"/>
    <mergeCell ref="E11:H1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9:B19"/>
    <mergeCell ref="C19:D19"/>
    <mergeCell ref="E19:F19"/>
    <mergeCell ref="G19:H19"/>
    <mergeCell ref="A15:B15"/>
    <mergeCell ref="A12:D12"/>
    <mergeCell ref="E12:H12"/>
    <mergeCell ref="A13:D13"/>
    <mergeCell ref="E13:H13"/>
    <mergeCell ref="A14:B14"/>
    <mergeCell ref="C14:H14"/>
    <mergeCell ref="C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4:H24"/>
    <mergeCell ref="A26:D26"/>
    <mergeCell ref="E26:H26"/>
    <mergeCell ref="A23:D23"/>
    <mergeCell ref="E23:H23"/>
    <mergeCell ref="A27:D27"/>
    <mergeCell ref="E27:H27"/>
    <mergeCell ref="A24:D24"/>
    <mergeCell ref="A20:D21"/>
    <mergeCell ref="E20:H21"/>
    <mergeCell ref="A22:D22"/>
    <mergeCell ref="E22:H22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G167:H167"/>
    <mergeCell ref="A168:H168"/>
    <mergeCell ref="A175:B175"/>
    <mergeCell ref="G175:H175"/>
    <mergeCell ref="A141:B141"/>
    <mergeCell ref="C141:D141"/>
    <mergeCell ref="E141:F141"/>
    <mergeCell ref="G141:H141"/>
    <mergeCell ref="F131:H131"/>
    <mergeCell ref="A125:E125"/>
    <mergeCell ref="A127:E127"/>
    <mergeCell ref="F127:H127"/>
    <mergeCell ref="A128:E128"/>
    <mergeCell ref="A130:E130"/>
    <mergeCell ref="A129:E129"/>
    <mergeCell ref="A131:E131"/>
    <mergeCell ref="F126:H126"/>
    <mergeCell ref="A138:B138"/>
    <mergeCell ref="C138:D138"/>
    <mergeCell ref="E138:F138"/>
    <mergeCell ref="G166:H166"/>
    <mergeCell ref="A143:H143"/>
    <mergeCell ref="A190:B190"/>
    <mergeCell ref="G190:H190"/>
    <mergeCell ref="A191:B191"/>
    <mergeCell ref="G191:H191"/>
    <mergeCell ref="A184:H184"/>
    <mergeCell ref="A185:B185"/>
    <mergeCell ref="G185:H185"/>
    <mergeCell ref="A186:B186"/>
    <mergeCell ref="G186:H186"/>
    <mergeCell ref="A187:B187"/>
    <mergeCell ref="G187:H187"/>
    <mergeCell ref="A188:B188"/>
    <mergeCell ref="G188:H188"/>
    <mergeCell ref="A161:B161"/>
    <mergeCell ref="G161:H161"/>
    <mergeCell ref="A180:B180"/>
    <mergeCell ref="G180:H180"/>
    <mergeCell ref="G182:H182"/>
    <mergeCell ref="A183:B183"/>
    <mergeCell ref="G183:H183"/>
    <mergeCell ref="A172:B172"/>
    <mergeCell ref="A189:B189"/>
    <mergeCell ref="G138:H138"/>
    <mergeCell ref="A139:B139"/>
    <mergeCell ref="F129:H129"/>
    <mergeCell ref="F125:H125"/>
    <mergeCell ref="F132:H132"/>
    <mergeCell ref="F130:H130"/>
    <mergeCell ref="A207:B207"/>
    <mergeCell ref="G207:H207"/>
    <mergeCell ref="A208:H208"/>
    <mergeCell ref="A166:B166"/>
    <mergeCell ref="A162:H162"/>
    <mergeCell ref="A167:B167"/>
    <mergeCell ref="G171:H171"/>
    <mergeCell ref="A170:B170"/>
    <mergeCell ref="G170:H170"/>
    <mergeCell ref="C139:D139"/>
    <mergeCell ref="E139:F139"/>
    <mergeCell ref="G139:H139"/>
    <mergeCell ref="A140:B140"/>
    <mergeCell ref="C140:D140"/>
    <mergeCell ref="E140:F140"/>
    <mergeCell ref="G140:H140"/>
    <mergeCell ref="G181:H181"/>
    <mergeCell ref="A182:B182"/>
    <mergeCell ref="L150:M150"/>
    <mergeCell ref="A144:H144"/>
    <mergeCell ref="A145:A146"/>
    <mergeCell ref="A155:B155"/>
    <mergeCell ref="A152:B152"/>
    <mergeCell ref="A153:B153"/>
    <mergeCell ref="A154:B154"/>
    <mergeCell ref="G155:H155"/>
    <mergeCell ref="A148:H148"/>
    <mergeCell ref="A147:H147"/>
    <mergeCell ref="A149:H149"/>
    <mergeCell ref="G153:H153"/>
    <mergeCell ref="G152:H152"/>
    <mergeCell ref="G154:H154"/>
    <mergeCell ref="G151:H151"/>
    <mergeCell ref="C145:C146"/>
    <mergeCell ref="I148:L148"/>
    <mergeCell ref="I149:L149"/>
    <mergeCell ref="L162:M162"/>
    <mergeCell ref="A163:B163"/>
    <mergeCell ref="G163:H163"/>
    <mergeCell ref="A164:B164"/>
    <mergeCell ref="G164:H164"/>
    <mergeCell ref="A165:B165"/>
    <mergeCell ref="G165:H165"/>
    <mergeCell ref="L250:M250"/>
    <mergeCell ref="A251:B251"/>
    <mergeCell ref="G251:H251"/>
    <mergeCell ref="L168:M168"/>
    <mergeCell ref="A169:B169"/>
    <mergeCell ref="G169:H169"/>
    <mergeCell ref="A248:H248"/>
    <mergeCell ref="G198:H198"/>
    <mergeCell ref="A199:B199"/>
    <mergeCell ref="G199:H199"/>
    <mergeCell ref="A201:B201"/>
    <mergeCell ref="G201:H201"/>
    <mergeCell ref="G203:H203"/>
    <mergeCell ref="A204:B204"/>
    <mergeCell ref="G204:H204"/>
    <mergeCell ref="A200:H200"/>
    <mergeCell ref="A205:B205"/>
    <mergeCell ref="L156:M156"/>
    <mergeCell ref="A157:B157"/>
    <mergeCell ref="G157:H157"/>
    <mergeCell ref="A158:B158"/>
    <mergeCell ref="G158:H158"/>
    <mergeCell ref="A159:B159"/>
    <mergeCell ref="G159:H159"/>
    <mergeCell ref="A160:B160"/>
    <mergeCell ref="G160:H160"/>
    <mergeCell ref="A156:H156"/>
    <mergeCell ref="A197:B197"/>
    <mergeCell ref="G197:H197"/>
    <mergeCell ref="A198:B198"/>
    <mergeCell ref="G202:H202"/>
    <mergeCell ref="A203:B203"/>
    <mergeCell ref="A196:B196"/>
    <mergeCell ref="G196:H196"/>
    <mergeCell ref="A181:B181"/>
    <mergeCell ref="A312:B312"/>
    <mergeCell ref="A286:B286"/>
    <mergeCell ref="G286:H286"/>
    <mergeCell ref="A287:B287"/>
    <mergeCell ref="A253:B253"/>
    <mergeCell ref="G253:H253"/>
    <mergeCell ref="A254:B254"/>
    <mergeCell ref="G254:H254"/>
    <mergeCell ref="A285:B285"/>
    <mergeCell ref="G285:H285"/>
    <mergeCell ref="A276:B276"/>
    <mergeCell ref="G205:H205"/>
    <mergeCell ref="A206:B206"/>
    <mergeCell ref="G206:H206"/>
    <mergeCell ref="A202:B202"/>
    <mergeCell ref="G189:H189"/>
    <mergeCell ref="L261:M261"/>
    <mergeCell ref="A262:B262"/>
    <mergeCell ref="G262:H262"/>
    <mergeCell ref="A263:B263"/>
    <mergeCell ref="G263:H263"/>
    <mergeCell ref="A264:B264"/>
    <mergeCell ref="G264:H264"/>
    <mergeCell ref="A265:B265"/>
    <mergeCell ref="G265:H265"/>
    <mergeCell ref="A261:H261"/>
    <mergeCell ref="L273:M273"/>
    <mergeCell ref="A274:B274"/>
    <mergeCell ref="G274:H274"/>
    <mergeCell ref="A275:B275"/>
    <mergeCell ref="G275:H275"/>
    <mergeCell ref="G266:H266"/>
    <mergeCell ref="A267:H267"/>
    <mergeCell ref="L267:M267"/>
    <mergeCell ref="A268:B268"/>
    <mergeCell ref="G268:H268"/>
    <mergeCell ref="A269:B269"/>
    <mergeCell ref="G269:H269"/>
    <mergeCell ref="A270:B270"/>
    <mergeCell ref="G270:H270"/>
    <mergeCell ref="A266:B266"/>
    <mergeCell ref="L255:M255"/>
    <mergeCell ref="A256:B256"/>
    <mergeCell ref="G256:H256"/>
    <mergeCell ref="A257:B257"/>
    <mergeCell ref="G257:H257"/>
    <mergeCell ref="A258:B258"/>
    <mergeCell ref="G258:H258"/>
    <mergeCell ref="A259:B259"/>
    <mergeCell ref="G259:H259"/>
    <mergeCell ref="A346:H346"/>
    <mergeCell ref="A347:H347"/>
    <mergeCell ref="A297:H297"/>
    <mergeCell ref="A298:B298"/>
    <mergeCell ref="G298:H298"/>
    <mergeCell ref="A299:B299"/>
    <mergeCell ref="G299:H299"/>
    <mergeCell ref="A300:B300"/>
    <mergeCell ref="G300:H300"/>
    <mergeCell ref="A301:B301"/>
    <mergeCell ref="G301:H301"/>
    <mergeCell ref="A306:B306"/>
    <mergeCell ref="G306:H306"/>
    <mergeCell ref="A307:B307"/>
    <mergeCell ref="G307:H307"/>
    <mergeCell ref="A308:B308"/>
    <mergeCell ref="G308:H308"/>
    <mergeCell ref="A309:B309"/>
    <mergeCell ref="G309:H309"/>
    <mergeCell ref="A310:B310"/>
    <mergeCell ref="G310:H310"/>
    <mergeCell ref="A311:B311"/>
    <mergeCell ref="G311:H311"/>
    <mergeCell ref="A313:H313"/>
    <mergeCell ref="L347:M347"/>
    <mergeCell ref="G348:H348"/>
    <mergeCell ref="A349:B349"/>
    <mergeCell ref="G349:H349"/>
    <mergeCell ref="A350:B350"/>
    <mergeCell ref="G350:H350"/>
    <mergeCell ref="A292:B292"/>
    <mergeCell ref="G292:H292"/>
    <mergeCell ref="A293:B293"/>
    <mergeCell ref="G293:H293"/>
    <mergeCell ref="A294:B294"/>
    <mergeCell ref="G294:H294"/>
    <mergeCell ref="A295:B295"/>
    <mergeCell ref="G295:H295"/>
    <mergeCell ref="A296:B296"/>
    <mergeCell ref="G296:H296"/>
    <mergeCell ref="A305:H305"/>
    <mergeCell ref="A302:B302"/>
    <mergeCell ref="G302:H302"/>
    <mergeCell ref="A303:B303"/>
    <mergeCell ref="G303:H303"/>
    <mergeCell ref="A304:B304"/>
    <mergeCell ref="G304:H304"/>
    <mergeCell ref="G312:H312"/>
    <mergeCell ref="A351:B351"/>
    <mergeCell ref="G351:H351"/>
    <mergeCell ref="L352:M352"/>
    <mergeCell ref="A353:B353"/>
    <mergeCell ref="G353:H353"/>
    <mergeCell ref="A354:B354"/>
    <mergeCell ref="A355:B355"/>
    <mergeCell ref="A356:B356"/>
    <mergeCell ref="A357:B357"/>
    <mergeCell ref="G357:H357"/>
    <mergeCell ref="A358:H358"/>
    <mergeCell ref="L358:M358"/>
    <mergeCell ref="G354:H354"/>
    <mergeCell ref="A359:B359"/>
    <mergeCell ref="G359:H359"/>
    <mergeCell ref="A360:B360"/>
    <mergeCell ref="G360:H360"/>
    <mergeCell ref="A361:B361"/>
    <mergeCell ref="G361:H361"/>
    <mergeCell ref="A362:B362"/>
    <mergeCell ref="G362:H362"/>
    <mergeCell ref="A363:B363"/>
    <mergeCell ref="G363:H363"/>
    <mergeCell ref="A364:H364"/>
    <mergeCell ref="L364:M364"/>
    <mergeCell ref="A365:B365"/>
    <mergeCell ref="G365:H365"/>
    <mergeCell ref="A366:B366"/>
    <mergeCell ref="G366:H366"/>
    <mergeCell ref="G376:H376"/>
    <mergeCell ref="A367:B367"/>
    <mergeCell ref="G367:H367"/>
    <mergeCell ref="A368:B368"/>
    <mergeCell ref="G368:H368"/>
    <mergeCell ref="A369:B369"/>
    <mergeCell ref="G369:H369"/>
    <mergeCell ref="A370:H370"/>
    <mergeCell ref="L370:M370"/>
    <mergeCell ref="A371:B371"/>
    <mergeCell ref="G371:H371"/>
    <mergeCell ref="A398:B398"/>
    <mergeCell ref="A399:B399"/>
    <mergeCell ref="A400:B400"/>
    <mergeCell ref="A401:B401"/>
    <mergeCell ref="A402:H402"/>
    <mergeCell ref="A403:B403"/>
    <mergeCell ref="A404:B404"/>
    <mergeCell ref="A405:B405"/>
    <mergeCell ref="A377:B377"/>
    <mergeCell ref="G377:H377"/>
    <mergeCell ref="A378:H378"/>
    <mergeCell ref="A379:B379"/>
    <mergeCell ref="G379:H379"/>
    <mergeCell ref="A380:B380"/>
    <mergeCell ref="G380:H380"/>
    <mergeCell ref="A381:B381"/>
    <mergeCell ref="G381:H381"/>
    <mergeCell ref="L457:M457"/>
    <mergeCell ref="A458:B458"/>
    <mergeCell ref="A449:B449"/>
    <mergeCell ref="A450:B450"/>
    <mergeCell ref="A451:H451"/>
    <mergeCell ref="L451:M451"/>
    <mergeCell ref="A452:B452"/>
    <mergeCell ref="A453:B453"/>
    <mergeCell ref="A382:B382"/>
    <mergeCell ref="G382:H382"/>
    <mergeCell ref="A383:B383"/>
    <mergeCell ref="G383:H383"/>
    <mergeCell ref="A445:H445"/>
    <mergeCell ref="L445:M445"/>
    <mergeCell ref="A446:B446"/>
    <mergeCell ref="A447:B447"/>
    <mergeCell ref="A448:B448"/>
    <mergeCell ref="A442:H442"/>
    <mergeCell ref="A443:H443"/>
    <mergeCell ref="A444:H444"/>
    <mergeCell ref="L444:M444"/>
    <mergeCell ref="A395:B395"/>
    <mergeCell ref="A396:B396"/>
    <mergeCell ref="A397:B397"/>
    <mergeCell ref="L463:M463"/>
    <mergeCell ref="A465:B465"/>
    <mergeCell ref="A466:B466"/>
    <mergeCell ref="A467:B467"/>
    <mergeCell ref="A463:H463"/>
    <mergeCell ref="A478:B478"/>
    <mergeCell ref="A479:H479"/>
    <mergeCell ref="A473:B473"/>
    <mergeCell ref="A474:B474"/>
    <mergeCell ref="A475:B475"/>
    <mergeCell ref="A476:B476"/>
    <mergeCell ref="A477:B477"/>
    <mergeCell ref="A468:B468"/>
    <mergeCell ref="A469:B469"/>
    <mergeCell ref="A470:B470"/>
    <mergeCell ref="A471:H471"/>
    <mergeCell ref="G172:H172"/>
    <mergeCell ref="A173:B173"/>
    <mergeCell ref="G173:H173"/>
    <mergeCell ref="A174:B174"/>
    <mergeCell ref="G174:H174"/>
    <mergeCell ref="A171:B171"/>
    <mergeCell ref="A209:B209"/>
    <mergeCell ref="G209:H209"/>
    <mergeCell ref="A210:B210"/>
    <mergeCell ref="G210:H210"/>
    <mergeCell ref="A179:B179"/>
    <mergeCell ref="G179:H179"/>
    <mergeCell ref="G178:H178"/>
    <mergeCell ref="A176:H176"/>
    <mergeCell ref="A177:B177"/>
    <mergeCell ref="A178:B178"/>
    <mergeCell ref="G177:H177"/>
    <mergeCell ref="A192:H192"/>
    <mergeCell ref="A193:B193"/>
    <mergeCell ref="G193:H193"/>
    <mergeCell ref="A194:B194"/>
    <mergeCell ref="G194:H194"/>
    <mergeCell ref="A195:B195"/>
    <mergeCell ref="G195:H195"/>
    <mergeCell ref="A211:B211"/>
    <mergeCell ref="G211:H211"/>
    <mergeCell ref="A212:B212"/>
    <mergeCell ref="G212:H212"/>
    <mergeCell ref="A213:B213"/>
    <mergeCell ref="G213:H213"/>
    <mergeCell ref="A214:B214"/>
    <mergeCell ref="G214:H214"/>
    <mergeCell ref="A215:B215"/>
    <mergeCell ref="G215:H215"/>
    <mergeCell ref="A216:H216"/>
    <mergeCell ref="A217:B217"/>
    <mergeCell ref="G217:H217"/>
    <mergeCell ref="A218:B218"/>
    <mergeCell ref="G218:H218"/>
    <mergeCell ref="A219:B219"/>
    <mergeCell ref="G219:H219"/>
    <mergeCell ref="A220:B220"/>
    <mergeCell ref="G220:H220"/>
    <mergeCell ref="A221:B221"/>
    <mergeCell ref="G221:H221"/>
    <mergeCell ref="A222:B222"/>
    <mergeCell ref="G222:H222"/>
    <mergeCell ref="A223:B223"/>
    <mergeCell ref="G223:H223"/>
    <mergeCell ref="A224:H224"/>
    <mergeCell ref="A225:B225"/>
    <mergeCell ref="G225:H225"/>
    <mergeCell ref="A226:B226"/>
    <mergeCell ref="G226:H226"/>
    <mergeCell ref="A227:B227"/>
    <mergeCell ref="G227:H227"/>
    <mergeCell ref="A228:B228"/>
    <mergeCell ref="G228:H228"/>
    <mergeCell ref="A229:B229"/>
    <mergeCell ref="G229:H229"/>
    <mergeCell ref="A230:B230"/>
    <mergeCell ref="G230:H230"/>
    <mergeCell ref="A231:B231"/>
    <mergeCell ref="G231:H231"/>
    <mergeCell ref="A232:H232"/>
    <mergeCell ref="A233:B233"/>
    <mergeCell ref="G233:H233"/>
    <mergeCell ref="A234:B234"/>
    <mergeCell ref="G234:H234"/>
    <mergeCell ref="A235:B235"/>
    <mergeCell ref="G235:H235"/>
    <mergeCell ref="A236:B236"/>
    <mergeCell ref="G236:H236"/>
    <mergeCell ref="A237:B237"/>
    <mergeCell ref="G237:H237"/>
    <mergeCell ref="A238:B238"/>
    <mergeCell ref="G238:H238"/>
    <mergeCell ref="A239:B239"/>
    <mergeCell ref="G239:H239"/>
    <mergeCell ref="A240:H240"/>
    <mergeCell ref="A241:B241"/>
    <mergeCell ref="G241:H241"/>
    <mergeCell ref="A242:B242"/>
    <mergeCell ref="G242:H242"/>
    <mergeCell ref="A243:B243"/>
    <mergeCell ref="G243:H243"/>
    <mergeCell ref="A244:B244"/>
    <mergeCell ref="G244:H244"/>
    <mergeCell ref="A245:B245"/>
    <mergeCell ref="G245:H245"/>
    <mergeCell ref="A246:B246"/>
    <mergeCell ref="G246:H246"/>
    <mergeCell ref="A247:B247"/>
    <mergeCell ref="G247:H247"/>
    <mergeCell ref="A289:H289"/>
    <mergeCell ref="G287:H287"/>
    <mergeCell ref="A288:B288"/>
    <mergeCell ref="G288:H288"/>
    <mergeCell ref="A255:H255"/>
    <mergeCell ref="A260:B260"/>
    <mergeCell ref="G260:H260"/>
    <mergeCell ref="A281:H281"/>
    <mergeCell ref="A282:B282"/>
    <mergeCell ref="G282:H282"/>
    <mergeCell ref="G279:H279"/>
    <mergeCell ref="A280:B280"/>
    <mergeCell ref="G280:H280"/>
    <mergeCell ref="A249:H249"/>
    <mergeCell ref="A250:H250"/>
    <mergeCell ref="A252:B252"/>
    <mergeCell ref="G252:H252"/>
    <mergeCell ref="A290:B290"/>
    <mergeCell ref="G290:H290"/>
    <mergeCell ref="A291:B291"/>
    <mergeCell ref="G291:H291"/>
    <mergeCell ref="A283:B283"/>
    <mergeCell ref="G283:H283"/>
    <mergeCell ref="A284:B284"/>
    <mergeCell ref="G284:H284"/>
    <mergeCell ref="A271:B271"/>
    <mergeCell ref="G271:H271"/>
    <mergeCell ref="A272:B272"/>
    <mergeCell ref="G272:H272"/>
    <mergeCell ref="A273:H273"/>
    <mergeCell ref="G276:H276"/>
    <mergeCell ref="A277:B277"/>
    <mergeCell ref="G277:H277"/>
    <mergeCell ref="A278:B278"/>
    <mergeCell ref="G278:H278"/>
    <mergeCell ref="A279:B279"/>
    <mergeCell ref="A314:B314"/>
    <mergeCell ref="G314:H314"/>
    <mergeCell ref="A315:B315"/>
    <mergeCell ref="G315:H315"/>
    <mergeCell ref="A316:B316"/>
    <mergeCell ref="G316:H316"/>
    <mergeCell ref="A317:B317"/>
    <mergeCell ref="G317:H317"/>
    <mergeCell ref="A318:B318"/>
    <mergeCell ref="G318:H318"/>
    <mergeCell ref="A319:B319"/>
    <mergeCell ref="G319:H319"/>
    <mergeCell ref="A320:B320"/>
    <mergeCell ref="G320:H320"/>
    <mergeCell ref="A321:H321"/>
    <mergeCell ref="A322:B322"/>
    <mergeCell ref="G322:H322"/>
    <mergeCell ref="A323:B323"/>
    <mergeCell ref="G323:H323"/>
    <mergeCell ref="A324:B324"/>
    <mergeCell ref="G324:H324"/>
    <mergeCell ref="A325:B325"/>
    <mergeCell ref="G325:H325"/>
    <mergeCell ref="A326:B326"/>
    <mergeCell ref="G326:H326"/>
    <mergeCell ref="A327:B327"/>
    <mergeCell ref="G327:H327"/>
    <mergeCell ref="A328:B328"/>
    <mergeCell ref="G328:H328"/>
    <mergeCell ref="A329:H329"/>
    <mergeCell ref="A330:B330"/>
    <mergeCell ref="G330:H330"/>
    <mergeCell ref="A331:B331"/>
    <mergeCell ref="G331:H331"/>
    <mergeCell ref="A332:B332"/>
    <mergeCell ref="G332:H332"/>
    <mergeCell ref="A333:B333"/>
    <mergeCell ref="G333:H333"/>
    <mergeCell ref="A334:B334"/>
    <mergeCell ref="G334:H334"/>
    <mergeCell ref="A335:B335"/>
    <mergeCell ref="G335:H335"/>
    <mergeCell ref="A336:B336"/>
    <mergeCell ref="G336:H336"/>
    <mergeCell ref="A337:H337"/>
    <mergeCell ref="A338:B338"/>
    <mergeCell ref="G338:H338"/>
    <mergeCell ref="A339:B339"/>
    <mergeCell ref="G339:H339"/>
    <mergeCell ref="A340:B340"/>
    <mergeCell ref="G340:H340"/>
    <mergeCell ref="A341:B341"/>
    <mergeCell ref="G341:H341"/>
    <mergeCell ref="A342:B342"/>
    <mergeCell ref="G342:H342"/>
    <mergeCell ref="A343:B343"/>
    <mergeCell ref="G343:H343"/>
    <mergeCell ref="A344:B344"/>
    <mergeCell ref="G344:H344"/>
    <mergeCell ref="A394:H394"/>
    <mergeCell ref="A389:B389"/>
    <mergeCell ref="A390:B390"/>
    <mergeCell ref="A391:B391"/>
    <mergeCell ref="A392:B392"/>
    <mergeCell ref="A393:B393"/>
    <mergeCell ref="A384:B384"/>
    <mergeCell ref="G384:H384"/>
    <mergeCell ref="A385:B385"/>
    <mergeCell ref="G385:H385"/>
    <mergeCell ref="A386:H386"/>
    <mergeCell ref="A387:B387"/>
    <mergeCell ref="A388:B388"/>
    <mergeCell ref="A372:B372"/>
    <mergeCell ref="G372:H372"/>
    <mergeCell ref="A373:B373"/>
    <mergeCell ref="G373:H373"/>
    <mergeCell ref="A374:B374"/>
    <mergeCell ref="G374:H374"/>
    <mergeCell ref="A375:B375"/>
    <mergeCell ref="G375:H375"/>
    <mergeCell ref="A376:B376"/>
    <mergeCell ref="A406:B406"/>
    <mergeCell ref="A407:B407"/>
    <mergeCell ref="A408:B408"/>
    <mergeCell ref="A409:B409"/>
    <mergeCell ref="A410:H410"/>
    <mergeCell ref="A411:B411"/>
    <mergeCell ref="A412:B412"/>
    <mergeCell ref="A413:B413"/>
    <mergeCell ref="A414:B414"/>
    <mergeCell ref="A415:B415"/>
    <mergeCell ref="A416:B416"/>
    <mergeCell ref="A417:B417"/>
    <mergeCell ref="A418:H418"/>
    <mergeCell ref="A419:B419"/>
    <mergeCell ref="A420:B420"/>
    <mergeCell ref="A421:B421"/>
    <mergeCell ref="A422:B422"/>
    <mergeCell ref="A423:B423"/>
    <mergeCell ref="A424:B424"/>
    <mergeCell ref="A425:B425"/>
    <mergeCell ref="A426:H426"/>
    <mergeCell ref="A427:B427"/>
    <mergeCell ref="A428:B428"/>
    <mergeCell ref="A429:B429"/>
    <mergeCell ref="A430:B430"/>
    <mergeCell ref="A431:B431"/>
    <mergeCell ref="A432:B432"/>
    <mergeCell ref="A433:B433"/>
    <mergeCell ref="A434:H434"/>
    <mergeCell ref="A435:B435"/>
    <mergeCell ref="A436:B436"/>
    <mergeCell ref="A437:B437"/>
    <mergeCell ref="A438:B438"/>
    <mergeCell ref="A439:B439"/>
    <mergeCell ref="A440:B440"/>
    <mergeCell ref="A441:B441"/>
    <mergeCell ref="A481:B481"/>
    <mergeCell ref="A482:B482"/>
    <mergeCell ref="A472:B472"/>
    <mergeCell ref="A459:B459"/>
    <mergeCell ref="A460:B460"/>
    <mergeCell ref="A461:B461"/>
    <mergeCell ref="A462:B462"/>
    <mergeCell ref="A454:B454"/>
    <mergeCell ref="A455:B455"/>
    <mergeCell ref="A464:B464"/>
    <mergeCell ref="A456:B456"/>
    <mergeCell ref="A457:H457"/>
    <mergeCell ref="B537:H537"/>
    <mergeCell ref="A483:B483"/>
    <mergeCell ref="A484:B484"/>
    <mergeCell ref="A485:B485"/>
    <mergeCell ref="A486:B486"/>
    <mergeCell ref="A487:H487"/>
    <mergeCell ref="A488:B488"/>
    <mergeCell ref="A489:B489"/>
    <mergeCell ref="A490:B490"/>
    <mergeCell ref="A491:B491"/>
    <mergeCell ref="G488:H494"/>
    <mergeCell ref="A492:B492"/>
    <mergeCell ref="A493:B493"/>
    <mergeCell ref="A494:B494"/>
    <mergeCell ref="A498:B498"/>
    <mergeCell ref="A499:B499"/>
    <mergeCell ref="A500:B500"/>
    <mergeCell ref="G496:H502"/>
    <mergeCell ref="A501:B501"/>
    <mergeCell ref="A502:B502"/>
    <mergeCell ref="A521:B521"/>
    <mergeCell ref="A522:B522"/>
    <mergeCell ref="A50:B51"/>
    <mergeCell ref="C50:E50"/>
    <mergeCell ref="G50:H50"/>
    <mergeCell ref="A528:B528"/>
    <mergeCell ref="A529:B529"/>
    <mergeCell ref="A530:B530"/>
    <mergeCell ref="A531:B531"/>
    <mergeCell ref="A532:B532"/>
    <mergeCell ref="A523:B523"/>
    <mergeCell ref="A524:B524"/>
    <mergeCell ref="C51:E51"/>
    <mergeCell ref="G51:H51"/>
    <mergeCell ref="A526:B526"/>
    <mergeCell ref="A527:H527"/>
    <mergeCell ref="A518:B518"/>
    <mergeCell ref="A519:H519"/>
    <mergeCell ref="A520:B520"/>
    <mergeCell ref="A503:H503"/>
    <mergeCell ref="A504:B504"/>
    <mergeCell ref="A505:B505"/>
    <mergeCell ref="A506:B506"/>
    <mergeCell ref="A507:B507"/>
    <mergeCell ref="A508:B508"/>
    <mergeCell ref="A480:B480"/>
    <mergeCell ref="C36:H36"/>
    <mergeCell ref="B538:H538"/>
    <mergeCell ref="B539:H539"/>
    <mergeCell ref="B540:H540"/>
    <mergeCell ref="B543:H543"/>
    <mergeCell ref="G512:H518"/>
    <mergeCell ref="B545:H545"/>
    <mergeCell ref="A509:B509"/>
    <mergeCell ref="G504:H510"/>
    <mergeCell ref="B544:H544"/>
    <mergeCell ref="A533:B533"/>
    <mergeCell ref="A534:B534"/>
    <mergeCell ref="B542:H542"/>
    <mergeCell ref="A510:B510"/>
    <mergeCell ref="A511:H511"/>
    <mergeCell ref="A512:B512"/>
    <mergeCell ref="A513:B513"/>
    <mergeCell ref="A514:B514"/>
    <mergeCell ref="A515:B515"/>
    <mergeCell ref="A516:B516"/>
    <mergeCell ref="A517:B517"/>
    <mergeCell ref="A525:B525"/>
    <mergeCell ref="B541:H541"/>
    <mergeCell ref="B536:H536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&amp;P</oddFooter>
  </headerFooter>
  <rowBreaks count="4" manualBreakCount="4">
    <brk id="61" max="16383" man="1"/>
    <brk id="89" max="16383" man="1"/>
    <brk id="557" max="16383" man="1"/>
    <brk id="60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1" t="s">
        <v>76</v>
      </c>
      <c r="C2" s="180"/>
      <c r="D2" s="180"/>
    </row>
    <row r="3" spans="1:12" x14ac:dyDescent="0.35">
      <c r="D3" s="2"/>
      <c r="E3" s="2"/>
      <c r="F3" s="2"/>
      <c r="G3" s="2"/>
      <c r="H3" s="2"/>
      <c r="I3" s="2"/>
    </row>
    <row r="4" spans="1:12" x14ac:dyDescent="0.35">
      <c r="A4" s="1" t="s">
        <v>77</v>
      </c>
      <c r="B4" s="3" t="s">
        <v>78</v>
      </c>
      <c r="C4" s="181" t="s">
        <v>79</v>
      </c>
      <c r="D4" s="181"/>
      <c r="E4" s="181"/>
      <c r="F4" s="4"/>
      <c r="G4" s="181" t="s">
        <v>80</v>
      </c>
      <c r="H4" s="181"/>
      <c r="I4" s="181"/>
      <c r="J4" s="181" t="s">
        <v>81</v>
      </c>
      <c r="K4" s="181"/>
      <c r="L4" s="181"/>
    </row>
    <row r="5" spans="1:12" x14ac:dyDescent="0.35">
      <c r="A5" s="1">
        <v>202</v>
      </c>
      <c r="B5" s="3"/>
      <c r="C5" s="3" t="s">
        <v>82</v>
      </c>
      <c r="D5" s="3" t="s">
        <v>83</v>
      </c>
      <c r="E5" s="3" t="s">
        <v>60</v>
      </c>
      <c r="F5" s="3"/>
      <c r="G5" s="3" t="s">
        <v>82</v>
      </c>
      <c r="H5" s="3" t="s">
        <v>83</v>
      </c>
      <c r="I5" s="3" t="s">
        <v>60</v>
      </c>
      <c r="J5" s="3" t="s">
        <v>82</v>
      </c>
      <c r="K5" s="3" t="s">
        <v>83</v>
      </c>
      <c r="L5" s="3" t="s">
        <v>60</v>
      </c>
    </row>
    <row r="6" spans="1:12" x14ac:dyDescent="0.35">
      <c r="B6" s="5" t="s">
        <v>84</v>
      </c>
      <c r="C6" s="5"/>
      <c r="D6" s="5"/>
      <c r="E6" s="5">
        <f>C6*D6</f>
        <v>0</v>
      </c>
      <c r="F6" s="5" t="s">
        <v>85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5">
      <c r="B7" s="5"/>
      <c r="C7" s="5"/>
      <c r="D7" s="5"/>
      <c r="E7" s="5">
        <f t="shared" ref="E7:E33" si="0">C7*D7</f>
        <v>0</v>
      </c>
      <c r="F7" s="5" t="s">
        <v>86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5">
      <c r="B9" s="5" t="s">
        <v>87</v>
      </c>
      <c r="C9" s="5"/>
      <c r="D9" s="5"/>
      <c r="E9" s="5">
        <f t="shared" si="0"/>
        <v>0</v>
      </c>
      <c r="F9" s="5" t="s">
        <v>85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5">
      <c r="B10" s="5"/>
      <c r="C10" s="5"/>
      <c r="D10" s="5"/>
      <c r="E10" s="5">
        <f t="shared" si="0"/>
        <v>0</v>
      </c>
      <c r="F10" s="5" t="s">
        <v>86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5">
      <c r="B13" s="5" t="s">
        <v>88</v>
      </c>
      <c r="C13" s="5"/>
      <c r="D13" s="5"/>
      <c r="E13" s="5">
        <f t="shared" si="0"/>
        <v>0</v>
      </c>
      <c r="F13" s="5" t="s">
        <v>85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5">
      <c r="B14" s="5"/>
      <c r="C14" s="5"/>
      <c r="D14" s="5"/>
      <c r="E14" s="5">
        <f t="shared" si="0"/>
        <v>0</v>
      </c>
      <c r="F14" s="5" t="s">
        <v>86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5">
      <c r="B17" s="5" t="s">
        <v>89</v>
      </c>
      <c r="C17" s="5"/>
      <c r="D17" s="5"/>
      <c r="E17" s="5">
        <f t="shared" si="0"/>
        <v>0</v>
      </c>
      <c r="F17" s="5" t="s">
        <v>85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5">
      <c r="B18" s="5"/>
      <c r="C18" s="5"/>
      <c r="D18" s="5"/>
      <c r="E18" s="5">
        <f t="shared" si="0"/>
        <v>0</v>
      </c>
      <c r="F18" s="5" t="s">
        <v>86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5">
      <c r="B20" s="5" t="s">
        <v>89</v>
      </c>
      <c r="C20" s="5"/>
      <c r="D20" s="5"/>
      <c r="E20" s="5">
        <f t="shared" si="0"/>
        <v>0</v>
      </c>
      <c r="F20" s="5" t="s">
        <v>85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5">
      <c r="B21" s="5"/>
      <c r="C21" s="5"/>
      <c r="D21" s="5"/>
      <c r="E21" s="5">
        <f t="shared" si="0"/>
        <v>0</v>
      </c>
      <c r="F21" s="5" t="s">
        <v>86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5">
      <c r="B23" s="5" t="s">
        <v>90</v>
      </c>
      <c r="C23" s="5"/>
      <c r="D23" s="5"/>
      <c r="E23" s="5">
        <f t="shared" si="0"/>
        <v>0</v>
      </c>
      <c r="F23" s="5" t="s">
        <v>91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5">
      <c r="B24" s="5" t="s">
        <v>92</v>
      </c>
      <c r="C24" s="5"/>
      <c r="D24" s="5"/>
      <c r="E24" s="5">
        <f t="shared" si="0"/>
        <v>0</v>
      </c>
      <c r="F24" s="5" t="s">
        <v>91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5">
      <c r="B25" s="5" t="s">
        <v>93</v>
      </c>
      <c r="C25" s="5"/>
      <c r="D25" s="5"/>
      <c r="E25" s="5">
        <f t="shared" si="0"/>
        <v>0</v>
      </c>
      <c r="F25" s="5" t="s">
        <v>91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5">
      <c r="B27" s="5" t="s">
        <v>94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5">
      <c r="B28" s="5" t="s">
        <v>95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5">
      <c r="B29" s="5" t="s">
        <v>96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5">
      <c r="B30" s="5" t="s">
        <v>97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5">
      <c r="B34" s="5" t="s">
        <v>61</v>
      </c>
      <c r="C34" s="5"/>
      <c r="D34" s="5">
        <f>E34*10.764</f>
        <v>0</v>
      </c>
      <c r="E34" s="5">
        <f>SUM(E6:E33)</f>
        <v>0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7"/>
    <col min="2" max="2" width="22.1796875" style="7" customWidth="1"/>
    <col min="3" max="3" width="37" style="7" customWidth="1"/>
    <col min="4" max="5" width="11.453125" style="7" customWidth="1"/>
    <col min="6" max="6" width="14" style="7" customWidth="1"/>
    <col min="7" max="7" width="20" style="7" customWidth="1"/>
    <col min="8" max="8" width="16.453125" style="7" customWidth="1"/>
    <col min="9" max="16384" width="8.7265625" style="7"/>
  </cols>
  <sheetData>
    <row r="1" spans="1:9" ht="15" customHeight="1" x14ac:dyDescent="0.35">
      <c r="A1" s="6"/>
      <c r="B1" s="6"/>
      <c r="C1" s="6"/>
      <c r="D1" s="6"/>
      <c r="E1" s="6"/>
      <c r="F1" s="6"/>
      <c r="G1" s="6"/>
      <c r="H1" s="6"/>
    </row>
    <row r="2" spans="1:9" ht="15" customHeight="1" x14ac:dyDescent="0.35">
      <c r="A2" s="8"/>
      <c r="B2" s="8"/>
      <c r="C2" s="8"/>
      <c r="D2" s="8"/>
      <c r="E2" s="8"/>
      <c r="F2" s="8"/>
      <c r="G2" s="8"/>
      <c r="H2" s="8"/>
    </row>
    <row r="3" spans="1:9" ht="15.75" customHeight="1" x14ac:dyDescent="0.35">
      <c r="A3" s="8"/>
      <c r="B3" s="182" t="s">
        <v>138</v>
      </c>
      <c r="C3" s="182"/>
      <c r="D3" s="182"/>
      <c r="E3" s="182"/>
      <c r="F3" s="182"/>
      <c r="G3" s="182"/>
      <c r="H3" s="182"/>
    </row>
    <row r="4" spans="1:9" x14ac:dyDescent="0.35">
      <c r="A4" s="8"/>
      <c r="B4" s="9" t="s">
        <v>139</v>
      </c>
      <c r="C4" s="9" t="s">
        <v>140</v>
      </c>
      <c r="D4" s="9" t="s">
        <v>77</v>
      </c>
      <c r="E4" s="9" t="s">
        <v>141</v>
      </c>
      <c r="F4" s="9" t="s">
        <v>148</v>
      </c>
      <c r="G4" s="9" t="s">
        <v>149</v>
      </c>
      <c r="H4" s="9" t="s">
        <v>142</v>
      </c>
    </row>
    <row r="5" spans="1:9" ht="15" customHeight="1" x14ac:dyDescent="0.35">
      <c r="A5" s="8"/>
      <c r="B5" s="11" t="s">
        <v>143</v>
      </c>
      <c r="C5" s="12"/>
      <c r="D5" s="11" t="s">
        <v>144</v>
      </c>
      <c r="E5" s="11">
        <v>1106</v>
      </c>
      <c r="F5" s="13">
        <f>E5*1.6</f>
        <v>1769.6000000000001</v>
      </c>
      <c r="G5" s="13">
        <f>H5/F5</f>
        <v>31532.549728752259</v>
      </c>
      <c r="H5" s="14">
        <v>55800000</v>
      </c>
    </row>
    <row r="6" spans="1:9" x14ac:dyDescent="0.35">
      <c r="A6" s="8"/>
      <c r="B6" s="11" t="s">
        <v>143</v>
      </c>
      <c r="C6" s="15"/>
      <c r="D6" s="11"/>
      <c r="E6" s="11"/>
      <c r="F6" s="13">
        <f t="shared" ref="F6:F11" si="0">E6*1.6</f>
        <v>0</v>
      </c>
      <c r="G6" s="13" t="e">
        <f t="shared" ref="G6:G11" si="1">H6/F6</f>
        <v>#DIV/0!</v>
      </c>
      <c r="H6" s="14"/>
    </row>
    <row r="7" spans="1:9" ht="15" customHeight="1" x14ac:dyDescent="0.35">
      <c r="A7" s="8"/>
      <c r="B7" s="11" t="s">
        <v>143</v>
      </c>
      <c r="C7" s="12"/>
      <c r="D7" s="11"/>
      <c r="E7" s="11"/>
      <c r="F7" s="13">
        <f t="shared" si="0"/>
        <v>0</v>
      </c>
      <c r="G7" s="13" t="e">
        <f t="shared" si="1"/>
        <v>#DIV/0!</v>
      </c>
      <c r="H7" s="14"/>
    </row>
    <row r="8" spans="1:9" x14ac:dyDescent="0.35">
      <c r="A8" s="8"/>
      <c r="B8" s="11" t="s">
        <v>143</v>
      </c>
      <c r="C8" s="15"/>
      <c r="D8" s="11"/>
      <c r="E8" s="11"/>
      <c r="F8" s="13">
        <f t="shared" si="0"/>
        <v>0</v>
      </c>
      <c r="G8" s="13" t="e">
        <f t="shared" si="1"/>
        <v>#DIV/0!</v>
      </c>
      <c r="H8" s="14"/>
    </row>
    <row r="9" spans="1:9" ht="15" customHeight="1" x14ac:dyDescent="0.35">
      <c r="A9" s="8"/>
      <c r="B9" s="11" t="s">
        <v>143</v>
      </c>
      <c r="C9" s="15"/>
      <c r="D9" s="11"/>
      <c r="E9" s="11"/>
      <c r="F9" s="13">
        <f t="shared" si="0"/>
        <v>0</v>
      </c>
      <c r="G9" s="13" t="e">
        <f t="shared" si="1"/>
        <v>#DIV/0!</v>
      </c>
      <c r="H9" s="14"/>
    </row>
    <row r="10" spans="1:9" ht="15" customHeight="1" x14ac:dyDescent="0.35">
      <c r="A10" s="8"/>
      <c r="B10" s="11" t="s">
        <v>145</v>
      </c>
      <c r="C10" s="12"/>
      <c r="D10" s="11"/>
      <c r="E10" s="11"/>
      <c r="F10" s="13">
        <f t="shared" si="0"/>
        <v>0</v>
      </c>
      <c r="G10" s="13" t="e">
        <f t="shared" si="1"/>
        <v>#DIV/0!</v>
      </c>
      <c r="H10" s="14"/>
    </row>
    <row r="11" spans="1:9" ht="15" customHeight="1" x14ac:dyDescent="0.35">
      <c r="A11" s="8"/>
      <c r="B11" s="11" t="s">
        <v>145</v>
      </c>
      <c r="C11" s="12"/>
      <c r="D11" s="11"/>
      <c r="E11" s="11"/>
      <c r="F11" s="13">
        <f t="shared" si="0"/>
        <v>0</v>
      </c>
      <c r="G11" s="13" t="e">
        <f t="shared" si="1"/>
        <v>#DIV/0!</v>
      </c>
      <c r="H11" s="14"/>
    </row>
    <row r="12" spans="1:9" ht="15" customHeight="1" x14ac:dyDescent="0.35">
      <c r="A12" s="8"/>
      <c r="B12" s="16" t="s">
        <v>146</v>
      </c>
      <c r="C12" s="11"/>
      <c r="D12" s="11"/>
      <c r="E12" s="11"/>
      <c r="F12" s="11"/>
      <c r="G12" s="17" t="e">
        <f>AVERAGE(G5:G11)</f>
        <v>#DIV/0!</v>
      </c>
      <c r="H12" s="11"/>
    </row>
    <row r="13" spans="1:9" ht="15" customHeight="1" x14ac:dyDescent="0.35">
      <c r="A13" s="6"/>
      <c r="B13" s="16" t="s">
        <v>147</v>
      </c>
      <c r="C13" s="18"/>
      <c r="D13" s="18"/>
      <c r="E13" s="18"/>
      <c r="F13" s="19"/>
      <c r="G13" s="16"/>
      <c r="H13" s="16"/>
      <c r="I13" s="10"/>
    </row>
    <row r="14" spans="1:9" ht="15" customHeight="1" x14ac:dyDescent="0.35">
      <c r="B14" s="6"/>
      <c r="C14" s="6"/>
      <c r="D14" s="6"/>
      <c r="E14" s="6"/>
    </row>
    <row r="15" spans="1:9" ht="15" customHeight="1" x14ac:dyDescent="0.35">
      <c r="B15" s="6"/>
      <c r="C15" s="6"/>
      <c r="D15" s="6"/>
      <c r="E15" s="6"/>
    </row>
    <row r="16" spans="1:9" ht="15" customHeight="1" x14ac:dyDescent="0.35">
      <c r="B16" s="6"/>
      <c r="C16" s="6"/>
      <c r="D16" s="6"/>
      <c r="E16" s="6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2025-07-17T07:17:03Z</cp:lastPrinted>
  <dcterms:created xsi:type="dcterms:W3CDTF">2019-07-16T09:29:46Z</dcterms:created>
  <dcterms:modified xsi:type="dcterms:W3CDTF">2025-07-17T07:17:47Z</dcterms:modified>
</cp:coreProperties>
</file>