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7755"/>
  </bookViews>
  <sheets>
    <sheet name="Report (2)" sheetId="1" r:id="rId1"/>
    <sheet name="B &amp; C Wing -C%" sheetId="2" r:id="rId2"/>
    <sheet name="A &amp; D Wing - C% (2)" sheetId="5" r:id="rId3"/>
    <sheet name="Note" sheetId="4" r:id="rId4"/>
    <sheet name="valuation" sheetId="6" r:id="rId5"/>
    <sheet name="Flat detail" sheetId="3" r:id="rId6"/>
  </sheets>
  <definedNames>
    <definedName name="_xlnm.Print_Area" localSheetId="0">'Report (2)'!$A$1:$J$314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5" i="1" l="1"/>
  <c r="M94" i="1"/>
  <c r="M93" i="1"/>
  <c r="M92" i="1"/>
  <c r="I85" i="1"/>
  <c r="D91" i="1" l="1"/>
  <c r="M90" i="1"/>
  <c r="M91" i="1" s="1"/>
  <c r="M96" i="1" s="1"/>
  <c r="D90" i="1"/>
  <c r="M89" i="1"/>
  <c r="D95" i="1"/>
  <c r="D94" i="1"/>
  <c r="M88" i="1"/>
  <c r="D93" i="1"/>
  <c r="D88" i="1"/>
  <c r="D92" i="1"/>
  <c r="M87" i="1"/>
  <c r="D97" i="1"/>
  <c r="D96" i="1"/>
  <c r="F188" i="1"/>
  <c r="D188" i="1"/>
  <c r="G188" i="1" s="1"/>
  <c r="F186" i="1"/>
  <c r="D186" i="1"/>
  <c r="F185" i="1"/>
  <c r="D185" i="1"/>
  <c r="G185" i="1" s="1"/>
  <c r="I183" i="1"/>
  <c r="D181" i="1"/>
  <c r="G181" i="1" s="1"/>
  <c r="D180" i="1"/>
  <c r="G180" i="1" s="1"/>
  <c r="D179" i="1"/>
  <c r="G179" i="1" s="1"/>
  <c r="D178" i="1"/>
  <c r="G178" i="1" s="1"/>
  <c r="D177" i="1"/>
  <c r="G177" i="1" s="1"/>
  <c r="D176" i="1"/>
  <c r="G176" i="1" s="1"/>
  <c r="I175" i="1"/>
  <c r="D175" i="1"/>
  <c r="G175" i="1" s="1"/>
  <c r="D171" i="1"/>
  <c r="G171" i="1" s="1"/>
  <c r="D170" i="1"/>
  <c r="G170" i="1" s="1"/>
  <c r="D169" i="1"/>
  <c r="G169" i="1" s="1"/>
  <c r="D168" i="1"/>
  <c r="G168" i="1" s="1"/>
  <c r="D167" i="1"/>
  <c r="G167" i="1" s="1"/>
  <c r="F209" i="1"/>
  <c r="D209" i="1"/>
  <c r="G209" i="1" s="1"/>
  <c r="F207" i="1"/>
  <c r="D207" i="1"/>
  <c r="F206" i="1"/>
  <c r="D206" i="1"/>
  <c r="G206" i="1" s="1"/>
  <c r="I205" i="1"/>
  <c r="F163" i="1"/>
  <c r="F161" i="1"/>
  <c r="D154" i="1"/>
  <c r="G154" i="1" s="1"/>
  <c r="G186" i="1" l="1"/>
  <c r="G113" i="1" s="1"/>
  <c r="D113" i="1"/>
  <c r="G207" i="1"/>
  <c r="C113" i="1"/>
  <c r="M97" i="1"/>
  <c r="C89" i="1" s="1"/>
  <c r="K84" i="1" s="1"/>
  <c r="C86" i="1" s="1"/>
  <c r="F88" i="1" s="1"/>
  <c r="F160" i="1"/>
  <c r="D163" i="1"/>
  <c r="G163" i="1" s="1"/>
  <c r="D161" i="1"/>
  <c r="G161" i="1" s="1"/>
  <c r="D160" i="1"/>
  <c r="I158" i="1"/>
  <c r="F138" i="1"/>
  <c r="D138" i="1"/>
  <c r="G138" i="1" s="1"/>
  <c r="F136" i="1"/>
  <c r="F135" i="1"/>
  <c r="D127" i="1"/>
  <c r="D146" i="1"/>
  <c r="G146" i="1" s="1"/>
  <c r="D145" i="1"/>
  <c r="G145" i="1" s="1"/>
  <c r="D144" i="1"/>
  <c r="G144" i="1" s="1"/>
  <c r="D143" i="1"/>
  <c r="G143" i="1" s="1"/>
  <c r="D142" i="1"/>
  <c r="D156" i="1"/>
  <c r="G156" i="1" s="1"/>
  <c r="D155" i="1"/>
  <c r="G155" i="1" s="1"/>
  <c r="D153" i="1"/>
  <c r="G153" i="1" s="1"/>
  <c r="D152" i="1"/>
  <c r="G152" i="1" s="1"/>
  <c r="D151" i="1"/>
  <c r="G151" i="1" s="1"/>
  <c r="D150" i="1"/>
  <c r="G150" i="1" s="1"/>
  <c r="G160" i="1" l="1"/>
  <c r="G142" i="1"/>
  <c r="C112" i="1"/>
  <c r="D112" i="1"/>
  <c r="D89" i="1"/>
  <c r="H88" i="1"/>
  <c r="D203" i="1"/>
  <c r="G203" i="1" s="1"/>
  <c r="D202" i="1"/>
  <c r="G202" i="1" s="1"/>
  <c r="D201" i="1"/>
  <c r="G201" i="1" s="1"/>
  <c r="D200" i="1"/>
  <c r="G200" i="1" s="1"/>
  <c r="D199" i="1"/>
  <c r="G199" i="1" s="1"/>
  <c r="I198" i="1"/>
  <c r="D198" i="1"/>
  <c r="G198" i="1" s="1"/>
  <c r="D196" i="1"/>
  <c r="G196" i="1" s="1"/>
  <c r="D195" i="1"/>
  <c r="G195" i="1" s="1"/>
  <c r="D194" i="1"/>
  <c r="G112" i="1" l="1"/>
  <c r="G194" i="1"/>
  <c r="G114" i="1" s="1"/>
  <c r="C114" i="1"/>
  <c r="D114" i="1"/>
  <c r="D136" i="1"/>
  <c r="G136" i="1" s="1"/>
  <c r="D135" i="1"/>
  <c r="G135" i="1" s="1"/>
  <c r="I134" i="1"/>
  <c r="D132" i="1"/>
  <c r="G132" i="1" s="1"/>
  <c r="G127" i="1"/>
  <c r="D128" i="1"/>
  <c r="G128" i="1" s="1"/>
  <c r="D131" i="1"/>
  <c r="G131" i="1" s="1"/>
  <c r="D130" i="1"/>
  <c r="G130" i="1" s="1"/>
  <c r="D129" i="1"/>
  <c r="G129" i="1" s="1"/>
  <c r="D125" i="1"/>
  <c r="G125" i="1" s="1"/>
  <c r="D124" i="1"/>
  <c r="G124" i="1" s="1"/>
  <c r="D123" i="1"/>
  <c r="G123" i="1" l="1"/>
  <c r="G111" i="1" s="1"/>
  <c r="G115" i="1" s="1"/>
  <c r="C111" i="1"/>
  <c r="C115" i="1" s="1"/>
  <c r="D111" i="1"/>
  <c r="D115" i="1" s="1"/>
  <c r="C47" i="1"/>
  <c r="M81" i="1" l="1"/>
  <c r="M80" i="1"/>
  <c r="M79" i="1"/>
  <c r="M78" i="1"/>
  <c r="I71" i="1"/>
  <c r="D83" i="1" l="1"/>
  <c r="D77" i="1"/>
  <c r="M76" i="1"/>
  <c r="D82" i="1"/>
  <c r="D76" i="1"/>
  <c r="M75" i="1"/>
  <c r="D79" i="1"/>
  <c r="D78" i="1"/>
  <c r="M73" i="1"/>
  <c r="D81" i="1"/>
  <c r="D80" i="1"/>
  <c r="M74" i="1"/>
  <c r="F3" i="1"/>
  <c r="M77" i="1" l="1"/>
  <c r="M82" i="1" s="1"/>
  <c r="D74" i="1"/>
  <c r="F7" i="6"/>
  <c r="G7" i="6" s="1"/>
  <c r="F6" i="6"/>
  <c r="G6" i="6" s="1"/>
  <c r="F5" i="6"/>
  <c r="G5" i="6" s="1"/>
  <c r="I57" i="1"/>
  <c r="G8" i="6" l="1"/>
  <c r="M83" i="1"/>
  <c r="C75" i="1" s="1"/>
  <c r="D75" i="1" s="1"/>
  <c r="D63" i="1"/>
  <c r="D69" i="1"/>
  <c r="M59" i="1"/>
  <c r="D67" i="1"/>
  <c r="D68" i="1"/>
  <c r="D65" i="1"/>
  <c r="D64" i="1"/>
  <c r="M60" i="1"/>
  <c r="M61" i="1"/>
  <c r="C60" i="1" s="1"/>
  <c r="D60" i="1" s="1"/>
  <c r="M62" i="1"/>
  <c r="D66" i="1"/>
  <c r="D62" i="1"/>
  <c r="M64" i="1"/>
  <c r="M65" i="1" s="1"/>
  <c r="M66" i="1" s="1"/>
  <c r="M67" i="1" s="1"/>
  <c r="I127" i="1"/>
  <c r="I150" i="1"/>
  <c r="D52" i="1"/>
  <c r="H74" i="1" l="1"/>
  <c r="K70" i="1"/>
  <c r="C72" i="1" s="1"/>
  <c r="F74" i="1" s="1"/>
  <c r="M63" i="1"/>
  <c r="M68" i="1" s="1"/>
  <c r="M69" i="1" s="1"/>
  <c r="C14" i="1"/>
  <c r="G15" i="5"/>
  <c r="B15" i="5" s="1"/>
  <c r="B7" i="5"/>
  <c r="D7" i="5" s="1"/>
  <c r="D6" i="5"/>
  <c r="C5" i="5"/>
  <c r="B11" i="5" s="1"/>
  <c r="K56" i="1" l="1"/>
  <c r="C58" i="1" s="1"/>
  <c r="F60" i="1" s="1"/>
  <c r="H60" i="1"/>
  <c r="D61" i="1"/>
  <c r="H15" i="5"/>
  <c r="B16" i="5" s="1"/>
  <c r="D11" i="5"/>
  <c r="L16" i="5"/>
  <c r="C20" i="5" s="1"/>
  <c r="L15" i="5"/>
  <c r="B20" i="5" s="1"/>
  <c r="B8" i="5"/>
  <c r="B10" i="5"/>
  <c r="B12" i="5"/>
  <c r="G16" i="5"/>
  <c r="C15" i="5" s="1"/>
  <c r="B9" i="5"/>
  <c r="H16" i="5"/>
  <c r="C16" i="5" s="1"/>
  <c r="B7" i="2"/>
  <c r="K16" i="5" l="1"/>
  <c r="C19" i="5" s="1"/>
  <c r="D10" i="5"/>
  <c r="K15" i="5"/>
  <c r="B19" i="5" s="1"/>
  <c r="J15" i="5"/>
  <c r="B18" i="5" s="1"/>
  <c r="D9" i="5"/>
  <c r="J16" i="5"/>
  <c r="C18" i="5" s="1"/>
  <c r="I16" i="5"/>
  <c r="C17" i="5" s="1"/>
  <c r="I15" i="5"/>
  <c r="B17" i="5" s="1"/>
  <c r="D8" i="5"/>
  <c r="M16" i="5"/>
  <c r="C21" i="5" s="1"/>
  <c r="M15" i="5"/>
  <c r="B21" i="5" s="1"/>
  <c r="D12" i="5"/>
  <c r="G15" i="2"/>
  <c r="G16" i="2" s="1"/>
  <c r="C15" i="2" s="1"/>
  <c r="H15" i="2"/>
  <c r="B16" i="2" s="1"/>
  <c r="D6" i="2"/>
  <c r="C5" i="2"/>
  <c r="B12" i="2" s="1"/>
  <c r="D236" i="1"/>
  <c r="G108" i="1"/>
  <c r="D50" i="1"/>
  <c r="H47" i="1"/>
  <c r="F42" i="1"/>
  <c r="F7" i="1"/>
  <c r="C22" i="5" l="1"/>
  <c r="B15" i="2"/>
  <c r="B22" i="5"/>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<sst xmlns="http://schemas.openxmlformats.org/spreadsheetml/2006/main" count="640" uniqueCount="292">
  <si>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</si>
  <si>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</si>
  <si>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</si>
  <si>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</si>
  <si>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</si>
  <si>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</si>
  <si>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</si>
  <si>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</si>
  <si>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</si>
  <si>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</si>
  <si>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</si>
  <si>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</si>
  <si>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</si>
  <si>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</si>
  <si>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</si>
  <si>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</si>
  <si>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</si>
  <si>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</si>
  <si>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</si>
  <si>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</si>
  <si>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</si>
  <si>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</si>
  <si>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</si>
  <si>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</si>
  <si>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</si>
  <si>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</si>
  <si>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</si>
  <si>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</si>
  <si>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</si>
  <si>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</si>
  <si>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</si>
  <si>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</si>
  <si>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</si>
  <si>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</si>
  <si>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</si>
  <si>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</si>
  <si>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</si>
  <si>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</si>
  <si>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</si>
  <si>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</si>
  <si>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</si>
  <si>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</si>
  <si>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</si>
  <si>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</si>
  <si>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</si>
  <si>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</si>
  <si>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</si>
  <si>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</si>
  <si>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</si>
  <si>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</si>
  <si>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</si>
  <si>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</si>
  <si>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</si>
  <si>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</si>
  <si>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</si>
  <si>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</si>
  <si>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</si>
  <si>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</si>
  <si>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</si>
  <si>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</si>
  <si>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</si>
  <si>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</si>
  <si>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</si>
  <si>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</si>
  <si>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</si>
  <si>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</si>
  <si>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</si>
  <si>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</si>
  <si>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</si>
  <si>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</si>
  <si>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</si>
  <si>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</si>
  <si>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</si>
  <si>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</si>
  <si>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</si>
  <si>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</si>
  <si>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</si>
  <si>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</si>
  <si>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</si>
  <si>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</si>
  <si>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</si>
  <si>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</si>
  <si>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</si>
  <si>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</si>
  <si>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</si>
  <si>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</si>
  <si>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</si>
  <si>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</si>
  <si>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</si>
  <si>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</si>
  <si>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</si>
  <si>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</si>
  <si>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</si>
  <si>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</si>
  <si>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</si>
  <si>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</si>
  <si>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</si>
  <si>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</si>
  <si>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</si>
  <si>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</si>
  <si>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</si>
  <si>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</si>
  <si>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</si>
  <si>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</si>
  <si>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</si>
  <si>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</si>
  <si>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</si>
  <si>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</si>
  <si>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</si>
  <si>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</si>
  <si>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</si>
  <si>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</si>
  <si>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</si>
  <si>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</si>
  <si>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</si>
  <si>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</si>
  <si>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</si>
  <si>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</si>
  <si>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</si>
  <si>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</si>
  <si>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</si>
  <si>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</si>
  <si>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</si>
  <si>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</si>
  <si>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</si>
  <si>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</si>
  <si>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</si>
  <si>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</si>
  <si>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</si>
  <si>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</si>
  <si>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</si>
  <si>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</si>
  <si>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</si>
  <si>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</si>
  <si>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</si>
  <si>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</si>
  <si>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</si>
  <si>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</si>
  <si>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</si>
  <si>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</si>
  <si>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</si>
  <si>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</si>
  <si>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</si>
  <si>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</si>
  <si>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</si>
  <si>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</si>
  <si>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</si>
  <si>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</si>
  <si>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</si>
  <si>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</si>
  <si>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</si>
  <si>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</si>
  <si>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</si>
  <si>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</si>
  <si>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</si>
  <si>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</si>
  <si>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</si>
  <si>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</si>
  <si>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</si>
  <si>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</si>
  <si>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</si>
  <si>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</si>
  <si>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</si>
  <si>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</si>
  <si>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</si>
  <si>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</si>
  <si>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</si>
  <si>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</si>
  <si>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</si>
  <si>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</si>
  <si>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</si>
  <si>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</si>
  <si>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</si>
  <si>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</si>
  <si>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</si>
  <si>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</si>
  <si>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</si>
  <si>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02/03/2020.</t>
  </si>
  <si>
    <t>Axis Sanpada</t>
  </si>
  <si>
    <t>M/s.Shakti Developers</t>
  </si>
  <si>
    <t>Survey No</t>
  </si>
  <si>
    <t>S.No.136/1 (Old S.No.86, H.No.4), S.No.136/40 (Old S.No.86, H.No.4), 81/2, 81/3, 86/3</t>
  </si>
  <si>
    <t>Bandhiwali</t>
  </si>
  <si>
    <t>Raigad</t>
  </si>
  <si>
    <t>Karjat</t>
  </si>
  <si>
    <t>About 1.3Km from Shelu Railway Station</t>
  </si>
  <si>
    <t xml:space="preserve">Shelu </t>
  </si>
  <si>
    <t>Station Road</t>
  </si>
  <si>
    <t>Excell Finserv</t>
  </si>
  <si>
    <t>Open Plot</t>
  </si>
  <si>
    <t>Pratiksha</t>
  </si>
  <si>
    <t xml:space="preserve">Material laying at Site: Bricks, Cement &amp; Steel etc. </t>
  </si>
  <si>
    <t>Wheather the construction is as per approved Building plan : Under Construction</t>
  </si>
  <si>
    <t xml:space="preserve">         </t>
  </si>
  <si>
    <t>1RK</t>
  </si>
  <si>
    <t>1BHK</t>
  </si>
  <si>
    <t>Ground Floor</t>
  </si>
  <si>
    <t>Builder Saleable area</t>
  </si>
  <si>
    <t>Flat No.
(As per Sale Plan)</t>
  </si>
  <si>
    <t xml:space="preserve">Development charges </t>
  </si>
  <si>
    <t>Club House Charges</t>
  </si>
  <si>
    <t>30000/-</t>
  </si>
  <si>
    <t>Grill Charges</t>
  </si>
  <si>
    <t>Legal charges</t>
  </si>
  <si>
    <t>12000/-</t>
  </si>
  <si>
    <t>50000/-</t>
  </si>
  <si>
    <t>Rate As per site 1RK = 13Lac, 1BHK = 20 to 23Lac.</t>
  </si>
  <si>
    <t xml:space="preserve">Residential </t>
  </si>
  <si>
    <t>match builder cost sheet = 3200/- &amp; 2900/-</t>
  </si>
  <si>
    <t>online = 2850/-</t>
  </si>
  <si>
    <t>A Wing = Blossom
B Wing = Daisy
C Wing = Hibiscus
D Wing = Jasmine</t>
  </si>
  <si>
    <t>P52000022859</t>
  </si>
  <si>
    <t>B Wing = Daisy</t>
  </si>
  <si>
    <t>2BHK</t>
  </si>
  <si>
    <t xml:space="preserve">Ground Floor </t>
  </si>
  <si>
    <t>D Wing = Jasmine</t>
  </si>
  <si>
    <t>`</t>
  </si>
  <si>
    <t>C Wing = Hibiscus</t>
  </si>
  <si>
    <t xml:space="preserve">A Wing = Blossom
</t>
  </si>
  <si>
    <t>04/07/2020.</t>
  </si>
  <si>
    <t>8. On Site, we meet Mr.Patel - Builder (9987892360).</t>
  </si>
  <si>
    <t>cost sheet  match - 3300/-</t>
  </si>
  <si>
    <t>Market Research Data</t>
  </si>
  <si>
    <t>Source</t>
  </si>
  <si>
    <t>Distance from proposed property</t>
  </si>
  <si>
    <t>Net Carpet</t>
  </si>
  <si>
    <t>Saleable Area</t>
  </si>
  <si>
    <t>Rate on Saleable</t>
  </si>
  <si>
    <t>Market Value</t>
  </si>
  <si>
    <t>Housing</t>
  </si>
  <si>
    <t>The Green Orchid</t>
  </si>
  <si>
    <t>Proptiger</t>
  </si>
  <si>
    <t>Average</t>
  </si>
  <si>
    <t xml:space="preserve">Valuation Adopted </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</si>
  <si>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</si>
  <si>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</si>
  <si>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</si>
  <si>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</si>
  <si>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</si>
  <si>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</si>
  <si>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</si>
  <si>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</si>
  <si>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</si>
  <si>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</si>
  <si>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</si>
  <si>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</si>
  <si>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</si>
  <si>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</si>
  <si>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</si>
  <si>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</si>
  <si>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</si>
  <si>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</si>
  <si>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</si>
  <si>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</si>
  <si>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</si>
  <si>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</si>
  <si>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</si>
  <si>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</si>
  <si>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60000/-</t>
  </si>
  <si>
    <t>sd</t>
  </si>
  <si>
    <t xml:space="preserve"> 30/12/2026</t>
  </si>
  <si>
    <t>Location Link</t>
  </si>
  <si>
    <t>https://goo.gl/maps/MW7r3UaoTXsbgSZq8</t>
  </si>
  <si>
    <t>The Green Orchid Phase III</t>
  </si>
  <si>
    <t>MS/LNA-1/S.R/97/2021</t>
  </si>
  <si>
    <t>04 Wings</t>
  </si>
  <si>
    <t>A &amp; B Wing = G + 1st to 5th + 6th(pt)Floor
C &amp; D Wing = G + 1st to 5th + 6th(pt)Floor</t>
  </si>
  <si>
    <t>A Wing (Blossom) = G + 1st to 5th + 6th(pt)Floor
B Wing (Daisy) = G + 1st to 5th + 6th(pt)Floor</t>
  </si>
  <si>
    <t>-</t>
  </si>
  <si>
    <t>Driver Room/ Parking</t>
  </si>
  <si>
    <t>Society Office</t>
  </si>
  <si>
    <t>Ground Floor For Driver Room, Society Office, Entrance Looby, Parking &amp; Residential</t>
  </si>
  <si>
    <t>1st To 5th Floor</t>
  </si>
  <si>
    <t>6th Floor (Part Terrace Area)</t>
  </si>
  <si>
    <t>Terrace Area</t>
  </si>
  <si>
    <t>Ground Floor For Entrance Lobby, Parking &amp; Residential</t>
  </si>
  <si>
    <t>B Wing (Daisy)</t>
  </si>
  <si>
    <t>A Wing (Blossom)</t>
  </si>
  <si>
    <t>C Wing (Hibiscus)</t>
  </si>
  <si>
    <t>D Wing (Jasmine)</t>
  </si>
  <si>
    <t>Flats = 158</t>
  </si>
  <si>
    <t>C Wing (Hibiscus) = G + 1st to 5th + 6th(pt)Floor</t>
  </si>
  <si>
    <t>D Wing (Jasmine) = G + 1st to 5th + 6th(pt)Floor</t>
  </si>
  <si>
    <t>Contact Details ( Name &amp; Contact No.)</t>
  </si>
  <si>
    <t>Site Meet Person Contact Details ( Name &amp; Contact No.)</t>
  </si>
  <si>
    <t>Office No. 1031, Wing J, Akshar Business Park, Plot No. 03 Sector 25, Near APMC Market,
Vashi, Navi Mumbai, Maharashtra 400703 TEL: 022-46090378/79/80                                                                                                     E mail : vsjcapf@gmail.com. Web site : www.vsjadon.com</t>
  </si>
  <si>
    <t>MS/LNA/A.1(B)/T.No.15826/P.K.97/2021
Valid Up to: A, B, C &amp; D Wing = Gr/Stilt + 1st to 6th Floor</t>
  </si>
  <si>
    <t>Commencement Certificate No.</t>
  </si>
  <si>
    <t>Naynesh Sunil Lovanshi</t>
  </si>
  <si>
    <t>Mr. Monish 7507459045</t>
  </si>
  <si>
    <t>Shruti Tathare</t>
  </si>
  <si>
    <t xml:space="preserve">1. Wing A, B, C &amp; D = Construction work is in process at the time of visit. (Slow Speed)
2. We considered Saleable area as per Builder area sheet.
3. We considered Carpet area as per Approved Plan.
4. We considered Gross carpet area = Net carpet + Enclose balcony + Balcony Area.
5. We have considered rate by verifying it from market inquire.
6. Recommended rate should be considered as all inclusive rate if other charges are not mentioned. (Excluding GST &amp; other government Taxes).
7. We have considered Other charges from cost sheet.
8. Car parking is subjected to authentic documentation.
9. We have updated revised plans (on 19/10/2023).
10. We have updated latest CC (On 26/07/2024).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</si>
</sst>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_(* \(#,##0.00\);_(* &quot;-&quot;??_);_(@_)"/>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5" fontId="6" fillId="0" borderId="0" applyFont="0" applyFill="0" applyBorder="0" applyAlignment="0" applyProtection="0"/>
    <xf numFmtId="0" fontId="22" fillId="0" borderId="0" applyNumberFormat="0" applyFill="0" applyBorder="0" applyAlignment="0" applyProtection="0"/>
  </cellStyleXfs>
  <cellXfs count="268">
    <xf numFmtId="0" fontId="0" fillId="0" borderId="0" xfId="0"/>
    <xf numFmtId="0" fontId="8" fillId="0" borderId="0" xfId="0" applyFont="1" applyAlignment="1">
      <alignment horizontal="center" vertical="center"/>
    </xf>
    <xf numFmtId="1" fontId="9" fillId="0" borderId="4" xfId="1" applyNumberFormat="1" applyFont="1" applyFill="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Fill="1" applyBorder="1" applyAlignment="1">
      <alignment horizontal="center" vertical="center" wrapText="1"/>
    </xf>
    <xf numFmtId="0" fontId="0" fillId="3" borderId="4" xfId="0" applyFill="1" applyBorder="1"/>
    <xf numFmtId="0" fontId="0" fillId="0" borderId="9" xfId="0" applyBorder="1" applyAlignment="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Fill="1" applyBorder="1" applyAlignment="1">
      <alignment horizontal="center" vertical="top" wrapText="1"/>
    </xf>
    <xf numFmtId="0" fontId="8" fillId="0" borderId="0" xfId="0" applyFont="1"/>
    <xf numFmtId="0" fontId="9" fillId="0" borderId="0" xfId="1" applyFont="1" applyBorder="1" applyAlignment="1">
      <alignment vertical="top"/>
    </xf>
    <xf numFmtId="0" fontId="9" fillId="0" borderId="0" xfId="1" applyFont="1" applyBorder="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Fill="1" applyBorder="1" applyAlignment="1">
      <alignment horizontal="center"/>
    </xf>
    <xf numFmtId="0" fontId="18" fillId="0" borderId="0" xfId="0" applyFont="1" applyFill="1" applyBorder="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7" fillId="0" borderId="0" xfId="0"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0" fontId="17" fillId="0" borderId="0" xfId="0" applyFont="1" applyFill="1" applyBorder="1"/>
    <xf numFmtId="9" fontId="17" fillId="0" borderId="0" xfId="0" applyNumberFormat="1" applyFont="1"/>
    <xf numFmtId="0" fontId="17" fillId="0" borderId="0" xfId="0" applyFont="1" applyBorder="1" applyAlignment="1">
      <alignment horizontal="right"/>
    </xf>
    <xf numFmtId="0" fontId="16" fillId="0" borderId="0" xfId="0" applyFont="1"/>
    <xf numFmtId="0" fontId="17" fillId="0" borderId="4" xfId="0" applyFont="1" applyBorder="1" applyAlignment="1">
      <alignment horizontal="center"/>
    </xf>
    <xf numFmtId="0" fontId="17" fillId="3" borderId="4" xfId="0" applyFont="1" applyFill="1" applyBorder="1" applyAlignment="1">
      <alignment horizontal="center"/>
    </xf>
    <xf numFmtId="0" fontId="16" fillId="0" borderId="4" xfId="0" applyFont="1" applyBorder="1" applyAlignment="1">
      <alignment horizontal="center"/>
    </xf>
    <xf numFmtId="14" fontId="6" fillId="0" borderId="0" xfId="5" applyNumberFormat="1"/>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0" fillId="0" borderId="4" xfId="6" applyFont="1" applyBorder="1" applyAlignment="1">
      <alignment horizontal="center" vertical="center"/>
    </xf>
    <xf numFmtId="1" fontId="20" fillId="0" borderId="4" xfId="6" applyNumberFormat="1" applyFont="1" applyBorder="1" applyAlignment="1">
      <alignment horizontal="center" vertical="center"/>
    </xf>
    <xf numFmtId="0" fontId="6" fillId="0" borderId="4" xfId="5" applyBorder="1" applyAlignment="1">
      <alignment horizontal="center" vertical="center"/>
    </xf>
    <xf numFmtId="0" fontId="21" fillId="0" borderId="0" xfId="5" applyFont="1"/>
    <xf numFmtId="0" fontId="8" fillId="0" borderId="17" xfId="1" applyFont="1" applyFill="1" applyBorder="1" applyProtection="1">
      <protection hidden="1"/>
    </xf>
    <xf numFmtId="0" fontId="8" fillId="0" borderId="17" xfId="1" applyFont="1" applyBorder="1" applyProtection="1">
      <protection hidden="1"/>
    </xf>
    <xf numFmtId="0" fontId="8" fillId="0" borderId="18" xfId="1" applyFont="1" applyBorder="1" applyProtection="1">
      <protection hidden="1"/>
    </xf>
    <xf numFmtId="0" fontId="14" fillId="0" borderId="19"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8" fillId="0" borderId="0" xfId="1" applyFont="1" applyFill="1" applyBorder="1" applyProtection="1">
      <protection hidden="1"/>
    </xf>
    <xf numFmtId="0" fontId="8" fillId="0" borderId="0" xfId="1" applyFont="1" applyBorder="1" applyProtection="1">
      <protection hidden="1"/>
    </xf>
    <xf numFmtId="0" fontId="8" fillId="0" borderId="21" xfId="1" applyFont="1" applyBorder="1" applyProtection="1">
      <protection hidden="1"/>
    </xf>
    <xf numFmtId="0" fontId="17" fillId="0" borderId="0" xfId="0" applyFont="1" applyFill="1" applyBorder="1" applyProtection="1">
      <protection hidden="1"/>
    </xf>
    <xf numFmtId="0" fontId="8" fillId="0" borderId="0" xfId="1" applyFont="1" applyBorder="1"/>
    <xf numFmtId="0" fontId="8" fillId="0" borderId="21" xfId="1" applyFont="1" applyBorder="1"/>
    <xf numFmtId="9" fontId="17" fillId="0" borderId="0" xfId="0" applyNumberFormat="1" applyFont="1" applyBorder="1" applyProtection="1">
      <protection hidden="1"/>
    </xf>
    <xf numFmtId="0" fontId="17" fillId="0" borderId="21" xfId="0" applyNumberFormat="1" applyFont="1" applyBorder="1" applyProtection="1">
      <protection hidden="1"/>
    </xf>
    <xf numFmtId="1" fontId="0" fillId="0" borderId="21" xfId="0" applyNumberFormat="1" applyBorder="1"/>
    <xf numFmtId="1" fontId="0" fillId="0" borderId="0" xfId="0" applyNumberFormat="1" applyBorder="1"/>
    <xf numFmtId="164" fontId="0" fillId="0" borderId="0" xfId="0" applyNumberFormat="1" applyBorder="1"/>
    <xf numFmtId="1" fontId="0" fillId="0" borderId="21" xfId="0" applyNumberFormat="1" applyBorder="1" applyAlignment="1">
      <alignment horizontal="right"/>
    </xf>
    <xf numFmtId="0" fontId="0" fillId="0" borderId="0" xfId="0" applyBorder="1"/>
    <xf numFmtId="0" fontId="0" fillId="0" borderId="21" xfId="0" applyBorder="1"/>
    <xf numFmtId="0" fontId="17" fillId="0" borderId="25" xfId="0" applyFont="1" applyFill="1" applyBorder="1" applyProtection="1">
      <protection hidden="1"/>
    </xf>
    <xf numFmtId="9" fontId="17" fillId="0" borderId="25" xfId="0" applyNumberFormat="1" applyFont="1" applyBorder="1" applyProtection="1">
      <protection hidden="1"/>
    </xf>
    <xf numFmtId="1" fontId="0" fillId="0" borderId="26" xfId="0" applyNumberFormat="1" applyBorder="1"/>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3" xfId="1" applyFont="1" applyBorder="1" applyAlignment="1" applyProtection="1">
      <alignment horizontal="center" wrapText="1"/>
      <protection locked="0"/>
    </xf>
    <xf numFmtId="0" fontId="14" fillId="0" borderId="4" xfId="1" applyFont="1" applyFill="1" applyBorder="1" applyAlignment="1" applyProtection="1">
      <alignment horizontal="center" vertical="top"/>
      <protection locked="0"/>
    </xf>
    <xf numFmtId="0" fontId="14" fillId="0" borderId="19" xfId="1" applyFont="1" applyFill="1" applyBorder="1" applyAlignment="1" applyProtection="1">
      <alignment horizontal="center" vertical="top"/>
      <protection locked="0"/>
    </xf>
    <xf numFmtId="0" fontId="14" fillId="0" borderId="19"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9" fontId="14" fillId="2" borderId="4" xfId="1" applyNumberFormat="1" applyFont="1" applyFill="1" applyBorder="1" applyAlignment="1" applyProtection="1">
      <alignment horizontal="center" vertical="center" wrapText="1"/>
      <protection hidden="1"/>
    </xf>
    <xf numFmtId="0" fontId="14" fillId="0" borderId="19"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14" fillId="0" borderId="19"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wrapText="1"/>
      <protection locked="0"/>
    </xf>
    <xf numFmtId="1" fontId="7" fillId="0" borderId="1"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9" fontId="14" fillId="2" borderId="23" xfId="1" applyNumberFormat="1" applyFont="1" applyFill="1" applyBorder="1" applyAlignment="1" applyProtection="1">
      <alignment horizontal="center" vertical="center" wrapText="1"/>
      <protection hidden="1"/>
    </xf>
    <xf numFmtId="9" fontId="14" fillId="2" borderId="20" xfId="1" applyNumberFormat="1" applyFont="1" applyFill="1" applyBorder="1" applyAlignment="1" applyProtection="1">
      <alignment horizontal="center" vertical="center" wrapText="1"/>
      <protection hidden="1"/>
    </xf>
    <xf numFmtId="9" fontId="14" fillId="2" borderId="24" xfId="1" applyNumberFormat="1" applyFont="1" applyFill="1" applyBorder="1" applyAlignment="1" applyProtection="1">
      <alignment horizontal="center" vertical="center" wrapText="1"/>
      <protection hidden="1"/>
    </xf>
    <xf numFmtId="1" fontId="9" fillId="0" borderId="1" xfId="1" applyNumberFormat="1" applyFont="1" applyFill="1" applyBorder="1" applyAlignment="1">
      <alignment horizontal="center" vertical="center" wrapText="1"/>
    </xf>
    <xf numFmtId="1" fontId="9" fillId="0" borderId="2" xfId="1" applyNumberFormat="1" applyFont="1" applyFill="1" applyBorder="1" applyAlignment="1">
      <alignment horizontal="center" vertical="center" wrapText="1"/>
    </xf>
    <xf numFmtId="1" fontId="9" fillId="0" borderId="3"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1" fontId="7" fillId="0" borderId="7" xfId="1" applyNumberFormat="1" applyFont="1" applyFill="1" applyBorder="1" applyAlignment="1">
      <alignment horizontal="center" vertical="center" wrapText="1"/>
    </xf>
    <xf numFmtId="1" fontId="7" fillId="0" borderId="11" xfId="1" applyNumberFormat="1" applyFont="1" applyFill="1" applyBorder="1" applyAlignment="1">
      <alignment horizontal="center" vertical="center" wrapText="1"/>
    </xf>
    <xf numFmtId="1" fontId="7" fillId="0" borderId="12" xfId="1" applyNumberFormat="1" applyFont="1" applyFill="1" applyBorder="1" applyAlignment="1">
      <alignment horizontal="center" vertical="center" wrapText="1"/>
    </xf>
    <xf numFmtId="1" fontId="7" fillId="0" borderId="2" xfId="1" applyNumberFormat="1" applyFont="1" applyFill="1" applyBorder="1" applyAlignment="1">
      <alignment horizontal="center" vertical="center" wrapText="1"/>
    </xf>
    <xf numFmtId="0" fontId="14" fillId="0" borderId="20" xfId="1" applyFont="1" applyFill="1" applyBorder="1" applyAlignment="1" applyProtection="1">
      <alignment horizontal="center" vertical="top"/>
      <protection locked="0"/>
    </xf>
    <xf numFmtId="0" fontId="15" fillId="0" borderId="19" xfId="1" applyFont="1" applyFill="1" applyBorder="1" applyAlignment="1" applyProtection="1">
      <alignment horizontal="left" vertical="top"/>
      <protection locked="0"/>
    </xf>
    <xf numFmtId="0" fontId="15" fillId="0" borderId="4" xfId="1" applyFont="1" applyFill="1" applyBorder="1" applyAlignment="1" applyProtection="1">
      <alignment horizontal="left" vertical="top"/>
      <protection locked="0"/>
    </xf>
    <xf numFmtId="0" fontId="15" fillId="0" borderId="4" xfId="1" applyFont="1" applyFill="1" applyBorder="1" applyAlignment="1" applyProtection="1">
      <alignment horizontal="left" vertical="top" wrapText="1"/>
      <protection locked="0"/>
    </xf>
    <xf numFmtId="0" fontId="15" fillId="0" borderId="20" xfId="1" applyFont="1" applyFill="1" applyBorder="1" applyAlignment="1" applyProtection="1">
      <alignment horizontal="left" vertical="top" wrapText="1"/>
      <protection locked="0"/>
    </xf>
    <xf numFmtId="0" fontId="14" fillId="0" borderId="20" xfId="1" applyFont="1" applyFill="1" applyBorder="1" applyAlignment="1" applyProtection="1">
      <alignment horizontal="center" vertical="top" wrapText="1"/>
      <protection locked="0"/>
    </xf>
    <xf numFmtId="0" fontId="14" fillId="0" borderId="22" xfId="1" applyFont="1" applyFill="1" applyBorder="1" applyAlignment="1" applyProtection="1">
      <alignment horizontal="center" vertical="top" wrapText="1"/>
      <protection locked="0"/>
    </xf>
    <xf numFmtId="0" fontId="14" fillId="0" borderId="23" xfId="1" applyFont="1" applyFill="1" applyBorder="1" applyAlignment="1" applyProtection="1">
      <alignment horizontal="center" vertical="top" wrapText="1"/>
      <protection locked="0"/>
    </xf>
    <xf numFmtId="0" fontId="15" fillId="0" borderId="14" xfId="1" applyFont="1" applyFill="1" applyBorder="1" applyAlignment="1" applyProtection="1">
      <alignment horizontal="center" vertical="top" wrapText="1"/>
      <protection locked="0"/>
    </xf>
    <xf numFmtId="0" fontId="15" fillId="0" borderId="15" xfId="1" applyFont="1" applyFill="1" applyBorder="1" applyAlignment="1" applyProtection="1">
      <alignment horizontal="center" vertical="top" wrapText="1"/>
      <protection locked="0"/>
    </xf>
    <xf numFmtId="0" fontId="15" fillId="0" borderId="15" xfId="1" applyFont="1" applyFill="1" applyBorder="1" applyAlignment="1" applyProtection="1">
      <alignment horizontal="left" vertical="top" wrapText="1"/>
      <protection locked="0"/>
    </xf>
    <xf numFmtId="0" fontId="15" fillId="0" borderId="16" xfId="1" applyFont="1" applyFill="1" applyBorder="1" applyAlignment="1" applyProtection="1">
      <alignment horizontal="left" vertical="top" wrapText="1"/>
      <protection locked="0"/>
    </xf>
    <xf numFmtId="0" fontId="14" fillId="0" borderId="1" xfId="1" applyFont="1" applyFill="1" applyBorder="1" applyAlignment="1" applyProtection="1">
      <alignment horizontal="center" vertical="top"/>
      <protection locked="0"/>
    </xf>
    <xf numFmtId="0" fontId="14" fillId="0" borderId="3" xfId="1" applyFont="1" applyFill="1" applyBorder="1" applyAlignment="1" applyProtection="1">
      <alignment horizontal="center" vertical="top"/>
      <protection locked="0"/>
    </xf>
    <xf numFmtId="1" fontId="9" fillId="0" borderId="2" xfId="1" applyNumberFormat="1" applyFont="1" applyFill="1" applyBorder="1" applyAlignment="1">
      <alignment horizontal="center" vertical="center"/>
    </xf>
    <xf numFmtId="1" fontId="9" fillId="0" borderId="3" xfId="1" applyNumberFormat="1" applyFont="1" applyFill="1" applyBorder="1" applyAlignment="1">
      <alignment horizontal="center" vertical="center"/>
    </xf>
    <xf numFmtId="1" fontId="7" fillId="0" borderId="8" xfId="1" applyNumberFormat="1" applyFont="1" applyFill="1" applyBorder="1" applyAlignment="1">
      <alignment horizontal="center" vertical="center" wrapText="1"/>
    </xf>
    <xf numFmtId="1" fontId="7" fillId="0" borderId="10" xfId="1" applyNumberFormat="1" applyFont="1" applyFill="1" applyBorder="1" applyAlignment="1">
      <alignment horizontal="center" vertical="center"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Border="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19" fillId="0" borderId="4" xfId="1" applyFont="1" applyBorder="1" applyAlignment="1">
      <alignment horizontal="center" vertical="top" wrapText="1"/>
    </xf>
    <xf numFmtId="0" fontId="7" fillId="0" borderId="4" xfId="1" applyFont="1" applyFill="1" applyBorder="1" applyAlignment="1">
      <alignment horizontal="left" vertical="top"/>
    </xf>
    <xf numFmtId="0" fontId="14" fillId="0" borderId="4" xfId="1" applyFont="1" applyFill="1" applyBorder="1" applyAlignment="1">
      <alignment horizontal="left" vertical="top"/>
    </xf>
    <xf numFmtId="0" fontId="7" fillId="0" borderId="5" xfId="1" applyFont="1" applyFill="1" applyBorder="1" applyAlignment="1">
      <alignment horizontal="left" vertical="top" wrapText="1"/>
    </xf>
    <xf numFmtId="0" fontId="7" fillId="0" borderId="7" xfId="1" applyFont="1" applyFill="1" applyBorder="1" applyAlignment="1">
      <alignment horizontal="left" vertical="top" wrapText="1"/>
    </xf>
    <xf numFmtId="0" fontId="14" fillId="0" borderId="4" xfId="1" applyFont="1" applyBorder="1" applyAlignment="1">
      <alignment horizontal="left"/>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7" fillId="0" borderId="1" xfId="1" applyFont="1" applyFill="1" applyBorder="1" applyAlignment="1">
      <alignment horizontal="left" vertical="top"/>
    </xf>
    <xf numFmtId="0" fontId="7" fillId="0" borderId="2" xfId="1" applyFont="1" applyFill="1" applyBorder="1" applyAlignment="1">
      <alignment horizontal="left" vertical="top"/>
    </xf>
    <xf numFmtId="0" fontId="7" fillId="0" borderId="3" xfId="1" applyFont="1" applyFill="1" applyBorder="1" applyAlignment="1">
      <alignment horizontal="left" vertical="top"/>
    </xf>
    <xf numFmtId="164" fontId="7" fillId="0" borderId="1" xfId="1" applyNumberFormat="1" applyFont="1" applyFill="1" applyBorder="1" applyAlignment="1">
      <alignment horizontal="left" vertical="top"/>
    </xf>
    <xf numFmtId="164" fontId="7" fillId="0" borderId="2" xfId="1" applyNumberFormat="1" applyFont="1" applyFill="1" applyBorder="1" applyAlignment="1">
      <alignment horizontal="left" vertical="top"/>
    </xf>
    <xf numFmtId="164" fontId="7" fillId="0" borderId="3" xfId="1" applyNumberFormat="1" applyFont="1" applyFill="1" applyBorder="1" applyAlignment="1">
      <alignment horizontal="left" vertical="top"/>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0" fontId="14" fillId="0" borderId="1"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wrapText="1"/>
      <protection locked="0"/>
    </xf>
    <xf numFmtId="0" fontId="14" fillId="0" borderId="3" xfId="1" applyFont="1" applyFill="1" applyBorder="1" applyAlignment="1" applyProtection="1">
      <alignment horizontal="left" vertical="center" wrapText="1"/>
      <protection locked="0"/>
    </xf>
    <xf numFmtId="0" fontId="14" fillId="0" borderId="1" xfId="1" applyFont="1" applyBorder="1" applyAlignment="1">
      <alignment horizontal="left" vertical="top" wrapText="1"/>
    </xf>
    <xf numFmtId="0" fontId="14" fillId="0" borderId="2" xfId="1" applyFont="1" applyBorder="1" applyAlignment="1">
      <alignment horizontal="left" vertical="top"/>
    </xf>
    <xf numFmtId="0" fontId="14" fillId="0" borderId="3" xfId="1" applyFont="1" applyBorder="1" applyAlignment="1">
      <alignment horizontal="left"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4" xfId="1" applyFont="1" applyBorder="1" applyAlignment="1">
      <alignment horizontal="left" vertical="top" wrapText="1"/>
    </xf>
    <xf numFmtId="0" fontId="14" fillId="0" borderId="1"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8" fillId="0" borderId="1" xfId="1" applyFont="1" applyFill="1" applyBorder="1" applyAlignment="1" applyProtection="1">
      <alignment horizontal="left" vertical="center" wrapText="1"/>
      <protection locked="0"/>
    </xf>
    <xf numFmtId="0" fontId="8" fillId="0" borderId="2" xfId="1" applyFont="1" applyFill="1" applyBorder="1" applyAlignment="1" applyProtection="1">
      <alignment horizontal="left" vertical="center" wrapText="1"/>
      <protection locked="0"/>
    </xf>
    <xf numFmtId="0" fontId="8" fillId="0" borderId="3" xfId="1" applyFont="1" applyFill="1" applyBorder="1" applyAlignment="1" applyProtection="1">
      <alignment horizontal="left" vertical="center" wrapText="1"/>
      <protection locked="0"/>
    </xf>
    <xf numFmtId="0" fontId="7" fillId="2" borderId="4" xfId="1" applyFont="1" applyFill="1" applyBorder="1" applyAlignment="1">
      <alignment horizontal="left" vertical="top"/>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5" xfId="1" applyFont="1" applyFill="1" applyBorder="1" applyAlignment="1">
      <alignment horizontal="left" vertical="top"/>
    </xf>
    <xf numFmtId="0" fontId="7" fillId="0" borderId="6" xfId="1" applyFont="1" applyFill="1" applyBorder="1" applyAlignment="1">
      <alignment horizontal="left" vertical="top"/>
    </xf>
    <xf numFmtId="0" fontId="7" fillId="0" borderId="7" xfId="1" applyFont="1" applyFill="1" applyBorder="1" applyAlignment="1">
      <alignment horizontal="left" vertical="top"/>
    </xf>
    <xf numFmtId="0" fontId="7" fillId="0" borderId="8" xfId="1" applyFont="1" applyFill="1" applyBorder="1" applyAlignment="1">
      <alignment horizontal="left" vertical="top"/>
    </xf>
    <xf numFmtId="0" fontId="7" fillId="0" borderId="9" xfId="1" applyFont="1" applyFill="1" applyBorder="1" applyAlignment="1">
      <alignment horizontal="left" vertical="top"/>
    </xf>
    <xf numFmtId="0" fontId="7" fillId="0" borderId="10" xfId="1" applyFont="1" applyFill="1" applyBorder="1" applyAlignment="1">
      <alignment horizontal="left" vertical="top"/>
    </xf>
    <xf numFmtId="0" fontId="7" fillId="0" borderId="1" xfId="1" applyFont="1" applyFill="1" applyBorder="1" applyAlignment="1">
      <alignment horizontal="center" vertical="top" wrapText="1"/>
    </xf>
    <xf numFmtId="0" fontId="7" fillId="0" borderId="3" xfId="1" applyFont="1" applyFill="1" applyBorder="1" applyAlignment="1">
      <alignment horizontal="center" vertical="top" wrapText="1"/>
    </xf>
    <xf numFmtId="14" fontId="7" fillId="0" borderId="1" xfId="1" applyNumberFormat="1" applyFont="1" applyFill="1" applyBorder="1" applyAlignment="1">
      <alignment horizontal="left" vertical="top" wrapText="1"/>
    </xf>
    <xf numFmtId="14" fontId="7" fillId="0" borderId="2" xfId="1" applyNumberFormat="1" applyFont="1" applyFill="1" applyBorder="1" applyAlignment="1">
      <alignment horizontal="left" vertical="top" wrapText="1"/>
    </xf>
    <xf numFmtId="14" fontId="7" fillId="0" borderId="3" xfId="1" applyNumberFormat="1" applyFont="1" applyFill="1" applyBorder="1" applyAlignment="1">
      <alignment horizontal="left" vertical="top" wrapTex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14" fontId="7" fillId="2" borderId="1" xfId="1" applyNumberFormat="1" applyFont="1" applyFill="1" applyBorder="1" applyAlignment="1">
      <alignment horizontal="left" vertical="top"/>
    </xf>
    <xf numFmtId="0" fontId="14" fillId="0" borderId="1" xfId="1" applyFont="1" applyFill="1" applyBorder="1" applyAlignment="1">
      <alignment horizontal="left" vertical="top"/>
    </xf>
    <xf numFmtId="0" fontId="14" fillId="0" borderId="2" xfId="1" applyFont="1" applyFill="1" applyBorder="1" applyAlignment="1">
      <alignment horizontal="left" vertical="top"/>
    </xf>
    <xf numFmtId="0" fontId="14" fillId="0" borderId="3" xfId="1" applyFont="1" applyFill="1" applyBorder="1" applyAlignment="1">
      <alignment horizontal="left" vertical="top"/>
    </xf>
    <xf numFmtId="0" fontId="9" fillId="0" borderId="1" xfId="1" applyFont="1" applyFill="1" applyBorder="1" applyAlignment="1">
      <alignment horizontal="left" vertical="top"/>
    </xf>
    <xf numFmtId="0" fontId="9" fillId="0" borderId="2" xfId="1" applyFont="1" applyFill="1" applyBorder="1" applyAlignment="1">
      <alignment horizontal="left" vertical="top"/>
    </xf>
    <xf numFmtId="0" fontId="9" fillId="0" borderId="3" xfId="1" applyFont="1" applyFill="1" applyBorder="1" applyAlignment="1">
      <alignment horizontal="left" vertical="top"/>
    </xf>
    <xf numFmtId="0" fontId="9" fillId="0" borderId="1" xfId="1" applyFont="1" applyFill="1" applyBorder="1" applyAlignment="1">
      <alignment vertical="top"/>
    </xf>
    <xf numFmtId="0" fontId="9" fillId="0" borderId="2" xfId="1" applyFont="1" applyFill="1" applyBorder="1" applyAlignment="1">
      <alignment vertical="top"/>
    </xf>
    <xf numFmtId="0" fontId="9" fillId="0" borderId="3" xfId="1" applyFont="1" applyFill="1" applyBorder="1" applyAlignment="1">
      <alignment vertical="top"/>
    </xf>
    <xf numFmtId="0" fontId="14" fillId="0" borderId="1" xfId="1" applyFont="1" applyFill="1" applyBorder="1" applyAlignment="1">
      <alignment horizontal="center" vertical="top" wrapText="1"/>
    </xf>
    <xf numFmtId="0" fontId="14" fillId="0" borderId="3" xfId="1" applyFont="1" applyFill="1" applyBorder="1" applyAlignment="1">
      <alignment horizontal="center" vertical="top" wrapText="1"/>
    </xf>
    <xf numFmtId="0" fontId="14" fillId="0" borderId="2" xfId="1" applyFont="1" applyFill="1" applyBorder="1" applyAlignment="1">
      <alignment horizontal="center" vertical="top" wrapText="1"/>
    </xf>
    <xf numFmtId="1" fontId="7" fillId="0" borderId="6" xfId="1" applyNumberFormat="1" applyFont="1" applyFill="1" applyBorder="1" applyAlignment="1">
      <alignment horizontal="center" vertical="center" wrapText="1"/>
    </xf>
    <xf numFmtId="1" fontId="7" fillId="0" borderId="9" xfId="1"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0" fontId="7" fillId="2" borderId="1" xfId="1" applyFont="1" applyFill="1" applyBorder="1" applyAlignment="1">
      <alignment horizontal="left" vertical="top"/>
    </xf>
    <xf numFmtId="0" fontId="15" fillId="0" borderId="1" xfId="1" applyFont="1" applyFill="1" applyBorder="1" applyAlignment="1">
      <alignment horizontal="left" vertical="top"/>
    </xf>
    <xf numFmtId="0" fontId="15" fillId="0" borderId="3" xfId="1" applyFont="1" applyFill="1" applyBorder="1" applyAlignment="1">
      <alignment horizontal="left" vertical="top"/>
    </xf>
    <xf numFmtId="0" fontId="14" fillId="2" borderId="1" xfId="1" applyFont="1" applyFill="1" applyBorder="1" applyAlignment="1">
      <alignment horizontal="left" vertical="top"/>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0" fontId="15" fillId="0" borderId="1"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3" xfId="1" applyFont="1" applyFill="1" applyBorder="1" applyAlignment="1">
      <alignment horizontal="left"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1" xfId="0" applyNumberFormat="1" applyFont="1" applyFill="1" applyBorder="1" applyAlignment="1">
      <alignment horizontal="center" vertical="top" wrapText="1"/>
    </xf>
    <xf numFmtId="1" fontId="9" fillId="0" borderId="2" xfId="0" applyNumberFormat="1" applyFont="1" applyFill="1" applyBorder="1" applyAlignment="1">
      <alignment horizontal="center" vertical="top" wrapText="1"/>
    </xf>
    <xf numFmtId="1" fontId="9" fillId="0" borderId="3" xfId="0" applyNumberFormat="1" applyFont="1" applyFill="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Fill="1" applyBorder="1" applyAlignment="1">
      <alignment horizontal="left" vertical="center" wrapText="1"/>
    </xf>
    <xf numFmtId="1" fontId="7" fillId="0" borderId="3" xfId="0" applyNumberFormat="1" applyFont="1" applyFill="1" applyBorder="1" applyAlignment="1">
      <alignment horizontal="left" vertical="center" wrapText="1"/>
    </xf>
    <xf numFmtId="1" fontId="9" fillId="0" borderId="1" xfId="1" applyNumberFormat="1" applyFont="1" applyFill="1" applyBorder="1" applyAlignment="1">
      <alignment horizontal="center" vertical="top" wrapText="1"/>
    </xf>
    <xf numFmtId="1" fontId="9" fillId="0" borderId="3" xfId="1" applyNumberFormat="1" applyFont="1" applyFill="1" applyBorder="1" applyAlignment="1">
      <alignment horizontal="center" vertical="top"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9" fillId="0" borderId="4" xfId="0" applyNumberFormat="1" applyFont="1" applyFill="1" applyBorder="1" applyAlignment="1">
      <alignment horizontal="left" vertical="top" wrapText="1"/>
    </xf>
    <xf numFmtId="0" fontId="15" fillId="0" borderId="4" xfId="2" applyFont="1" applyBorder="1" applyAlignment="1">
      <alignment horizontal="left" vertical="top" wrapText="1"/>
    </xf>
    <xf numFmtId="0" fontId="9" fillId="0" borderId="1" xfId="1" applyFont="1" applyFill="1" applyBorder="1" applyAlignment="1">
      <alignment horizontal="center" vertical="top"/>
    </xf>
    <xf numFmtId="0" fontId="9" fillId="0" borderId="2" xfId="1" applyFont="1" applyFill="1" applyBorder="1" applyAlignment="1">
      <alignment horizontal="center" vertical="top"/>
    </xf>
    <xf numFmtId="0" fontId="9" fillId="0" borderId="3" xfId="1" applyFont="1" applyFill="1" applyBorder="1" applyAlignment="1">
      <alignment horizontal="center" vertical="top"/>
    </xf>
    <xf numFmtId="0" fontId="22" fillId="0" borderId="1" xfId="8" applyFill="1" applyBorder="1" applyAlignment="1">
      <alignment horizontal="left" vertical="top"/>
    </xf>
    <xf numFmtId="0" fontId="7" fillId="0" borderId="4" xfId="1" applyFont="1" applyFill="1" applyBorder="1" applyAlignment="1">
      <alignment horizontal="center" vertical="top"/>
    </xf>
    <xf numFmtId="0" fontId="8" fillId="0" borderId="3" xfId="1" applyFont="1" applyBorder="1" applyAlignment="1">
      <alignment horizontal="left"/>
    </xf>
    <xf numFmtId="164" fontId="7" fillId="0" borderId="1" xfId="1" applyNumberFormat="1" applyFont="1" applyFill="1" applyBorder="1" applyAlignment="1">
      <alignment horizontal="left" vertical="top" wrapText="1"/>
    </xf>
    <xf numFmtId="164" fontId="7" fillId="0" borderId="2" xfId="1" applyNumberFormat="1" applyFont="1" applyFill="1" applyBorder="1" applyAlignment="1">
      <alignment horizontal="left" vertical="top" wrapText="1"/>
    </xf>
    <xf numFmtId="164" fontId="7" fillId="0" borderId="3" xfId="1" applyNumberFormat="1" applyFont="1" applyFill="1" applyBorder="1" applyAlignment="1">
      <alignment horizontal="left" vertical="top" wrapText="1"/>
    </xf>
    <xf numFmtId="0" fontId="17" fillId="0" borderId="4" xfId="0" applyFont="1" applyBorder="1" applyAlignment="1">
      <alignment horizontal="center"/>
    </xf>
    <xf numFmtId="0" fontId="17" fillId="0" borderId="4" xfId="0" applyFont="1" applyBorder="1" applyAlignment="1">
      <alignment horizontal="left"/>
    </xf>
    <xf numFmtId="0" fontId="17" fillId="3" borderId="4" xfId="0" applyFont="1" applyFill="1" applyBorder="1" applyAlignment="1">
      <alignment horizontal="center"/>
    </xf>
    <xf numFmtId="0" fontId="16" fillId="0" borderId="4" xfId="0" applyFont="1" applyBorder="1" applyAlignment="1">
      <alignment horizontal="center"/>
    </xf>
    <xf numFmtId="0" fontId="10" fillId="0" borderId="4" xfId="6" applyFont="1" applyBorder="1" applyAlignment="1">
      <alignment horizontal="left"/>
    </xf>
    <xf numFmtId="0" fontId="0" fillId="3" borderId="4" xfId="0" applyFill="1" applyBorder="1" applyAlignment="1">
      <alignment horizontal="center" wrapText="1"/>
    </xf>
    <xf numFmtId="0" fontId="10" fillId="0" borderId="4" xfId="0" applyFont="1" applyBorder="1" applyAlignment="1">
      <alignment horizontal="center"/>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326655</xdr:colOff>
      <xdr:row>295</xdr:row>
      <xdr:rowOff>70092</xdr:rowOff>
    </xdr:from>
    <xdr:to>
      <xdr:col>9</xdr:col>
      <xdr:colOff>129734</xdr:colOff>
      <xdr:row>311</xdr:row>
      <xdr:rowOff>90270</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42979" y="63921210"/>
          <a:ext cx="5249137" cy="3247472"/>
        </a:xfrm>
        <a:prstGeom prst="rect">
          <a:avLst/>
        </a:prstGeom>
        <a:ln>
          <a:solidFill>
            <a:schemeClr val="tx1"/>
          </a:solidFill>
        </a:ln>
      </xdr:spPr>
    </xdr:pic>
    <xdr:clientData/>
  </xdr:twoCellAnchor>
  <xdr:twoCellAnchor editAs="oneCell">
    <xdr:from>
      <xdr:col>1</xdr:col>
      <xdr:colOff>337860</xdr:colOff>
      <xdr:row>278</xdr:row>
      <xdr:rowOff>123264</xdr:rowOff>
    </xdr:from>
    <xdr:to>
      <xdr:col>9</xdr:col>
      <xdr:colOff>137974</xdr:colOff>
      <xdr:row>294</xdr:row>
      <xdr:rowOff>135971</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954184" y="60545382"/>
          <a:ext cx="5246172" cy="3240001"/>
        </a:xfrm>
        <a:prstGeom prst="rect">
          <a:avLst/>
        </a:prstGeom>
        <a:ln>
          <a:solidFill>
            <a:schemeClr val="tx1"/>
          </a:solidFill>
        </a:ln>
      </xdr:spPr>
    </xdr:pic>
    <xdr:clientData/>
  </xdr:twoCellAnchor>
  <xdr:twoCellAnchor>
    <xdr:from>
      <xdr:col>10</xdr:col>
      <xdr:colOff>101057</xdr:colOff>
      <xdr:row>213</xdr:row>
      <xdr:rowOff>24603</xdr:rowOff>
    </xdr:from>
    <xdr:to>
      <xdr:col>12</xdr:col>
      <xdr:colOff>183625</xdr:colOff>
      <xdr:row>214</xdr:row>
      <xdr:rowOff>199585</xdr:rowOff>
    </xdr:to>
    <xdr:sp macro="" textlink="">
      <xdr:nvSpPr>
        <xdr:cNvPr id="18" name="Rectangle 17">
          <a:extLst>
            <a:ext uri="{FF2B5EF4-FFF2-40B4-BE49-F238E27FC236}">
              <a16:creationId xmlns="" xmlns:a16="http://schemas.microsoft.com/office/drawing/2014/main" id="{00000000-0008-0000-0000-000012000000}"/>
            </a:ext>
          </a:extLst>
        </xdr:cNvPr>
        <xdr:cNvSpPr/>
      </xdr:nvSpPr>
      <xdr:spPr>
        <a:xfrm>
          <a:off x="7035257" y="49383153"/>
          <a:ext cx="930293" cy="37500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15</xdr:col>
      <xdr:colOff>107582</xdr:colOff>
      <xdr:row>236</xdr:row>
      <xdr:rowOff>133350</xdr:rowOff>
    </xdr:from>
    <xdr:to>
      <xdr:col>16</xdr:col>
      <xdr:colOff>357456</xdr:colOff>
      <xdr:row>238</xdr:row>
      <xdr:rowOff>82436</xdr:rowOff>
    </xdr:to>
    <xdr:sp macro="" textlink="">
      <xdr:nvSpPr>
        <xdr:cNvPr id="25" name="Rectangle 24">
          <a:extLst>
            <a:ext uri="{FF2B5EF4-FFF2-40B4-BE49-F238E27FC236}">
              <a16:creationId xmlns="" xmlns:a16="http://schemas.microsoft.com/office/drawing/2014/main" id="{00000000-0008-0000-0000-000019000000}"/>
            </a:ext>
          </a:extLst>
        </xdr:cNvPr>
        <xdr:cNvSpPr/>
      </xdr:nvSpPr>
      <xdr:spPr>
        <a:xfrm>
          <a:off x="9718307" y="52139850"/>
          <a:ext cx="859474" cy="34913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0" cap="none" spc="0">
              <a:ln w="0"/>
              <a:solidFill>
                <a:sysClr val="windowText" lastClr="000000"/>
              </a:solidFill>
              <a:effectLst>
                <a:outerShdw blurRad="38100" dist="25400" dir="5400000" algn="ctr" rotWithShape="0">
                  <a:srgbClr val="6E747A">
                    <a:alpha val="43000"/>
                  </a:srgbClr>
                </a:outerShdw>
              </a:effectLst>
            </a:rPr>
            <a:t>B Wing </a:t>
          </a:r>
        </a:p>
      </xdr:txBody>
    </xdr:sp>
    <xdr:clientData/>
  </xdr:twoCellAnchor>
  <xdr:twoCellAnchor>
    <xdr:from>
      <xdr:col>17</xdr:col>
      <xdr:colOff>145314</xdr:colOff>
      <xdr:row>236</xdr:row>
      <xdr:rowOff>0</xdr:rowOff>
    </xdr:from>
    <xdr:to>
      <xdr:col>18</xdr:col>
      <xdr:colOff>395188</xdr:colOff>
      <xdr:row>237</xdr:row>
      <xdr:rowOff>145936</xdr:rowOff>
    </xdr:to>
    <xdr:sp macro="" textlink="">
      <xdr:nvSpPr>
        <xdr:cNvPr id="26" name="Rectangle 25">
          <a:extLst>
            <a:ext uri="{FF2B5EF4-FFF2-40B4-BE49-F238E27FC236}">
              <a16:creationId xmlns="" xmlns:a16="http://schemas.microsoft.com/office/drawing/2014/main" id="{00000000-0008-0000-0000-00001A000000}"/>
            </a:ext>
          </a:extLst>
        </xdr:cNvPr>
        <xdr:cNvSpPr/>
      </xdr:nvSpPr>
      <xdr:spPr>
        <a:xfrm>
          <a:off x="10975239" y="52006500"/>
          <a:ext cx="859474" cy="3459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0" cap="none" spc="0">
              <a:ln w="0"/>
              <a:solidFill>
                <a:sysClr val="windowText" lastClr="000000"/>
              </a:solidFill>
              <a:effectLst>
                <a:outerShdw blurRad="38100" dist="25400" dir="5400000" algn="ctr" rotWithShape="0">
                  <a:srgbClr val="6E747A">
                    <a:alpha val="43000"/>
                  </a:srgbClr>
                </a:outerShdw>
              </a:effectLst>
            </a:rPr>
            <a:t>C Wing </a:t>
          </a:r>
        </a:p>
      </xdr:txBody>
    </xdr:sp>
    <xdr:clientData/>
  </xdr:twoCellAnchor>
  <xdr:twoCellAnchor>
    <xdr:from>
      <xdr:col>11</xdr:col>
      <xdr:colOff>0</xdr:colOff>
      <xdr:row>251</xdr:row>
      <xdr:rowOff>141265</xdr:rowOff>
    </xdr:from>
    <xdr:to>
      <xdr:col>12</xdr:col>
      <xdr:colOff>249874</xdr:colOff>
      <xdr:row>253</xdr:row>
      <xdr:rowOff>90351</xdr:rowOff>
    </xdr:to>
    <xdr:sp macro="" textlink="">
      <xdr:nvSpPr>
        <xdr:cNvPr id="27" name="Rectangle 26">
          <a:extLst>
            <a:ext uri="{FF2B5EF4-FFF2-40B4-BE49-F238E27FC236}">
              <a16:creationId xmlns="" xmlns:a16="http://schemas.microsoft.com/office/drawing/2014/main" id="{00000000-0008-0000-0000-00001B000000}"/>
            </a:ext>
          </a:extLst>
        </xdr:cNvPr>
        <xdr:cNvSpPr/>
      </xdr:nvSpPr>
      <xdr:spPr>
        <a:xfrm>
          <a:off x="7172325" y="55138615"/>
          <a:ext cx="859474" cy="34913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0" cap="none" spc="0">
              <a:ln w="0"/>
              <a:solidFill>
                <a:sysClr val="windowText" lastClr="000000"/>
              </a:solidFill>
              <a:effectLst>
                <a:outerShdw blurRad="38100" dist="25400" dir="5400000" algn="ctr" rotWithShape="0">
                  <a:srgbClr val="6E747A">
                    <a:alpha val="43000"/>
                  </a:srgbClr>
                </a:outerShdw>
              </a:effectLst>
            </a:rPr>
            <a:t>D Wing </a:t>
          </a:r>
        </a:p>
      </xdr:txBody>
    </xdr:sp>
    <xdr:clientData/>
  </xdr:twoCellAnchor>
  <xdr:twoCellAnchor>
    <xdr:from>
      <xdr:col>0</xdr:col>
      <xdr:colOff>107575</xdr:colOff>
      <xdr:row>236</xdr:row>
      <xdr:rowOff>85163</xdr:rowOff>
    </xdr:from>
    <xdr:to>
      <xdr:col>9</xdr:col>
      <xdr:colOff>767787</xdr:colOff>
      <xdr:row>275</xdr:row>
      <xdr:rowOff>187205</xdr:rowOff>
    </xdr:to>
    <xdr:grpSp>
      <xdr:nvGrpSpPr>
        <xdr:cNvPr id="6" name="Group 5"/>
        <xdr:cNvGrpSpPr/>
      </xdr:nvGrpSpPr>
      <xdr:grpSpPr>
        <a:xfrm>
          <a:off x="107575" y="51912369"/>
          <a:ext cx="6722594" cy="7957365"/>
          <a:chOff x="107575" y="52046839"/>
          <a:chExt cx="6722594" cy="7957366"/>
        </a:xfrm>
      </xdr:grpSpPr>
      <xdr:grpSp>
        <xdr:nvGrpSpPr>
          <xdr:cNvPr id="5" name="Group 4"/>
          <xdr:cNvGrpSpPr/>
        </xdr:nvGrpSpPr>
        <xdr:grpSpPr>
          <a:xfrm>
            <a:off x="107575" y="52046839"/>
            <a:ext cx="6722594" cy="7957366"/>
            <a:chOff x="107575" y="52024428"/>
            <a:chExt cx="6722594" cy="7957365"/>
          </a:xfrm>
        </xdr:grpSpPr>
        <xdr:pic>
          <xdr:nvPicPr>
            <xdr:cNvPr id="60" name="Picture 59" descr="https://vsjcllp.vsjadon.com/upload/insp-239902-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210736" y="57799940"/>
              <a:ext cx="1619433" cy="21768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39902-844.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578723" y="52024428"/>
              <a:ext cx="2073871" cy="27898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39902-847.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59976" y="54923951"/>
              <a:ext cx="2071720" cy="27898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39902-849.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813112" y="57801060"/>
              <a:ext cx="1617753" cy="21784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39902-87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39806" y="52027232"/>
              <a:ext cx="2071720" cy="27876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39902-874.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409264" y="52033954"/>
              <a:ext cx="2071720" cy="27898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39902-88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07575" y="57802182"/>
              <a:ext cx="1621675" cy="21784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39902-102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416548" y="54919469"/>
              <a:ext cx="2070286" cy="27898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39902-916.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586007" y="54916668"/>
              <a:ext cx="2070286" cy="27876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39902-1512.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505761" y="57803304"/>
              <a:ext cx="1616633" cy="21784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70" name="Rectangle 69">
            <a:extLst>
              <a:ext uri="{FF2B5EF4-FFF2-40B4-BE49-F238E27FC236}">
                <a16:creationId xmlns="" xmlns:a16="http://schemas.microsoft.com/office/drawing/2014/main" id="{00000000-0008-0000-0000-000019000000}"/>
              </a:ext>
            </a:extLst>
          </xdr:cNvPr>
          <xdr:cNvSpPr/>
        </xdr:nvSpPr>
        <xdr:spPr>
          <a:xfrm>
            <a:off x="376516" y="52058045"/>
            <a:ext cx="854992" cy="35249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1" cap="none" spc="0">
                <a:ln w="0"/>
                <a:solidFill>
                  <a:sysClr val="windowText" lastClr="000000"/>
                </a:solidFill>
                <a:effectLst>
                  <a:outerShdw blurRad="38100" dist="25400" dir="5400000" algn="ctr" rotWithShape="0">
                    <a:srgbClr val="6E747A">
                      <a:alpha val="43000"/>
                    </a:srgbClr>
                  </a:outerShdw>
                </a:effectLst>
              </a:rPr>
              <a:t>A Wing </a:t>
            </a:r>
          </a:p>
        </xdr:txBody>
      </xdr:sp>
      <xdr:sp macro="" textlink="">
        <xdr:nvSpPr>
          <xdr:cNvPr id="71" name="Rectangle 70">
            <a:extLst>
              <a:ext uri="{FF2B5EF4-FFF2-40B4-BE49-F238E27FC236}">
                <a16:creationId xmlns="" xmlns:a16="http://schemas.microsoft.com/office/drawing/2014/main" id="{00000000-0008-0000-0000-000019000000}"/>
              </a:ext>
            </a:extLst>
          </xdr:cNvPr>
          <xdr:cNvSpPr/>
        </xdr:nvSpPr>
        <xdr:spPr>
          <a:xfrm>
            <a:off x="4619063" y="52109592"/>
            <a:ext cx="854992" cy="35249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1" cap="none" spc="0">
                <a:ln w="0"/>
                <a:solidFill>
                  <a:sysClr val="windowText" lastClr="000000"/>
                </a:solidFill>
                <a:effectLst>
                  <a:outerShdw blurRad="38100" dist="25400" dir="5400000" algn="ctr" rotWithShape="0">
                    <a:srgbClr val="6E747A">
                      <a:alpha val="43000"/>
                    </a:srgbClr>
                  </a:outerShdw>
                </a:effectLst>
              </a:rPr>
              <a:t>C Wing </a:t>
            </a:r>
          </a:p>
        </xdr:txBody>
      </xdr:sp>
      <xdr:sp macro="" textlink="">
        <xdr:nvSpPr>
          <xdr:cNvPr id="72" name="Rectangle 71">
            <a:extLst>
              <a:ext uri="{FF2B5EF4-FFF2-40B4-BE49-F238E27FC236}">
                <a16:creationId xmlns="" xmlns:a16="http://schemas.microsoft.com/office/drawing/2014/main" id="{00000000-0008-0000-0000-000019000000}"/>
              </a:ext>
            </a:extLst>
          </xdr:cNvPr>
          <xdr:cNvSpPr/>
        </xdr:nvSpPr>
        <xdr:spPr>
          <a:xfrm>
            <a:off x="2575110" y="52060286"/>
            <a:ext cx="854992" cy="35249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1" cap="none" spc="0">
                <a:ln w="0"/>
                <a:solidFill>
                  <a:sysClr val="windowText" lastClr="000000"/>
                </a:solidFill>
                <a:effectLst>
                  <a:outerShdw blurRad="38100" dist="25400" dir="5400000" algn="ctr" rotWithShape="0">
                    <a:srgbClr val="6E747A">
                      <a:alpha val="43000"/>
                    </a:srgbClr>
                  </a:outerShdw>
                </a:effectLst>
              </a:rPr>
              <a:t>B Wing </a:t>
            </a:r>
          </a:p>
        </xdr:txBody>
      </xdr:sp>
      <xdr:sp macro="" textlink="">
        <xdr:nvSpPr>
          <xdr:cNvPr id="73" name="Rectangle 72">
            <a:extLst>
              <a:ext uri="{FF2B5EF4-FFF2-40B4-BE49-F238E27FC236}">
                <a16:creationId xmlns="" xmlns:a16="http://schemas.microsoft.com/office/drawing/2014/main" id="{00000000-0008-0000-0000-000019000000}"/>
              </a:ext>
            </a:extLst>
          </xdr:cNvPr>
          <xdr:cNvSpPr/>
        </xdr:nvSpPr>
        <xdr:spPr>
          <a:xfrm>
            <a:off x="779928" y="54960369"/>
            <a:ext cx="854992" cy="35249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1" cap="none" spc="0">
                <a:ln w="0"/>
                <a:solidFill>
                  <a:sysClr val="windowText" lastClr="000000"/>
                </a:solidFill>
                <a:effectLst>
                  <a:outerShdw blurRad="38100" dist="25400" dir="5400000" algn="ctr" rotWithShape="0">
                    <a:srgbClr val="6E747A">
                      <a:alpha val="43000"/>
                    </a:srgbClr>
                  </a:outerShdw>
                </a:effectLst>
              </a:rPr>
              <a:t>D Wing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7</xdr:col>
      <xdr:colOff>187500</xdr:colOff>
      <xdr:row>34</xdr:row>
      <xdr:rowOff>113760</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85900" y="2011680"/>
          <a:ext cx="3235500" cy="432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497268</xdr:colOff>
      <xdr:row>33</xdr:row>
      <xdr:rowOff>129000</xdr:rowOff>
    </xdr:to>
    <xdr:pic>
      <xdr:nvPicPr>
        <xdr:cNvPr id="2" name="Picture 1">
          <a:extLst>
            <a:ext uri="{FF2B5EF4-FFF2-40B4-BE49-F238E27FC236}">
              <a16:creationId xmlns=""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23900" y="1897380"/>
          <a:ext cx="7248588" cy="4335240"/>
        </a:xfrm>
        <a:prstGeom prst="rect">
          <a:avLst/>
        </a:prstGeom>
        <a:ln>
          <a:solidFill>
            <a:schemeClr val="tx1"/>
          </a:solidFill>
        </a:ln>
      </xdr:spPr>
    </xdr:pic>
    <xdr:clientData/>
  </xdr:twoCellAnchor>
  <xdr:twoCellAnchor editAs="oneCell">
    <xdr:from>
      <xdr:col>1</xdr:col>
      <xdr:colOff>0</xdr:colOff>
      <xdr:row>34</xdr:row>
      <xdr:rowOff>49265</xdr:rowOff>
    </xdr:from>
    <xdr:to>
      <xdr:col>6</xdr:col>
      <xdr:colOff>1190514</xdr:colOff>
      <xdr:row>57</xdr:row>
      <xdr:rowOff>163025</xdr:rowOff>
    </xdr:to>
    <xdr:pic>
      <xdr:nvPicPr>
        <xdr:cNvPr id="3" name="Picture 2">
          <a:extLst>
            <a:ext uri="{FF2B5EF4-FFF2-40B4-BE49-F238E27FC236}">
              <a16:creationId xmlns=""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723900" y="6351005"/>
          <a:ext cx="7972314"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W7r3UaoTXsbgSZq8"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8"/>
  <sheetViews>
    <sheetView tabSelected="1" view="pageBreakPreview" topLeftCell="A67" zoomScale="85" zoomScaleNormal="100" zoomScaleSheetLayoutView="85" zoomScalePageLayoutView="85" workbookViewId="0">
      <selection activeCell="O78" sqref="O78"/>
    </sheetView>
  </sheetViews>
  <sheetFormatPr defaultRowHeight="15.75" x14ac:dyDescent="0.25"/>
  <cols>
    <col min="1" max="1" width="9.28515625" style="12" customWidth="1"/>
    <col min="2" max="2" width="12.42578125" style="12" customWidth="1"/>
    <col min="3" max="3" width="14.7109375" style="12" customWidth="1"/>
    <col min="4" max="4" width="7.28515625" style="12" customWidth="1"/>
    <col min="5" max="5" width="5.5703125" style="12" customWidth="1"/>
    <col min="6" max="6" width="9.85546875" style="12" customWidth="1"/>
    <col min="7" max="7" width="10.140625" style="12" customWidth="1"/>
    <col min="8" max="8" width="10.5703125" style="12" customWidth="1"/>
    <col min="9" max="9" width="11.140625" style="12" customWidth="1"/>
    <col min="10" max="10" width="13" style="12" customWidth="1"/>
    <col min="11" max="11" width="3.5703125" style="12" customWidth="1"/>
    <col min="12"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6" ht="46.5" customHeight="1" x14ac:dyDescent="0.25">
      <c r="A1" s="170" t="s">
        <v>285</v>
      </c>
      <c r="B1" s="171"/>
      <c r="C1" s="171"/>
      <c r="D1" s="171"/>
      <c r="E1" s="171"/>
      <c r="F1" s="171"/>
      <c r="G1" s="171"/>
      <c r="H1" s="171"/>
      <c r="I1" s="171"/>
      <c r="J1" s="172"/>
    </row>
    <row r="2" spans="1:16" ht="16.5" customHeight="1" x14ac:dyDescent="0.25">
      <c r="A2" s="173" t="s">
        <v>0</v>
      </c>
      <c r="B2" s="174"/>
      <c r="C2" s="174"/>
      <c r="D2" s="174"/>
      <c r="E2" s="174"/>
      <c r="F2" s="174"/>
      <c r="G2" s="174"/>
      <c r="H2" s="174"/>
      <c r="I2" s="174"/>
      <c r="J2" s="175"/>
    </row>
    <row r="3" spans="1:16" x14ac:dyDescent="0.25">
      <c r="A3" s="91" t="s">
        <v>1</v>
      </c>
      <c r="B3" s="92"/>
      <c r="C3" s="92"/>
      <c r="D3" s="92"/>
      <c r="E3" s="93"/>
      <c r="F3" s="158" t="str">
        <f ca="1">TEXT(TODAY(),"DD/MM/YYYY")</f>
        <v>15/07/2025</v>
      </c>
      <c r="G3" s="159"/>
      <c r="H3" s="159"/>
      <c r="I3" s="159"/>
      <c r="J3" s="160"/>
    </row>
    <row r="4" spans="1:16" ht="15" customHeight="1" x14ac:dyDescent="0.25">
      <c r="A4" s="91" t="s">
        <v>2</v>
      </c>
      <c r="B4" s="92"/>
      <c r="C4" s="92"/>
      <c r="D4" s="92"/>
      <c r="E4" s="93"/>
      <c r="F4" s="179" t="s">
        <v>178</v>
      </c>
      <c r="G4" s="180"/>
      <c r="H4" s="180"/>
      <c r="I4" s="180"/>
      <c r="J4" s="181"/>
    </row>
    <row r="5" spans="1:16" x14ac:dyDescent="0.25">
      <c r="A5" s="91" t="s">
        <v>3</v>
      </c>
      <c r="B5" s="92"/>
      <c r="C5" s="92"/>
      <c r="D5" s="92"/>
      <c r="E5" s="93"/>
      <c r="F5" s="158">
        <v>45848</v>
      </c>
      <c r="G5" s="159"/>
      <c r="H5" s="159"/>
      <c r="I5" s="159"/>
      <c r="J5" s="160"/>
    </row>
    <row r="6" spans="1:16" ht="16.5" customHeight="1" x14ac:dyDescent="0.25">
      <c r="A6" s="91" t="s">
        <v>4</v>
      </c>
      <c r="B6" s="92"/>
      <c r="C6" s="92"/>
      <c r="D6" s="92"/>
      <c r="E6" s="93"/>
      <c r="F6" s="161" t="s">
        <v>179</v>
      </c>
      <c r="G6" s="162"/>
      <c r="H6" s="162"/>
      <c r="I6" s="162"/>
      <c r="J6" s="163"/>
    </row>
    <row r="7" spans="1:16" ht="15" customHeight="1" x14ac:dyDescent="0.25">
      <c r="A7" s="91" t="s">
        <v>5</v>
      </c>
      <c r="B7" s="92"/>
      <c r="C7" s="92"/>
      <c r="D7" s="92"/>
      <c r="E7" s="93"/>
      <c r="F7" s="161" t="str">
        <f>F6</f>
        <v>M/s.Shakti Developers</v>
      </c>
      <c r="G7" s="162"/>
      <c r="H7" s="162"/>
      <c r="I7" s="162"/>
      <c r="J7" s="163"/>
    </row>
    <row r="8" spans="1:16" x14ac:dyDescent="0.25">
      <c r="A8" s="91" t="s">
        <v>6</v>
      </c>
      <c r="B8" s="92"/>
      <c r="C8" s="92"/>
      <c r="D8" s="92"/>
      <c r="E8" s="93"/>
      <c r="F8" s="176" t="s">
        <v>263</v>
      </c>
      <c r="G8" s="177"/>
      <c r="H8" s="177"/>
      <c r="I8" s="177"/>
      <c r="J8" s="178"/>
    </row>
    <row r="9" spans="1:16" x14ac:dyDescent="0.25">
      <c r="A9" s="91" t="s">
        <v>283</v>
      </c>
      <c r="B9" s="92"/>
      <c r="C9" s="92"/>
      <c r="D9" s="92"/>
      <c r="E9" s="93"/>
      <c r="F9" s="91">
        <v>9819933845</v>
      </c>
      <c r="G9" s="92"/>
      <c r="H9" s="92"/>
      <c r="I9" s="92"/>
      <c r="J9" s="93"/>
    </row>
    <row r="10" spans="1:16" x14ac:dyDescent="0.25">
      <c r="A10" s="91" t="s">
        <v>284</v>
      </c>
      <c r="B10" s="92"/>
      <c r="C10" s="92"/>
      <c r="D10" s="92"/>
      <c r="E10" s="93"/>
      <c r="F10" s="91" t="s">
        <v>289</v>
      </c>
      <c r="G10" s="92"/>
      <c r="H10" s="92"/>
      <c r="I10" s="92"/>
      <c r="J10" s="93"/>
      <c r="L10" s="91">
        <v>8421346925</v>
      </c>
      <c r="M10" s="92"/>
      <c r="N10" s="92"/>
      <c r="O10" s="92"/>
      <c r="P10" s="93"/>
    </row>
    <row r="11" spans="1:16" ht="63" customHeight="1" x14ac:dyDescent="0.25">
      <c r="A11" s="91" t="s">
        <v>7</v>
      </c>
      <c r="B11" s="92"/>
      <c r="C11" s="92"/>
      <c r="D11" s="92"/>
      <c r="E11" s="93"/>
      <c r="F11" s="155" t="s">
        <v>210</v>
      </c>
      <c r="G11" s="156"/>
      <c r="H11" s="156"/>
      <c r="I11" s="156"/>
      <c r="J11" s="157"/>
    </row>
    <row r="12" spans="1:16" ht="16.5" customHeight="1" x14ac:dyDescent="0.25">
      <c r="A12" s="91" t="s">
        <v>8</v>
      </c>
      <c r="B12" s="92"/>
      <c r="C12" s="92"/>
      <c r="D12" s="92"/>
      <c r="E12" s="93"/>
      <c r="F12" s="155" t="s">
        <v>9</v>
      </c>
      <c r="G12" s="164"/>
      <c r="H12" s="164"/>
      <c r="I12" s="164"/>
      <c r="J12" s="165"/>
    </row>
    <row r="13" spans="1:16" x14ac:dyDescent="0.25">
      <c r="A13" s="91" t="s">
        <v>10</v>
      </c>
      <c r="B13" s="92"/>
      <c r="C13" s="92"/>
      <c r="D13" s="92"/>
      <c r="E13" s="93"/>
      <c r="F13" s="91" t="s">
        <v>211</v>
      </c>
      <c r="G13" s="92"/>
      <c r="H13" s="92"/>
      <c r="I13" s="92"/>
      <c r="J13" s="93"/>
    </row>
    <row r="14" spans="1:16" ht="32.25" customHeight="1" x14ac:dyDescent="0.25">
      <c r="A14" s="166" t="s">
        <v>11</v>
      </c>
      <c r="B14" s="166"/>
      <c r="C14" s="161" t="str">
        <f>CONCATENATE((IF(OR(F8="",F8="NA"),"",F8)),", ",(IF(OR(A15="",A15="NA"),"",A15)),".",(IF(OR(C15="",C15="NA"),"",C15)),", ",(IF(OR(C16="",C16="NA"),"",C16)),", ",(IF(OR(H16="",H16="NA"),"",H16)),", ",(IF(OR(C17="",C17="NA"),"",C17)),", ",(IF(OR(C18="",C18="NA"),"",C18)),", ",(IF(OR(H17="",H17="NA"),"",H17)),".")</f>
        <v>The Green Orchid Phase III, Survey No.S.No.136/1 (Old S.No.86, H.No.4), S.No.136/40 (Old S.No.86, H.No.4), 81/2, 81/3, 86/3, Station Road, Bandhiwali, Shelu , Karjat, Raigad.</v>
      </c>
      <c r="D14" s="162"/>
      <c r="E14" s="162"/>
      <c r="F14" s="162"/>
      <c r="G14" s="162"/>
      <c r="H14" s="162"/>
      <c r="I14" s="162"/>
      <c r="J14" s="163"/>
    </row>
    <row r="15" spans="1:16" ht="19.5" customHeight="1" x14ac:dyDescent="0.25">
      <c r="A15" s="149" t="s">
        <v>180</v>
      </c>
      <c r="B15" s="151"/>
      <c r="C15" s="167" t="s">
        <v>181</v>
      </c>
      <c r="D15" s="168"/>
      <c r="E15" s="168"/>
      <c r="F15" s="168"/>
      <c r="G15" s="168"/>
      <c r="H15" s="168"/>
      <c r="I15" s="168"/>
      <c r="J15" s="169"/>
    </row>
    <row r="16" spans="1:16" ht="15.75" customHeight="1" x14ac:dyDescent="0.25">
      <c r="A16" s="149" t="s">
        <v>12</v>
      </c>
      <c r="B16" s="151"/>
      <c r="C16" s="135" t="s">
        <v>187</v>
      </c>
      <c r="D16" s="135"/>
      <c r="E16" s="135"/>
      <c r="F16" s="136" t="s">
        <v>139</v>
      </c>
      <c r="G16" s="137"/>
      <c r="H16" s="167" t="s">
        <v>182</v>
      </c>
      <c r="I16" s="168"/>
      <c r="J16" s="169"/>
    </row>
    <row r="17" spans="1:10" x14ac:dyDescent="0.25">
      <c r="A17" s="134" t="s">
        <v>14</v>
      </c>
      <c r="B17" s="134"/>
      <c r="C17" s="135" t="s">
        <v>186</v>
      </c>
      <c r="D17" s="135"/>
      <c r="E17" s="135"/>
      <c r="F17" s="136" t="s">
        <v>13</v>
      </c>
      <c r="G17" s="137"/>
      <c r="H17" s="138" t="s">
        <v>183</v>
      </c>
      <c r="I17" s="138"/>
      <c r="J17" s="138"/>
    </row>
    <row r="18" spans="1:10" x14ac:dyDescent="0.25">
      <c r="A18" s="134" t="s">
        <v>140</v>
      </c>
      <c r="B18" s="134"/>
      <c r="C18" s="167" t="s">
        <v>184</v>
      </c>
      <c r="D18" s="168"/>
      <c r="E18" s="169"/>
      <c r="F18" s="136" t="s">
        <v>15</v>
      </c>
      <c r="G18" s="137"/>
      <c r="H18" s="167">
        <v>410101</v>
      </c>
      <c r="I18" s="168"/>
      <c r="J18" s="169"/>
    </row>
    <row r="19" spans="1:10" ht="32.25" customHeight="1" x14ac:dyDescent="0.25">
      <c r="A19" s="134" t="s">
        <v>16</v>
      </c>
      <c r="B19" s="134"/>
      <c r="C19" s="182" t="s">
        <v>188</v>
      </c>
      <c r="D19" s="182"/>
      <c r="E19" s="182"/>
      <c r="F19" s="183" t="s">
        <v>17</v>
      </c>
      <c r="G19" s="183"/>
      <c r="H19" s="168" t="s">
        <v>185</v>
      </c>
      <c r="I19" s="168"/>
      <c r="J19" s="169"/>
    </row>
    <row r="20" spans="1:10" ht="15" customHeight="1" x14ac:dyDescent="0.25">
      <c r="A20" s="136" t="s">
        <v>151</v>
      </c>
      <c r="B20" s="184"/>
      <c r="C20" s="184"/>
      <c r="D20" s="184"/>
      <c r="E20" s="137"/>
      <c r="F20" s="188" t="s">
        <v>18</v>
      </c>
      <c r="G20" s="189"/>
      <c r="H20" s="189"/>
      <c r="I20" s="189"/>
      <c r="J20" s="190"/>
    </row>
    <row r="21" spans="1:10" ht="18.75" customHeight="1" x14ac:dyDescent="0.25">
      <c r="A21" s="185"/>
      <c r="B21" s="186"/>
      <c r="C21" s="186"/>
      <c r="D21" s="186"/>
      <c r="E21" s="187"/>
      <c r="F21" s="191"/>
      <c r="G21" s="192"/>
      <c r="H21" s="192"/>
      <c r="I21" s="192"/>
      <c r="J21" s="193"/>
    </row>
    <row r="22" spans="1:10" ht="15" customHeight="1" x14ac:dyDescent="0.25">
      <c r="A22" s="136" t="s">
        <v>19</v>
      </c>
      <c r="B22" s="184"/>
      <c r="C22" s="184"/>
      <c r="D22" s="184"/>
      <c r="E22" s="137"/>
      <c r="F22" s="136" t="s">
        <v>20</v>
      </c>
      <c r="G22" s="184"/>
      <c r="H22" s="184"/>
      <c r="I22" s="184"/>
      <c r="J22" s="137"/>
    </row>
    <row r="23" spans="1:10" x14ac:dyDescent="0.25">
      <c r="A23" s="185"/>
      <c r="B23" s="186"/>
      <c r="C23" s="186"/>
      <c r="D23" s="186"/>
      <c r="E23" s="187"/>
      <c r="F23" s="185"/>
      <c r="G23" s="186"/>
      <c r="H23" s="186"/>
      <c r="I23" s="186"/>
      <c r="J23" s="187"/>
    </row>
    <row r="24" spans="1:10" ht="15" customHeight="1" x14ac:dyDescent="0.25">
      <c r="A24" s="143" t="s">
        <v>21</v>
      </c>
      <c r="B24" s="144"/>
      <c r="C24" s="144"/>
      <c r="D24" s="144"/>
      <c r="E24" s="145"/>
      <c r="F24" s="179" t="s">
        <v>22</v>
      </c>
      <c r="G24" s="180"/>
      <c r="H24" s="180"/>
      <c r="I24" s="180"/>
      <c r="J24" s="181"/>
    </row>
    <row r="25" spans="1:10" x14ac:dyDescent="0.25">
      <c r="A25" s="143" t="s">
        <v>23</v>
      </c>
      <c r="B25" s="144"/>
      <c r="C25" s="144"/>
      <c r="D25" s="144"/>
      <c r="E25" s="145"/>
      <c r="F25" s="179" t="s">
        <v>24</v>
      </c>
      <c r="G25" s="180"/>
      <c r="H25" s="180"/>
      <c r="I25" s="180"/>
      <c r="J25" s="181"/>
    </row>
    <row r="26" spans="1:10" ht="15" customHeight="1" x14ac:dyDescent="0.25">
      <c r="A26" s="143" t="s">
        <v>25</v>
      </c>
      <c r="B26" s="144"/>
      <c r="C26" s="144"/>
      <c r="D26" s="144"/>
      <c r="E26" s="145"/>
      <c r="F26" s="179" t="s">
        <v>26</v>
      </c>
      <c r="G26" s="180"/>
      <c r="H26" s="180"/>
      <c r="I26" s="180"/>
      <c r="J26" s="181"/>
    </row>
    <row r="27" spans="1:10" x14ac:dyDescent="0.25">
      <c r="A27" s="143" t="s">
        <v>27</v>
      </c>
      <c r="B27" s="144"/>
      <c r="C27" s="144"/>
      <c r="D27" s="144"/>
      <c r="E27" s="145"/>
      <c r="F27" s="179" t="s">
        <v>28</v>
      </c>
      <c r="G27" s="180"/>
      <c r="H27" s="180"/>
      <c r="I27" s="180"/>
      <c r="J27" s="181"/>
    </row>
    <row r="28" spans="1:10" x14ac:dyDescent="0.25">
      <c r="A28" s="139" t="s">
        <v>29</v>
      </c>
      <c r="B28" s="140"/>
      <c r="C28" s="139" t="s">
        <v>30</v>
      </c>
      <c r="D28" s="140"/>
      <c r="E28" s="139" t="s">
        <v>31</v>
      </c>
      <c r="F28" s="140"/>
      <c r="G28" s="139" t="s">
        <v>33</v>
      </c>
      <c r="H28" s="140"/>
      <c r="I28" s="139" t="s">
        <v>32</v>
      </c>
      <c r="J28" s="140"/>
    </row>
    <row r="29" spans="1:10" x14ac:dyDescent="0.25">
      <c r="A29" s="141" t="s">
        <v>34</v>
      </c>
      <c r="B29" s="142"/>
      <c r="C29" s="141" t="s">
        <v>35</v>
      </c>
      <c r="D29" s="142"/>
      <c r="E29" s="141" t="s">
        <v>35</v>
      </c>
      <c r="F29" s="142"/>
      <c r="G29" s="141" t="s">
        <v>35</v>
      </c>
      <c r="H29" s="142"/>
      <c r="I29" s="141" t="s">
        <v>35</v>
      </c>
      <c r="J29" s="142"/>
    </row>
    <row r="30" spans="1:10" x14ac:dyDescent="0.25">
      <c r="A30" s="141" t="s">
        <v>36</v>
      </c>
      <c r="B30" s="142"/>
      <c r="C30" s="194" t="s">
        <v>189</v>
      </c>
      <c r="D30" s="195"/>
      <c r="E30" s="194" t="s">
        <v>12</v>
      </c>
      <c r="F30" s="195"/>
      <c r="G30" s="194" t="s">
        <v>189</v>
      </c>
      <c r="H30" s="195"/>
      <c r="I30" s="194" t="s">
        <v>189</v>
      </c>
      <c r="J30" s="195"/>
    </row>
    <row r="31" spans="1:10" x14ac:dyDescent="0.25">
      <c r="A31" s="143" t="s">
        <v>37</v>
      </c>
      <c r="B31" s="144"/>
      <c r="C31" s="144"/>
      <c r="D31" s="144"/>
      <c r="E31" s="144"/>
      <c r="F31" s="144"/>
      <c r="G31" s="144"/>
      <c r="H31" s="144"/>
      <c r="I31" s="144"/>
      <c r="J31" s="145"/>
    </row>
    <row r="32" spans="1:10" x14ac:dyDescent="0.25">
      <c r="A32" s="143" t="s">
        <v>38</v>
      </c>
      <c r="B32" s="144"/>
      <c r="C32" s="144"/>
      <c r="D32" s="144"/>
      <c r="E32" s="144"/>
      <c r="F32" s="144"/>
      <c r="G32" s="144"/>
      <c r="H32" s="144"/>
      <c r="I32" s="144"/>
      <c r="J32" s="145"/>
    </row>
    <row r="33" spans="1:10" x14ac:dyDescent="0.25">
      <c r="A33" s="143" t="s">
        <v>39</v>
      </c>
      <c r="B33" s="145"/>
      <c r="C33" s="141" t="s">
        <v>40</v>
      </c>
      <c r="D33" s="142"/>
      <c r="E33" s="141">
        <v>19.058723499999999</v>
      </c>
      <c r="F33" s="142"/>
      <c r="G33" s="141" t="s">
        <v>41</v>
      </c>
      <c r="H33" s="142"/>
      <c r="I33" s="141">
        <v>73.324008699999993</v>
      </c>
      <c r="J33" s="142"/>
    </row>
    <row r="34" spans="1:10" x14ac:dyDescent="0.25">
      <c r="A34" s="143" t="s">
        <v>261</v>
      </c>
      <c r="B34" s="145"/>
      <c r="C34" s="255" t="s">
        <v>262</v>
      </c>
      <c r="D34" s="144"/>
      <c r="E34" s="144"/>
      <c r="F34" s="144"/>
      <c r="G34" s="144"/>
      <c r="H34" s="144"/>
      <c r="I34" s="144"/>
      <c r="J34" s="145"/>
    </row>
    <row r="35" spans="1:10" x14ac:dyDescent="0.25">
      <c r="A35" s="208" t="s">
        <v>42</v>
      </c>
      <c r="B35" s="209"/>
      <c r="C35" s="209"/>
      <c r="D35" s="209"/>
      <c r="E35" s="209"/>
      <c r="F35" s="209"/>
      <c r="G35" s="209"/>
      <c r="H35" s="209"/>
      <c r="I35" s="209"/>
      <c r="J35" s="210"/>
    </row>
    <row r="36" spans="1:10" ht="15" customHeight="1" x14ac:dyDescent="0.25">
      <c r="A36" s="149" t="s">
        <v>43</v>
      </c>
      <c r="B36" s="150"/>
      <c r="C36" s="150"/>
      <c r="D36" s="150"/>
      <c r="E36" s="151"/>
      <c r="F36" s="152" t="s">
        <v>207</v>
      </c>
      <c r="G36" s="153"/>
      <c r="H36" s="153"/>
      <c r="I36" s="153"/>
      <c r="J36" s="154"/>
    </row>
    <row r="37" spans="1:10" ht="15" customHeight="1" x14ac:dyDescent="0.25">
      <c r="A37" s="185" t="s">
        <v>44</v>
      </c>
      <c r="B37" s="186"/>
      <c r="C37" s="186"/>
      <c r="D37" s="186"/>
      <c r="E37" s="186"/>
      <c r="F37" s="149" t="s">
        <v>45</v>
      </c>
      <c r="G37" s="150"/>
      <c r="H37" s="150"/>
      <c r="I37" s="150"/>
      <c r="J37" s="151"/>
    </row>
    <row r="38" spans="1:10" x14ac:dyDescent="0.25">
      <c r="A38" s="208" t="s">
        <v>46</v>
      </c>
      <c r="B38" s="209"/>
      <c r="C38" s="209"/>
      <c r="D38" s="209"/>
      <c r="E38" s="209"/>
      <c r="F38" s="209"/>
      <c r="G38" s="209"/>
      <c r="H38" s="209"/>
      <c r="I38" s="209"/>
      <c r="J38" s="210"/>
    </row>
    <row r="39" spans="1:10" x14ac:dyDescent="0.25">
      <c r="A39" s="143" t="s">
        <v>47</v>
      </c>
      <c r="B39" s="144"/>
      <c r="C39" s="144"/>
      <c r="D39" s="144"/>
      <c r="E39" s="145"/>
      <c r="F39" s="258">
        <v>16550</v>
      </c>
      <c r="G39" s="259"/>
      <c r="H39" s="259"/>
      <c r="I39" s="259"/>
      <c r="J39" s="260"/>
    </row>
    <row r="40" spans="1:10" x14ac:dyDescent="0.25">
      <c r="A40" s="143" t="s">
        <v>48</v>
      </c>
      <c r="B40" s="144"/>
      <c r="C40" s="144"/>
      <c r="D40" s="144"/>
      <c r="E40" s="145"/>
      <c r="F40" s="146">
        <v>1.1000000000000001</v>
      </c>
      <c r="G40" s="147"/>
      <c r="H40" s="147"/>
      <c r="I40" s="147"/>
      <c r="J40" s="148"/>
    </row>
    <row r="41" spans="1:10" x14ac:dyDescent="0.25">
      <c r="A41" s="143" t="s">
        <v>49</v>
      </c>
      <c r="B41" s="144"/>
      <c r="C41" s="144"/>
      <c r="D41" s="144"/>
      <c r="E41" s="145"/>
      <c r="F41" s="146">
        <v>0</v>
      </c>
      <c r="G41" s="147"/>
      <c r="H41" s="147"/>
      <c r="I41" s="147"/>
      <c r="J41" s="148"/>
    </row>
    <row r="42" spans="1:10" x14ac:dyDescent="0.25">
      <c r="A42" s="143" t="s">
        <v>50</v>
      </c>
      <c r="B42" s="144"/>
      <c r="C42" s="144"/>
      <c r="D42" s="144"/>
      <c r="E42" s="145"/>
      <c r="F42" s="146">
        <f>F40+F41</f>
        <v>1.1000000000000001</v>
      </c>
      <c r="G42" s="147"/>
      <c r="H42" s="147"/>
      <c r="I42" s="147"/>
      <c r="J42" s="148"/>
    </row>
    <row r="43" spans="1:10" x14ac:dyDescent="0.25">
      <c r="A43" s="143" t="s">
        <v>51</v>
      </c>
      <c r="B43" s="144"/>
      <c r="C43" s="144"/>
      <c r="D43" s="144"/>
      <c r="E43" s="145"/>
      <c r="F43" s="146">
        <v>19582.46</v>
      </c>
      <c r="G43" s="147"/>
      <c r="H43" s="147"/>
      <c r="I43" s="147"/>
      <c r="J43" s="148"/>
    </row>
    <row r="44" spans="1:10" x14ac:dyDescent="0.25">
      <c r="A44" s="143" t="s">
        <v>52</v>
      </c>
      <c r="B44" s="144"/>
      <c r="C44" s="144"/>
      <c r="D44" s="144"/>
      <c r="E44" s="145"/>
      <c r="F44" s="205" t="s">
        <v>265</v>
      </c>
      <c r="G44" s="206"/>
      <c r="H44" s="206"/>
      <c r="I44" s="206"/>
      <c r="J44" s="207"/>
    </row>
    <row r="45" spans="1:10" x14ac:dyDescent="0.25">
      <c r="A45" s="208" t="s">
        <v>53</v>
      </c>
      <c r="B45" s="209"/>
      <c r="C45" s="209"/>
      <c r="D45" s="209"/>
      <c r="E45" s="209"/>
      <c r="F45" s="209"/>
      <c r="G45" s="209"/>
      <c r="H45" s="209"/>
      <c r="I45" s="209"/>
      <c r="J45" s="210"/>
    </row>
    <row r="46" spans="1:10" x14ac:dyDescent="0.25">
      <c r="A46" s="149" t="s">
        <v>54</v>
      </c>
      <c r="B46" s="151"/>
      <c r="C46" s="199" t="s">
        <v>264</v>
      </c>
      <c r="D46" s="200"/>
      <c r="E46" s="200"/>
      <c r="F46" s="201"/>
      <c r="G46" s="20" t="s">
        <v>55</v>
      </c>
      <c r="H46" s="196">
        <v>44694</v>
      </c>
      <c r="I46" s="150"/>
      <c r="J46" s="151"/>
    </row>
    <row r="47" spans="1:10" ht="31.5" customHeight="1" x14ac:dyDescent="0.25">
      <c r="A47" s="149" t="s">
        <v>56</v>
      </c>
      <c r="B47" s="151"/>
      <c r="C47" s="199" t="str">
        <f>C46</f>
        <v>MS/LNA-1/S.R/97/2021</v>
      </c>
      <c r="D47" s="200"/>
      <c r="E47" s="200"/>
      <c r="F47" s="201"/>
      <c r="G47" s="20" t="s">
        <v>55</v>
      </c>
      <c r="H47" s="196">
        <f>H46</f>
        <v>44694</v>
      </c>
      <c r="I47" s="197"/>
      <c r="J47" s="198"/>
    </row>
    <row r="48" spans="1:10" ht="63.6" customHeight="1" x14ac:dyDescent="0.25">
      <c r="A48" s="149" t="s">
        <v>287</v>
      </c>
      <c r="B48" s="151"/>
      <c r="C48" s="199" t="s">
        <v>286</v>
      </c>
      <c r="D48" s="202"/>
      <c r="E48" s="202"/>
      <c r="F48" s="203"/>
      <c r="G48" s="13" t="s">
        <v>55</v>
      </c>
      <c r="H48" s="204">
        <v>44694</v>
      </c>
      <c r="I48" s="202"/>
      <c r="J48" s="203"/>
    </row>
    <row r="49" spans="1:13" ht="15" customHeight="1" x14ac:dyDescent="0.25">
      <c r="A49" s="149" t="s">
        <v>57</v>
      </c>
      <c r="B49" s="151"/>
      <c r="C49" s="199" t="s">
        <v>149</v>
      </c>
      <c r="D49" s="202"/>
      <c r="E49" s="202"/>
      <c r="F49" s="203" t="s">
        <v>58</v>
      </c>
      <c r="G49" s="20" t="s">
        <v>55</v>
      </c>
      <c r="H49" s="149" t="s">
        <v>35</v>
      </c>
      <c r="I49" s="150" t="s">
        <v>35</v>
      </c>
      <c r="J49" s="151"/>
    </row>
    <row r="50" spans="1:13" x14ac:dyDescent="0.25">
      <c r="A50" s="134" t="s">
        <v>59</v>
      </c>
      <c r="B50" s="134"/>
      <c r="C50" s="134"/>
      <c r="D50" s="256">
        <f>H48</f>
        <v>44694</v>
      </c>
      <c r="E50" s="256"/>
      <c r="F50" s="143" t="s">
        <v>60</v>
      </c>
      <c r="G50" s="257"/>
      <c r="H50" s="205" t="s">
        <v>260</v>
      </c>
      <c r="I50" s="206"/>
      <c r="J50" s="207"/>
    </row>
    <row r="51" spans="1:13" x14ac:dyDescent="0.25">
      <c r="A51" s="211" t="s">
        <v>61</v>
      </c>
      <c r="B51" s="212"/>
      <c r="C51" s="212"/>
      <c r="D51" s="212"/>
      <c r="E51" s="212"/>
      <c r="F51" s="212"/>
      <c r="G51" s="212"/>
      <c r="H51" s="212"/>
      <c r="I51" s="212"/>
      <c r="J51" s="213"/>
    </row>
    <row r="52" spans="1:13" ht="15.75" customHeight="1" x14ac:dyDescent="0.25">
      <c r="A52" s="143" t="s">
        <v>62</v>
      </c>
      <c r="B52" s="144"/>
      <c r="C52" s="145"/>
      <c r="D52" s="141">
        <f>2855.96+2855.96</f>
        <v>5711.92</v>
      </c>
      <c r="E52" s="142"/>
      <c r="F52" s="214" t="s">
        <v>63</v>
      </c>
      <c r="G52" s="215"/>
      <c r="H52" s="214" t="s">
        <v>280</v>
      </c>
      <c r="I52" s="216"/>
      <c r="J52" s="215"/>
    </row>
    <row r="53" spans="1:13" ht="34.5" customHeight="1" x14ac:dyDescent="0.25">
      <c r="A53" s="205" t="s">
        <v>64</v>
      </c>
      <c r="B53" s="206"/>
      <c r="C53" s="167" t="s">
        <v>266</v>
      </c>
      <c r="D53" s="168"/>
      <c r="E53" s="168"/>
      <c r="F53" s="168"/>
      <c r="G53" s="168"/>
      <c r="H53" s="168"/>
      <c r="I53" s="168"/>
      <c r="J53" s="169"/>
    </row>
    <row r="54" spans="1:13" ht="15.75" customHeight="1" x14ac:dyDescent="0.25">
      <c r="A54" s="143" t="s">
        <v>65</v>
      </c>
      <c r="B54" s="144"/>
      <c r="C54" s="144"/>
      <c r="D54" s="149" t="s">
        <v>66</v>
      </c>
      <c r="E54" s="150"/>
      <c r="F54" s="150"/>
      <c r="G54" s="150"/>
      <c r="H54" s="150"/>
      <c r="I54" s="150"/>
      <c r="J54" s="151"/>
    </row>
    <row r="55" spans="1:13" ht="16.5" thickBot="1" x14ac:dyDescent="0.3">
      <c r="A55" s="205" t="s">
        <v>191</v>
      </c>
      <c r="B55" s="206"/>
      <c r="C55" s="206"/>
      <c r="D55" s="206"/>
      <c r="E55" s="206"/>
      <c r="F55" s="206"/>
      <c r="G55" s="206"/>
      <c r="H55" s="206"/>
      <c r="I55" s="206"/>
      <c r="J55" s="207"/>
    </row>
    <row r="56" spans="1:13" ht="34.5" customHeight="1" x14ac:dyDescent="0.25">
      <c r="A56" s="113" t="s">
        <v>234</v>
      </c>
      <c r="B56" s="114"/>
      <c r="C56" s="115" t="s">
        <v>267</v>
      </c>
      <c r="D56" s="115"/>
      <c r="E56" s="115"/>
      <c r="F56" s="115"/>
      <c r="G56" s="115"/>
      <c r="H56" s="115"/>
      <c r="I56" s="115"/>
      <c r="J56" s="116"/>
      <c r="K56" s="54" t="str">
        <f ca="1">(IF(C60=0,"Work not yet Started.",IF(D60=25%,"Piling work in process",IF(D60=50%,"Excavation work in process",IF(D60=100%,"Excavation work completed, ","0")))&amp;(IF(C61=0%,"",IF(C61=M62,"Footing work is process",IF(C61=M63,"Footing work Completed",IF(C61=M64,"1st Basement Completed",IF(C61=M65,"1st &amp; 2nd Basement Completed",IF(C61=M66,"1st to 3rd Basement Completed",IF(C61=M67,"1st to 4th Basement Completed",IF(C61=M68,"Plinth work is process",IF(C61=M69,"Plinth work completed","0")))))))))))&amp;(IF(C62&gt;0,", RCC upto "&amp;C62&amp;" Slab completed",""))&amp;(IF(C63&gt;0,", Brickwork upto "&amp;C63&amp;" Floor completed"," "))&amp;(IF(C64&gt;0,", Internal Plaster upto "&amp;C64&amp;" Floor completed"," "))&amp;(IF(C65&gt;0,", External Plaster upto "&amp;C65&amp;" Floor completed"," "))&amp;(IF(C66&gt;0,", Flooring upto "&amp;C66&amp;" Floor completed"," "))&amp;(IF(C67&gt;0,", Painting upto "&amp;C67&amp;" Floor completed"," "))&amp;(IF(C68&gt;0,", Finishing upto "&amp;C68&amp;" Floor completed"," ")))</f>
        <v xml:space="preserve">Excavation work completed, Plinth work completed, RCC upto 7 Slab completed, Brickwork upto 6 Floor completed, Internal Plaster upto 6 Floor completed, External Plaster upto 6 Floor completed, Flooring upto 4 Floor completed, Painting upto 3 Floor completed </v>
      </c>
      <c r="L56" s="55"/>
      <c r="M56" s="56"/>
    </row>
    <row r="57" spans="1:13" ht="15.75" customHeight="1" x14ac:dyDescent="0.25">
      <c r="A57" s="57" t="s">
        <v>135</v>
      </c>
      <c r="B57" s="58">
        <v>0</v>
      </c>
      <c r="C57" s="58" t="s">
        <v>137</v>
      </c>
      <c r="D57" s="58">
        <v>1</v>
      </c>
      <c r="E57" s="117" t="s">
        <v>136</v>
      </c>
      <c r="F57" s="118"/>
      <c r="G57" s="58">
        <v>0</v>
      </c>
      <c r="H57" s="58" t="s">
        <v>235</v>
      </c>
      <c r="I57" s="86">
        <f ca="1">--TRIM(RIGHT(SUBSTITUTE(LEFT(C56,_xlfn.AGGREGATE(16,6,FIND({0,1,2,3,4,5,6,7,8,9},C56,ROW(INDIRECT("1:"&amp;LEN(C56)))),1))," ",REPT(" ",LEN(C56))),LEN(C56)))</f>
        <v>6</v>
      </c>
      <c r="J57" s="105"/>
      <c r="K57" s="59" t="s">
        <v>236</v>
      </c>
      <c r="L57" s="60"/>
      <c r="M57" s="61"/>
    </row>
    <row r="58" spans="1:13" ht="63" customHeight="1" x14ac:dyDescent="0.25">
      <c r="A58" s="106" t="s">
        <v>237</v>
      </c>
      <c r="B58" s="107"/>
      <c r="C58" s="108" t="str">
        <f ca="1">K56</f>
        <v xml:space="preserve">Excavation work completed, Plinth work completed, RCC upto 7 Slab completed, Brickwork upto 6 Floor completed, Internal Plaster upto 6 Floor completed, External Plaster upto 6 Floor completed, Flooring upto 4 Floor completed, Painting upto 3 Floor completed </v>
      </c>
      <c r="D58" s="108"/>
      <c r="E58" s="108"/>
      <c r="F58" s="108"/>
      <c r="G58" s="108"/>
      <c r="H58" s="108"/>
      <c r="I58" s="108"/>
      <c r="J58" s="109"/>
      <c r="K58" s="59" t="s">
        <v>238</v>
      </c>
      <c r="L58" s="60"/>
      <c r="M58" s="61"/>
    </row>
    <row r="59" spans="1:13" x14ac:dyDescent="0.25">
      <c r="A59" s="87" t="s">
        <v>67</v>
      </c>
      <c r="B59" s="88"/>
      <c r="C59" s="76" t="s">
        <v>239</v>
      </c>
      <c r="D59" s="88" t="s">
        <v>240</v>
      </c>
      <c r="E59" s="88"/>
      <c r="F59" s="88" t="s">
        <v>241</v>
      </c>
      <c r="G59" s="88"/>
      <c r="H59" s="88" t="s">
        <v>242</v>
      </c>
      <c r="I59" s="88"/>
      <c r="J59" s="110"/>
      <c r="K59" s="62" t="s">
        <v>243</v>
      </c>
      <c r="L59" s="63"/>
      <c r="M59" s="64">
        <f ca="1">I57*25%</f>
        <v>1.5</v>
      </c>
    </row>
    <row r="60" spans="1:13" x14ac:dyDescent="0.25">
      <c r="A60" s="87" t="s">
        <v>244</v>
      </c>
      <c r="B60" s="88"/>
      <c r="C60" s="77">
        <f ca="1">M61</f>
        <v>6</v>
      </c>
      <c r="D60" s="84">
        <f ca="1">((100/I57)*C60)/100</f>
        <v>1</v>
      </c>
      <c r="E60" s="84"/>
      <c r="F60" s="84">
        <f ca="1">(IF(C58=K57,"100%",IF(C58=K58,"100%",(((C61/I57*10)+(40/(B57+D57+G57+I57)*C62)+(7.5/(I57)*C63)+(7.5/(I57)*C64)+(10/I57*C65)+(10/I57*C66)+(5/I57*C67)+(5/I57*C68)+(5/I57*C69))/100))))</f>
        <v>0.84166666666666667</v>
      </c>
      <c r="G60" s="84"/>
      <c r="H60" s="84">
        <f ca="1">((((C60/I57)*20)+((C61/I57)*25)+(30/(B57+I57+G57+D57)*C62)+(5/I57*C63)+(5/I57*C64)+(5/I57*C65)+(5/I57*C66)+(0/I57*C67)+(0/I57*C68)+(5/I57*C69))/100)</f>
        <v>0.93333333333333324</v>
      </c>
      <c r="I60" s="84"/>
      <c r="J60" s="95"/>
      <c r="K60" s="62" t="s">
        <v>143</v>
      </c>
      <c r="L60" s="65"/>
      <c r="M60" s="66">
        <f ca="1">I57*50%</f>
        <v>3</v>
      </c>
    </row>
    <row r="61" spans="1:13" x14ac:dyDescent="0.25">
      <c r="A61" s="87" t="s">
        <v>68</v>
      </c>
      <c r="B61" s="88"/>
      <c r="C61" s="78">
        <v>6</v>
      </c>
      <c r="D61" s="84">
        <f ca="1">((100/I57)*C61)/100</f>
        <v>1</v>
      </c>
      <c r="E61" s="84"/>
      <c r="F61" s="84"/>
      <c r="G61" s="84"/>
      <c r="H61" s="84"/>
      <c r="I61" s="84"/>
      <c r="J61" s="95"/>
      <c r="K61" s="62" t="s">
        <v>144</v>
      </c>
      <c r="L61" s="65"/>
      <c r="M61" s="66">
        <f ca="1">I57</f>
        <v>6</v>
      </c>
    </row>
    <row r="62" spans="1:13" x14ac:dyDescent="0.25">
      <c r="A62" s="87" t="s">
        <v>69</v>
      </c>
      <c r="B62" s="88"/>
      <c r="C62" s="78">
        <v>7</v>
      </c>
      <c r="D62" s="84">
        <f ca="1">((100/(B57+D57+G57+I57))*C62)/100</f>
        <v>1</v>
      </c>
      <c r="E62" s="84"/>
      <c r="F62" s="84"/>
      <c r="G62" s="84"/>
      <c r="H62" s="84"/>
      <c r="I62" s="84"/>
      <c r="J62" s="95"/>
      <c r="K62" s="62" t="s">
        <v>145</v>
      </c>
      <c r="L62" s="65"/>
      <c r="M62" s="67">
        <f ca="1">(IF(B57=0,I57/4,(I57/(B57+4))))</f>
        <v>1.5</v>
      </c>
    </row>
    <row r="63" spans="1:13" x14ac:dyDescent="0.25">
      <c r="A63" s="87" t="s">
        <v>245</v>
      </c>
      <c r="B63" s="88" t="s">
        <v>246</v>
      </c>
      <c r="C63" s="77">
        <v>6</v>
      </c>
      <c r="D63" s="84">
        <f ca="1">((100/I57)*C63)/100</f>
        <v>1</v>
      </c>
      <c r="E63" s="84"/>
      <c r="F63" s="84"/>
      <c r="G63" s="84"/>
      <c r="H63" s="84"/>
      <c r="I63" s="84"/>
      <c r="J63" s="95"/>
      <c r="K63" s="62" t="s">
        <v>146</v>
      </c>
      <c r="L63" s="65"/>
      <c r="M63" s="67">
        <f ca="1">(IF(B57=0,I57/4+M62,(I57/(B57+4)+M62)))</f>
        <v>3</v>
      </c>
    </row>
    <row r="64" spans="1:13" ht="15" customHeight="1" x14ac:dyDescent="0.25">
      <c r="A64" s="87" t="s">
        <v>247</v>
      </c>
      <c r="B64" s="88" t="s">
        <v>246</v>
      </c>
      <c r="C64" s="77">
        <v>6</v>
      </c>
      <c r="D64" s="84">
        <f ca="1">((100/I57)*C64)/100</f>
        <v>1</v>
      </c>
      <c r="E64" s="84"/>
      <c r="F64" s="84"/>
      <c r="G64" s="84"/>
      <c r="H64" s="84"/>
      <c r="I64" s="84"/>
      <c r="J64" s="95"/>
      <c r="K64" s="62" t="s">
        <v>248</v>
      </c>
      <c r="L64" s="68"/>
      <c r="M64" s="67">
        <f>(IF(B57=0,0,(I57/(B57+4)+M63)))</f>
        <v>0</v>
      </c>
    </row>
    <row r="65" spans="1:13" x14ac:dyDescent="0.25">
      <c r="A65" s="85" t="s">
        <v>249</v>
      </c>
      <c r="B65" s="86" t="s">
        <v>250</v>
      </c>
      <c r="C65" s="77">
        <v>6</v>
      </c>
      <c r="D65" s="84">
        <f ca="1">((100/(I57))*C65)/100</f>
        <v>1</v>
      </c>
      <c r="E65" s="84"/>
      <c r="F65" s="84"/>
      <c r="G65" s="84"/>
      <c r="H65" s="84"/>
      <c r="I65" s="84"/>
      <c r="J65" s="95"/>
      <c r="K65" s="62" t="s">
        <v>251</v>
      </c>
      <c r="L65" s="68"/>
      <c r="M65" s="67">
        <f>(IF(B57&gt;1,(I57/(B57+4)+M64),0))</f>
        <v>0</v>
      </c>
    </row>
    <row r="66" spans="1:13" x14ac:dyDescent="0.25">
      <c r="A66" s="87" t="s">
        <v>252</v>
      </c>
      <c r="B66" s="88" t="s">
        <v>252</v>
      </c>
      <c r="C66" s="77">
        <v>4</v>
      </c>
      <c r="D66" s="84">
        <f ca="1">((100/I57)*C66)/100</f>
        <v>0.66666666666666674</v>
      </c>
      <c r="E66" s="84"/>
      <c r="F66" s="84"/>
      <c r="G66" s="84"/>
      <c r="H66" s="84"/>
      <c r="I66" s="84"/>
      <c r="J66" s="95"/>
      <c r="K66" s="62" t="s">
        <v>253</v>
      </c>
      <c r="L66" s="69"/>
      <c r="M66" s="70">
        <f>(IF(B57&gt;2,(I57/(B57+4)+M65),0))</f>
        <v>0</v>
      </c>
    </row>
    <row r="67" spans="1:13" x14ac:dyDescent="0.25">
      <c r="A67" s="87" t="s">
        <v>254</v>
      </c>
      <c r="B67" s="88"/>
      <c r="C67" s="77">
        <v>3</v>
      </c>
      <c r="D67" s="84">
        <f ca="1">((100/I57)*C67)/100</f>
        <v>0.5</v>
      </c>
      <c r="E67" s="84"/>
      <c r="F67" s="84"/>
      <c r="G67" s="84"/>
      <c r="H67" s="84"/>
      <c r="I67" s="84"/>
      <c r="J67" s="95"/>
      <c r="K67" s="62" t="s">
        <v>255</v>
      </c>
      <c r="L67" s="71"/>
      <c r="M67" s="72">
        <f>(IF(B57&gt;3,(I57/(B57+4)+M66),0))</f>
        <v>0</v>
      </c>
    </row>
    <row r="68" spans="1:13" ht="15" customHeight="1" x14ac:dyDescent="0.25">
      <c r="A68" s="87" t="s">
        <v>256</v>
      </c>
      <c r="B68" s="88" t="s">
        <v>256</v>
      </c>
      <c r="C68" s="77">
        <v>0</v>
      </c>
      <c r="D68" s="84">
        <f ca="1">((100/(I57))*C68)/100</f>
        <v>0</v>
      </c>
      <c r="E68" s="84"/>
      <c r="F68" s="84"/>
      <c r="G68" s="84"/>
      <c r="H68" s="84"/>
      <c r="I68" s="84"/>
      <c r="J68" s="95"/>
      <c r="K68" s="62" t="s">
        <v>147</v>
      </c>
      <c r="L68" s="65"/>
      <c r="M68" s="67">
        <f ca="1">(IF(B57=0,I57/4+M63,(I57/(B57+4)+M63+MAX(0,M64-M63)+MAX(0,M65-M64)+MAX(0,M66-M65)+MAX(0,M67-M66))))</f>
        <v>4.5</v>
      </c>
    </row>
    <row r="69" spans="1:13" ht="16.5" thickBot="1" x14ac:dyDescent="0.3">
      <c r="A69" s="111" t="s">
        <v>257</v>
      </c>
      <c r="B69" s="112"/>
      <c r="C69" s="79">
        <v>0</v>
      </c>
      <c r="D69" s="94">
        <f ca="1">((100/(I57))*C69)/100</f>
        <v>0</v>
      </c>
      <c r="E69" s="94"/>
      <c r="F69" s="94"/>
      <c r="G69" s="94"/>
      <c r="H69" s="94"/>
      <c r="I69" s="94"/>
      <c r="J69" s="96"/>
      <c r="K69" s="73" t="s">
        <v>148</v>
      </c>
      <c r="L69" s="74"/>
      <c r="M69" s="75">
        <f ca="1">(IF(B57=0,I57/4+M68,(I57/(B57+4)+M68)))</f>
        <v>6</v>
      </c>
    </row>
    <row r="70" spans="1:13" ht="17.25" customHeight="1" x14ac:dyDescent="0.25">
      <c r="A70" s="113" t="s">
        <v>234</v>
      </c>
      <c r="B70" s="114"/>
      <c r="C70" s="115" t="s">
        <v>281</v>
      </c>
      <c r="D70" s="115"/>
      <c r="E70" s="115"/>
      <c r="F70" s="115"/>
      <c r="G70" s="115"/>
      <c r="H70" s="115"/>
      <c r="I70" s="115"/>
      <c r="J70" s="116"/>
      <c r="K70" s="54" t="str">
        <f ca="1">(IF(C74=0,"Work not yet Started.",IF(D74=25%,"Piling work in process",IF(D74=50%,"Excavation work in process",IF(D74=100%,"Excavation work completed, ","0")))&amp;(IF(C75=0%,"",IF(C75=M76,"Footing work is process",IF(C75=M77,"Footing work Completed",IF(C75=M78,"1st Basement Completed",IF(C75=M79,"1st &amp; 2nd Basement Completed",IF(C75=M80,"1st to 3rd Basement Completed",IF(C75=M81,"1st to 4th Basement Completed",IF(C75=M82,"Plinth work is process",IF(C75=M83,"Plinth work completed","0")))))))))))&amp;(IF(C76&gt;0,", RCC upto "&amp;C76&amp;" Slab completed",""))&amp;(IF(C77&gt;0,", Brickwork upto "&amp;C77&amp;" Floor completed"," "))&amp;(IF(C78&gt;0,", Internal Plaster upto "&amp;C78&amp;" Floor completed"," "))&amp;(IF(C79&gt;0,", External Plaster upto "&amp;C79&amp;" Floor completed"," "))&amp;(IF(C80&gt;0,", Flooring upto "&amp;C80&amp;" Floor completed"," "))&amp;(IF(C81&gt;0,", Painting upto "&amp;C81&amp;" Floor completed"," "))&amp;(IF(C82&gt;0,", Finishing upto "&amp;C82&amp;" Floor completed"," ")))</f>
        <v xml:space="preserve">Excavation work completed, Plinth work completed, RCC upto 7 Slab completed, Brickwork upto 6 Floor completed, Internal Plaster upto 6 Floor completed, External Plaster upto 5 Floor completed, Flooring upto 2 Floor completed  </v>
      </c>
      <c r="L70" s="55"/>
      <c r="M70" s="56"/>
    </row>
    <row r="71" spans="1:13" ht="15.75" customHeight="1" x14ac:dyDescent="0.25">
      <c r="A71" s="81" t="s">
        <v>135</v>
      </c>
      <c r="B71" s="80">
        <v>0</v>
      </c>
      <c r="C71" s="80" t="s">
        <v>137</v>
      </c>
      <c r="D71" s="80">
        <v>1</v>
      </c>
      <c r="E71" s="117" t="s">
        <v>136</v>
      </c>
      <c r="F71" s="118"/>
      <c r="G71" s="80">
        <v>0</v>
      </c>
      <c r="H71" s="80" t="s">
        <v>235</v>
      </c>
      <c r="I71" s="86">
        <f ca="1">--TRIM(RIGHT(SUBSTITUTE(LEFT(C70,_xlfn.AGGREGATE(16,6,FIND({0,1,2,3,4,5,6,7,8,9},C70,ROW(INDIRECT("1:"&amp;LEN(C70)))),1))," ",REPT(" ",LEN(C70))),LEN(C70)))</f>
        <v>6</v>
      </c>
      <c r="J71" s="105"/>
      <c r="K71" s="59" t="s">
        <v>236</v>
      </c>
      <c r="L71" s="60"/>
      <c r="M71" s="61"/>
    </row>
    <row r="72" spans="1:13" ht="49.5" customHeight="1" x14ac:dyDescent="0.25">
      <c r="A72" s="106" t="s">
        <v>237</v>
      </c>
      <c r="B72" s="107"/>
      <c r="C72" s="108" t="str">
        <f ca="1">K70</f>
        <v xml:space="preserve">Excavation work completed, Plinth work completed, RCC upto 7 Slab completed, Brickwork upto 6 Floor completed, Internal Plaster upto 6 Floor completed, External Plaster upto 5 Floor completed, Flooring upto 2 Floor completed  </v>
      </c>
      <c r="D72" s="108"/>
      <c r="E72" s="108"/>
      <c r="F72" s="108"/>
      <c r="G72" s="108"/>
      <c r="H72" s="108"/>
      <c r="I72" s="108"/>
      <c r="J72" s="109"/>
      <c r="K72" s="59" t="s">
        <v>238</v>
      </c>
      <c r="L72" s="60"/>
      <c r="M72" s="61"/>
    </row>
    <row r="73" spans="1:13" x14ac:dyDescent="0.25">
      <c r="A73" s="87" t="s">
        <v>67</v>
      </c>
      <c r="B73" s="88"/>
      <c r="C73" s="76" t="s">
        <v>239</v>
      </c>
      <c r="D73" s="88" t="s">
        <v>240</v>
      </c>
      <c r="E73" s="88"/>
      <c r="F73" s="88" t="s">
        <v>241</v>
      </c>
      <c r="G73" s="88"/>
      <c r="H73" s="88" t="s">
        <v>242</v>
      </c>
      <c r="I73" s="88"/>
      <c r="J73" s="110"/>
      <c r="K73" s="62" t="s">
        <v>243</v>
      </c>
      <c r="L73" s="63"/>
      <c r="M73" s="64">
        <f ca="1">I71*25%</f>
        <v>1.5</v>
      </c>
    </row>
    <row r="74" spans="1:13" x14ac:dyDescent="0.25">
      <c r="A74" s="87" t="s">
        <v>244</v>
      </c>
      <c r="B74" s="88"/>
      <c r="C74" s="77">
        <v>6</v>
      </c>
      <c r="D74" s="84">
        <f ca="1">((100/I71)*C74)/100</f>
        <v>1</v>
      </c>
      <c r="E74" s="84"/>
      <c r="F74" s="84">
        <f ca="1">(IF(C72=K71,"100%",IF(C72=K72,"100%",(((C75/I71*10)+(40/(B71+D71+G71+I71)*C76)+(7.5/(I71)*C77)+(7.5/(I71)*C78)+(10/I71*C79)+(10/I71*C80)+(5/I71*C81)+(5/I71*C82)+(5/I71*C83))/100))))</f>
        <v>0.76666666666666661</v>
      </c>
      <c r="G74" s="84"/>
      <c r="H74" s="84">
        <f ca="1">((((C74/I71)*20)+((C75/I71)*25)+(30/(B71+I71+G71+D71)*C76)+(5/I71*C77)+(5/I71*C78)+(5/I71*C79)+(5/I71*C80)+(0/I71*C81)+(0/I71*C82)+(5/I71*C83))/100)</f>
        <v>0.90833333333333344</v>
      </c>
      <c r="I74" s="84"/>
      <c r="J74" s="95"/>
      <c r="K74" s="62" t="s">
        <v>143</v>
      </c>
      <c r="L74" s="65"/>
      <c r="M74" s="66">
        <f ca="1">I71*50%</f>
        <v>3</v>
      </c>
    </row>
    <row r="75" spans="1:13" x14ac:dyDescent="0.25">
      <c r="A75" s="87" t="s">
        <v>68</v>
      </c>
      <c r="B75" s="88"/>
      <c r="C75" s="78">
        <f ca="1">M83</f>
        <v>6</v>
      </c>
      <c r="D75" s="84">
        <f ca="1">((100/I71)*C75)/100</f>
        <v>1</v>
      </c>
      <c r="E75" s="84"/>
      <c r="F75" s="84"/>
      <c r="G75" s="84"/>
      <c r="H75" s="84"/>
      <c r="I75" s="84"/>
      <c r="J75" s="95"/>
      <c r="K75" s="62" t="s">
        <v>144</v>
      </c>
      <c r="L75" s="65"/>
      <c r="M75" s="66">
        <f ca="1">I71</f>
        <v>6</v>
      </c>
    </row>
    <row r="76" spans="1:13" x14ac:dyDescent="0.25">
      <c r="A76" s="87" t="s">
        <v>69</v>
      </c>
      <c r="B76" s="88"/>
      <c r="C76" s="78">
        <v>7</v>
      </c>
      <c r="D76" s="84">
        <f ca="1">((100/(B71+D71+G71+I71))*C76)/100</f>
        <v>1</v>
      </c>
      <c r="E76" s="84"/>
      <c r="F76" s="84"/>
      <c r="G76" s="84"/>
      <c r="H76" s="84"/>
      <c r="I76" s="84"/>
      <c r="J76" s="95"/>
      <c r="K76" s="62" t="s">
        <v>145</v>
      </c>
      <c r="L76" s="65"/>
      <c r="M76" s="67">
        <f ca="1">(IF(B71=0,I71/4,(I71/(B71+4))))</f>
        <v>1.5</v>
      </c>
    </row>
    <row r="77" spans="1:13" x14ac:dyDescent="0.25">
      <c r="A77" s="87" t="s">
        <v>245</v>
      </c>
      <c r="B77" s="88" t="s">
        <v>246</v>
      </c>
      <c r="C77" s="77">
        <v>6</v>
      </c>
      <c r="D77" s="84">
        <f ca="1">((100/I71)*C77)/100</f>
        <v>1</v>
      </c>
      <c r="E77" s="84"/>
      <c r="F77" s="84"/>
      <c r="G77" s="84"/>
      <c r="H77" s="84"/>
      <c r="I77" s="84"/>
      <c r="J77" s="95"/>
      <c r="K77" s="62" t="s">
        <v>146</v>
      </c>
      <c r="L77" s="65"/>
      <c r="M77" s="67">
        <f ca="1">(IF(B71=0,I71/4+M76,(I71/(B71+4)+M76)))</f>
        <v>3</v>
      </c>
    </row>
    <row r="78" spans="1:13" ht="15" customHeight="1" x14ac:dyDescent="0.25">
      <c r="A78" s="87" t="s">
        <v>247</v>
      </c>
      <c r="B78" s="88" t="s">
        <v>246</v>
      </c>
      <c r="C78" s="77">
        <v>6</v>
      </c>
      <c r="D78" s="84">
        <f ca="1">((100/I71)*C78)/100</f>
        <v>1</v>
      </c>
      <c r="E78" s="84"/>
      <c r="F78" s="84"/>
      <c r="G78" s="84"/>
      <c r="H78" s="84"/>
      <c r="I78" s="84"/>
      <c r="J78" s="95"/>
      <c r="K78" s="62" t="s">
        <v>248</v>
      </c>
      <c r="L78" s="68"/>
      <c r="M78" s="67">
        <f>(IF(B71=0,0,(I71/(B71+4)+M77)))</f>
        <v>0</v>
      </c>
    </row>
    <row r="79" spans="1:13" x14ac:dyDescent="0.25">
      <c r="A79" s="85" t="s">
        <v>249</v>
      </c>
      <c r="B79" s="86" t="s">
        <v>250</v>
      </c>
      <c r="C79" s="77">
        <v>5</v>
      </c>
      <c r="D79" s="84">
        <f ca="1">((100/(I71))*C79)/100</f>
        <v>0.83333333333333348</v>
      </c>
      <c r="E79" s="84"/>
      <c r="F79" s="84"/>
      <c r="G79" s="84"/>
      <c r="H79" s="84"/>
      <c r="I79" s="84"/>
      <c r="J79" s="95"/>
      <c r="K79" s="62" t="s">
        <v>251</v>
      </c>
      <c r="L79" s="68"/>
      <c r="M79" s="67">
        <f>(IF(B71&gt;1,(I71/(B71+4)+M78),0))</f>
        <v>0</v>
      </c>
    </row>
    <row r="80" spans="1:13" x14ac:dyDescent="0.25">
      <c r="A80" s="87" t="s">
        <v>252</v>
      </c>
      <c r="B80" s="88" t="s">
        <v>252</v>
      </c>
      <c r="C80" s="77">
        <v>2</v>
      </c>
      <c r="D80" s="84">
        <f ca="1">((100/I71)*C80)/100</f>
        <v>0.33333333333333337</v>
      </c>
      <c r="E80" s="84"/>
      <c r="F80" s="84"/>
      <c r="G80" s="84"/>
      <c r="H80" s="84"/>
      <c r="I80" s="84"/>
      <c r="J80" s="95"/>
      <c r="K80" s="62" t="s">
        <v>253</v>
      </c>
      <c r="L80" s="69"/>
      <c r="M80" s="70">
        <f>(IF(B71&gt;2,(I71/(B71+4)+M79),0))</f>
        <v>0</v>
      </c>
    </row>
    <row r="81" spans="1:13" x14ac:dyDescent="0.25">
      <c r="A81" s="87" t="s">
        <v>254</v>
      </c>
      <c r="B81" s="88"/>
      <c r="C81" s="77">
        <v>0</v>
      </c>
      <c r="D81" s="84">
        <f ca="1">((100/I71)*C81)/100</f>
        <v>0</v>
      </c>
      <c r="E81" s="84"/>
      <c r="F81" s="84"/>
      <c r="G81" s="84"/>
      <c r="H81" s="84"/>
      <c r="I81" s="84"/>
      <c r="J81" s="95"/>
      <c r="K81" s="62" t="s">
        <v>255</v>
      </c>
      <c r="L81" s="71"/>
      <c r="M81" s="72">
        <f>(IF(B71&gt;3,(I71/(B71+4)+M80),0))</f>
        <v>0</v>
      </c>
    </row>
    <row r="82" spans="1:13" ht="15" customHeight="1" x14ac:dyDescent="0.25">
      <c r="A82" s="87" t="s">
        <v>256</v>
      </c>
      <c r="B82" s="88" t="s">
        <v>256</v>
      </c>
      <c r="C82" s="77">
        <v>0</v>
      </c>
      <c r="D82" s="84">
        <f ca="1">((100/(I71))*C82)/100</f>
        <v>0</v>
      </c>
      <c r="E82" s="84"/>
      <c r="F82" s="84"/>
      <c r="G82" s="84"/>
      <c r="H82" s="84"/>
      <c r="I82" s="84"/>
      <c r="J82" s="95"/>
      <c r="K82" s="62" t="s">
        <v>147</v>
      </c>
      <c r="L82" s="65"/>
      <c r="M82" s="67">
        <f ca="1">(IF(B71=0,I71/4+M77,(I71/(B71+4)+M77+MAX(0,M78-M77)+MAX(0,M79-M78)+MAX(0,M80-M79)+MAX(0,M81-M80))))</f>
        <v>4.5</v>
      </c>
    </row>
    <row r="83" spans="1:13" ht="16.5" thickBot="1" x14ac:dyDescent="0.3">
      <c r="A83" s="111" t="s">
        <v>257</v>
      </c>
      <c r="B83" s="112"/>
      <c r="C83" s="79">
        <v>0</v>
      </c>
      <c r="D83" s="94">
        <f ca="1">((100/(I71))*C83)/100</f>
        <v>0</v>
      </c>
      <c r="E83" s="94"/>
      <c r="F83" s="94"/>
      <c r="G83" s="94"/>
      <c r="H83" s="94"/>
      <c r="I83" s="94"/>
      <c r="J83" s="96"/>
      <c r="K83" s="73" t="s">
        <v>148</v>
      </c>
      <c r="L83" s="74"/>
      <c r="M83" s="75">
        <f ca="1">(IF(B71=0,I71/4+M82,(I71/(B71+4)+M82)))</f>
        <v>6</v>
      </c>
    </row>
    <row r="84" spans="1:13" ht="17.25" customHeight="1" x14ac:dyDescent="0.25">
      <c r="A84" s="113" t="s">
        <v>234</v>
      </c>
      <c r="B84" s="114"/>
      <c r="C84" s="115" t="s">
        <v>282</v>
      </c>
      <c r="D84" s="115"/>
      <c r="E84" s="115"/>
      <c r="F84" s="115"/>
      <c r="G84" s="115"/>
      <c r="H84" s="115"/>
      <c r="I84" s="115"/>
      <c r="J84" s="116"/>
      <c r="K84" s="54" t="str">
        <f ca="1">(IF(C88=0,"Work not yet Started.",IF(D88=25%,"Piling work in process",IF(D88=50%,"Excavation work in process",IF(D88=100%,"Excavation work completed, ","0")))&amp;(IF(C89=0%,"",IF(C89=M90,"Footing work is process",IF(C89=M91,"Footing work Completed",IF(C89=M92,"1st Basement Completed",IF(C89=M93,"1st &amp; 2nd Basement Completed",IF(C89=M94,"1st to 3rd Basement Completed",IF(C89=M95,"1st to 4th Basement Completed",IF(C89=M96,"Plinth work is process",IF(C89=M97,"Plinth work completed","0")))))))))))&amp;(IF(C90&gt;0,", RCC upto "&amp;C90&amp;" Slab completed",""))&amp;(IF(C91&gt;0,", Brickwork upto "&amp;C91&amp;" Floor completed"," "))&amp;(IF(C92&gt;0,", Internal Plaster upto "&amp;C92&amp;" Floor completed"," "))&amp;(IF(C93&gt;0,", External Plaster upto "&amp;C93&amp;" Floor completed"," "))&amp;(IF(C94&gt;0,", Flooring upto "&amp;C94&amp;" Floor completed"," "))&amp;(IF(C95&gt;0,", Painting upto "&amp;C95&amp;" Floor completed"," "))&amp;(IF(C96&gt;0,", Finishing upto "&amp;C96&amp;" Floor completed"," ")))</f>
        <v xml:space="preserve">Excavation work completed, Plinth work completed, RCC upto 7 Slab completed, Brickwork upto 6 Floor completed, Internal Plaster upto 6 Floor completed, External Plaster upto 5 Floor completed, Flooring upto 1 Floor completed  </v>
      </c>
      <c r="L84" s="55"/>
      <c r="M84" s="56"/>
    </row>
    <row r="85" spans="1:13" ht="15.75" customHeight="1" x14ac:dyDescent="0.25">
      <c r="A85" s="82" t="s">
        <v>135</v>
      </c>
      <c r="B85" s="83">
        <v>0</v>
      </c>
      <c r="C85" s="83" t="s">
        <v>137</v>
      </c>
      <c r="D85" s="83">
        <v>1</v>
      </c>
      <c r="E85" s="117" t="s">
        <v>136</v>
      </c>
      <c r="F85" s="118"/>
      <c r="G85" s="83">
        <v>0</v>
      </c>
      <c r="H85" s="83" t="s">
        <v>235</v>
      </c>
      <c r="I85" s="86">
        <f ca="1">--TRIM(RIGHT(SUBSTITUTE(LEFT(C84,_xlfn.AGGREGATE(16,6,FIND({0,1,2,3,4,5,6,7,8,9},C84,ROW(INDIRECT("1:"&amp;LEN(C84)))),1))," ",REPT(" ",LEN(C84))),LEN(C84)))</f>
        <v>6</v>
      </c>
      <c r="J85" s="105"/>
      <c r="K85" s="59" t="s">
        <v>236</v>
      </c>
      <c r="L85" s="60"/>
      <c r="M85" s="61"/>
    </row>
    <row r="86" spans="1:13" ht="50.25" customHeight="1" x14ac:dyDescent="0.25">
      <c r="A86" s="106" t="s">
        <v>237</v>
      </c>
      <c r="B86" s="107"/>
      <c r="C86" s="108" t="str">
        <f ca="1">K84</f>
        <v xml:space="preserve">Excavation work completed, Plinth work completed, RCC upto 7 Slab completed, Brickwork upto 6 Floor completed, Internal Plaster upto 6 Floor completed, External Plaster upto 5 Floor completed, Flooring upto 1 Floor completed  </v>
      </c>
      <c r="D86" s="108"/>
      <c r="E86" s="108"/>
      <c r="F86" s="108"/>
      <c r="G86" s="108"/>
      <c r="H86" s="108"/>
      <c r="I86" s="108"/>
      <c r="J86" s="109"/>
      <c r="K86" s="59" t="s">
        <v>238</v>
      </c>
      <c r="L86" s="60"/>
      <c r="M86" s="61"/>
    </row>
    <row r="87" spans="1:13" x14ac:dyDescent="0.25">
      <c r="A87" s="87" t="s">
        <v>67</v>
      </c>
      <c r="B87" s="88"/>
      <c r="C87" s="76" t="s">
        <v>239</v>
      </c>
      <c r="D87" s="88" t="s">
        <v>240</v>
      </c>
      <c r="E87" s="88"/>
      <c r="F87" s="88" t="s">
        <v>241</v>
      </c>
      <c r="G87" s="88"/>
      <c r="H87" s="88" t="s">
        <v>242</v>
      </c>
      <c r="I87" s="88"/>
      <c r="J87" s="110"/>
      <c r="K87" s="62" t="s">
        <v>243</v>
      </c>
      <c r="L87" s="63"/>
      <c r="M87" s="64">
        <f ca="1">I85*25%</f>
        <v>1.5</v>
      </c>
    </row>
    <row r="88" spans="1:13" x14ac:dyDescent="0.25">
      <c r="A88" s="87" t="s">
        <v>244</v>
      </c>
      <c r="B88" s="88"/>
      <c r="C88" s="77">
        <v>6</v>
      </c>
      <c r="D88" s="84">
        <f ca="1">((100/I85)*C88)/100</f>
        <v>1</v>
      </c>
      <c r="E88" s="84"/>
      <c r="F88" s="84">
        <f ca="1">(IF(C86=K85,"100%",IF(C86=K86,"100%",(((C89/I85*10)+(40/(B85+D85+G85+I85)*C90)+(7.5/(I85)*C91)+(7.5/(I85)*C92)+(10/I85*C93)+(10/I85*C94)+(5/I85*C95)+(5/I85*C96)+(5/I85*C97))/100))))</f>
        <v>0.75</v>
      </c>
      <c r="G88" s="84"/>
      <c r="H88" s="84">
        <f ca="1">((((C88/I85)*20)+((C89/I85)*25)+(30/(B85+I85+G85+D85)*C90)+(5/I85*C91)+(5/I85*C92)+(5/I85*C93)+(5/I85*C94)+(0/I85*C95)+(0/I85*C96)+(5/I85*C97))/100)</f>
        <v>0.9</v>
      </c>
      <c r="I88" s="84"/>
      <c r="J88" s="95"/>
      <c r="K88" s="62" t="s">
        <v>143</v>
      </c>
      <c r="L88" s="65"/>
      <c r="M88" s="66">
        <f ca="1">I85*50%</f>
        <v>3</v>
      </c>
    </row>
    <row r="89" spans="1:13" x14ac:dyDescent="0.25">
      <c r="A89" s="87" t="s">
        <v>68</v>
      </c>
      <c r="B89" s="88"/>
      <c r="C89" s="78">
        <f ca="1">M97</f>
        <v>6</v>
      </c>
      <c r="D89" s="84">
        <f ca="1">((100/I85)*C89)/100</f>
        <v>1</v>
      </c>
      <c r="E89" s="84"/>
      <c r="F89" s="84"/>
      <c r="G89" s="84"/>
      <c r="H89" s="84"/>
      <c r="I89" s="84"/>
      <c r="J89" s="95"/>
      <c r="K89" s="62" t="s">
        <v>144</v>
      </c>
      <c r="L89" s="65"/>
      <c r="M89" s="66">
        <f ca="1">I85</f>
        <v>6</v>
      </c>
    </row>
    <row r="90" spans="1:13" x14ac:dyDescent="0.25">
      <c r="A90" s="87" t="s">
        <v>69</v>
      </c>
      <c r="B90" s="88"/>
      <c r="C90" s="78">
        <v>7</v>
      </c>
      <c r="D90" s="84">
        <f ca="1">((100/(B85+D85+G85+I85))*C90)/100</f>
        <v>1</v>
      </c>
      <c r="E90" s="84"/>
      <c r="F90" s="84"/>
      <c r="G90" s="84"/>
      <c r="H90" s="84"/>
      <c r="I90" s="84"/>
      <c r="J90" s="95"/>
      <c r="K90" s="62" t="s">
        <v>145</v>
      </c>
      <c r="L90" s="65"/>
      <c r="M90" s="67">
        <f ca="1">(IF(B85=0,I85/4,(I85/(B85+4))))</f>
        <v>1.5</v>
      </c>
    </row>
    <row r="91" spans="1:13" x14ac:dyDescent="0.25">
      <c r="A91" s="87" t="s">
        <v>245</v>
      </c>
      <c r="B91" s="88" t="s">
        <v>246</v>
      </c>
      <c r="C91" s="77">
        <v>6</v>
      </c>
      <c r="D91" s="84">
        <f ca="1">((100/I85)*C91)/100</f>
        <v>1</v>
      </c>
      <c r="E91" s="84"/>
      <c r="F91" s="84"/>
      <c r="G91" s="84"/>
      <c r="H91" s="84"/>
      <c r="I91" s="84"/>
      <c r="J91" s="95"/>
      <c r="K91" s="62" t="s">
        <v>146</v>
      </c>
      <c r="L91" s="65"/>
      <c r="M91" s="67">
        <f ca="1">(IF(B85=0,I85/4+M90,(I85/(B85+4)+M90)))</f>
        <v>3</v>
      </c>
    </row>
    <row r="92" spans="1:13" ht="15" customHeight="1" x14ac:dyDescent="0.25">
      <c r="A92" s="87" t="s">
        <v>247</v>
      </c>
      <c r="B92" s="88" t="s">
        <v>246</v>
      </c>
      <c r="C92" s="77">
        <v>6</v>
      </c>
      <c r="D92" s="84">
        <f ca="1">((100/I85)*C92)/100</f>
        <v>1</v>
      </c>
      <c r="E92" s="84"/>
      <c r="F92" s="84"/>
      <c r="G92" s="84"/>
      <c r="H92" s="84"/>
      <c r="I92" s="84"/>
      <c r="J92" s="95"/>
      <c r="K92" s="62" t="s">
        <v>248</v>
      </c>
      <c r="L92" s="68"/>
      <c r="M92" s="67">
        <f>(IF(B85=0,0,(I85/(B85+4)+M91)))</f>
        <v>0</v>
      </c>
    </row>
    <row r="93" spans="1:13" x14ac:dyDescent="0.25">
      <c r="A93" s="85" t="s">
        <v>249</v>
      </c>
      <c r="B93" s="86" t="s">
        <v>250</v>
      </c>
      <c r="C93" s="77">
        <v>5</v>
      </c>
      <c r="D93" s="84">
        <f ca="1">((100/(I85))*C93)/100</f>
        <v>0.83333333333333348</v>
      </c>
      <c r="E93" s="84"/>
      <c r="F93" s="84"/>
      <c r="G93" s="84"/>
      <c r="H93" s="84"/>
      <c r="I93" s="84"/>
      <c r="J93" s="95"/>
      <c r="K93" s="62" t="s">
        <v>251</v>
      </c>
      <c r="L93" s="68"/>
      <c r="M93" s="67">
        <f>(IF(B85&gt;1,(I85/(B85+4)+M92),0))</f>
        <v>0</v>
      </c>
    </row>
    <row r="94" spans="1:13" x14ac:dyDescent="0.25">
      <c r="A94" s="87" t="s">
        <v>252</v>
      </c>
      <c r="B94" s="88" t="s">
        <v>252</v>
      </c>
      <c r="C94" s="77">
        <v>1</v>
      </c>
      <c r="D94" s="84">
        <f ca="1">((100/I85)*C94)/100</f>
        <v>0.16666666666666669</v>
      </c>
      <c r="E94" s="84"/>
      <c r="F94" s="84"/>
      <c r="G94" s="84"/>
      <c r="H94" s="84"/>
      <c r="I94" s="84"/>
      <c r="J94" s="95"/>
      <c r="K94" s="62" t="s">
        <v>253</v>
      </c>
      <c r="L94" s="69"/>
      <c r="M94" s="70">
        <f>(IF(B85&gt;2,(I85/(B85+4)+M93),0))</f>
        <v>0</v>
      </c>
    </row>
    <row r="95" spans="1:13" x14ac:dyDescent="0.25">
      <c r="A95" s="87" t="s">
        <v>254</v>
      </c>
      <c r="B95" s="88"/>
      <c r="C95" s="77">
        <v>0</v>
      </c>
      <c r="D95" s="84">
        <f ca="1">((100/I85)*C95)/100</f>
        <v>0</v>
      </c>
      <c r="E95" s="84"/>
      <c r="F95" s="84"/>
      <c r="G95" s="84"/>
      <c r="H95" s="84"/>
      <c r="I95" s="84"/>
      <c r="J95" s="95"/>
      <c r="K95" s="62" t="s">
        <v>255</v>
      </c>
      <c r="L95" s="71"/>
      <c r="M95" s="72">
        <f>(IF(B85&gt;3,(I85/(B85+4)+M94),0))</f>
        <v>0</v>
      </c>
    </row>
    <row r="96" spans="1:13" ht="15" customHeight="1" x14ac:dyDescent="0.25">
      <c r="A96" s="87" t="s">
        <v>256</v>
      </c>
      <c r="B96" s="88" t="s">
        <v>256</v>
      </c>
      <c r="C96" s="77">
        <v>0</v>
      </c>
      <c r="D96" s="84">
        <f ca="1">((100/(I85))*C96)/100</f>
        <v>0</v>
      </c>
      <c r="E96" s="84"/>
      <c r="F96" s="84"/>
      <c r="G96" s="84"/>
      <c r="H96" s="84"/>
      <c r="I96" s="84"/>
      <c r="J96" s="95"/>
      <c r="K96" s="62" t="s">
        <v>147</v>
      </c>
      <c r="L96" s="65"/>
      <c r="M96" s="67">
        <f ca="1">(IF(B85=0,I85/4+M91,(I85/(B85+4)+M91+MAX(0,M92-M91)+MAX(0,M93-M92)+MAX(0,M94-M93)+MAX(0,M95-M94))))</f>
        <v>4.5</v>
      </c>
    </row>
    <row r="97" spans="1:13" ht="16.5" thickBot="1" x14ac:dyDescent="0.3">
      <c r="A97" s="111" t="s">
        <v>257</v>
      </c>
      <c r="B97" s="112"/>
      <c r="C97" s="79">
        <v>0</v>
      </c>
      <c r="D97" s="94">
        <f ca="1">((100/(I85))*C97)/100</f>
        <v>0</v>
      </c>
      <c r="E97" s="94"/>
      <c r="F97" s="94"/>
      <c r="G97" s="94"/>
      <c r="H97" s="94"/>
      <c r="I97" s="94"/>
      <c r="J97" s="96"/>
      <c r="K97" s="73" t="s">
        <v>148</v>
      </c>
      <c r="L97" s="74"/>
      <c r="M97" s="75">
        <f ca="1">(IF(B85=0,I85/4+M96,(I85/(B85+4)+M96)))</f>
        <v>6</v>
      </c>
    </row>
    <row r="98" spans="1:13" x14ac:dyDescent="0.25">
      <c r="A98" s="205" t="s">
        <v>192</v>
      </c>
      <c r="B98" s="206"/>
      <c r="C98" s="206"/>
      <c r="D98" s="206"/>
      <c r="E98" s="206"/>
      <c r="F98" s="206"/>
      <c r="G98" s="206"/>
      <c r="H98" s="206"/>
      <c r="I98" s="206"/>
      <c r="J98" s="207"/>
    </row>
    <row r="99" spans="1:13" x14ac:dyDescent="0.25">
      <c r="A99" s="143" t="s">
        <v>73</v>
      </c>
      <c r="B99" s="144"/>
      <c r="C99" s="144"/>
      <c r="D99" s="144"/>
      <c r="E99" s="144"/>
      <c r="F99" s="144"/>
      <c r="G99" s="144"/>
      <c r="H99" s="144"/>
      <c r="I99" s="144"/>
      <c r="J99" s="145"/>
    </row>
    <row r="100" spans="1:13" ht="15" hidden="1" customHeight="1" x14ac:dyDescent="0.25">
      <c r="A100" s="223" t="s">
        <v>141</v>
      </c>
      <c r="B100" s="224"/>
      <c r="C100" s="228" t="s">
        <v>142</v>
      </c>
      <c r="D100" s="229"/>
      <c r="E100" s="229"/>
      <c r="F100" s="229"/>
      <c r="G100" s="229"/>
      <c r="H100" s="229"/>
      <c r="I100" s="229"/>
      <c r="J100" s="230"/>
    </row>
    <row r="101" spans="1:13" x14ac:dyDescent="0.25">
      <c r="A101" s="208" t="s">
        <v>74</v>
      </c>
      <c r="B101" s="209"/>
      <c r="C101" s="209"/>
      <c r="D101" s="209"/>
      <c r="E101" s="209"/>
      <c r="F101" s="209"/>
      <c r="G101" s="209"/>
      <c r="H101" s="209"/>
      <c r="I101" s="209"/>
      <c r="J101" s="210"/>
    </row>
    <row r="102" spans="1:13" ht="18" customHeight="1" x14ac:dyDescent="0.25">
      <c r="A102" s="143" t="s">
        <v>150</v>
      </c>
      <c r="B102" s="144"/>
      <c r="C102" s="144"/>
      <c r="D102" s="144"/>
      <c r="E102" s="144"/>
      <c r="F102" s="145"/>
      <c r="G102" s="225">
        <v>3500</v>
      </c>
      <c r="H102" s="226"/>
      <c r="I102" s="226"/>
      <c r="J102" s="227"/>
    </row>
    <row r="103" spans="1:13" ht="18" customHeight="1" x14ac:dyDescent="0.25">
      <c r="A103" s="143" t="s">
        <v>200</v>
      </c>
      <c r="B103" s="144"/>
      <c r="C103" s="144"/>
      <c r="D103" s="144"/>
      <c r="E103" s="144"/>
      <c r="F103" s="145"/>
      <c r="G103" s="199" t="s">
        <v>201</v>
      </c>
      <c r="H103" s="200"/>
      <c r="I103" s="200"/>
      <c r="J103" s="201"/>
    </row>
    <row r="104" spans="1:13" x14ac:dyDescent="0.25">
      <c r="A104" s="149" t="s">
        <v>202</v>
      </c>
      <c r="B104" s="150"/>
      <c r="C104" s="150"/>
      <c r="D104" s="150"/>
      <c r="E104" s="150"/>
      <c r="F104" s="151"/>
      <c r="G104" s="199" t="s">
        <v>258</v>
      </c>
      <c r="H104" s="200"/>
      <c r="I104" s="200"/>
      <c r="J104" s="201"/>
    </row>
    <row r="105" spans="1:13" ht="18" hidden="1" customHeight="1" x14ac:dyDescent="0.25">
      <c r="A105" s="143" t="s">
        <v>203</v>
      </c>
      <c r="B105" s="144"/>
      <c r="C105" s="144"/>
      <c r="D105" s="144"/>
      <c r="E105" s="144"/>
      <c r="F105" s="145"/>
      <c r="G105" s="199" t="s">
        <v>204</v>
      </c>
      <c r="H105" s="200"/>
      <c r="I105" s="200"/>
      <c r="J105" s="201"/>
    </row>
    <row r="106" spans="1:13" ht="18" customHeight="1" x14ac:dyDescent="0.25">
      <c r="A106" s="143" t="s">
        <v>75</v>
      </c>
      <c r="B106" s="144"/>
      <c r="C106" s="144"/>
      <c r="D106" s="144"/>
      <c r="E106" s="144"/>
      <c r="F106" s="145"/>
      <c r="G106" s="199" t="s">
        <v>205</v>
      </c>
      <c r="H106" s="200"/>
      <c r="I106" s="200"/>
      <c r="J106" s="201"/>
    </row>
    <row r="107" spans="1:13" x14ac:dyDescent="0.25">
      <c r="A107" s="143" t="s">
        <v>199</v>
      </c>
      <c r="B107" s="144"/>
      <c r="C107" s="144"/>
      <c r="D107" s="144"/>
      <c r="E107" s="144"/>
      <c r="F107" s="145"/>
      <c r="G107" s="199" t="s">
        <v>158</v>
      </c>
      <c r="H107" s="200"/>
      <c r="I107" s="200"/>
      <c r="J107" s="201"/>
    </row>
    <row r="108" spans="1:13" s="14" customFormat="1" ht="14.45" customHeight="1" x14ac:dyDescent="0.25">
      <c r="A108" s="208" t="s">
        <v>76</v>
      </c>
      <c r="B108" s="209"/>
      <c r="C108" s="209"/>
      <c r="D108" s="209"/>
      <c r="E108" s="209"/>
      <c r="F108" s="210"/>
      <c r="G108" s="222">
        <f>G102*0.8</f>
        <v>2800</v>
      </c>
      <c r="H108" s="202"/>
      <c r="I108" s="202"/>
      <c r="J108" s="203"/>
    </row>
    <row r="109" spans="1:13" s="1" customFormat="1" x14ac:dyDescent="0.25">
      <c r="A109" s="219" t="s">
        <v>134</v>
      </c>
      <c r="B109" s="220"/>
      <c r="C109" s="220"/>
      <c r="D109" s="220"/>
      <c r="E109" s="220"/>
      <c r="F109" s="220"/>
      <c r="G109" s="220"/>
      <c r="H109" s="220"/>
      <c r="I109" s="220"/>
      <c r="J109" s="221"/>
    </row>
    <row r="110" spans="1:13" s="1" customFormat="1" x14ac:dyDescent="0.25">
      <c r="A110" s="234" t="s">
        <v>77</v>
      </c>
      <c r="B110" s="236"/>
      <c r="C110" s="10" t="s">
        <v>174</v>
      </c>
      <c r="D110" s="231" t="s">
        <v>78</v>
      </c>
      <c r="E110" s="232"/>
      <c r="F110" s="233"/>
      <c r="G110" s="234" t="s">
        <v>79</v>
      </c>
      <c r="H110" s="235"/>
      <c r="I110" s="235"/>
      <c r="J110" s="236"/>
    </row>
    <row r="111" spans="1:13" s="1" customFormat="1" x14ac:dyDescent="0.25">
      <c r="A111" s="240" t="s">
        <v>218</v>
      </c>
      <c r="B111" s="241"/>
      <c r="C111" s="11">
        <f>COUNT(D123:E125)+COUNT(D127:E132)*5+COUNT(D135:E136,D138)</f>
        <v>36</v>
      </c>
      <c r="D111" s="237">
        <f>SUM(D123:E125)+SUM(D127:E132)*5+SUM(D135:E136,D138)</f>
        <v>14342.061239999997</v>
      </c>
      <c r="E111" s="238"/>
      <c r="F111" s="239"/>
      <c r="G111" s="237">
        <f>SUM(G123:H125)+SUM(G127:H132)*5+SUM(G135:H136,G138)</f>
        <v>21148.940357999996</v>
      </c>
      <c r="H111" s="238"/>
      <c r="I111" s="238"/>
      <c r="J111" s="239"/>
    </row>
    <row r="112" spans="1:13" s="1" customFormat="1" x14ac:dyDescent="0.25">
      <c r="A112" s="240" t="s">
        <v>212</v>
      </c>
      <c r="B112" s="241"/>
      <c r="C112" s="11">
        <f>COUNT(D142:E146)+COUNT(D150:E156)*5+COUNT(D160:E161,D163)</f>
        <v>43</v>
      </c>
      <c r="D112" s="237">
        <f>SUM(D142:E146)+SUM(D150:E156)*5+SUM(D160:E161,D163)</f>
        <v>15671.738160000001</v>
      </c>
      <c r="E112" s="238"/>
      <c r="F112" s="239"/>
      <c r="G112" s="237">
        <f>SUM(G142:H146)+SUM(G150:H156)*5+SUM(G160:H161,G163)</f>
        <v>23087.305331999996</v>
      </c>
      <c r="H112" s="238"/>
      <c r="I112" s="238"/>
      <c r="J112" s="239"/>
    </row>
    <row r="113" spans="1:14" s="1" customFormat="1" x14ac:dyDescent="0.25">
      <c r="A113" s="240" t="s">
        <v>217</v>
      </c>
      <c r="B113" s="241"/>
      <c r="C113" s="11">
        <f>COUNT(D167:E171)+COUNT(D175:E181)*5+COUNT(D185:E186,D188)</f>
        <v>43</v>
      </c>
      <c r="D113" s="237">
        <f>SUM(D167:E171)+SUM(D175:E181)*5+SUM(D185:E186,D188)</f>
        <v>15671.738160000001</v>
      </c>
      <c r="E113" s="238"/>
      <c r="F113" s="239"/>
      <c r="G113" s="237">
        <f>SUM(G167:H171)+SUM(G175:H181)*5+SUM(G185:H186,G188)</f>
        <v>23087.305331999996</v>
      </c>
      <c r="H113" s="238"/>
      <c r="I113" s="238"/>
      <c r="J113" s="239"/>
    </row>
    <row r="114" spans="1:14" s="1" customFormat="1" x14ac:dyDescent="0.25">
      <c r="A114" s="240" t="s">
        <v>215</v>
      </c>
      <c r="B114" s="241"/>
      <c r="C114" s="11">
        <f>COUNT(D194:E196)+COUNT(D198:E203)*5+COUNT(D206:E207,D209)</f>
        <v>36</v>
      </c>
      <c r="D114" s="237">
        <f>SUM(D194:E196)+SUM(D198:E203)*5+SUM(D206:E207,D209)</f>
        <v>14342.061239999997</v>
      </c>
      <c r="E114" s="238"/>
      <c r="F114" s="239"/>
      <c r="G114" s="237">
        <f>SUM(G194:H196)+SUM(G198:H203)*5+SUM(G206:H207,G209)</f>
        <v>21148.940357999996</v>
      </c>
      <c r="H114" s="238"/>
      <c r="I114" s="238"/>
      <c r="J114" s="239"/>
    </row>
    <row r="115" spans="1:14" s="1" customFormat="1" x14ac:dyDescent="0.25">
      <c r="A115" s="219" t="s">
        <v>81</v>
      </c>
      <c r="B115" s="220"/>
      <c r="C115" s="10">
        <f>SUM(C111:C114)</f>
        <v>158</v>
      </c>
      <c r="D115" s="244">
        <f>SUM(D111:D114)</f>
        <v>60027.598799999992</v>
      </c>
      <c r="E115" s="245"/>
      <c r="F115" s="246"/>
      <c r="G115" s="234">
        <f>SUM(G111:G114)</f>
        <v>88472.491379999992</v>
      </c>
      <c r="H115" s="235"/>
      <c r="I115" s="235"/>
      <c r="J115" s="236"/>
    </row>
    <row r="116" spans="1:14" s="14" customFormat="1" x14ac:dyDescent="0.25">
      <c r="A116" s="252" t="s">
        <v>82</v>
      </c>
      <c r="B116" s="253"/>
      <c r="C116" s="253"/>
      <c r="D116" s="253"/>
      <c r="E116" s="253"/>
      <c r="F116" s="253"/>
      <c r="G116" s="253"/>
      <c r="H116" s="253"/>
      <c r="I116" s="253"/>
      <c r="J116" s="254"/>
    </row>
    <row r="117" spans="1:14" x14ac:dyDescent="0.25">
      <c r="A117" s="252" t="s">
        <v>83</v>
      </c>
      <c r="B117" s="253"/>
      <c r="C117" s="253"/>
      <c r="D117" s="253"/>
      <c r="E117" s="253"/>
      <c r="F117" s="253"/>
      <c r="G117" s="253"/>
      <c r="H117" s="253"/>
      <c r="I117" s="253"/>
      <c r="J117" s="254"/>
    </row>
    <row r="118" spans="1:14" ht="47.25" x14ac:dyDescent="0.25">
      <c r="A118" s="242" t="s">
        <v>198</v>
      </c>
      <c r="B118" s="243"/>
      <c r="C118" s="2" t="s">
        <v>84</v>
      </c>
      <c r="D118" s="242" t="s">
        <v>85</v>
      </c>
      <c r="E118" s="243"/>
      <c r="F118" s="15" t="s">
        <v>86</v>
      </c>
      <c r="G118" s="2" t="s">
        <v>197</v>
      </c>
      <c r="H118" s="2" t="s">
        <v>87</v>
      </c>
      <c r="I118" s="242" t="s">
        <v>88</v>
      </c>
      <c r="J118" s="243"/>
      <c r="N118" s="12" t="s">
        <v>193</v>
      </c>
    </row>
    <row r="119" spans="1:14" s="3" customFormat="1" x14ac:dyDescent="0.25">
      <c r="A119" s="97" t="s">
        <v>277</v>
      </c>
      <c r="B119" s="98"/>
      <c r="C119" s="98"/>
      <c r="D119" s="98"/>
      <c r="E119" s="98"/>
      <c r="F119" s="98"/>
      <c r="G119" s="98"/>
      <c r="H119" s="98"/>
      <c r="I119" s="98"/>
      <c r="J119" s="99"/>
    </row>
    <row r="120" spans="1:14" s="3" customFormat="1" x14ac:dyDescent="0.25">
      <c r="A120" s="97" t="s">
        <v>271</v>
      </c>
      <c r="B120" s="98"/>
      <c r="C120" s="98"/>
      <c r="D120" s="98"/>
      <c r="E120" s="98"/>
      <c r="F120" s="98"/>
      <c r="G120" s="98"/>
      <c r="H120" s="98"/>
      <c r="I120" s="98"/>
      <c r="J120" s="99"/>
    </row>
    <row r="121" spans="1:14" s="3" customFormat="1" x14ac:dyDescent="0.25">
      <c r="A121" s="89" t="s">
        <v>268</v>
      </c>
      <c r="B121" s="90"/>
      <c r="C121" s="89" t="s">
        <v>269</v>
      </c>
      <c r="D121" s="104"/>
      <c r="E121" s="104"/>
      <c r="F121" s="104"/>
      <c r="G121" s="104"/>
      <c r="H121" s="90"/>
      <c r="I121" s="100" t="s">
        <v>214</v>
      </c>
      <c r="J121" s="101"/>
    </row>
    <row r="122" spans="1:14" s="3" customFormat="1" x14ac:dyDescent="0.25">
      <c r="A122" s="89" t="s">
        <v>268</v>
      </c>
      <c r="B122" s="90"/>
      <c r="C122" s="89" t="s">
        <v>270</v>
      </c>
      <c r="D122" s="104"/>
      <c r="E122" s="104"/>
      <c r="F122" s="104"/>
      <c r="G122" s="104"/>
      <c r="H122" s="90"/>
      <c r="I122" s="102"/>
      <c r="J122" s="103"/>
    </row>
    <row r="123" spans="1:14" s="3" customFormat="1" ht="15.75" customHeight="1" x14ac:dyDescent="0.25">
      <c r="A123" s="89">
        <v>1</v>
      </c>
      <c r="B123" s="90"/>
      <c r="C123" s="4" t="s">
        <v>213</v>
      </c>
      <c r="D123" s="89">
        <f>(12.1+1.62+4.41+2.55+6+2.16+7.7+0.9*3.45+0.3*2.5+2.75)*10.764</f>
        <v>464.41277999999994</v>
      </c>
      <c r="E123" s="90"/>
      <c r="F123" s="4">
        <v>0</v>
      </c>
      <c r="G123" s="4">
        <f>D123*1.45</f>
        <v>673.39853099999993</v>
      </c>
      <c r="H123" s="4" t="s">
        <v>89</v>
      </c>
      <c r="I123" s="102"/>
      <c r="J123" s="103"/>
    </row>
    <row r="124" spans="1:14" s="3" customFormat="1" x14ac:dyDescent="0.25">
      <c r="A124" s="89">
        <v>2</v>
      </c>
      <c r="B124" s="90"/>
      <c r="C124" s="4" t="s">
        <v>195</v>
      </c>
      <c r="D124" s="89">
        <f>(12.1+4+7.84+2.02+1.08+0.9*2+0.9*0.9+2.75)*10.764</f>
        <v>348.75359999999995</v>
      </c>
      <c r="E124" s="90"/>
      <c r="F124" s="4">
        <v>0</v>
      </c>
      <c r="G124" s="4">
        <f t="shared" ref="G124:G125" si="0">D124*1.45</f>
        <v>505.69271999999989</v>
      </c>
      <c r="H124" s="4" t="s">
        <v>89</v>
      </c>
      <c r="I124" s="102"/>
      <c r="J124" s="103"/>
    </row>
    <row r="125" spans="1:14" s="3" customFormat="1" x14ac:dyDescent="0.25">
      <c r="A125" s="89">
        <v>3</v>
      </c>
      <c r="B125" s="90"/>
      <c r="C125" s="4" t="s">
        <v>195</v>
      </c>
      <c r="D125" s="89">
        <f>(12.1+4+7.84+2.14+2.34+0.9*2+0.5*1.2+2.75)*10.764</f>
        <v>361.34748000000008</v>
      </c>
      <c r="E125" s="90"/>
      <c r="F125" s="4">
        <v>0</v>
      </c>
      <c r="G125" s="4">
        <f t="shared" si="0"/>
        <v>523.95384600000011</v>
      </c>
      <c r="H125" s="4" t="s">
        <v>89</v>
      </c>
      <c r="I125" s="102"/>
      <c r="J125" s="103"/>
    </row>
    <row r="126" spans="1:14" s="3" customFormat="1" x14ac:dyDescent="0.25">
      <c r="A126" s="97" t="s">
        <v>272</v>
      </c>
      <c r="B126" s="98"/>
      <c r="C126" s="98"/>
      <c r="D126" s="98"/>
      <c r="E126" s="98"/>
      <c r="F126" s="98"/>
      <c r="G126" s="98"/>
      <c r="H126" s="98"/>
      <c r="I126" s="98"/>
      <c r="J126" s="99"/>
    </row>
    <row r="127" spans="1:14" s="3" customFormat="1" ht="15.6" customHeight="1" x14ac:dyDescent="0.25">
      <c r="A127" s="89">
        <v>1</v>
      </c>
      <c r="B127" s="90"/>
      <c r="C127" s="4" t="s">
        <v>195</v>
      </c>
      <c r="D127" s="89">
        <f>(12.1+4+7.84+2.02+1.08+0.9*2+0.9*0.9+2.75)*10.764</f>
        <v>348.75359999999995</v>
      </c>
      <c r="E127" s="90"/>
      <c r="F127" s="4">
        <v>0</v>
      </c>
      <c r="G127" s="4">
        <f t="shared" ref="G127:G132" si="1">D127*1.45</f>
        <v>505.69271999999989</v>
      </c>
      <c r="H127" s="4" t="s">
        <v>89</v>
      </c>
      <c r="I127" s="100" t="str">
        <f>A126</f>
        <v>1st To 5th Floor</v>
      </c>
      <c r="J127" s="101"/>
    </row>
    <row r="128" spans="1:14" s="3" customFormat="1" ht="15.6" customHeight="1" x14ac:dyDescent="0.25">
      <c r="A128" s="89">
        <v>2</v>
      </c>
      <c r="B128" s="90"/>
      <c r="C128" s="4" t="s">
        <v>213</v>
      </c>
      <c r="D128" s="89">
        <f>(12.1+1.62+4.41+2.55+6+2.16+7.7+0.9*3.45+0.3*2.5+2.75)*10.764</f>
        <v>464.41277999999994</v>
      </c>
      <c r="E128" s="90"/>
      <c r="F128" s="4">
        <v>0</v>
      </c>
      <c r="G128" s="4">
        <f t="shared" si="1"/>
        <v>673.39853099999993</v>
      </c>
      <c r="H128" s="4" t="s">
        <v>89</v>
      </c>
      <c r="I128" s="102"/>
      <c r="J128" s="103"/>
    </row>
    <row r="129" spans="1:14" s="3" customFormat="1" x14ac:dyDescent="0.25">
      <c r="A129" s="89">
        <v>3</v>
      </c>
      <c r="B129" s="90"/>
      <c r="C129" s="4" t="s">
        <v>213</v>
      </c>
      <c r="D129" s="89">
        <f>(12.1+1.62+4.41+2.55+6+2.16+7.7+0.9*3.45+0.3*2.5+2.75)*10.764</f>
        <v>464.41277999999994</v>
      </c>
      <c r="E129" s="90"/>
      <c r="F129" s="4">
        <v>0</v>
      </c>
      <c r="G129" s="4">
        <f t="shared" si="1"/>
        <v>673.39853099999993</v>
      </c>
      <c r="H129" s="4" t="s">
        <v>89</v>
      </c>
      <c r="I129" s="102"/>
      <c r="J129" s="103"/>
    </row>
    <row r="130" spans="1:14" s="3" customFormat="1" x14ac:dyDescent="0.25">
      <c r="A130" s="89">
        <v>4</v>
      </c>
      <c r="B130" s="90"/>
      <c r="C130" s="4" t="s">
        <v>195</v>
      </c>
      <c r="D130" s="89">
        <f>(12.1+4+7.84+2.02+1.08+0.9*2+0.9*0.9+2.75)*10.764</f>
        <v>348.75359999999995</v>
      </c>
      <c r="E130" s="90"/>
      <c r="F130" s="4">
        <v>0</v>
      </c>
      <c r="G130" s="4">
        <f t="shared" si="1"/>
        <v>505.69271999999989</v>
      </c>
      <c r="H130" s="4" t="s">
        <v>89</v>
      </c>
      <c r="I130" s="102"/>
      <c r="J130" s="103"/>
    </row>
    <row r="131" spans="1:14" s="3" customFormat="1" x14ac:dyDescent="0.25">
      <c r="A131" s="89">
        <v>5</v>
      </c>
      <c r="B131" s="90"/>
      <c r="C131" s="4" t="s">
        <v>195</v>
      </c>
      <c r="D131" s="89">
        <f>(12.1+4+7.84+2.14+2.34+0.9*2+0.5*1.2+2.75)*10.764</f>
        <v>361.34748000000008</v>
      </c>
      <c r="E131" s="90"/>
      <c r="F131" s="4">
        <v>0</v>
      </c>
      <c r="G131" s="4">
        <f t="shared" si="1"/>
        <v>523.95384600000011</v>
      </c>
      <c r="H131" s="4" t="s">
        <v>89</v>
      </c>
      <c r="I131" s="102"/>
      <c r="J131" s="103"/>
    </row>
    <row r="132" spans="1:14" s="3" customFormat="1" x14ac:dyDescent="0.25">
      <c r="A132" s="89">
        <v>6</v>
      </c>
      <c r="B132" s="90"/>
      <c r="C132" s="4" t="s">
        <v>195</v>
      </c>
      <c r="D132" s="89">
        <f>(12.1+8.79+4.5+2.55+2.34+0.9*2.13+0.9*1.2+2.75)*10.764</f>
        <v>387.79462799999999</v>
      </c>
      <c r="E132" s="90"/>
      <c r="F132" s="4">
        <v>0</v>
      </c>
      <c r="G132" s="4">
        <f t="shared" si="1"/>
        <v>562.30221059999997</v>
      </c>
      <c r="H132" s="4" t="s">
        <v>89</v>
      </c>
      <c r="I132" s="102"/>
      <c r="J132" s="103"/>
    </row>
    <row r="133" spans="1:14" s="3" customFormat="1" x14ac:dyDescent="0.25">
      <c r="A133" s="97" t="s">
        <v>273</v>
      </c>
      <c r="B133" s="98"/>
      <c r="C133" s="98"/>
      <c r="D133" s="98"/>
      <c r="E133" s="98"/>
      <c r="F133" s="98"/>
      <c r="G133" s="98"/>
      <c r="H133" s="98"/>
      <c r="I133" s="98"/>
      <c r="J133" s="99"/>
    </row>
    <row r="134" spans="1:14" s="3" customFormat="1" ht="15.6" customHeight="1" x14ac:dyDescent="0.25">
      <c r="A134" s="89" t="s">
        <v>268</v>
      </c>
      <c r="B134" s="90"/>
      <c r="C134" s="89" t="s">
        <v>268</v>
      </c>
      <c r="D134" s="104"/>
      <c r="E134" s="104"/>
      <c r="F134" s="104"/>
      <c r="G134" s="104"/>
      <c r="H134" s="90"/>
      <c r="I134" s="100" t="str">
        <f>A133</f>
        <v>6th Floor (Part Terrace Area)</v>
      </c>
      <c r="J134" s="101"/>
    </row>
    <row r="135" spans="1:14" s="3" customFormat="1" ht="15.6" customHeight="1" x14ac:dyDescent="0.25">
      <c r="A135" s="89">
        <v>1</v>
      </c>
      <c r="B135" s="90"/>
      <c r="C135" s="4" t="s">
        <v>213</v>
      </c>
      <c r="D135" s="89">
        <f>(12.1+1.62+4.41+2.55+6+2.16+7.7+0.9*3.45+0.3*2.5+2.75)*10.764</f>
        <v>464.41277999999994</v>
      </c>
      <c r="E135" s="90"/>
      <c r="F135" s="4">
        <f>(12.1+4+7.84+2.02+1.08+0.9*2+0.9*0.9+2.75)*10.764</f>
        <v>348.75359999999995</v>
      </c>
      <c r="G135" s="4">
        <f>D135*1.45+F135/3</f>
        <v>789.64973099999997</v>
      </c>
      <c r="H135" s="4" t="s">
        <v>89</v>
      </c>
      <c r="I135" s="102"/>
      <c r="J135" s="103"/>
    </row>
    <row r="136" spans="1:14" s="3" customFormat="1" x14ac:dyDescent="0.25">
      <c r="A136" s="89">
        <v>2</v>
      </c>
      <c r="B136" s="90"/>
      <c r="C136" s="4" t="s">
        <v>213</v>
      </c>
      <c r="D136" s="89">
        <f>(12.1+1.62+4.41+2.55+6+2.16+7.7+0.9*3.45+0.3*2.5+2.75)*10.764</f>
        <v>464.41277999999994</v>
      </c>
      <c r="E136" s="90"/>
      <c r="F136" s="4">
        <f>(12.1+4+7.84+2.02+1.08+0.9*2+0.9*0.9+2.75)*10.764</f>
        <v>348.75359999999995</v>
      </c>
      <c r="G136" s="4">
        <f>D136*1.45+F136/3</f>
        <v>789.64973099999997</v>
      </c>
      <c r="H136" s="4" t="s">
        <v>89</v>
      </c>
      <c r="I136" s="102"/>
      <c r="J136" s="103"/>
    </row>
    <row r="137" spans="1:14" s="3" customFormat="1" x14ac:dyDescent="0.25">
      <c r="A137" s="89" t="s">
        <v>268</v>
      </c>
      <c r="B137" s="90"/>
      <c r="C137" s="89" t="s">
        <v>268</v>
      </c>
      <c r="D137" s="104"/>
      <c r="E137" s="104"/>
      <c r="F137" s="104"/>
      <c r="G137" s="104"/>
      <c r="H137" s="90"/>
      <c r="I137" s="102"/>
      <c r="J137" s="103"/>
    </row>
    <row r="138" spans="1:14" s="3" customFormat="1" x14ac:dyDescent="0.25">
      <c r="A138" s="89">
        <v>3</v>
      </c>
      <c r="B138" s="90"/>
      <c r="C138" s="4" t="s">
        <v>195</v>
      </c>
      <c r="D138" s="89">
        <f>(12.1+4+7.84+2.14+2.34+0.9*2+0.5*1.2+2.75)*10.764</f>
        <v>361.34748000000008</v>
      </c>
      <c r="E138" s="90"/>
      <c r="F138" s="4">
        <f>(12.1+4+7.84+2.14+2.34+0.9*2+0.5*1.2+2.75)*10.764</f>
        <v>361.34748000000008</v>
      </c>
      <c r="G138" s="4">
        <f>D138*1.45+F138/3</f>
        <v>644.40300600000012</v>
      </c>
      <c r="H138" s="4" t="s">
        <v>89</v>
      </c>
      <c r="I138" s="102"/>
      <c r="J138" s="103"/>
    </row>
    <row r="139" spans="1:14" s="3" customFormat="1" x14ac:dyDescent="0.25">
      <c r="A139" s="89" t="s">
        <v>268</v>
      </c>
      <c r="B139" s="90"/>
      <c r="C139" s="89" t="s">
        <v>274</v>
      </c>
      <c r="D139" s="104"/>
      <c r="E139" s="104"/>
      <c r="F139" s="104"/>
      <c r="G139" s="104"/>
      <c r="H139" s="90"/>
      <c r="I139" s="102"/>
      <c r="J139" s="103"/>
    </row>
    <row r="140" spans="1:14" s="3" customFormat="1" x14ac:dyDescent="0.25">
      <c r="A140" s="97" t="s">
        <v>276</v>
      </c>
      <c r="B140" s="98"/>
      <c r="C140" s="98"/>
      <c r="D140" s="98"/>
      <c r="E140" s="98"/>
      <c r="F140" s="98"/>
      <c r="G140" s="98"/>
      <c r="H140" s="98"/>
      <c r="I140" s="98"/>
      <c r="J140" s="99"/>
    </row>
    <row r="141" spans="1:14" s="3" customFormat="1" x14ac:dyDescent="0.25">
      <c r="A141" s="97" t="s">
        <v>275</v>
      </c>
      <c r="B141" s="98"/>
      <c r="C141" s="98"/>
      <c r="D141" s="98"/>
      <c r="E141" s="98"/>
      <c r="F141" s="98"/>
      <c r="G141" s="98"/>
      <c r="H141" s="98"/>
      <c r="I141" s="98"/>
      <c r="J141" s="99"/>
    </row>
    <row r="142" spans="1:14" s="3" customFormat="1" x14ac:dyDescent="0.25">
      <c r="A142" s="89">
        <v>1</v>
      </c>
      <c r="B142" s="90"/>
      <c r="C142" s="4" t="s">
        <v>195</v>
      </c>
      <c r="D142" s="89">
        <f>(12.1+4+7.84+2.14+2.34+0.9*2+0.5*1.2+2.75)*10.764</f>
        <v>361.34748000000008</v>
      </c>
      <c r="E142" s="90"/>
      <c r="F142" s="4">
        <v>0</v>
      </c>
      <c r="G142" s="4">
        <f t="shared" ref="G142:G146" si="2">D142*1.45+F142/3</f>
        <v>523.95384600000011</v>
      </c>
      <c r="H142" s="4" t="s">
        <v>89</v>
      </c>
      <c r="I142" s="100" t="s">
        <v>196</v>
      </c>
      <c r="J142" s="101"/>
    </row>
    <row r="143" spans="1:14" s="3" customFormat="1" x14ac:dyDescent="0.25">
      <c r="A143" s="89">
        <v>2</v>
      </c>
      <c r="B143" s="90"/>
      <c r="C143" s="4" t="s">
        <v>195</v>
      </c>
      <c r="D143" s="89">
        <f>(12.1+4+2+5.5+2.75+1.44+2.02+0.9*1.5+2.75)*10.764</f>
        <v>365.00724000000002</v>
      </c>
      <c r="E143" s="90"/>
      <c r="F143" s="4">
        <v>0</v>
      </c>
      <c r="G143" s="4">
        <f t="shared" si="2"/>
        <v>529.26049799999998</v>
      </c>
      <c r="H143" s="4" t="s">
        <v>89</v>
      </c>
      <c r="I143" s="102"/>
      <c r="J143" s="103"/>
      <c r="N143" s="3" t="s">
        <v>216</v>
      </c>
    </row>
    <row r="144" spans="1:14" s="3" customFormat="1" x14ac:dyDescent="0.25">
      <c r="A144" s="89">
        <v>3</v>
      </c>
      <c r="B144" s="90"/>
      <c r="C144" s="4" t="s">
        <v>195</v>
      </c>
      <c r="D144" s="89">
        <f>(12.1+4+2+5.5+2.75+2.34+2.14+0.4*1.2+2.75)*10.764</f>
        <v>366.62184000000002</v>
      </c>
      <c r="E144" s="90"/>
      <c r="F144" s="4">
        <v>0</v>
      </c>
      <c r="G144" s="4">
        <f t="shared" si="2"/>
        <v>531.60166800000002</v>
      </c>
      <c r="H144" s="4" t="s">
        <v>89</v>
      </c>
      <c r="I144" s="102"/>
      <c r="J144" s="103"/>
    </row>
    <row r="145" spans="1:10" s="3" customFormat="1" x14ac:dyDescent="0.25">
      <c r="A145" s="89">
        <v>4</v>
      </c>
      <c r="B145" s="90"/>
      <c r="C145" s="4" t="s">
        <v>195</v>
      </c>
      <c r="D145" s="89">
        <f>(12.1+4+2+5.5+2.75+2.34+2.14+0.4*1.2+2.75)*10.764</f>
        <v>366.62184000000002</v>
      </c>
      <c r="E145" s="90"/>
      <c r="F145" s="4">
        <v>0</v>
      </c>
      <c r="G145" s="4">
        <f t="shared" si="2"/>
        <v>531.60166800000002</v>
      </c>
      <c r="H145" s="4" t="s">
        <v>89</v>
      </c>
      <c r="I145" s="102"/>
      <c r="J145" s="103"/>
    </row>
    <row r="146" spans="1:10" s="3" customFormat="1" x14ac:dyDescent="0.25">
      <c r="A146" s="89">
        <v>5</v>
      </c>
      <c r="B146" s="90"/>
      <c r="C146" s="4" t="s">
        <v>195</v>
      </c>
      <c r="D146" s="89">
        <f>(12.1+4+2+5.5+2.75+2.34+2.14+0.4*1.2+2.75)*10.764</f>
        <v>366.62184000000002</v>
      </c>
      <c r="E146" s="90"/>
      <c r="F146" s="4">
        <v>0</v>
      </c>
      <c r="G146" s="4">
        <f t="shared" si="2"/>
        <v>531.60166800000002</v>
      </c>
      <c r="H146" s="4" t="s">
        <v>89</v>
      </c>
      <c r="I146" s="102"/>
      <c r="J146" s="103"/>
    </row>
    <row r="147" spans="1:10" s="3" customFormat="1" x14ac:dyDescent="0.25">
      <c r="A147" s="89">
        <v>6</v>
      </c>
      <c r="B147" s="90"/>
      <c r="C147" s="100" t="s">
        <v>153</v>
      </c>
      <c r="D147" s="217"/>
      <c r="E147" s="217"/>
      <c r="F147" s="217"/>
      <c r="G147" s="217"/>
      <c r="H147" s="101"/>
      <c r="I147" s="102"/>
      <c r="J147" s="103"/>
    </row>
    <row r="148" spans="1:10" s="3" customFormat="1" x14ac:dyDescent="0.25">
      <c r="A148" s="89">
        <v>7</v>
      </c>
      <c r="B148" s="90"/>
      <c r="C148" s="121"/>
      <c r="D148" s="218"/>
      <c r="E148" s="218"/>
      <c r="F148" s="218"/>
      <c r="G148" s="218"/>
      <c r="H148" s="122"/>
      <c r="I148" s="121"/>
      <c r="J148" s="122"/>
    </row>
    <row r="149" spans="1:10" s="3" customFormat="1" ht="15.75" customHeight="1" x14ac:dyDescent="0.25">
      <c r="A149" s="97" t="s">
        <v>272</v>
      </c>
      <c r="B149" s="98"/>
      <c r="C149" s="98"/>
      <c r="D149" s="98"/>
      <c r="E149" s="98"/>
      <c r="F149" s="98"/>
      <c r="G149" s="98"/>
      <c r="H149" s="98"/>
      <c r="I149" s="98"/>
      <c r="J149" s="99"/>
    </row>
    <row r="150" spans="1:10" s="3" customFormat="1" x14ac:dyDescent="0.25">
      <c r="A150" s="89">
        <v>1</v>
      </c>
      <c r="B150" s="90"/>
      <c r="C150" s="4" t="s">
        <v>195</v>
      </c>
      <c r="D150" s="89">
        <f>(12.1+4+7.84+2.14+2.34+0.9*2+0.5*1.2+2.75)*10.764</f>
        <v>361.34748000000008</v>
      </c>
      <c r="E150" s="90"/>
      <c r="F150" s="4">
        <v>0</v>
      </c>
      <c r="G150" s="4">
        <f t="shared" ref="G150:G156" si="3">D150*1.45+F150/3</f>
        <v>523.95384600000011</v>
      </c>
      <c r="H150" s="4" t="s">
        <v>89</v>
      </c>
      <c r="I150" s="100" t="str">
        <f>A149</f>
        <v>1st To 5th Floor</v>
      </c>
      <c r="J150" s="101"/>
    </row>
    <row r="151" spans="1:10" s="3" customFormat="1" x14ac:dyDescent="0.25">
      <c r="A151" s="89">
        <v>2</v>
      </c>
      <c r="B151" s="90"/>
      <c r="C151" s="4" t="s">
        <v>195</v>
      </c>
      <c r="D151" s="89">
        <f>(12.1+4+2+5.5+2.75+1.44+2.02+0.9*1.5+2.75)*10.764</f>
        <v>365.00724000000002</v>
      </c>
      <c r="E151" s="90"/>
      <c r="F151" s="4">
        <v>0</v>
      </c>
      <c r="G151" s="4">
        <f t="shared" si="3"/>
        <v>529.26049799999998</v>
      </c>
      <c r="H151" s="4" t="s">
        <v>89</v>
      </c>
      <c r="I151" s="102"/>
      <c r="J151" s="103"/>
    </row>
    <row r="152" spans="1:10" s="3" customFormat="1" x14ac:dyDescent="0.25">
      <c r="A152" s="89">
        <v>3</v>
      </c>
      <c r="B152" s="90"/>
      <c r="C152" s="4" t="s">
        <v>195</v>
      </c>
      <c r="D152" s="89">
        <f>(12.1+4+2+5.5+2.75+2.34+2.14+0.4*1.2+2.75)*10.764</f>
        <v>366.62184000000002</v>
      </c>
      <c r="E152" s="90"/>
      <c r="F152" s="4">
        <v>0</v>
      </c>
      <c r="G152" s="4">
        <f t="shared" si="3"/>
        <v>531.60166800000002</v>
      </c>
      <c r="H152" s="4" t="s">
        <v>89</v>
      </c>
      <c r="I152" s="102"/>
      <c r="J152" s="103"/>
    </row>
    <row r="153" spans="1:10" s="3" customFormat="1" x14ac:dyDescent="0.25">
      <c r="A153" s="89">
        <v>4</v>
      </c>
      <c r="B153" s="90"/>
      <c r="C153" s="4" t="s">
        <v>195</v>
      </c>
      <c r="D153" s="89">
        <f>(12.1+4+2+5.5+2.75+2.34+2.14+0.4*1.2+2.75)*10.764</f>
        <v>366.62184000000002</v>
      </c>
      <c r="E153" s="90"/>
      <c r="F153" s="4">
        <v>0</v>
      </c>
      <c r="G153" s="4">
        <f t="shared" si="3"/>
        <v>531.60166800000002</v>
      </c>
      <c r="H153" s="4" t="s">
        <v>89</v>
      </c>
      <c r="I153" s="102"/>
      <c r="J153" s="103"/>
    </row>
    <row r="154" spans="1:10" s="3" customFormat="1" x14ac:dyDescent="0.25">
      <c r="A154" s="89">
        <v>5</v>
      </c>
      <c r="B154" s="90"/>
      <c r="C154" s="4" t="s">
        <v>195</v>
      </c>
      <c r="D154" s="89">
        <f>(12.1+4+2+5.5+2.75+2.34+2.14+0.4*1.2+2.75)*10.764</f>
        <v>366.62184000000002</v>
      </c>
      <c r="E154" s="90"/>
      <c r="F154" s="4">
        <v>0</v>
      </c>
      <c r="G154" s="4">
        <f t="shared" si="3"/>
        <v>531.60166800000002</v>
      </c>
      <c r="H154" s="4" t="s">
        <v>89</v>
      </c>
      <c r="I154" s="102"/>
      <c r="J154" s="103"/>
    </row>
    <row r="155" spans="1:10" s="3" customFormat="1" x14ac:dyDescent="0.25">
      <c r="A155" s="89">
        <v>6</v>
      </c>
      <c r="B155" s="90"/>
      <c r="C155" s="4" t="s">
        <v>195</v>
      </c>
      <c r="D155" s="89">
        <f>(12.1+4+2+5.5+2.75+1.44+2.02+0.9*1.5+2.75)*10.764</f>
        <v>365.00724000000002</v>
      </c>
      <c r="E155" s="90"/>
      <c r="F155" s="4">
        <v>0</v>
      </c>
      <c r="G155" s="4">
        <f t="shared" si="3"/>
        <v>529.26049799999998</v>
      </c>
      <c r="H155" s="4" t="s">
        <v>89</v>
      </c>
      <c r="I155" s="102"/>
      <c r="J155" s="103"/>
    </row>
    <row r="156" spans="1:10" s="3" customFormat="1" x14ac:dyDescent="0.25">
      <c r="A156" s="89">
        <v>7</v>
      </c>
      <c r="B156" s="90"/>
      <c r="C156" s="4" t="s">
        <v>195</v>
      </c>
      <c r="D156" s="89">
        <f>(12.1+4+2+5.5+2.75+1.08+2.02+0.9*1.2+2.75)*10.764</f>
        <v>358.22591999999997</v>
      </c>
      <c r="E156" s="90"/>
      <c r="F156" s="4">
        <v>0</v>
      </c>
      <c r="G156" s="4">
        <f t="shared" si="3"/>
        <v>519.42758399999991</v>
      </c>
      <c r="H156" s="4" t="s">
        <v>89</v>
      </c>
      <c r="I156" s="102"/>
      <c r="J156" s="103"/>
    </row>
    <row r="157" spans="1:10" s="3" customFormat="1" ht="15.75" customHeight="1" x14ac:dyDescent="0.25">
      <c r="A157" s="97" t="s">
        <v>273</v>
      </c>
      <c r="B157" s="98"/>
      <c r="C157" s="98"/>
      <c r="D157" s="98"/>
      <c r="E157" s="98"/>
      <c r="F157" s="98"/>
      <c r="G157" s="98"/>
      <c r="H157" s="98"/>
      <c r="I157" s="98"/>
      <c r="J157" s="99"/>
    </row>
    <row r="158" spans="1:10" s="3" customFormat="1" x14ac:dyDescent="0.25">
      <c r="A158" s="89" t="s">
        <v>268</v>
      </c>
      <c r="B158" s="90"/>
      <c r="C158" s="89" t="s">
        <v>268</v>
      </c>
      <c r="D158" s="104"/>
      <c r="E158" s="104"/>
      <c r="F158" s="104"/>
      <c r="G158" s="104"/>
      <c r="H158" s="90"/>
      <c r="I158" s="100" t="str">
        <f>A157</f>
        <v>6th Floor (Part Terrace Area)</v>
      </c>
      <c r="J158" s="101"/>
    </row>
    <row r="159" spans="1:10" s="3" customFormat="1" x14ac:dyDescent="0.25">
      <c r="A159" s="89" t="s">
        <v>268</v>
      </c>
      <c r="B159" s="90"/>
      <c r="C159" s="89" t="s">
        <v>268</v>
      </c>
      <c r="D159" s="104"/>
      <c r="E159" s="104"/>
      <c r="F159" s="104"/>
      <c r="G159" s="104"/>
      <c r="H159" s="90"/>
      <c r="I159" s="102"/>
      <c r="J159" s="103"/>
    </row>
    <row r="160" spans="1:10" s="3" customFormat="1" x14ac:dyDescent="0.25">
      <c r="A160" s="89">
        <v>1</v>
      </c>
      <c r="B160" s="90"/>
      <c r="C160" s="4" t="s">
        <v>195</v>
      </c>
      <c r="D160" s="89">
        <f>(12.1+4+2+5.5+2.75+2.34+2.14+0.4*1.2+2.75)*10.764</f>
        <v>366.62184000000002</v>
      </c>
      <c r="E160" s="90"/>
      <c r="F160" s="4">
        <f>(12.1+4+2+5.5+2.75+1.44+2.02+0.9*1.5+2.75)*10.764</f>
        <v>365.00724000000002</v>
      </c>
      <c r="G160" s="4">
        <f>D160*1.45+F160/3</f>
        <v>653.27074800000003</v>
      </c>
      <c r="H160" s="4" t="s">
        <v>89</v>
      </c>
      <c r="I160" s="102"/>
      <c r="J160" s="103"/>
    </row>
    <row r="161" spans="1:14" s="3" customFormat="1" x14ac:dyDescent="0.25">
      <c r="A161" s="89">
        <v>2</v>
      </c>
      <c r="B161" s="90"/>
      <c r="C161" s="4" t="s">
        <v>195</v>
      </c>
      <c r="D161" s="89">
        <f>(12.1+4+2+5.5+2.75+2.34+2.14+0.4*1.2+2.75)*10.764</f>
        <v>366.62184000000002</v>
      </c>
      <c r="E161" s="90"/>
      <c r="F161" s="4">
        <f>(12.1+4+2+5.5+2.75+2.34+2.14+0.4*1.2+2.75)*10.764</f>
        <v>366.62184000000002</v>
      </c>
      <c r="G161" s="4">
        <f t="shared" ref="G161" si="4">D161*1.45+F161/3</f>
        <v>653.80894799999999</v>
      </c>
      <c r="H161" s="4" t="s">
        <v>89</v>
      </c>
      <c r="I161" s="102"/>
      <c r="J161" s="103"/>
    </row>
    <row r="162" spans="1:14" s="3" customFormat="1" x14ac:dyDescent="0.25">
      <c r="A162" s="89" t="s">
        <v>268</v>
      </c>
      <c r="B162" s="90"/>
      <c r="C162" s="89" t="s">
        <v>268</v>
      </c>
      <c r="D162" s="104"/>
      <c r="E162" s="104"/>
      <c r="F162" s="104"/>
      <c r="G162" s="104"/>
      <c r="H162" s="90"/>
      <c r="I162" s="102"/>
      <c r="J162" s="103"/>
    </row>
    <row r="163" spans="1:14" s="3" customFormat="1" x14ac:dyDescent="0.25">
      <c r="A163" s="89">
        <v>3</v>
      </c>
      <c r="B163" s="90"/>
      <c r="C163" s="4" t="s">
        <v>195</v>
      </c>
      <c r="D163" s="89">
        <f>(12.1+4+2+5.5+2.75+1.44+2.02+0.9*1.5+2.75)*10.764</f>
        <v>365.00724000000002</v>
      </c>
      <c r="E163" s="90"/>
      <c r="F163" s="4">
        <f>(12.1+4+2+5.5+2.75+1.08+2.02+0.9*1.2+2.75)*10.764</f>
        <v>358.22591999999997</v>
      </c>
      <c r="G163" s="4">
        <f>D163*1.45+F163/3</f>
        <v>648.66913799999998</v>
      </c>
      <c r="H163" s="4" t="s">
        <v>89</v>
      </c>
      <c r="I163" s="102"/>
      <c r="J163" s="103"/>
    </row>
    <row r="164" spans="1:14" s="3" customFormat="1" x14ac:dyDescent="0.25">
      <c r="A164" s="89">
        <v>7</v>
      </c>
      <c r="B164" s="90"/>
      <c r="C164" s="89" t="s">
        <v>268</v>
      </c>
      <c r="D164" s="104"/>
      <c r="E164" s="104"/>
      <c r="F164" s="104"/>
      <c r="G164" s="104"/>
      <c r="H164" s="90"/>
      <c r="I164" s="102"/>
      <c r="J164" s="103"/>
    </row>
    <row r="165" spans="1:14" s="3" customFormat="1" x14ac:dyDescent="0.25">
      <c r="A165" s="97" t="s">
        <v>278</v>
      </c>
      <c r="B165" s="119"/>
      <c r="C165" s="119"/>
      <c r="D165" s="119"/>
      <c r="E165" s="119"/>
      <c r="F165" s="119"/>
      <c r="G165" s="119"/>
      <c r="H165" s="119"/>
      <c r="I165" s="119"/>
      <c r="J165" s="120"/>
    </row>
    <row r="166" spans="1:14" s="3" customFormat="1" x14ac:dyDescent="0.25">
      <c r="A166" s="97" t="s">
        <v>275</v>
      </c>
      <c r="B166" s="98"/>
      <c r="C166" s="98"/>
      <c r="D166" s="98"/>
      <c r="E166" s="98"/>
      <c r="F166" s="98"/>
      <c r="G166" s="98"/>
      <c r="H166" s="98"/>
      <c r="I166" s="98"/>
      <c r="J166" s="99"/>
    </row>
    <row r="167" spans="1:14" s="3" customFormat="1" x14ac:dyDescent="0.25">
      <c r="A167" s="89">
        <v>1</v>
      </c>
      <c r="B167" s="90"/>
      <c r="C167" s="4" t="s">
        <v>195</v>
      </c>
      <c r="D167" s="89">
        <f>(12.1+4+7.84+2.14+2.34+0.9*2+0.5*1.2+2.75)*10.764</f>
        <v>361.34748000000008</v>
      </c>
      <c r="E167" s="90"/>
      <c r="F167" s="4">
        <v>0</v>
      </c>
      <c r="G167" s="4">
        <f t="shared" ref="G167:G171" si="5">D167*1.45+F167/3</f>
        <v>523.95384600000011</v>
      </c>
      <c r="H167" s="4" t="s">
        <v>89</v>
      </c>
      <c r="I167" s="100" t="s">
        <v>196</v>
      </c>
      <c r="J167" s="101"/>
    </row>
    <row r="168" spans="1:14" s="3" customFormat="1" x14ac:dyDescent="0.25">
      <c r="A168" s="89">
        <v>2</v>
      </c>
      <c r="B168" s="90"/>
      <c r="C168" s="4" t="s">
        <v>195</v>
      </c>
      <c r="D168" s="89">
        <f>(12.1+4+2+5.5+2.75+1.44+2.02+0.9*1.5+2.75)*10.764</f>
        <v>365.00724000000002</v>
      </c>
      <c r="E168" s="90"/>
      <c r="F168" s="4">
        <v>0</v>
      </c>
      <c r="G168" s="4">
        <f t="shared" si="5"/>
        <v>529.26049799999998</v>
      </c>
      <c r="H168" s="4" t="s">
        <v>89</v>
      </c>
      <c r="I168" s="102"/>
      <c r="J168" s="103"/>
      <c r="N168" s="3" t="s">
        <v>216</v>
      </c>
    </row>
    <row r="169" spans="1:14" s="3" customFormat="1" x14ac:dyDescent="0.25">
      <c r="A169" s="89">
        <v>3</v>
      </c>
      <c r="B169" s="90"/>
      <c r="C169" s="4" t="s">
        <v>195</v>
      </c>
      <c r="D169" s="89">
        <f>(12.1+4+2+5.5+2.75+2.34+2.14+0.4*1.2+2.75)*10.764</f>
        <v>366.62184000000002</v>
      </c>
      <c r="E169" s="90"/>
      <c r="F169" s="4">
        <v>0</v>
      </c>
      <c r="G169" s="4">
        <f t="shared" si="5"/>
        <v>531.60166800000002</v>
      </c>
      <c r="H169" s="4" t="s">
        <v>89</v>
      </c>
      <c r="I169" s="102"/>
      <c r="J169" s="103"/>
    </row>
    <row r="170" spans="1:14" s="3" customFormat="1" x14ac:dyDescent="0.25">
      <c r="A170" s="89">
        <v>4</v>
      </c>
      <c r="B170" s="90"/>
      <c r="C170" s="4" t="s">
        <v>195</v>
      </c>
      <c r="D170" s="89">
        <f>(12.1+4+2+5.5+2.75+2.34+2.14+0.4*1.2+2.75)*10.764</f>
        <v>366.62184000000002</v>
      </c>
      <c r="E170" s="90"/>
      <c r="F170" s="4">
        <v>0</v>
      </c>
      <c r="G170" s="4">
        <f t="shared" si="5"/>
        <v>531.60166800000002</v>
      </c>
      <c r="H170" s="4" t="s">
        <v>89</v>
      </c>
      <c r="I170" s="102"/>
      <c r="J170" s="103"/>
    </row>
    <row r="171" spans="1:14" s="3" customFormat="1" x14ac:dyDescent="0.25">
      <c r="A171" s="89">
        <v>5</v>
      </c>
      <c r="B171" s="90"/>
      <c r="C171" s="4" t="s">
        <v>195</v>
      </c>
      <c r="D171" s="89">
        <f>(12.1+4+2+5.5+2.75+2.34+2.14+0.4*1.2+2.75)*10.764</f>
        <v>366.62184000000002</v>
      </c>
      <c r="E171" s="90"/>
      <c r="F171" s="4">
        <v>0</v>
      </c>
      <c r="G171" s="4">
        <f t="shared" si="5"/>
        <v>531.60166800000002</v>
      </c>
      <c r="H171" s="4" t="s">
        <v>89</v>
      </c>
      <c r="I171" s="102"/>
      <c r="J171" s="103"/>
    </row>
    <row r="172" spans="1:14" s="3" customFormat="1" x14ac:dyDescent="0.25">
      <c r="A172" s="89">
        <v>6</v>
      </c>
      <c r="B172" s="90"/>
      <c r="C172" s="100" t="s">
        <v>153</v>
      </c>
      <c r="D172" s="217"/>
      <c r="E172" s="217"/>
      <c r="F172" s="217"/>
      <c r="G172" s="217"/>
      <c r="H172" s="101"/>
      <c r="I172" s="102"/>
      <c r="J172" s="103"/>
    </row>
    <row r="173" spans="1:14" s="3" customFormat="1" x14ac:dyDescent="0.25">
      <c r="A173" s="89">
        <v>7</v>
      </c>
      <c r="B173" s="90"/>
      <c r="C173" s="121"/>
      <c r="D173" s="218"/>
      <c r="E173" s="218"/>
      <c r="F173" s="218"/>
      <c r="G173" s="218"/>
      <c r="H173" s="122"/>
      <c r="I173" s="121"/>
      <c r="J173" s="122"/>
    </row>
    <row r="174" spans="1:14" s="3" customFormat="1" ht="15.75" customHeight="1" x14ac:dyDescent="0.25">
      <c r="A174" s="97" t="s">
        <v>272</v>
      </c>
      <c r="B174" s="98"/>
      <c r="C174" s="98"/>
      <c r="D174" s="98"/>
      <c r="E174" s="98"/>
      <c r="F174" s="98"/>
      <c r="G174" s="98"/>
      <c r="H174" s="98"/>
      <c r="I174" s="98"/>
      <c r="J174" s="99"/>
    </row>
    <row r="175" spans="1:14" s="3" customFormat="1" x14ac:dyDescent="0.25">
      <c r="A175" s="89">
        <v>1</v>
      </c>
      <c r="B175" s="90"/>
      <c r="C175" s="4" t="s">
        <v>195</v>
      </c>
      <c r="D175" s="89">
        <f>(12.1+4+7.84+2.14+2.34+0.9*2+0.5*1.2+2.75)*10.764</f>
        <v>361.34748000000008</v>
      </c>
      <c r="E175" s="90"/>
      <c r="F175" s="4">
        <v>0</v>
      </c>
      <c r="G175" s="4">
        <f t="shared" ref="G175:G181" si="6">D175*1.45+F175/3</f>
        <v>523.95384600000011</v>
      </c>
      <c r="H175" s="4" t="s">
        <v>89</v>
      </c>
      <c r="I175" s="100" t="str">
        <f>A174</f>
        <v>1st To 5th Floor</v>
      </c>
      <c r="J175" s="101"/>
    </row>
    <row r="176" spans="1:14" s="3" customFormat="1" x14ac:dyDescent="0.25">
      <c r="A176" s="89">
        <v>2</v>
      </c>
      <c r="B176" s="90"/>
      <c r="C176" s="4" t="s">
        <v>195</v>
      </c>
      <c r="D176" s="89">
        <f>(12.1+4+2+5.5+2.75+1.44+2.02+0.9*1.5+2.75)*10.764</f>
        <v>365.00724000000002</v>
      </c>
      <c r="E176" s="90"/>
      <c r="F176" s="4">
        <v>0</v>
      </c>
      <c r="G176" s="4">
        <f t="shared" si="6"/>
        <v>529.26049799999998</v>
      </c>
      <c r="H176" s="4" t="s">
        <v>89</v>
      </c>
      <c r="I176" s="102"/>
      <c r="J176" s="103"/>
    </row>
    <row r="177" spans="1:10" s="3" customFormat="1" x14ac:dyDescent="0.25">
      <c r="A177" s="89">
        <v>3</v>
      </c>
      <c r="B177" s="90"/>
      <c r="C177" s="4" t="s">
        <v>195</v>
      </c>
      <c r="D177" s="89">
        <f>(12.1+4+2+5.5+2.75+2.34+2.14+0.4*1.2+2.75)*10.764</f>
        <v>366.62184000000002</v>
      </c>
      <c r="E177" s="90"/>
      <c r="F177" s="4">
        <v>0</v>
      </c>
      <c r="G177" s="4">
        <f t="shared" si="6"/>
        <v>531.60166800000002</v>
      </c>
      <c r="H177" s="4" t="s">
        <v>89</v>
      </c>
      <c r="I177" s="102"/>
      <c r="J177" s="103"/>
    </row>
    <row r="178" spans="1:10" s="3" customFormat="1" x14ac:dyDescent="0.25">
      <c r="A178" s="89">
        <v>4</v>
      </c>
      <c r="B178" s="90"/>
      <c r="C178" s="4" t="s">
        <v>195</v>
      </c>
      <c r="D178" s="89">
        <f>(12.1+4+2+5.5+2.75+2.34+2.14+0.4*1.2+2.75)*10.764</f>
        <v>366.62184000000002</v>
      </c>
      <c r="E178" s="90"/>
      <c r="F178" s="4">
        <v>0</v>
      </c>
      <c r="G178" s="4">
        <f t="shared" si="6"/>
        <v>531.60166800000002</v>
      </c>
      <c r="H178" s="4" t="s">
        <v>89</v>
      </c>
      <c r="I178" s="102"/>
      <c r="J178" s="103"/>
    </row>
    <row r="179" spans="1:10" s="3" customFormat="1" x14ac:dyDescent="0.25">
      <c r="A179" s="89">
        <v>5</v>
      </c>
      <c r="B179" s="90"/>
      <c r="C179" s="4" t="s">
        <v>195</v>
      </c>
      <c r="D179" s="89">
        <f>(12.1+4+2+5.5+2.75+2.34+2.14+0.4*1.2+2.75)*10.764</f>
        <v>366.62184000000002</v>
      </c>
      <c r="E179" s="90"/>
      <c r="F179" s="4">
        <v>0</v>
      </c>
      <c r="G179" s="4">
        <f t="shared" si="6"/>
        <v>531.60166800000002</v>
      </c>
      <c r="H179" s="4" t="s">
        <v>89</v>
      </c>
      <c r="I179" s="102"/>
      <c r="J179" s="103"/>
    </row>
    <row r="180" spans="1:10" s="3" customFormat="1" x14ac:dyDescent="0.25">
      <c r="A180" s="89">
        <v>6</v>
      </c>
      <c r="B180" s="90"/>
      <c r="C180" s="4" t="s">
        <v>195</v>
      </c>
      <c r="D180" s="89">
        <f>(12.1+4+2+5.5+2.75+1.44+2.02+0.9*1.5+2.75)*10.764</f>
        <v>365.00724000000002</v>
      </c>
      <c r="E180" s="90"/>
      <c r="F180" s="4">
        <v>0</v>
      </c>
      <c r="G180" s="4">
        <f t="shared" si="6"/>
        <v>529.26049799999998</v>
      </c>
      <c r="H180" s="4" t="s">
        <v>89</v>
      </c>
      <c r="I180" s="102"/>
      <c r="J180" s="103"/>
    </row>
    <row r="181" spans="1:10" s="3" customFormat="1" x14ac:dyDescent="0.25">
      <c r="A181" s="89">
        <v>7</v>
      </c>
      <c r="B181" s="90"/>
      <c r="C181" s="4" t="s">
        <v>195</v>
      </c>
      <c r="D181" s="89">
        <f>(12.1+4+2+5.5+2.75+1.08+2.02+0.9*1.2+2.75)*10.764</f>
        <v>358.22591999999997</v>
      </c>
      <c r="E181" s="90"/>
      <c r="F181" s="4">
        <v>0</v>
      </c>
      <c r="G181" s="4">
        <f t="shared" si="6"/>
        <v>519.42758399999991</v>
      </c>
      <c r="H181" s="4" t="s">
        <v>89</v>
      </c>
      <c r="I181" s="102"/>
      <c r="J181" s="103"/>
    </row>
    <row r="182" spans="1:10" s="3" customFormat="1" ht="15.75" customHeight="1" x14ac:dyDescent="0.25">
      <c r="A182" s="97" t="s">
        <v>273</v>
      </c>
      <c r="B182" s="98"/>
      <c r="C182" s="98"/>
      <c r="D182" s="98"/>
      <c r="E182" s="98"/>
      <c r="F182" s="98"/>
      <c r="G182" s="98"/>
      <c r="H182" s="98"/>
      <c r="I182" s="98"/>
      <c r="J182" s="99"/>
    </row>
    <row r="183" spans="1:10" s="3" customFormat="1" x14ac:dyDescent="0.25">
      <c r="A183" s="89" t="s">
        <v>268</v>
      </c>
      <c r="B183" s="90"/>
      <c r="C183" s="89" t="s">
        <v>268</v>
      </c>
      <c r="D183" s="104"/>
      <c r="E183" s="104"/>
      <c r="F183" s="104"/>
      <c r="G183" s="104"/>
      <c r="H183" s="90"/>
      <c r="I183" s="100" t="str">
        <f>A182</f>
        <v>6th Floor (Part Terrace Area)</v>
      </c>
      <c r="J183" s="101"/>
    </row>
    <row r="184" spans="1:10" s="3" customFormat="1" x14ac:dyDescent="0.25">
      <c r="A184" s="89" t="s">
        <v>268</v>
      </c>
      <c r="B184" s="90"/>
      <c r="C184" s="89" t="s">
        <v>268</v>
      </c>
      <c r="D184" s="104"/>
      <c r="E184" s="104"/>
      <c r="F184" s="104"/>
      <c r="G184" s="104"/>
      <c r="H184" s="90"/>
      <c r="I184" s="102"/>
      <c r="J184" s="103"/>
    </row>
    <row r="185" spans="1:10" s="3" customFormat="1" x14ac:dyDescent="0.25">
      <c r="A185" s="89">
        <v>1</v>
      </c>
      <c r="B185" s="90"/>
      <c r="C185" s="4" t="s">
        <v>195</v>
      </c>
      <c r="D185" s="89">
        <f>(12.1+4+2+5.5+2.75+2.34+2.14+0.4*1.2+2.75)*10.764</f>
        <v>366.62184000000002</v>
      </c>
      <c r="E185" s="90"/>
      <c r="F185" s="4">
        <f>(12.1+4+2+5.5+2.75+1.44+2.02+0.9*1.5+2.75)*10.764</f>
        <v>365.00724000000002</v>
      </c>
      <c r="G185" s="4">
        <f>D185*1.45+F185/3</f>
        <v>653.27074800000003</v>
      </c>
      <c r="H185" s="4" t="s">
        <v>89</v>
      </c>
      <c r="I185" s="102"/>
      <c r="J185" s="103"/>
    </row>
    <row r="186" spans="1:10" s="3" customFormat="1" x14ac:dyDescent="0.25">
      <c r="A186" s="89">
        <v>2</v>
      </c>
      <c r="B186" s="90"/>
      <c r="C186" s="4" t="s">
        <v>195</v>
      </c>
      <c r="D186" s="89">
        <f>(12.1+4+2+5.5+2.75+2.34+2.14+0.4*1.2+2.75)*10.764</f>
        <v>366.62184000000002</v>
      </c>
      <c r="E186" s="90"/>
      <c r="F186" s="4">
        <f>(12.1+4+2+5.5+2.75+2.34+2.14+0.4*1.2+2.75)*10.764</f>
        <v>366.62184000000002</v>
      </c>
      <c r="G186" s="4">
        <f t="shared" ref="G186" si="7">D186*1.45+F186/3</f>
        <v>653.80894799999999</v>
      </c>
      <c r="H186" s="4" t="s">
        <v>89</v>
      </c>
      <c r="I186" s="102"/>
      <c r="J186" s="103"/>
    </row>
    <row r="187" spans="1:10" s="3" customFormat="1" x14ac:dyDescent="0.25">
      <c r="A187" s="89" t="s">
        <v>268</v>
      </c>
      <c r="B187" s="90"/>
      <c r="C187" s="89" t="s">
        <v>268</v>
      </c>
      <c r="D187" s="104"/>
      <c r="E187" s="104"/>
      <c r="F187" s="104"/>
      <c r="G187" s="104"/>
      <c r="H187" s="90"/>
      <c r="I187" s="102"/>
      <c r="J187" s="103"/>
    </row>
    <row r="188" spans="1:10" s="3" customFormat="1" x14ac:dyDescent="0.25">
      <c r="A188" s="89">
        <v>3</v>
      </c>
      <c r="B188" s="90"/>
      <c r="C188" s="4" t="s">
        <v>195</v>
      </c>
      <c r="D188" s="89">
        <f>(12.1+4+2+5.5+2.75+1.44+2.02+0.9*1.5+2.75)*10.764</f>
        <v>365.00724000000002</v>
      </c>
      <c r="E188" s="90"/>
      <c r="F188" s="4">
        <f>(12.1+4+2+5.5+2.75+1.08+2.02+0.9*1.2+2.75)*10.764</f>
        <v>358.22591999999997</v>
      </c>
      <c r="G188" s="4">
        <f>D188*1.45+F188/3</f>
        <v>648.66913799999998</v>
      </c>
      <c r="H188" s="4" t="s">
        <v>89</v>
      </c>
      <c r="I188" s="102"/>
      <c r="J188" s="103"/>
    </row>
    <row r="189" spans="1:10" s="3" customFormat="1" x14ac:dyDescent="0.25">
      <c r="A189" s="89">
        <v>7</v>
      </c>
      <c r="B189" s="90"/>
      <c r="C189" s="89" t="s">
        <v>268</v>
      </c>
      <c r="D189" s="104"/>
      <c r="E189" s="104"/>
      <c r="F189" s="104"/>
      <c r="G189" s="104"/>
      <c r="H189" s="90"/>
      <c r="I189" s="102"/>
      <c r="J189" s="103"/>
    </row>
    <row r="190" spans="1:10" s="3" customFormat="1" x14ac:dyDescent="0.25">
      <c r="A190" s="97" t="s">
        <v>279</v>
      </c>
      <c r="B190" s="98"/>
      <c r="C190" s="98"/>
      <c r="D190" s="98"/>
      <c r="E190" s="98"/>
      <c r="F190" s="98"/>
      <c r="G190" s="98"/>
      <c r="H190" s="98"/>
      <c r="I190" s="98"/>
      <c r="J190" s="99"/>
    </row>
    <row r="191" spans="1:10" s="3" customFormat="1" x14ac:dyDescent="0.25">
      <c r="A191" s="97" t="s">
        <v>271</v>
      </c>
      <c r="B191" s="98"/>
      <c r="C191" s="98"/>
      <c r="D191" s="98"/>
      <c r="E191" s="98"/>
      <c r="F191" s="98"/>
      <c r="G191" s="98"/>
      <c r="H191" s="98"/>
      <c r="I191" s="98"/>
      <c r="J191" s="99"/>
    </row>
    <row r="192" spans="1:10" s="3" customFormat="1" x14ac:dyDescent="0.25">
      <c r="A192" s="89" t="s">
        <v>268</v>
      </c>
      <c r="B192" s="90"/>
      <c r="C192" s="89" t="s">
        <v>269</v>
      </c>
      <c r="D192" s="104"/>
      <c r="E192" s="104"/>
      <c r="F192" s="104"/>
      <c r="G192" s="104"/>
      <c r="H192" s="90"/>
      <c r="I192" s="100" t="s">
        <v>214</v>
      </c>
      <c r="J192" s="101"/>
    </row>
    <row r="193" spans="1:10" s="3" customFormat="1" x14ac:dyDescent="0.25">
      <c r="A193" s="89" t="s">
        <v>268</v>
      </c>
      <c r="B193" s="90"/>
      <c r="C193" s="89" t="s">
        <v>270</v>
      </c>
      <c r="D193" s="104"/>
      <c r="E193" s="104"/>
      <c r="F193" s="104"/>
      <c r="G193" s="104"/>
      <c r="H193" s="90"/>
      <c r="I193" s="102"/>
      <c r="J193" s="103"/>
    </row>
    <row r="194" spans="1:10" s="3" customFormat="1" ht="15.75" customHeight="1" x14ac:dyDescent="0.25">
      <c r="A194" s="89">
        <v>1</v>
      </c>
      <c r="B194" s="90"/>
      <c r="C194" s="4" t="s">
        <v>213</v>
      </c>
      <c r="D194" s="89">
        <f>(12.1+1.62+4.41+2.55+6+2.16+7.7+0.9*3.45+0.3*2.5+2.75)*10.764</f>
        <v>464.41277999999994</v>
      </c>
      <c r="E194" s="90"/>
      <c r="F194" s="4">
        <v>0</v>
      </c>
      <c r="G194" s="4">
        <f>D194*1.45</f>
        <v>673.39853099999993</v>
      </c>
      <c r="H194" s="4" t="s">
        <v>89</v>
      </c>
      <c r="I194" s="102"/>
      <c r="J194" s="103"/>
    </row>
    <row r="195" spans="1:10" s="3" customFormat="1" x14ac:dyDescent="0.25">
      <c r="A195" s="89">
        <v>2</v>
      </c>
      <c r="B195" s="90"/>
      <c r="C195" s="4" t="s">
        <v>195</v>
      </c>
      <c r="D195" s="89">
        <f>(12.1+4+7.84+2.02+1.08+0.9*2+0.9*0.9+2.75)*10.764</f>
        <v>348.75359999999995</v>
      </c>
      <c r="E195" s="90"/>
      <c r="F195" s="4">
        <v>0</v>
      </c>
      <c r="G195" s="4">
        <f t="shared" ref="G195:G196" si="8">D195*1.45</f>
        <v>505.69271999999989</v>
      </c>
      <c r="H195" s="4" t="s">
        <v>89</v>
      </c>
      <c r="I195" s="102"/>
      <c r="J195" s="103"/>
    </row>
    <row r="196" spans="1:10" s="3" customFormat="1" x14ac:dyDescent="0.25">
      <c r="A196" s="89">
        <v>3</v>
      </c>
      <c r="B196" s="90"/>
      <c r="C196" s="4" t="s">
        <v>195</v>
      </c>
      <c r="D196" s="89">
        <f>(12.1+4+7.84+2.14+2.34+0.9*2+0.5*1.2+2.75)*10.764</f>
        <v>361.34748000000008</v>
      </c>
      <c r="E196" s="90"/>
      <c r="F196" s="4">
        <v>0</v>
      </c>
      <c r="G196" s="4">
        <f t="shared" si="8"/>
        <v>523.95384600000011</v>
      </c>
      <c r="H196" s="4" t="s">
        <v>89</v>
      </c>
      <c r="I196" s="102"/>
      <c r="J196" s="103"/>
    </row>
    <row r="197" spans="1:10" s="3" customFormat="1" x14ac:dyDescent="0.25">
      <c r="A197" s="97" t="s">
        <v>272</v>
      </c>
      <c r="B197" s="98"/>
      <c r="C197" s="98"/>
      <c r="D197" s="98"/>
      <c r="E197" s="98"/>
      <c r="F197" s="98"/>
      <c r="G197" s="98"/>
      <c r="H197" s="98"/>
      <c r="I197" s="98"/>
      <c r="J197" s="99"/>
    </row>
    <row r="198" spans="1:10" s="3" customFormat="1" ht="15.6" customHeight="1" x14ac:dyDescent="0.25">
      <c r="A198" s="89">
        <v>1</v>
      </c>
      <c r="B198" s="90"/>
      <c r="C198" s="4" t="s">
        <v>195</v>
      </c>
      <c r="D198" s="89">
        <f>(12.1+4+7.84+2.02+1.08+0.9*2+0.9*0.9+2.75)*10.764</f>
        <v>348.75359999999995</v>
      </c>
      <c r="E198" s="90"/>
      <c r="F198" s="4">
        <v>0</v>
      </c>
      <c r="G198" s="4">
        <f t="shared" ref="G198:G203" si="9">D198*1.45</f>
        <v>505.69271999999989</v>
      </c>
      <c r="H198" s="4" t="s">
        <v>89</v>
      </c>
      <c r="I198" s="100" t="str">
        <f>A197</f>
        <v>1st To 5th Floor</v>
      </c>
      <c r="J198" s="101"/>
    </row>
    <row r="199" spans="1:10" s="3" customFormat="1" ht="15.6" customHeight="1" x14ac:dyDescent="0.25">
      <c r="A199" s="89">
        <v>2</v>
      </c>
      <c r="B199" s="90"/>
      <c r="C199" s="4" t="s">
        <v>213</v>
      </c>
      <c r="D199" s="89">
        <f>(12.1+1.62+4.41+2.55+6+2.16+7.7+0.9*3.45+0.3*2.5+2.75)*10.764</f>
        <v>464.41277999999994</v>
      </c>
      <c r="E199" s="90"/>
      <c r="F199" s="4">
        <v>0</v>
      </c>
      <c r="G199" s="4">
        <f t="shared" si="9"/>
        <v>673.39853099999993</v>
      </c>
      <c r="H199" s="4" t="s">
        <v>89</v>
      </c>
      <c r="I199" s="102"/>
      <c r="J199" s="103"/>
    </row>
    <row r="200" spans="1:10" s="3" customFormat="1" x14ac:dyDescent="0.25">
      <c r="A200" s="89">
        <v>3</v>
      </c>
      <c r="B200" s="90"/>
      <c r="C200" s="4" t="s">
        <v>213</v>
      </c>
      <c r="D200" s="89">
        <f>(12.1+1.62+4.41+2.55+6+2.16+7.7+0.9*3.45+0.3*2.5+2.75)*10.764</f>
        <v>464.41277999999994</v>
      </c>
      <c r="E200" s="90"/>
      <c r="F200" s="4">
        <v>0</v>
      </c>
      <c r="G200" s="4">
        <f t="shared" si="9"/>
        <v>673.39853099999993</v>
      </c>
      <c r="H200" s="4" t="s">
        <v>89</v>
      </c>
      <c r="I200" s="102"/>
      <c r="J200" s="103"/>
    </row>
    <row r="201" spans="1:10" s="3" customFormat="1" x14ac:dyDescent="0.25">
      <c r="A201" s="89">
        <v>4</v>
      </c>
      <c r="B201" s="90"/>
      <c r="C201" s="4" t="s">
        <v>195</v>
      </c>
      <c r="D201" s="89">
        <f>(12.1+4+7.84+2.02+1.08+0.9*2+0.9*0.9+2.75)*10.764</f>
        <v>348.75359999999995</v>
      </c>
      <c r="E201" s="90"/>
      <c r="F201" s="4">
        <v>0</v>
      </c>
      <c r="G201" s="4">
        <f t="shared" si="9"/>
        <v>505.69271999999989</v>
      </c>
      <c r="H201" s="4" t="s">
        <v>89</v>
      </c>
      <c r="I201" s="102"/>
      <c r="J201" s="103"/>
    </row>
    <row r="202" spans="1:10" s="3" customFormat="1" x14ac:dyDescent="0.25">
      <c r="A202" s="89">
        <v>5</v>
      </c>
      <c r="B202" s="90"/>
      <c r="C202" s="4" t="s">
        <v>195</v>
      </c>
      <c r="D202" s="89">
        <f>(12.1+4+7.84+2.14+2.34+0.9*2+0.5*1.2+2.75)*10.764</f>
        <v>361.34748000000008</v>
      </c>
      <c r="E202" s="90"/>
      <c r="F202" s="4">
        <v>0</v>
      </c>
      <c r="G202" s="4">
        <f t="shared" si="9"/>
        <v>523.95384600000011</v>
      </c>
      <c r="H202" s="4" t="s">
        <v>89</v>
      </c>
      <c r="I202" s="102"/>
      <c r="J202" s="103"/>
    </row>
    <row r="203" spans="1:10" s="3" customFormat="1" x14ac:dyDescent="0.25">
      <c r="A203" s="89">
        <v>6</v>
      </c>
      <c r="B203" s="90"/>
      <c r="C203" s="4" t="s">
        <v>195</v>
      </c>
      <c r="D203" s="89">
        <f>(12.1+8.79+4.5+2.55+2.34+0.9*2.13+0.9*1.2+2.75)*10.764</f>
        <v>387.79462799999999</v>
      </c>
      <c r="E203" s="90"/>
      <c r="F203" s="4">
        <v>0</v>
      </c>
      <c r="G203" s="4">
        <f t="shared" si="9"/>
        <v>562.30221059999997</v>
      </c>
      <c r="H203" s="4" t="s">
        <v>89</v>
      </c>
      <c r="I203" s="102"/>
      <c r="J203" s="103"/>
    </row>
    <row r="204" spans="1:10" s="3" customFormat="1" ht="15.75" customHeight="1" x14ac:dyDescent="0.25">
      <c r="A204" s="97" t="s">
        <v>273</v>
      </c>
      <c r="B204" s="98"/>
      <c r="C204" s="98"/>
      <c r="D204" s="98"/>
      <c r="E204" s="98"/>
      <c r="F204" s="98"/>
      <c r="G204" s="98"/>
      <c r="H204" s="98"/>
      <c r="I204" s="98"/>
      <c r="J204" s="99"/>
    </row>
    <row r="205" spans="1:10" s="3" customFormat="1" ht="15.6" customHeight="1" x14ac:dyDescent="0.25">
      <c r="A205" s="89" t="s">
        <v>268</v>
      </c>
      <c r="B205" s="90"/>
      <c r="C205" s="89" t="s">
        <v>268</v>
      </c>
      <c r="D205" s="104"/>
      <c r="E205" s="104"/>
      <c r="F205" s="104"/>
      <c r="G205" s="104"/>
      <c r="H205" s="90"/>
      <c r="I205" s="100" t="str">
        <f>A204</f>
        <v>6th Floor (Part Terrace Area)</v>
      </c>
      <c r="J205" s="101"/>
    </row>
    <row r="206" spans="1:10" s="3" customFormat="1" ht="15.6" customHeight="1" x14ac:dyDescent="0.25">
      <c r="A206" s="89">
        <v>1</v>
      </c>
      <c r="B206" s="90"/>
      <c r="C206" s="4" t="s">
        <v>213</v>
      </c>
      <c r="D206" s="89">
        <f>(12.1+1.62+4.41+2.55+6+2.16+7.7+0.9*3.45+0.3*2.5+2.75)*10.764</f>
        <v>464.41277999999994</v>
      </c>
      <c r="E206" s="90"/>
      <c r="F206" s="4">
        <f>(12.1+4+7.84+2.02+1.08+0.9*2+0.9*0.9+2.75)*10.764</f>
        <v>348.75359999999995</v>
      </c>
      <c r="G206" s="4">
        <f>D206*1.45+F206/3</f>
        <v>789.64973099999997</v>
      </c>
      <c r="H206" s="4" t="s">
        <v>89</v>
      </c>
      <c r="I206" s="102"/>
      <c r="J206" s="103"/>
    </row>
    <row r="207" spans="1:10" s="3" customFormat="1" x14ac:dyDescent="0.25">
      <c r="A207" s="89">
        <v>2</v>
      </c>
      <c r="B207" s="90"/>
      <c r="C207" s="4" t="s">
        <v>213</v>
      </c>
      <c r="D207" s="89">
        <f>(12.1+1.62+4.41+2.55+6+2.16+7.7+0.9*3.45+0.3*2.5+2.75)*10.764</f>
        <v>464.41277999999994</v>
      </c>
      <c r="E207" s="90"/>
      <c r="F207" s="4">
        <f>(12.1+4+7.84+2.02+1.08+0.9*2+0.9*0.9+2.75)*10.764</f>
        <v>348.75359999999995</v>
      </c>
      <c r="G207" s="4">
        <f>D207*1.45+F207/3</f>
        <v>789.64973099999997</v>
      </c>
      <c r="H207" s="4" t="s">
        <v>89</v>
      </c>
      <c r="I207" s="102"/>
      <c r="J207" s="103"/>
    </row>
    <row r="208" spans="1:10" s="3" customFormat="1" x14ac:dyDescent="0.25">
      <c r="A208" s="89" t="s">
        <v>268</v>
      </c>
      <c r="B208" s="90"/>
      <c r="C208" s="89" t="s">
        <v>268</v>
      </c>
      <c r="D208" s="104"/>
      <c r="E208" s="104"/>
      <c r="F208" s="104"/>
      <c r="G208" s="104"/>
      <c r="H208" s="90"/>
      <c r="I208" s="102"/>
      <c r="J208" s="103"/>
    </row>
    <row r="209" spans="1:20" s="3" customFormat="1" x14ac:dyDescent="0.25">
      <c r="A209" s="89">
        <v>3</v>
      </c>
      <c r="B209" s="90"/>
      <c r="C209" s="4" t="s">
        <v>195</v>
      </c>
      <c r="D209" s="89">
        <f>(12.1+4+7.84+2.14+2.34+0.9*2+0.5*1.2+2.75)*10.764</f>
        <v>361.34748000000008</v>
      </c>
      <c r="E209" s="90"/>
      <c r="F209" s="4">
        <f>(12.1+4+7.84+2.14+2.34+0.9*2+0.5*1.2+2.75)*10.764</f>
        <v>361.34748000000008</v>
      </c>
      <c r="G209" s="4">
        <f>D209*1.45+F209/3</f>
        <v>644.40300600000012</v>
      </c>
      <c r="H209" s="4" t="s">
        <v>89</v>
      </c>
      <c r="I209" s="102"/>
      <c r="J209" s="103"/>
    </row>
    <row r="210" spans="1:20" s="3" customFormat="1" x14ac:dyDescent="0.25">
      <c r="A210" s="89" t="s">
        <v>268</v>
      </c>
      <c r="B210" s="90"/>
      <c r="C210" s="89" t="s">
        <v>274</v>
      </c>
      <c r="D210" s="104"/>
      <c r="E210" s="104"/>
      <c r="F210" s="104"/>
      <c r="G210" s="104"/>
      <c r="H210" s="90"/>
      <c r="I210" s="102"/>
      <c r="J210" s="103"/>
    </row>
    <row r="211" spans="1:20" s="1" customFormat="1" x14ac:dyDescent="0.25">
      <c r="A211" s="250" t="s">
        <v>99</v>
      </c>
      <c r="B211" s="250"/>
      <c r="C211" s="250"/>
      <c r="D211" s="250"/>
      <c r="E211" s="250"/>
      <c r="F211" s="250"/>
      <c r="G211" s="250"/>
      <c r="H211" s="250"/>
      <c r="I211" s="250"/>
      <c r="J211" s="250"/>
      <c r="T211" s="1" t="s">
        <v>259</v>
      </c>
    </row>
    <row r="212" spans="1:20" s="16" customFormat="1" ht="179.25" customHeight="1" x14ac:dyDescent="0.25">
      <c r="A212" s="251" t="s">
        <v>291</v>
      </c>
      <c r="B212" s="251"/>
      <c r="C212" s="251"/>
      <c r="D212" s="251"/>
      <c r="E212" s="251"/>
      <c r="F212" s="251"/>
      <c r="G212" s="251"/>
      <c r="H212" s="251"/>
      <c r="I212" s="251"/>
      <c r="J212" s="251"/>
    </row>
    <row r="213" spans="1:20" x14ac:dyDescent="0.25">
      <c r="A213" s="247" t="s">
        <v>90</v>
      </c>
      <c r="B213" s="248"/>
      <c r="C213" s="248"/>
      <c r="D213" s="248"/>
      <c r="E213" s="248"/>
      <c r="F213" s="248"/>
      <c r="G213" s="248"/>
      <c r="H213" s="248"/>
      <c r="I213" s="248"/>
      <c r="J213" s="249"/>
    </row>
    <row r="214" spans="1:20" x14ac:dyDescent="0.25">
      <c r="A214" s="91" t="s">
        <v>91</v>
      </c>
      <c r="B214" s="92"/>
      <c r="C214" s="92"/>
      <c r="D214" s="92"/>
      <c r="E214" s="92"/>
      <c r="F214" s="92"/>
      <c r="G214" s="92"/>
      <c r="H214" s="92"/>
      <c r="I214" s="92"/>
      <c r="J214" s="93"/>
    </row>
    <row r="215" spans="1:20" ht="15.75" customHeight="1" x14ac:dyDescent="0.25">
      <c r="A215" s="247" t="s">
        <v>92</v>
      </c>
      <c r="B215" s="248"/>
      <c r="C215" s="248"/>
      <c r="D215" s="248"/>
      <c r="E215" s="248"/>
      <c r="F215" s="248"/>
      <c r="G215" s="248"/>
      <c r="H215" s="248"/>
      <c r="I215" s="248"/>
      <c r="J215" s="249"/>
    </row>
    <row r="216" spans="1:20" x14ac:dyDescent="0.25">
      <c r="A216" s="91" t="s">
        <v>93</v>
      </c>
      <c r="B216" s="92"/>
      <c r="C216" s="92"/>
      <c r="D216" s="92"/>
      <c r="E216" s="92"/>
      <c r="F216" s="92"/>
      <c r="G216" s="92"/>
      <c r="H216" s="92"/>
      <c r="I216" s="92"/>
      <c r="J216" s="93"/>
    </row>
    <row r="217" spans="1:20" x14ac:dyDescent="0.25">
      <c r="A217" s="91" t="s">
        <v>94</v>
      </c>
      <c r="B217" s="92"/>
      <c r="C217" s="92"/>
      <c r="D217" s="92"/>
      <c r="E217" s="92"/>
      <c r="F217" s="92"/>
      <c r="G217" s="92"/>
      <c r="H217" s="92"/>
      <c r="I217" s="92"/>
      <c r="J217" s="93"/>
    </row>
    <row r="218" spans="1:20" x14ac:dyDescent="0.25">
      <c r="A218" s="91" t="s">
        <v>95</v>
      </c>
      <c r="B218" s="92"/>
      <c r="C218" s="92"/>
      <c r="D218" s="92"/>
      <c r="E218" s="92"/>
      <c r="F218" s="92"/>
      <c r="G218" s="92"/>
      <c r="H218" s="92"/>
      <c r="I218" s="92"/>
      <c r="J218" s="93"/>
    </row>
    <row r="219" spans="1:20" ht="35.25" customHeight="1" x14ac:dyDescent="0.25">
      <c r="A219" s="161" t="s">
        <v>96</v>
      </c>
      <c r="B219" s="162"/>
      <c r="C219" s="162"/>
      <c r="D219" s="162"/>
      <c r="E219" s="162"/>
      <c r="F219" s="162"/>
      <c r="G219" s="162"/>
      <c r="H219" s="162"/>
      <c r="I219" s="162"/>
      <c r="J219" s="163"/>
    </row>
    <row r="220" spans="1:20" x14ac:dyDescent="0.25">
      <c r="A220" s="132" t="s">
        <v>172</v>
      </c>
      <c r="B220" s="132"/>
      <c r="C220" s="133" t="s">
        <v>288</v>
      </c>
      <c r="D220" s="133"/>
      <c r="E220" s="133" t="s">
        <v>173</v>
      </c>
      <c r="F220" s="133"/>
      <c r="G220" s="133"/>
      <c r="H220" s="133" t="s">
        <v>290</v>
      </c>
      <c r="I220" s="133"/>
      <c r="J220" s="133"/>
    </row>
    <row r="221" spans="1:20" x14ac:dyDescent="0.25">
      <c r="A221" s="123" t="s">
        <v>175</v>
      </c>
      <c r="B221" s="124"/>
      <c r="C221" s="124"/>
      <c r="D221" s="124"/>
      <c r="E221" s="124"/>
      <c r="F221" s="124"/>
      <c r="G221" s="124"/>
      <c r="H221" s="124"/>
      <c r="I221" s="124"/>
      <c r="J221" s="125"/>
    </row>
    <row r="222" spans="1:20" x14ac:dyDescent="0.25">
      <c r="A222" s="126"/>
      <c r="B222" s="127"/>
      <c r="C222" s="127"/>
      <c r="D222" s="127"/>
      <c r="E222" s="127"/>
      <c r="F222" s="127"/>
      <c r="G222" s="127"/>
      <c r="H222" s="127"/>
      <c r="I222" s="127"/>
      <c r="J222" s="128"/>
    </row>
    <row r="223" spans="1:20" x14ac:dyDescent="0.25">
      <c r="A223" s="126"/>
      <c r="B223" s="127"/>
      <c r="C223" s="127"/>
      <c r="D223" s="127"/>
      <c r="E223" s="127"/>
      <c r="F223" s="127"/>
      <c r="G223" s="127"/>
      <c r="H223" s="127"/>
      <c r="I223" s="127"/>
      <c r="J223" s="128"/>
    </row>
    <row r="224" spans="1:20" x14ac:dyDescent="0.25">
      <c r="A224" s="129"/>
      <c r="B224" s="130"/>
      <c r="C224" s="130"/>
      <c r="D224" s="130"/>
      <c r="E224" s="130"/>
      <c r="F224" s="130"/>
      <c r="G224" s="130"/>
      <c r="H224" s="130"/>
      <c r="I224" s="130"/>
      <c r="J224" s="131"/>
    </row>
    <row r="225" spans="1:10" ht="15" hidden="1" customHeight="1" x14ac:dyDescent="0.25">
      <c r="A225" s="17"/>
      <c r="B225" s="18"/>
      <c r="C225" s="18"/>
      <c r="D225" s="18"/>
      <c r="E225" s="18"/>
      <c r="F225" s="18"/>
      <c r="G225" s="18"/>
      <c r="H225" s="18"/>
      <c r="I225" s="18"/>
      <c r="J225" s="18"/>
    </row>
    <row r="226" spans="1:10" ht="15" hidden="1" customHeight="1" x14ac:dyDescent="0.25">
      <c r="A226" s="17"/>
      <c r="B226" s="18"/>
      <c r="C226" s="18"/>
      <c r="D226" s="18"/>
      <c r="E226" s="18"/>
      <c r="F226" s="18"/>
      <c r="G226" s="18"/>
      <c r="H226" s="18"/>
      <c r="I226" s="18"/>
      <c r="J226" s="18"/>
    </row>
    <row r="227" spans="1:10" ht="15" hidden="1" customHeight="1" x14ac:dyDescent="0.25">
      <c r="A227" s="17"/>
      <c r="B227" s="18"/>
      <c r="C227" s="18"/>
      <c r="D227" s="18"/>
      <c r="E227" s="18"/>
      <c r="F227" s="18"/>
      <c r="G227" s="18"/>
      <c r="H227" s="18"/>
      <c r="I227" s="18"/>
      <c r="J227" s="18"/>
    </row>
    <row r="228" spans="1:10" ht="15" hidden="1" customHeight="1" x14ac:dyDescent="0.25">
      <c r="A228" s="17"/>
      <c r="B228" s="18"/>
      <c r="C228" s="18"/>
      <c r="D228" s="18"/>
      <c r="E228" s="18"/>
      <c r="F228" s="18"/>
      <c r="G228" s="18"/>
      <c r="H228" s="18"/>
      <c r="I228" s="18"/>
      <c r="J228" s="18"/>
    </row>
    <row r="229" spans="1:10" ht="15" hidden="1" customHeight="1" x14ac:dyDescent="0.25">
      <c r="A229" s="17"/>
      <c r="B229" s="18"/>
      <c r="C229" s="18"/>
      <c r="D229" s="18"/>
      <c r="E229" s="18"/>
      <c r="F229" s="18"/>
      <c r="G229" s="18"/>
      <c r="H229" s="18"/>
      <c r="I229" s="18"/>
      <c r="J229" s="18"/>
    </row>
    <row r="230" spans="1:10" ht="15" hidden="1" customHeight="1" x14ac:dyDescent="0.25">
      <c r="A230" s="17"/>
      <c r="B230" s="18"/>
      <c r="C230" s="18"/>
      <c r="D230" s="18"/>
      <c r="E230" s="18"/>
      <c r="F230" s="18"/>
      <c r="G230" s="18"/>
      <c r="H230" s="18"/>
      <c r="I230" s="18"/>
      <c r="J230" s="18"/>
    </row>
    <row r="231" spans="1:10" ht="15" hidden="1" customHeight="1" x14ac:dyDescent="0.25">
      <c r="A231" s="17"/>
      <c r="B231" s="18"/>
      <c r="C231" s="18"/>
      <c r="D231" s="18"/>
      <c r="E231" s="18"/>
      <c r="F231" s="18"/>
      <c r="G231" s="18"/>
      <c r="H231" s="18"/>
      <c r="I231" s="18"/>
      <c r="J231" s="18"/>
    </row>
    <row r="232" spans="1:10" ht="15" hidden="1" customHeight="1" x14ac:dyDescent="0.25">
      <c r="A232" s="17"/>
      <c r="B232" s="18"/>
      <c r="C232" s="18"/>
      <c r="D232" s="18"/>
      <c r="E232" s="18"/>
      <c r="F232" s="18"/>
      <c r="G232" s="18"/>
      <c r="H232" s="18"/>
      <c r="I232" s="18"/>
      <c r="J232" s="18"/>
    </row>
    <row r="233" spans="1:10" ht="15" hidden="1" customHeight="1" x14ac:dyDescent="0.25">
      <c r="A233" s="17"/>
      <c r="B233" s="18"/>
      <c r="C233" s="18"/>
      <c r="D233" s="18"/>
      <c r="E233" s="18"/>
      <c r="F233" s="18"/>
      <c r="G233" s="18"/>
      <c r="H233" s="18"/>
      <c r="I233" s="18"/>
      <c r="J233" s="18"/>
    </row>
    <row r="234" spans="1:10" ht="15" hidden="1" customHeight="1" x14ac:dyDescent="0.25">
      <c r="A234" s="17"/>
      <c r="B234" s="18"/>
      <c r="C234" s="18"/>
      <c r="D234" s="18"/>
      <c r="E234" s="18"/>
      <c r="F234" s="18"/>
      <c r="G234" s="18"/>
      <c r="H234" s="18"/>
      <c r="I234" s="18"/>
      <c r="J234" s="18"/>
    </row>
    <row r="235" spans="1:10" ht="15" hidden="1" customHeight="1" x14ac:dyDescent="0.25">
      <c r="A235" s="17"/>
      <c r="B235" s="18"/>
      <c r="C235" s="18"/>
      <c r="D235" s="18"/>
      <c r="E235" s="18"/>
      <c r="F235" s="18"/>
      <c r="G235" s="18"/>
      <c r="H235" s="18"/>
      <c r="I235" s="18"/>
      <c r="J235" s="18"/>
    </row>
    <row r="236" spans="1:10" x14ac:dyDescent="0.25">
      <c r="A236" s="17" t="s">
        <v>97</v>
      </c>
      <c r="B236" s="18"/>
      <c r="C236" s="18"/>
      <c r="D236" s="17" t="str">
        <f>F8</f>
        <v>The Green Orchid Phase III</v>
      </c>
      <c r="G236" s="18"/>
      <c r="H236" s="18"/>
      <c r="I236" s="18"/>
      <c r="J236" s="18"/>
    </row>
    <row r="237" spans="1:10" x14ac:dyDescent="0.25">
      <c r="A237" s="18"/>
      <c r="B237" s="18"/>
      <c r="C237" s="18"/>
      <c r="D237" s="18"/>
      <c r="E237" s="18"/>
      <c r="F237" s="18"/>
      <c r="G237" s="18"/>
      <c r="H237" s="18"/>
      <c r="I237" s="18"/>
      <c r="J237" s="18"/>
    </row>
    <row r="238" spans="1:10" x14ac:dyDescent="0.25">
      <c r="A238" s="18"/>
      <c r="B238" s="18"/>
      <c r="C238" s="18"/>
      <c r="D238" s="18"/>
      <c r="E238" s="18"/>
      <c r="F238" s="18"/>
      <c r="G238" s="18"/>
      <c r="H238" s="18"/>
      <c r="I238" s="18"/>
      <c r="J238" s="18"/>
    </row>
    <row r="239" spans="1:10" ht="15" customHeight="1" x14ac:dyDescent="0.25"/>
    <row r="278" spans="1:1" x14ac:dyDescent="0.25">
      <c r="A278" s="19" t="s">
        <v>98</v>
      </c>
    </row>
  </sheetData>
  <mergeCells count="457">
    <mergeCell ref="A34:B34"/>
    <mergeCell ref="C34:J34"/>
    <mergeCell ref="A68:B68"/>
    <mergeCell ref="D68:E68"/>
    <mergeCell ref="A61:B61"/>
    <mergeCell ref="D61:E61"/>
    <mergeCell ref="A62:B62"/>
    <mergeCell ref="D62:E62"/>
    <mergeCell ref="A63:B63"/>
    <mergeCell ref="D67:E67"/>
    <mergeCell ref="A35:J35"/>
    <mergeCell ref="A37:E37"/>
    <mergeCell ref="F37:J37"/>
    <mergeCell ref="A38:J38"/>
    <mergeCell ref="H49:J49"/>
    <mergeCell ref="A49:B49"/>
    <mergeCell ref="C49:F49"/>
    <mergeCell ref="A50:C50"/>
    <mergeCell ref="D50:E50"/>
    <mergeCell ref="F50:G50"/>
    <mergeCell ref="H50:J50"/>
    <mergeCell ref="A39:E39"/>
    <mergeCell ref="F39:J39"/>
    <mergeCell ref="A67:B67"/>
    <mergeCell ref="A218:J218"/>
    <mergeCell ref="A219:J219"/>
    <mergeCell ref="A53:B53"/>
    <mergeCell ref="A54:C54"/>
    <mergeCell ref="D54:J54"/>
    <mergeCell ref="A211:J211"/>
    <mergeCell ref="A212:J212"/>
    <mergeCell ref="A213:J213"/>
    <mergeCell ref="A214:J214"/>
    <mergeCell ref="A203:B203"/>
    <mergeCell ref="D203:E203"/>
    <mergeCell ref="A201:B201"/>
    <mergeCell ref="D201:E201"/>
    <mergeCell ref="A202:B202"/>
    <mergeCell ref="D202:E202"/>
    <mergeCell ref="E57:F57"/>
    <mergeCell ref="A116:J116"/>
    <mergeCell ref="A117:J117"/>
    <mergeCell ref="A123:B123"/>
    <mergeCell ref="C53:J53"/>
    <mergeCell ref="A216:J216"/>
    <mergeCell ref="D188:E188"/>
    <mergeCell ref="A217:J217"/>
    <mergeCell ref="D118:E118"/>
    <mergeCell ref="A215:J215"/>
    <mergeCell ref="C162:H162"/>
    <mergeCell ref="C164:H164"/>
    <mergeCell ref="D168:E168"/>
    <mergeCell ref="A169:B169"/>
    <mergeCell ref="D169:E169"/>
    <mergeCell ref="A170:B170"/>
    <mergeCell ref="D170:E170"/>
    <mergeCell ref="A171:B171"/>
    <mergeCell ref="D171:E171"/>
    <mergeCell ref="C172:H173"/>
    <mergeCell ref="I175:J181"/>
    <mergeCell ref="A182:J182"/>
    <mergeCell ref="C183:H183"/>
    <mergeCell ref="I183:J189"/>
    <mergeCell ref="C187:H187"/>
    <mergeCell ref="A188:B188"/>
    <mergeCell ref="C189:H189"/>
    <mergeCell ref="C184:H184"/>
    <mergeCell ref="A185:B185"/>
    <mergeCell ref="D185:E185"/>
    <mergeCell ref="A186:B186"/>
    <mergeCell ref="D186:E186"/>
    <mergeCell ref="A187:B187"/>
    <mergeCell ref="A119:J119"/>
    <mergeCell ref="A120:J120"/>
    <mergeCell ref="A121:B121"/>
    <mergeCell ref="A122:B122"/>
    <mergeCell ref="I121:J125"/>
    <mergeCell ref="C121:H121"/>
    <mergeCell ref="C122:H122"/>
    <mergeCell ref="A113:B113"/>
    <mergeCell ref="A115:B115"/>
    <mergeCell ref="D123:E123"/>
    <mergeCell ref="A118:B118"/>
    <mergeCell ref="D113:F113"/>
    <mergeCell ref="G113:J113"/>
    <mergeCell ref="A114:B114"/>
    <mergeCell ref="D114:F114"/>
    <mergeCell ref="G114:J114"/>
    <mergeCell ref="D115:F115"/>
    <mergeCell ref="G115:J115"/>
    <mergeCell ref="D69:E69"/>
    <mergeCell ref="D63:E63"/>
    <mergeCell ref="A64:B64"/>
    <mergeCell ref="D64:E64"/>
    <mergeCell ref="A65:B65"/>
    <mergeCell ref="D65:E65"/>
    <mergeCell ref="A66:B66"/>
    <mergeCell ref="A109:J109"/>
    <mergeCell ref="A108:F108"/>
    <mergeCell ref="G108:J108"/>
    <mergeCell ref="A99:J99"/>
    <mergeCell ref="A100:B100"/>
    <mergeCell ref="A103:F103"/>
    <mergeCell ref="G103:J103"/>
    <mergeCell ref="A101:J101"/>
    <mergeCell ref="A102:F102"/>
    <mergeCell ref="G102:J102"/>
    <mergeCell ref="A107:F107"/>
    <mergeCell ref="G107:J107"/>
    <mergeCell ref="C100:J100"/>
    <mergeCell ref="D81:E81"/>
    <mergeCell ref="A82:B82"/>
    <mergeCell ref="D82:E82"/>
    <mergeCell ref="A104:F104"/>
    <mergeCell ref="A142:B142"/>
    <mergeCell ref="D142:E142"/>
    <mergeCell ref="I142:J148"/>
    <mergeCell ref="A149:J149"/>
    <mergeCell ref="A150:B150"/>
    <mergeCell ref="D150:E150"/>
    <mergeCell ref="I150:J156"/>
    <mergeCell ref="A151:B151"/>
    <mergeCell ref="D151:E151"/>
    <mergeCell ref="A152:B152"/>
    <mergeCell ref="D152:E152"/>
    <mergeCell ref="A153:B153"/>
    <mergeCell ref="A147:B147"/>
    <mergeCell ref="A148:B148"/>
    <mergeCell ref="D145:E145"/>
    <mergeCell ref="A146:B146"/>
    <mergeCell ref="D146:E146"/>
    <mergeCell ref="A143:B143"/>
    <mergeCell ref="D143:E143"/>
    <mergeCell ref="A144:B144"/>
    <mergeCell ref="D144:E144"/>
    <mergeCell ref="A145:B145"/>
    <mergeCell ref="C147:H148"/>
    <mergeCell ref="D153:E153"/>
    <mergeCell ref="F59:G59"/>
    <mergeCell ref="A98:J98"/>
    <mergeCell ref="D66:E66"/>
    <mergeCell ref="A59:B59"/>
    <mergeCell ref="D59:E59"/>
    <mergeCell ref="H59:J59"/>
    <mergeCell ref="A60:B60"/>
    <mergeCell ref="D60:E60"/>
    <mergeCell ref="F60:G69"/>
    <mergeCell ref="H60:J69"/>
    <mergeCell ref="A70:B70"/>
    <mergeCell ref="C70:J70"/>
    <mergeCell ref="E71:F71"/>
    <mergeCell ref="I71:J71"/>
    <mergeCell ref="A72:B72"/>
    <mergeCell ref="C72:J72"/>
    <mergeCell ref="A73:B73"/>
    <mergeCell ref="D73:E73"/>
    <mergeCell ref="F73:G73"/>
    <mergeCell ref="H73:J73"/>
    <mergeCell ref="A74:B74"/>
    <mergeCell ref="D74:E74"/>
    <mergeCell ref="A81:B81"/>
    <mergeCell ref="A69:B69"/>
    <mergeCell ref="A51:J51"/>
    <mergeCell ref="A52:C52"/>
    <mergeCell ref="D52:E52"/>
    <mergeCell ref="F52:G52"/>
    <mergeCell ref="H52:J52"/>
    <mergeCell ref="A56:B56"/>
    <mergeCell ref="C56:J56"/>
    <mergeCell ref="I57:J57"/>
    <mergeCell ref="A58:B58"/>
    <mergeCell ref="C58:J58"/>
    <mergeCell ref="A55:J55"/>
    <mergeCell ref="H47:J47"/>
    <mergeCell ref="A47:B47"/>
    <mergeCell ref="C47:F47"/>
    <mergeCell ref="A48:B48"/>
    <mergeCell ref="C48:F48"/>
    <mergeCell ref="A46:B46"/>
    <mergeCell ref="C46:F46"/>
    <mergeCell ref="A41:E41"/>
    <mergeCell ref="F41:J41"/>
    <mergeCell ref="H48:J48"/>
    <mergeCell ref="H46:J46"/>
    <mergeCell ref="F42:J42"/>
    <mergeCell ref="A43:E43"/>
    <mergeCell ref="F43:J43"/>
    <mergeCell ref="A44:E44"/>
    <mergeCell ref="F44:J44"/>
    <mergeCell ref="A45:J45"/>
    <mergeCell ref="A42:E42"/>
    <mergeCell ref="C30:D30"/>
    <mergeCell ref="E30:F30"/>
    <mergeCell ref="G30:H30"/>
    <mergeCell ref="I30:J30"/>
    <mergeCell ref="A32:J32"/>
    <mergeCell ref="A33:B33"/>
    <mergeCell ref="C33:D33"/>
    <mergeCell ref="E33:F33"/>
    <mergeCell ref="G33:H33"/>
    <mergeCell ref="I33:J33"/>
    <mergeCell ref="A31:J31"/>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H19:J19"/>
    <mergeCell ref="A20:E21"/>
    <mergeCell ref="F20:J21"/>
    <mergeCell ref="A22:E23"/>
    <mergeCell ref="F22:J23"/>
    <mergeCell ref="A1:J1"/>
    <mergeCell ref="A2:J2"/>
    <mergeCell ref="A3:E3"/>
    <mergeCell ref="F3:J3"/>
    <mergeCell ref="A4:E4"/>
    <mergeCell ref="A8:E8"/>
    <mergeCell ref="F8:J8"/>
    <mergeCell ref="A9:E9"/>
    <mergeCell ref="F9:J9"/>
    <mergeCell ref="F4:J4"/>
    <mergeCell ref="A11:E11"/>
    <mergeCell ref="F11:J11"/>
    <mergeCell ref="A5:E5"/>
    <mergeCell ref="F5:J5"/>
    <mergeCell ref="A6:E6"/>
    <mergeCell ref="F6:J6"/>
    <mergeCell ref="A7:E7"/>
    <mergeCell ref="F7:J7"/>
    <mergeCell ref="A15:B15"/>
    <mergeCell ref="A12:E12"/>
    <mergeCell ref="F12:J12"/>
    <mergeCell ref="A13:E13"/>
    <mergeCell ref="F13:J13"/>
    <mergeCell ref="A14:B14"/>
    <mergeCell ref="C14:J14"/>
    <mergeCell ref="C15:J15"/>
    <mergeCell ref="A10:E10"/>
    <mergeCell ref="F10:J10"/>
    <mergeCell ref="A221:J224"/>
    <mergeCell ref="A220:B220"/>
    <mergeCell ref="E220:G220"/>
    <mergeCell ref="C220:D220"/>
    <mergeCell ref="H220:J220"/>
    <mergeCell ref="A17:B17"/>
    <mergeCell ref="C17:E17"/>
    <mergeCell ref="F17:G17"/>
    <mergeCell ref="H17:J17"/>
    <mergeCell ref="A28:B28"/>
    <mergeCell ref="C28:D28"/>
    <mergeCell ref="E28:F28"/>
    <mergeCell ref="G28:H28"/>
    <mergeCell ref="I28:J28"/>
    <mergeCell ref="A29:B29"/>
    <mergeCell ref="C29:D29"/>
    <mergeCell ref="E29:F29"/>
    <mergeCell ref="G29:H29"/>
    <mergeCell ref="I29:J29"/>
    <mergeCell ref="A40:E40"/>
    <mergeCell ref="F40:J40"/>
    <mergeCell ref="A36:E36"/>
    <mergeCell ref="F36:J36"/>
    <mergeCell ref="A30:B30"/>
    <mergeCell ref="A160:B160"/>
    <mergeCell ref="D160:E160"/>
    <mergeCell ref="A161:B161"/>
    <mergeCell ref="D161:E161"/>
    <mergeCell ref="A162:B162"/>
    <mergeCell ref="A163:B163"/>
    <mergeCell ref="D163:E163"/>
    <mergeCell ref="A164:B164"/>
    <mergeCell ref="C158:H158"/>
    <mergeCell ref="C159:H159"/>
    <mergeCell ref="A180:B180"/>
    <mergeCell ref="D180:E180"/>
    <mergeCell ref="A181:B181"/>
    <mergeCell ref="D181:E181"/>
    <mergeCell ref="I192:J196"/>
    <mergeCell ref="C193:H193"/>
    <mergeCell ref="A194:B194"/>
    <mergeCell ref="D194:E194"/>
    <mergeCell ref="A195:B195"/>
    <mergeCell ref="A193:B193"/>
    <mergeCell ref="A183:B183"/>
    <mergeCell ref="A190:J190"/>
    <mergeCell ref="A191:J191"/>
    <mergeCell ref="D196:E196"/>
    <mergeCell ref="A192:B192"/>
    <mergeCell ref="C192:H192"/>
    <mergeCell ref="A196:B196"/>
    <mergeCell ref="D195:E195"/>
    <mergeCell ref="A184:B184"/>
    <mergeCell ref="A189:B189"/>
    <mergeCell ref="A178:B178"/>
    <mergeCell ref="D178:E178"/>
    <mergeCell ref="A179:B179"/>
    <mergeCell ref="D179:E179"/>
    <mergeCell ref="A175:B175"/>
    <mergeCell ref="D175:E175"/>
    <mergeCell ref="D156:E156"/>
    <mergeCell ref="A158:B158"/>
    <mergeCell ref="A172:B172"/>
    <mergeCell ref="A176:B176"/>
    <mergeCell ref="D176:E176"/>
    <mergeCell ref="A177:B177"/>
    <mergeCell ref="D177:E177"/>
    <mergeCell ref="A174:J174"/>
    <mergeCell ref="A165:J165"/>
    <mergeCell ref="A166:J166"/>
    <mergeCell ref="A167:B167"/>
    <mergeCell ref="D167:E167"/>
    <mergeCell ref="I167:J173"/>
    <mergeCell ref="A168:B168"/>
    <mergeCell ref="A173:B173"/>
    <mergeCell ref="A157:J157"/>
    <mergeCell ref="I158:J164"/>
    <mergeCell ref="A159:B159"/>
    <mergeCell ref="A84:B84"/>
    <mergeCell ref="C84:J84"/>
    <mergeCell ref="E85:F85"/>
    <mergeCell ref="A129:B129"/>
    <mergeCell ref="D129:E129"/>
    <mergeCell ref="A130:B130"/>
    <mergeCell ref="I134:J139"/>
    <mergeCell ref="A135:B135"/>
    <mergeCell ref="D135:E135"/>
    <mergeCell ref="G104:J104"/>
    <mergeCell ref="A105:F105"/>
    <mergeCell ref="G105:J105"/>
    <mergeCell ref="A106:F106"/>
    <mergeCell ref="G106:J106"/>
    <mergeCell ref="D110:F110"/>
    <mergeCell ref="G110:J110"/>
    <mergeCell ref="D111:F111"/>
    <mergeCell ref="G111:J111"/>
    <mergeCell ref="A111:B111"/>
    <mergeCell ref="A110:B110"/>
    <mergeCell ref="A112:B112"/>
    <mergeCell ref="D112:F112"/>
    <mergeCell ref="G112:J112"/>
    <mergeCell ref="I118:J118"/>
    <mergeCell ref="D124:E124"/>
    <mergeCell ref="A131:B131"/>
    <mergeCell ref="D131:E131"/>
    <mergeCell ref="A132:B132"/>
    <mergeCell ref="D132:E132"/>
    <mergeCell ref="I127:J132"/>
    <mergeCell ref="A134:B134"/>
    <mergeCell ref="A126:J126"/>
    <mergeCell ref="A127:B127"/>
    <mergeCell ref="A128:B128"/>
    <mergeCell ref="A133:J133"/>
    <mergeCell ref="I85:J85"/>
    <mergeCell ref="A86:B86"/>
    <mergeCell ref="C86:J86"/>
    <mergeCell ref="A87:B87"/>
    <mergeCell ref="D87:E87"/>
    <mergeCell ref="F87:G87"/>
    <mergeCell ref="H87:J87"/>
    <mergeCell ref="A88:B88"/>
    <mergeCell ref="D88:E88"/>
    <mergeCell ref="F88:G97"/>
    <mergeCell ref="H88:J97"/>
    <mergeCell ref="A89:B89"/>
    <mergeCell ref="A94:B94"/>
    <mergeCell ref="D94:E94"/>
    <mergeCell ref="A95:B95"/>
    <mergeCell ref="D95:E95"/>
    <mergeCell ref="A96:B96"/>
    <mergeCell ref="D96:E96"/>
    <mergeCell ref="A97:B97"/>
    <mergeCell ref="D97:E97"/>
    <mergeCell ref="A197:J197"/>
    <mergeCell ref="I198:J203"/>
    <mergeCell ref="A200:B200"/>
    <mergeCell ref="D200:E200"/>
    <mergeCell ref="A204:J204"/>
    <mergeCell ref="A205:B205"/>
    <mergeCell ref="C205:H205"/>
    <mergeCell ref="I205:J210"/>
    <mergeCell ref="A206:B206"/>
    <mergeCell ref="D206:E206"/>
    <mergeCell ref="A207:B207"/>
    <mergeCell ref="D207:E207"/>
    <mergeCell ref="A208:B208"/>
    <mergeCell ref="C208:H208"/>
    <mergeCell ref="A209:B209"/>
    <mergeCell ref="D209:E209"/>
    <mergeCell ref="A210:B210"/>
    <mergeCell ref="C210:H210"/>
    <mergeCell ref="D199:E199"/>
    <mergeCell ref="A199:B199"/>
    <mergeCell ref="A198:B198"/>
    <mergeCell ref="D198:E198"/>
    <mergeCell ref="A156:B156"/>
    <mergeCell ref="L10:P10"/>
    <mergeCell ref="D89:E89"/>
    <mergeCell ref="A90:B90"/>
    <mergeCell ref="D90:E90"/>
    <mergeCell ref="A91:B91"/>
    <mergeCell ref="D91:E91"/>
    <mergeCell ref="A92:B92"/>
    <mergeCell ref="D92:E92"/>
    <mergeCell ref="A93:B93"/>
    <mergeCell ref="D93:E93"/>
    <mergeCell ref="F74:G83"/>
    <mergeCell ref="H74:J83"/>
    <mergeCell ref="A75:B75"/>
    <mergeCell ref="D75:E75"/>
    <mergeCell ref="A76:B76"/>
    <mergeCell ref="D76:E76"/>
    <mergeCell ref="A77:B77"/>
    <mergeCell ref="D77:E77"/>
    <mergeCell ref="A78:B78"/>
    <mergeCell ref="A136:B136"/>
    <mergeCell ref="D136:E136"/>
    <mergeCell ref="A137:B137"/>
    <mergeCell ref="A138:B138"/>
    <mergeCell ref="D78:E78"/>
    <mergeCell ref="A79:B79"/>
    <mergeCell ref="D79:E79"/>
    <mergeCell ref="A80:B80"/>
    <mergeCell ref="D80:E80"/>
    <mergeCell ref="A154:B154"/>
    <mergeCell ref="D154:E154"/>
    <mergeCell ref="A155:B155"/>
    <mergeCell ref="D155:E155"/>
    <mergeCell ref="D138:E138"/>
    <mergeCell ref="A139:B139"/>
    <mergeCell ref="C134:H134"/>
    <mergeCell ref="C137:H137"/>
    <mergeCell ref="C139:H139"/>
    <mergeCell ref="A83:B83"/>
    <mergeCell ref="D83:E83"/>
    <mergeCell ref="A140:J140"/>
    <mergeCell ref="A141:J141"/>
    <mergeCell ref="D128:E128"/>
    <mergeCell ref="D127:E127"/>
    <mergeCell ref="A125:B125"/>
    <mergeCell ref="D125:E125"/>
    <mergeCell ref="D130:E130"/>
    <mergeCell ref="A124:B124"/>
  </mergeCells>
  <hyperlinks>
    <hyperlink ref="C34" r:id="rId1"/>
  </hyperlinks>
  <pageMargins left="0.43307086614173229" right="0.43307086614173229" top="0.78740157480314965" bottom="0.78740157480314965" header="0.19685039370078741" footer="0.19685039370078741"/>
  <pageSetup paperSize="9" scale="90" fitToHeight="0" orientation="portrait" r:id="rId2"/>
  <headerFooter>
    <oddHeader>&amp;C&amp;"Times New Roman,Bold"&amp;20&amp;G</oddHeader>
    <oddFooter>&amp;L&amp;"Times New Roman,Bold"&amp;12Ref No: &amp;F&amp;C&amp;G&amp;R&amp;"Times New Roman,Bold"&amp;12&amp;P</oddFooter>
  </headerFooter>
  <rowBreaks count="3" manualBreakCount="3">
    <brk id="69" max="16383" man="1"/>
    <brk id="235" max="16383" man="1"/>
    <brk id="27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A2" s="22" t="s">
        <v>135</v>
      </c>
      <c r="B2" s="22" t="s">
        <v>136</v>
      </c>
      <c r="C2" s="22" t="s">
        <v>137</v>
      </c>
      <c r="D2" s="261" t="s">
        <v>138</v>
      </c>
      <c r="E2" s="261"/>
    </row>
    <row r="3" spans="1:13" x14ac:dyDescent="0.25">
      <c r="A3" s="25">
        <v>0</v>
      </c>
      <c r="B3" s="25">
        <v>0</v>
      </c>
      <c r="C3" s="25">
        <v>1</v>
      </c>
      <c r="D3" s="263">
        <v>4</v>
      </c>
      <c r="E3" s="263"/>
    </row>
    <row r="5" spans="1:13" hidden="1" x14ac:dyDescent="0.25">
      <c r="A5" s="21" t="s">
        <v>100</v>
      </c>
      <c r="B5" s="23" t="s">
        <v>152</v>
      </c>
      <c r="C5" s="23">
        <f>D3</f>
        <v>4</v>
      </c>
      <c r="D5" s="24"/>
    </row>
    <row r="6" spans="1:13" x14ac:dyDescent="0.25">
      <c r="A6" s="21" t="s">
        <v>101</v>
      </c>
      <c r="B6" s="26">
        <v>10</v>
      </c>
      <c r="C6" s="27">
        <v>1</v>
      </c>
      <c r="D6" s="28">
        <f>((100/B6)*C6)/100</f>
        <v>0.1</v>
      </c>
      <c r="E6" s="29"/>
      <c r="J6" s="29"/>
    </row>
    <row r="7" spans="1:13" x14ac:dyDescent="0.25">
      <c r="A7" s="21" t="s">
        <v>102</v>
      </c>
      <c r="B7" s="26">
        <f>A3+B3+C3+D3</f>
        <v>5</v>
      </c>
      <c r="C7" s="27">
        <v>0</v>
      </c>
      <c r="D7" s="28">
        <f t="shared" ref="D7:D12" si="0">((100/B7)*C7)/100</f>
        <v>0</v>
      </c>
      <c r="F7" s="264" t="s">
        <v>153</v>
      </c>
      <c r="G7" s="264"/>
      <c r="H7" s="30" t="s">
        <v>154</v>
      </c>
      <c r="J7" s="37"/>
    </row>
    <row r="8" spans="1:13" x14ac:dyDescent="0.25">
      <c r="A8" s="21" t="s">
        <v>107</v>
      </c>
      <c r="B8" s="26">
        <f>C5</f>
        <v>4</v>
      </c>
      <c r="C8" s="27">
        <v>0</v>
      </c>
      <c r="D8" s="28">
        <f t="shared" si="0"/>
        <v>0</v>
      </c>
      <c r="E8" s="29"/>
      <c r="F8" s="262" t="s">
        <v>155</v>
      </c>
      <c r="G8" s="262"/>
      <c r="H8" s="26" t="s">
        <v>156</v>
      </c>
      <c r="J8" s="29"/>
    </row>
    <row r="9" spans="1:13" x14ac:dyDescent="0.25">
      <c r="A9" s="21" t="s">
        <v>109</v>
      </c>
      <c r="B9" s="26">
        <f>C5</f>
        <v>4</v>
      </c>
      <c r="C9" s="27">
        <v>0</v>
      </c>
      <c r="D9" s="28">
        <f t="shared" si="0"/>
        <v>0</v>
      </c>
      <c r="E9" s="29"/>
      <c r="F9" s="262" t="s">
        <v>157</v>
      </c>
      <c r="G9" s="262"/>
      <c r="H9" s="26" t="s">
        <v>158</v>
      </c>
      <c r="J9" s="29"/>
    </row>
    <row r="10" spans="1:13" x14ac:dyDescent="0.25">
      <c r="A10" s="21" t="s">
        <v>71</v>
      </c>
      <c r="B10" s="26">
        <f>C5</f>
        <v>4</v>
      </c>
      <c r="C10" s="27">
        <v>0</v>
      </c>
      <c r="D10" s="28">
        <f t="shared" si="0"/>
        <v>0</v>
      </c>
      <c r="E10" s="29"/>
      <c r="F10" s="262" t="s">
        <v>159</v>
      </c>
      <c r="G10" s="262"/>
      <c r="H10" s="26" t="s">
        <v>160</v>
      </c>
      <c r="J10" s="29"/>
    </row>
    <row r="11" spans="1:13" x14ac:dyDescent="0.25">
      <c r="A11" s="31" t="s">
        <v>105</v>
      </c>
      <c r="B11" s="26">
        <f>C5</f>
        <v>4</v>
      </c>
      <c r="C11" s="27">
        <v>0</v>
      </c>
      <c r="D11" s="28">
        <f t="shared" si="0"/>
        <v>0</v>
      </c>
      <c r="E11" s="29"/>
      <c r="F11" s="262" t="s">
        <v>161</v>
      </c>
      <c r="G11" s="262"/>
      <c r="H11" s="26" t="s">
        <v>162</v>
      </c>
    </row>
    <row r="12" spans="1:13" x14ac:dyDescent="0.25">
      <c r="A12" s="21" t="s">
        <v>72</v>
      </c>
      <c r="B12" s="26">
        <f>C5</f>
        <v>4</v>
      </c>
      <c r="C12" s="27">
        <v>0</v>
      </c>
      <c r="D12" s="28">
        <f t="shared" si="0"/>
        <v>0</v>
      </c>
      <c r="E12" s="29"/>
      <c r="F12" s="262" t="s">
        <v>163</v>
      </c>
      <c r="G12" s="262"/>
      <c r="H12" s="26" t="s">
        <v>164</v>
      </c>
    </row>
    <row r="13" spans="1:13" x14ac:dyDescent="0.25">
      <c r="F13" s="262" t="s">
        <v>165</v>
      </c>
      <c r="G13" s="262"/>
      <c r="H13" s="26" t="s">
        <v>166</v>
      </c>
    </row>
    <row r="14" spans="1:13" hidden="1" x14ac:dyDescent="0.25">
      <c r="A14" s="22"/>
      <c r="B14" s="22" t="s">
        <v>106</v>
      </c>
      <c r="C14" s="22" t="s">
        <v>110</v>
      </c>
      <c r="G14" s="22" t="s">
        <v>101</v>
      </c>
      <c r="H14" s="22" t="s">
        <v>103</v>
      </c>
      <c r="I14" s="22" t="s">
        <v>104</v>
      </c>
      <c r="J14" s="22" t="s">
        <v>70</v>
      </c>
      <c r="K14" s="22" t="s">
        <v>71</v>
      </c>
      <c r="L14" s="22" t="s">
        <v>105</v>
      </c>
      <c r="M14" s="22" t="s">
        <v>72</v>
      </c>
    </row>
    <row r="15" spans="1:13" hidden="1" x14ac:dyDescent="0.25">
      <c r="A15" s="22" t="s">
        <v>68</v>
      </c>
      <c r="B15" s="22">
        <f>G15</f>
        <v>1</v>
      </c>
      <c r="C15" s="22">
        <f>G16</f>
        <v>21</v>
      </c>
      <c r="E15" s="261" t="s">
        <v>106</v>
      </c>
      <c r="F15" s="261"/>
      <c r="G15" s="32">
        <f>C6</f>
        <v>1</v>
      </c>
      <c r="H15" s="32">
        <f>40/B7*C7</f>
        <v>0</v>
      </c>
      <c r="I15" s="32">
        <f>15/B8*C8</f>
        <v>0</v>
      </c>
      <c r="J15" s="32">
        <f>10/B9*C9</f>
        <v>0</v>
      </c>
      <c r="K15" s="32">
        <f>10/B10*C10</f>
        <v>0</v>
      </c>
      <c r="L15" s="32">
        <f>5/B11*C11</f>
        <v>0</v>
      </c>
      <c r="M15" s="32">
        <f>5/B12*C12</f>
        <v>0</v>
      </c>
    </row>
    <row r="16" spans="1:13" hidden="1" x14ac:dyDescent="0.25">
      <c r="A16" s="22" t="s">
        <v>69</v>
      </c>
      <c r="B16" s="22">
        <f>H15</f>
        <v>0</v>
      </c>
      <c r="C16" s="22">
        <f>H16</f>
        <v>0</v>
      </c>
      <c r="E16" s="261" t="s">
        <v>108</v>
      </c>
      <c r="F16" s="261"/>
      <c r="G16" s="22">
        <f>G15+20</f>
        <v>21</v>
      </c>
      <c r="H16" s="22">
        <f>30/B7*C7</f>
        <v>0</v>
      </c>
      <c r="I16" s="22">
        <f>15/B8*C8</f>
        <v>0</v>
      </c>
      <c r="J16" s="22">
        <f>10/B9*C9</f>
        <v>0</v>
      </c>
      <c r="K16" s="22">
        <f>5/B10*C10</f>
        <v>0</v>
      </c>
      <c r="L16" s="22">
        <f>5/B11*C11</f>
        <v>0</v>
      </c>
      <c r="M16" s="22">
        <f>5/B12*C12</f>
        <v>0</v>
      </c>
    </row>
    <row r="17" spans="1:13" hidden="1" x14ac:dyDescent="0.25">
      <c r="A17" s="22" t="s">
        <v>104</v>
      </c>
      <c r="B17" s="22">
        <f>I15</f>
        <v>0</v>
      </c>
      <c r="C17" s="22">
        <f>I16</f>
        <v>0</v>
      </c>
      <c r="M17" s="29"/>
    </row>
    <row r="18" spans="1:13" hidden="1" x14ac:dyDescent="0.25">
      <c r="A18" s="22" t="s">
        <v>70</v>
      </c>
      <c r="B18" s="22">
        <f>J15</f>
        <v>0</v>
      </c>
      <c r="C18" s="22">
        <f>J16</f>
        <v>0</v>
      </c>
      <c r="M18" s="29"/>
    </row>
    <row r="19" spans="1:13" hidden="1" x14ac:dyDescent="0.25">
      <c r="A19" s="22" t="s">
        <v>71</v>
      </c>
      <c r="B19" s="22">
        <f>K15</f>
        <v>0</v>
      </c>
      <c r="C19" s="22">
        <f>K16</f>
        <v>0</v>
      </c>
      <c r="M19" s="29"/>
    </row>
    <row r="20" spans="1:13" hidden="1" x14ac:dyDescent="0.25">
      <c r="A20" s="33" t="s">
        <v>105</v>
      </c>
      <c r="B20" s="22">
        <f>L15</f>
        <v>0</v>
      </c>
      <c r="C20" s="22">
        <f>L16</f>
        <v>0</v>
      </c>
      <c r="M20" s="29"/>
    </row>
    <row r="21" spans="1:13" hidden="1" x14ac:dyDescent="0.25">
      <c r="A21" s="22" t="s">
        <v>72</v>
      </c>
      <c r="B21" s="22">
        <f>M15</f>
        <v>0</v>
      </c>
      <c r="C21" s="22">
        <f>M16</f>
        <v>0</v>
      </c>
      <c r="M21" s="29"/>
    </row>
    <row r="22" spans="1:13" x14ac:dyDescent="0.25">
      <c r="A22" s="22" t="s">
        <v>111</v>
      </c>
      <c r="B22" s="34">
        <f>(B15+B16+B17+B18+B19+B20+B21)/100</f>
        <v>0.01</v>
      </c>
      <c r="C22" s="34">
        <f>(C15+C16+C17+C18+C19+C20+C21)/100</f>
        <v>0.21</v>
      </c>
      <c r="F22" s="262" t="s">
        <v>167</v>
      </c>
      <c r="G22" s="262"/>
      <c r="H22" s="26" t="s">
        <v>158</v>
      </c>
      <c r="M22" s="29"/>
    </row>
    <row r="23" spans="1:13" x14ac:dyDescent="0.25">
      <c r="F23" s="262" t="s">
        <v>168</v>
      </c>
      <c r="G23" s="262"/>
      <c r="H23" s="26" t="s">
        <v>169</v>
      </c>
    </row>
    <row r="24" spans="1:13" x14ac:dyDescent="0.25">
      <c r="A24" s="35" t="s">
        <v>143</v>
      </c>
      <c r="B24" s="36">
        <v>0.01</v>
      </c>
      <c r="C24" s="36">
        <v>0.02</v>
      </c>
      <c r="F24" s="262" t="s">
        <v>170</v>
      </c>
      <c r="G24" s="262"/>
      <c r="H24" s="26" t="s">
        <v>171</v>
      </c>
    </row>
    <row r="25" spans="1:13" x14ac:dyDescent="0.25">
      <c r="A25" s="35" t="s">
        <v>144</v>
      </c>
      <c r="B25" s="36">
        <v>0.01</v>
      </c>
      <c r="C25" s="36">
        <v>0.03</v>
      </c>
    </row>
    <row r="26" spans="1:13" x14ac:dyDescent="0.25">
      <c r="A26" s="35" t="s">
        <v>145</v>
      </c>
      <c r="B26" s="36">
        <v>0.03</v>
      </c>
      <c r="C26" s="36">
        <v>0.08</v>
      </c>
    </row>
    <row r="27" spans="1:13" x14ac:dyDescent="0.25">
      <c r="A27" s="35" t="s">
        <v>146</v>
      </c>
      <c r="B27" s="36">
        <v>0.05</v>
      </c>
      <c r="C27" s="36">
        <v>0.15</v>
      </c>
    </row>
    <row r="28" spans="1:13" x14ac:dyDescent="0.25">
      <c r="A28" s="35" t="s">
        <v>147</v>
      </c>
      <c r="B28" s="36">
        <v>7.0000000000000007E-2</v>
      </c>
      <c r="C28" s="36">
        <v>0.2</v>
      </c>
    </row>
    <row r="29" spans="1:13" x14ac:dyDescent="0.25">
      <c r="A29" s="35" t="s">
        <v>148</v>
      </c>
      <c r="B29" s="36">
        <v>0.1</v>
      </c>
      <c r="C29" s="36">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5" x14ac:dyDescent="0.25"/>
  <cols>
    <col min="1" max="1" width="20.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A2" s="22" t="s">
        <v>135</v>
      </c>
      <c r="B2" s="22" t="s">
        <v>136</v>
      </c>
      <c r="C2" s="22" t="s">
        <v>137</v>
      </c>
      <c r="D2" s="261" t="s">
        <v>138</v>
      </c>
      <c r="E2" s="261"/>
    </row>
    <row r="3" spans="1:13" x14ac:dyDescent="0.25">
      <c r="A3" s="25">
        <v>0</v>
      </c>
      <c r="B3" s="25">
        <v>0</v>
      </c>
      <c r="C3" s="25">
        <v>1</v>
      </c>
      <c r="D3" s="263">
        <v>4</v>
      </c>
      <c r="E3" s="263"/>
    </row>
    <row r="5" spans="1:13" hidden="1" x14ac:dyDescent="0.25">
      <c r="A5" s="21" t="s">
        <v>100</v>
      </c>
      <c r="B5" s="23" t="s">
        <v>152</v>
      </c>
      <c r="C5" s="23">
        <f>D3</f>
        <v>4</v>
      </c>
      <c r="D5" s="24"/>
    </row>
    <row r="6" spans="1:13" x14ac:dyDescent="0.25">
      <c r="A6" s="21" t="s">
        <v>101</v>
      </c>
      <c r="B6" s="39">
        <v>10</v>
      </c>
      <c r="C6" s="40">
        <v>10</v>
      </c>
      <c r="D6" s="28">
        <f>((100/B6)*C6)/100</f>
        <v>1</v>
      </c>
      <c r="E6" s="29"/>
      <c r="J6" s="29"/>
    </row>
    <row r="7" spans="1:13" x14ac:dyDescent="0.25">
      <c r="A7" s="21" t="s">
        <v>102</v>
      </c>
      <c r="B7" s="39">
        <f>A3+B3+C3+D3</f>
        <v>5</v>
      </c>
      <c r="C7" s="40">
        <v>2</v>
      </c>
      <c r="D7" s="28">
        <f t="shared" ref="D7:D12" si="0">((100/B7)*C7)/100</f>
        <v>0.4</v>
      </c>
      <c r="F7" s="264" t="s">
        <v>153</v>
      </c>
      <c r="G7" s="264"/>
      <c r="H7" s="41" t="s">
        <v>154</v>
      </c>
      <c r="J7" s="37"/>
    </row>
    <row r="8" spans="1:13" x14ac:dyDescent="0.25">
      <c r="A8" s="21" t="s">
        <v>107</v>
      </c>
      <c r="B8" s="39">
        <f>C5</f>
        <v>4</v>
      </c>
      <c r="C8" s="40">
        <v>0</v>
      </c>
      <c r="D8" s="28">
        <f t="shared" si="0"/>
        <v>0</v>
      </c>
      <c r="E8" s="29"/>
      <c r="F8" s="262" t="s">
        <v>155</v>
      </c>
      <c r="G8" s="262"/>
      <c r="H8" s="39" t="s">
        <v>156</v>
      </c>
      <c r="J8" s="29"/>
    </row>
    <row r="9" spans="1:13" x14ac:dyDescent="0.25">
      <c r="A9" s="21" t="s">
        <v>109</v>
      </c>
      <c r="B9" s="39">
        <f>C5</f>
        <v>4</v>
      </c>
      <c r="C9" s="40">
        <v>0</v>
      </c>
      <c r="D9" s="28">
        <f t="shared" si="0"/>
        <v>0</v>
      </c>
      <c r="E9" s="29"/>
      <c r="F9" s="262" t="s">
        <v>157</v>
      </c>
      <c r="G9" s="262"/>
      <c r="H9" s="39" t="s">
        <v>158</v>
      </c>
      <c r="J9" s="29"/>
    </row>
    <row r="10" spans="1:13" x14ac:dyDescent="0.25">
      <c r="A10" s="21" t="s">
        <v>71</v>
      </c>
      <c r="B10" s="39">
        <f>C5</f>
        <v>4</v>
      </c>
      <c r="C10" s="40">
        <v>0</v>
      </c>
      <c r="D10" s="28">
        <f t="shared" si="0"/>
        <v>0</v>
      </c>
      <c r="E10" s="29"/>
      <c r="F10" s="262" t="s">
        <v>159</v>
      </c>
      <c r="G10" s="262"/>
      <c r="H10" s="39" t="s">
        <v>160</v>
      </c>
      <c r="J10" s="29"/>
    </row>
    <row r="11" spans="1:13" x14ac:dyDescent="0.25">
      <c r="A11" s="31" t="s">
        <v>105</v>
      </c>
      <c r="B11" s="39">
        <f>C5</f>
        <v>4</v>
      </c>
      <c r="C11" s="40">
        <v>0</v>
      </c>
      <c r="D11" s="28">
        <f t="shared" si="0"/>
        <v>0</v>
      </c>
      <c r="E11" s="29"/>
      <c r="F11" s="262" t="s">
        <v>161</v>
      </c>
      <c r="G11" s="262"/>
      <c r="H11" s="39" t="s">
        <v>162</v>
      </c>
    </row>
    <row r="12" spans="1:13" x14ac:dyDescent="0.25">
      <c r="A12" s="21" t="s">
        <v>72</v>
      </c>
      <c r="B12" s="39">
        <f>C5</f>
        <v>4</v>
      </c>
      <c r="C12" s="40">
        <v>0</v>
      </c>
      <c r="D12" s="28">
        <f t="shared" si="0"/>
        <v>0</v>
      </c>
      <c r="E12" s="29"/>
      <c r="F12" s="262" t="s">
        <v>163</v>
      </c>
      <c r="G12" s="262"/>
      <c r="H12" s="39" t="s">
        <v>164</v>
      </c>
    </row>
    <row r="13" spans="1:13" x14ac:dyDescent="0.25">
      <c r="F13" s="262" t="s">
        <v>165</v>
      </c>
      <c r="G13" s="262"/>
      <c r="H13" s="39" t="s">
        <v>166</v>
      </c>
    </row>
    <row r="14" spans="1:13" hidden="1" x14ac:dyDescent="0.25">
      <c r="A14" s="22"/>
      <c r="B14" s="22" t="s">
        <v>106</v>
      </c>
      <c r="C14" s="22" t="s">
        <v>110</v>
      </c>
      <c r="G14" s="22" t="s">
        <v>101</v>
      </c>
      <c r="H14" s="22" t="s">
        <v>103</v>
      </c>
      <c r="I14" s="22" t="s">
        <v>104</v>
      </c>
      <c r="J14" s="22" t="s">
        <v>70</v>
      </c>
      <c r="K14" s="22" t="s">
        <v>71</v>
      </c>
      <c r="L14" s="22" t="s">
        <v>105</v>
      </c>
      <c r="M14" s="22" t="s">
        <v>72</v>
      </c>
    </row>
    <row r="15" spans="1:13" hidden="1" x14ac:dyDescent="0.25">
      <c r="A15" s="22" t="s">
        <v>68</v>
      </c>
      <c r="B15" s="22">
        <f>G15</f>
        <v>10</v>
      </c>
      <c r="C15" s="22">
        <f>G16</f>
        <v>30</v>
      </c>
      <c r="E15" s="261" t="s">
        <v>106</v>
      </c>
      <c r="F15" s="261"/>
      <c r="G15" s="32">
        <f>C6</f>
        <v>10</v>
      </c>
      <c r="H15" s="32">
        <f>40/B7*C7</f>
        <v>16</v>
      </c>
      <c r="I15" s="32">
        <f>15/B8*C8</f>
        <v>0</v>
      </c>
      <c r="J15" s="32">
        <f>10/B9*C9</f>
        <v>0</v>
      </c>
      <c r="K15" s="32">
        <f>10/B10*C10</f>
        <v>0</v>
      </c>
      <c r="L15" s="32">
        <f>5/B11*C11</f>
        <v>0</v>
      </c>
      <c r="M15" s="32">
        <f>5/B12*C12</f>
        <v>0</v>
      </c>
    </row>
    <row r="16" spans="1:13" hidden="1" x14ac:dyDescent="0.25">
      <c r="A16" s="22" t="s">
        <v>69</v>
      </c>
      <c r="B16" s="22">
        <f>H15</f>
        <v>16</v>
      </c>
      <c r="C16" s="22">
        <f>H16</f>
        <v>12</v>
      </c>
      <c r="E16" s="261" t="s">
        <v>108</v>
      </c>
      <c r="F16" s="261"/>
      <c r="G16" s="22">
        <f>G15+20</f>
        <v>30</v>
      </c>
      <c r="H16" s="22">
        <f>30/B7*C7</f>
        <v>12</v>
      </c>
      <c r="I16" s="22">
        <f>15/B8*C8</f>
        <v>0</v>
      </c>
      <c r="J16" s="22">
        <f>10/B9*C9</f>
        <v>0</v>
      </c>
      <c r="K16" s="22">
        <f>5/B10*C10</f>
        <v>0</v>
      </c>
      <c r="L16" s="22">
        <f>5/B11*C11</f>
        <v>0</v>
      </c>
      <c r="M16" s="22">
        <f>5/B12*C12</f>
        <v>0</v>
      </c>
    </row>
    <row r="17" spans="1:13" hidden="1" x14ac:dyDescent="0.25">
      <c r="A17" s="22" t="s">
        <v>104</v>
      </c>
      <c r="B17" s="22">
        <f>I15</f>
        <v>0</v>
      </c>
      <c r="C17" s="22">
        <f>I16</f>
        <v>0</v>
      </c>
      <c r="M17" s="29"/>
    </row>
    <row r="18" spans="1:13" hidden="1" x14ac:dyDescent="0.25">
      <c r="A18" s="22" t="s">
        <v>70</v>
      </c>
      <c r="B18" s="22">
        <f>J15</f>
        <v>0</v>
      </c>
      <c r="C18" s="22">
        <f>J16</f>
        <v>0</v>
      </c>
      <c r="M18" s="29"/>
    </row>
    <row r="19" spans="1:13" hidden="1" x14ac:dyDescent="0.25">
      <c r="A19" s="22" t="s">
        <v>71</v>
      </c>
      <c r="B19" s="22">
        <f>K15</f>
        <v>0</v>
      </c>
      <c r="C19" s="22">
        <f>K16</f>
        <v>0</v>
      </c>
      <c r="M19" s="29"/>
    </row>
    <row r="20" spans="1:13" hidden="1" x14ac:dyDescent="0.25">
      <c r="A20" s="33" t="s">
        <v>105</v>
      </c>
      <c r="B20" s="22">
        <f>L15</f>
        <v>0</v>
      </c>
      <c r="C20" s="22">
        <f>L16</f>
        <v>0</v>
      </c>
      <c r="M20" s="29"/>
    </row>
    <row r="21" spans="1:13" hidden="1" x14ac:dyDescent="0.25">
      <c r="A21" s="22" t="s">
        <v>72</v>
      </c>
      <c r="B21" s="22">
        <f>M15</f>
        <v>0</v>
      </c>
      <c r="C21" s="22">
        <f>M16</f>
        <v>0</v>
      </c>
      <c r="M21" s="29"/>
    </row>
    <row r="22" spans="1:13" x14ac:dyDescent="0.25">
      <c r="A22" s="22" t="s">
        <v>111</v>
      </c>
      <c r="B22" s="34">
        <f>(B15+B16+B17+B18+B19+B20+B21)/100</f>
        <v>0.26</v>
      </c>
      <c r="C22" s="34">
        <f>(C15+C16+C17+C18+C19+C20+C21)/100</f>
        <v>0.42</v>
      </c>
      <c r="F22" s="262" t="s">
        <v>167</v>
      </c>
      <c r="G22" s="262"/>
      <c r="H22" s="39" t="s">
        <v>158</v>
      </c>
      <c r="M22" s="29"/>
    </row>
    <row r="23" spans="1:13" x14ac:dyDescent="0.25">
      <c r="F23" s="262" t="s">
        <v>168</v>
      </c>
      <c r="G23" s="262"/>
      <c r="H23" s="39" t="s">
        <v>169</v>
      </c>
    </row>
    <row r="24" spans="1:13" x14ac:dyDescent="0.25">
      <c r="A24" s="35" t="s">
        <v>143</v>
      </c>
      <c r="B24" s="36">
        <v>0.01</v>
      </c>
      <c r="C24" s="36">
        <v>0.02</v>
      </c>
      <c r="F24" s="262" t="s">
        <v>170</v>
      </c>
      <c r="G24" s="262"/>
      <c r="H24" s="39" t="s">
        <v>171</v>
      </c>
    </row>
    <row r="25" spans="1:13" x14ac:dyDescent="0.25">
      <c r="A25" s="35" t="s">
        <v>144</v>
      </c>
      <c r="B25" s="36">
        <v>0.01</v>
      </c>
      <c r="C25" s="36">
        <v>0.03</v>
      </c>
    </row>
    <row r="26" spans="1:13" x14ac:dyDescent="0.25">
      <c r="A26" s="35" t="s">
        <v>145</v>
      </c>
      <c r="B26" s="36">
        <v>0.03</v>
      </c>
      <c r="C26" s="36">
        <v>0.08</v>
      </c>
    </row>
    <row r="27" spans="1:13" x14ac:dyDescent="0.25">
      <c r="A27" s="35" t="s">
        <v>146</v>
      </c>
      <c r="B27" s="36">
        <v>0.05</v>
      </c>
      <c r="C27" s="36">
        <v>0.15</v>
      </c>
    </row>
    <row r="28" spans="1:13" x14ac:dyDescent="0.25">
      <c r="A28" s="35" t="s">
        <v>147</v>
      </c>
      <c r="B28" s="36">
        <v>7.0000000000000007E-2</v>
      </c>
      <c r="C28" s="36">
        <v>0.2</v>
      </c>
    </row>
    <row r="29" spans="1:13" x14ac:dyDescent="0.25">
      <c r="A29" s="35" t="s">
        <v>148</v>
      </c>
      <c r="B29" s="36">
        <v>0.1</v>
      </c>
      <c r="C29" s="3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J19" sqref="J19"/>
    </sheetView>
  </sheetViews>
  <sheetFormatPr defaultRowHeight="15" x14ac:dyDescent="0.25"/>
  <cols>
    <col min="1" max="1" width="12.7109375" customWidth="1"/>
  </cols>
  <sheetData>
    <row r="1" spans="1:8" x14ac:dyDescent="0.25">
      <c r="A1" s="38" t="s">
        <v>176</v>
      </c>
      <c r="C1" s="38" t="s">
        <v>84</v>
      </c>
    </row>
    <row r="2" spans="1:8" x14ac:dyDescent="0.25">
      <c r="A2" t="s">
        <v>177</v>
      </c>
    </row>
    <row r="4" spans="1:8" x14ac:dyDescent="0.25">
      <c r="C4" t="s">
        <v>206</v>
      </c>
    </row>
    <row r="6" spans="1:8" x14ac:dyDescent="0.25">
      <c r="C6" t="s">
        <v>208</v>
      </c>
    </row>
    <row r="8" spans="1:8" x14ac:dyDescent="0.25">
      <c r="C8" t="s">
        <v>209</v>
      </c>
    </row>
    <row r="10" spans="1:8" x14ac:dyDescent="0.25">
      <c r="A10" t="s">
        <v>219</v>
      </c>
      <c r="B10" t="s">
        <v>190</v>
      </c>
      <c r="C10" t="s">
        <v>220</v>
      </c>
      <c r="H10" t="s">
        <v>221</v>
      </c>
    </row>
    <row r="12" spans="1:8" x14ac:dyDescent="0.25">
      <c r="A12" s="42">
        <v>44180</v>
      </c>
      <c r="B12" s="43" t="s">
        <v>190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A11" sqref="A11"/>
    </sheetView>
  </sheetViews>
  <sheetFormatPr defaultColWidth="8.7109375" defaultRowHeight="15" x14ac:dyDescent="0.25"/>
  <cols>
    <col min="1" max="1" width="10.5703125" style="43" bestFit="1" customWidth="1"/>
    <col min="2" max="2" width="22.140625" style="43" customWidth="1"/>
    <col min="3" max="3" width="37" style="43" customWidth="1"/>
    <col min="4" max="5" width="11.42578125" style="43" customWidth="1"/>
    <col min="6" max="6" width="14" style="43" customWidth="1"/>
    <col min="7" max="7" width="20" style="43" customWidth="1"/>
    <col min="8" max="8" width="16.42578125" style="43" customWidth="1"/>
    <col min="9" max="16384" width="8.7109375" style="43"/>
  </cols>
  <sheetData>
    <row r="1" spans="1:9" ht="15" customHeight="1" x14ac:dyDescent="0.25">
      <c r="A1" s="42">
        <v>44180</v>
      </c>
      <c r="B1" s="43" t="s">
        <v>190</v>
      </c>
    </row>
    <row r="2" spans="1:9" ht="15" customHeight="1" x14ac:dyDescent="0.25">
      <c r="A2" s="44"/>
      <c r="B2" s="44"/>
      <c r="C2" s="44"/>
      <c r="D2" s="44"/>
      <c r="E2" s="44"/>
      <c r="F2" s="44"/>
      <c r="G2" s="44"/>
      <c r="H2" s="44"/>
    </row>
    <row r="3" spans="1:9" ht="15.75" customHeight="1" x14ac:dyDescent="0.25">
      <c r="A3" s="44"/>
      <c r="B3" s="265" t="s">
        <v>222</v>
      </c>
      <c r="C3" s="265"/>
      <c r="D3" s="265"/>
      <c r="E3" s="265"/>
      <c r="F3" s="265"/>
      <c r="G3" s="265"/>
      <c r="H3" s="265"/>
    </row>
    <row r="4" spans="1:9" x14ac:dyDescent="0.25">
      <c r="A4" s="44"/>
      <c r="B4" s="45" t="s">
        <v>223</v>
      </c>
      <c r="C4" s="45" t="s">
        <v>224</v>
      </c>
      <c r="D4" s="45" t="s">
        <v>113</v>
      </c>
      <c r="E4" s="45" t="s">
        <v>225</v>
      </c>
      <c r="F4" s="45" t="s">
        <v>226</v>
      </c>
      <c r="G4" s="45" t="s">
        <v>227</v>
      </c>
      <c r="H4" s="45" t="s">
        <v>228</v>
      </c>
    </row>
    <row r="5" spans="1:9" ht="15" customHeight="1" x14ac:dyDescent="0.25">
      <c r="A5" s="44"/>
      <c r="B5" s="46" t="s">
        <v>229</v>
      </c>
      <c r="C5" s="47" t="s">
        <v>230</v>
      </c>
      <c r="D5" s="46" t="s">
        <v>194</v>
      </c>
      <c r="E5" s="46">
        <v>218</v>
      </c>
      <c r="F5" s="48">
        <f>E5*1.45</f>
        <v>316.09999999999997</v>
      </c>
      <c r="G5" s="48">
        <f>H5/F5</f>
        <v>3514.7105346409367</v>
      </c>
      <c r="H5" s="49">
        <v>1111000</v>
      </c>
    </row>
    <row r="6" spans="1:9" x14ac:dyDescent="0.25">
      <c r="A6" s="44"/>
      <c r="B6" s="46" t="s">
        <v>229</v>
      </c>
      <c r="C6" s="47" t="s">
        <v>230</v>
      </c>
      <c r="D6" s="46" t="s">
        <v>195</v>
      </c>
      <c r="E6" s="46">
        <v>308</v>
      </c>
      <c r="F6" s="48">
        <f>E6*1.45</f>
        <v>446.59999999999997</v>
      </c>
      <c r="G6" s="48">
        <f t="shared" ref="G6:G7" si="0">H6/F6</f>
        <v>3414.6887595163462</v>
      </c>
      <c r="H6" s="49">
        <v>1525000</v>
      </c>
    </row>
    <row r="7" spans="1:9" ht="15" customHeight="1" x14ac:dyDescent="0.25">
      <c r="A7" s="44"/>
      <c r="B7" s="46" t="s">
        <v>231</v>
      </c>
      <c r="C7" s="47" t="s">
        <v>230</v>
      </c>
      <c r="D7" s="46" t="s">
        <v>194</v>
      </c>
      <c r="E7" s="46">
        <v>218</v>
      </c>
      <c r="F7" s="48">
        <f>E7*1.45</f>
        <v>316.09999999999997</v>
      </c>
      <c r="G7" s="48">
        <f t="shared" si="0"/>
        <v>3514.7105346409367</v>
      </c>
      <c r="H7" s="49">
        <v>1111000</v>
      </c>
    </row>
    <row r="8" spans="1:9" ht="15" customHeight="1" x14ac:dyDescent="0.25">
      <c r="A8" s="44"/>
      <c r="B8" s="50" t="s">
        <v>232</v>
      </c>
      <c r="C8" s="46"/>
      <c r="D8" s="46"/>
      <c r="E8" s="46"/>
      <c r="F8" s="46"/>
      <c r="G8" s="51">
        <f>AVERAGE(G5:G7)</f>
        <v>3481.3699429327403</v>
      </c>
      <c r="H8" s="46"/>
    </row>
    <row r="9" spans="1:9" ht="15" customHeight="1" x14ac:dyDescent="0.25">
      <c r="B9" s="50" t="s">
        <v>233</v>
      </c>
      <c r="C9" s="46"/>
      <c r="D9" s="46"/>
      <c r="E9" s="46"/>
      <c r="F9" s="52"/>
      <c r="G9" s="50">
        <v>3500</v>
      </c>
      <c r="H9" s="50"/>
      <c r="I9" s="53"/>
    </row>
    <row r="10" spans="1:9" ht="15" customHeight="1" x14ac:dyDescent="0.25"/>
    <row r="11" spans="1:9" ht="15" customHeight="1" x14ac:dyDescent="0.25"/>
    <row r="12" spans="1:9" ht="15" customHeight="1" x14ac:dyDescent="0.25"/>
  </sheetData>
  <mergeCells count="1">
    <mergeCell ref="B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5" x14ac:dyDescent="0.25"/>
  <cols>
    <col min="2" max="2" width="12.28515625" customWidth="1"/>
  </cols>
  <sheetData>
    <row r="2" spans="1:12" x14ac:dyDescent="0.25">
      <c r="B2" s="5" t="s">
        <v>112</v>
      </c>
      <c r="C2" s="266"/>
      <c r="D2" s="266"/>
    </row>
    <row r="3" spans="1:12" x14ac:dyDescent="0.25">
      <c r="D3" s="6"/>
      <c r="E3" s="6"/>
      <c r="F3" s="6"/>
      <c r="G3" s="6"/>
      <c r="H3" s="6"/>
      <c r="I3" s="6"/>
    </row>
    <row r="4" spans="1:12" x14ac:dyDescent="0.25">
      <c r="A4" s="5" t="s">
        <v>113</v>
      </c>
      <c r="B4" s="7" t="s">
        <v>114</v>
      </c>
      <c r="C4" s="267" t="s">
        <v>115</v>
      </c>
      <c r="D4" s="267"/>
      <c r="E4" s="267"/>
      <c r="F4" s="8"/>
      <c r="G4" s="267" t="s">
        <v>116</v>
      </c>
      <c r="H4" s="267"/>
      <c r="I4" s="267"/>
      <c r="J4" s="267" t="s">
        <v>117</v>
      </c>
      <c r="K4" s="267"/>
      <c r="L4" s="267"/>
    </row>
    <row r="5" spans="1:12" x14ac:dyDescent="0.25">
      <c r="A5" s="5">
        <v>1</v>
      </c>
      <c r="B5" s="7"/>
      <c r="C5" s="7" t="s">
        <v>118</v>
      </c>
      <c r="D5" s="7" t="s">
        <v>119</v>
      </c>
      <c r="E5" s="7" t="s">
        <v>80</v>
      </c>
      <c r="F5" s="7"/>
      <c r="G5" s="7" t="s">
        <v>118</v>
      </c>
      <c r="H5" s="7" t="s">
        <v>119</v>
      </c>
      <c r="I5" s="7" t="s">
        <v>80</v>
      </c>
      <c r="J5" s="7" t="s">
        <v>118</v>
      </c>
      <c r="K5" s="7" t="s">
        <v>119</v>
      </c>
      <c r="L5" s="7" t="s">
        <v>80</v>
      </c>
    </row>
    <row r="6" spans="1:12" x14ac:dyDescent="0.25">
      <c r="B6" s="9" t="s">
        <v>120</v>
      </c>
      <c r="C6" s="9"/>
      <c r="D6" s="9"/>
      <c r="E6" s="9">
        <f>C6*D6</f>
        <v>0</v>
      </c>
      <c r="F6" s="9" t="s">
        <v>121</v>
      </c>
      <c r="G6" s="9"/>
      <c r="H6" s="9"/>
      <c r="I6" s="9">
        <f>G6*H6</f>
        <v>0</v>
      </c>
      <c r="J6" s="9"/>
      <c r="K6" s="9"/>
      <c r="L6" s="9">
        <f>J6*K6</f>
        <v>0</v>
      </c>
    </row>
    <row r="7" spans="1:12" x14ac:dyDescent="0.25">
      <c r="B7" s="9"/>
      <c r="C7" s="9"/>
      <c r="D7" s="9"/>
      <c r="E7" s="9">
        <f t="shared" ref="E7:E33" si="0">C7*D7</f>
        <v>0</v>
      </c>
      <c r="F7" s="9" t="s">
        <v>122</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123</v>
      </c>
      <c r="C9" s="9"/>
      <c r="D9" s="9"/>
      <c r="E9" s="9">
        <f t="shared" si="0"/>
        <v>0</v>
      </c>
      <c r="F9" s="9" t="s">
        <v>121</v>
      </c>
      <c r="G9" s="9"/>
      <c r="H9" s="9"/>
      <c r="I9" s="9">
        <f t="shared" si="1"/>
        <v>0</v>
      </c>
      <c r="J9" s="9"/>
      <c r="K9" s="9"/>
      <c r="L9" s="9">
        <f t="shared" si="2"/>
        <v>0</v>
      </c>
    </row>
    <row r="10" spans="1:12" x14ac:dyDescent="0.25">
      <c r="B10" s="9"/>
      <c r="C10" s="9"/>
      <c r="D10" s="9"/>
      <c r="E10" s="9">
        <f t="shared" si="0"/>
        <v>0</v>
      </c>
      <c r="F10" s="9" t="s">
        <v>122</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124</v>
      </c>
      <c r="C13" s="9"/>
      <c r="D13" s="9"/>
      <c r="E13" s="9">
        <f t="shared" si="0"/>
        <v>0</v>
      </c>
      <c r="F13" s="9" t="s">
        <v>121</v>
      </c>
      <c r="G13" s="9"/>
      <c r="H13" s="9"/>
      <c r="I13" s="9">
        <f t="shared" si="1"/>
        <v>0</v>
      </c>
      <c r="J13" s="9"/>
      <c r="K13" s="9"/>
      <c r="L13" s="9">
        <f t="shared" si="2"/>
        <v>0</v>
      </c>
    </row>
    <row r="14" spans="1:12" x14ac:dyDescent="0.25">
      <c r="B14" s="9"/>
      <c r="C14" s="9"/>
      <c r="D14" s="9"/>
      <c r="E14" s="9">
        <f t="shared" si="0"/>
        <v>0</v>
      </c>
      <c r="F14" s="9" t="s">
        <v>122</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125</v>
      </c>
      <c r="C17" s="9"/>
      <c r="D17" s="9"/>
      <c r="E17" s="9">
        <f t="shared" si="0"/>
        <v>0</v>
      </c>
      <c r="F17" s="9" t="s">
        <v>121</v>
      </c>
      <c r="G17" s="9"/>
      <c r="H17" s="9"/>
      <c r="I17" s="9">
        <f t="shared" si="1"/>
        <v>0</v>
      </c>
      <c r="J17" s="9"/>
      <c r="K17" s="9"/>
      <c r="L17" s="9">
        <f t="shared" si="2"/>
        <v>0</v>
      </c>
    </row>
    <row r="18" spans="2:12" x14ac:dyDescent="0.25">
      <c r="B18" s="9"/>
      <c r="C18" s="9"/>
      <c r="D18" s="9"/>
      <c r="E18" s="9">
        <f t="shared" si="0"/>
        <v>0</v>
      </c>
      <c r="F18" s="9" t="s">
        <v>122</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125</v>
      </c>
      <c r="C20" s="9"/>
      <c r="D20" s="9"/>
      <c r="E20" s="9">
        <f t="shared" si="0"/>
        <v>0</v>
      </c>
      <c r="F20" s="9" t="s">
        <v>121</v>
      </c>
      <c r="G20" s="9"/>
      <c r="H20" s="9"/>
      <c r="I20" s="9">
        <f t="shared" si="1"/>
        <v>0</v>
      </c>
      <c r="J20" s="9"/>
      <c r="K20" s="9"/>
      <c r="L20" s="9">
        <f t="shared" si="2"/>
        <v>0</v>
      </c>
    </row>
    <row r="21" spans="2:12" x14ac:dyDescent="0.25">
      <c r="B21" s="9"/>
      <c r="C21" s="9"/>
      <c r="D21" s="9"/>
      <c r="E21" s="9">
        <f t="shared" si="0"/>
        <v>0</v>
      </c>
      <c r="F21" s="9" t="s">
        <v>122</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126</v>
      </c>
      <c r="C23" s="9"/>
      <c r="D23" s="9"/>
      <c r="E23" s="9">
        <f t="shared" si="0"/>
        <v>0</v>
      </c>
      <c r="F23" s="9" t="s">
        <v>127</v>
      </c>
      <c r="G23" s="9"/>
      <c r="H23" s="9"/>
      <c r="I23" s="9">
        <f t="shared" si="1"/>
        <v>0</v>
      </c>
      <c r="J23" s="9"/>
      <c r="K23" s="9"/>
      <c r="L23" s="9">
        <f t="shared" si="2"/>
        <v>0</v>
      </c>
    </row>
    <row r="24" spans="2:12" x14ac:dyDescent="0.25">
      <c r="B24" s="9" t="s">
        <v>128</v>
      </c>
      <c r="C24" s="9"/>
      <c r="D24" s="9"/>
      <c r="E24" s="9">
        <f t="shared" si="0"/>
        <v>0</v>
      </c>
      <c r="F24" s="9" t="s">
        <v>127</v>
      </c>
      <c r="G24" s="9"/>
      <c r="H24" s="9"/>
      <c r="I24" s="9">
        <f t="shared" si="1"/>
        <v>0</v>
      </c>
      <c r="J24" s="9"/>
      <c r="K24" s="9"/>
      <c r="L24" s="9">
        <f t="shared" si="2"/>
        <v>0</v>
      </c>
    </row>
    <row r="25" spans="2:12" x14ac:dyDescent="0.25">
      <c r="B25" s="9" t="s">
        <v>129</v>
      </c>
      <c r="C25" s="9"/>
      <c r="D25" s="9"/>
      <c r="E25" s="9">
        <f t="shared" si="0"/>
        <v>0</v>
      </c>
      <c r="F25" s="9" t="s">
        <v>127</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130</v>
      </c>
      <c r="C27" s="9"/>
      <c r="D27" s="9"/>
      <c r="E27" s="9">
        <f t="shared" si="0"/>
        <v>0</v>
      </c>
      <c r="F27" s="9"/>
      <c r="G27" s="9"/>
      <c r="H27" s="9"/>
      <c r="I27" s="9">
        <f t="shared" si="1"/>
        <v>0</v>
      </c>
      <c r="J27" s="9"/>
      <c r="K27" s="9"/>
      <c r="L27" s="9">
        <f t="shared" si="2"/>
        <v>0</v>
      </c>
    </row>
    <row r="28" spans="2:12" x14ac:dyDescent="0.25">
      <c r="B28" s="9" t="s">
        <v>131</v>
      </c>
      <c r="C28" s="9"/>
      <c r="D28" s="9"/>
      <c r="E28" s="9">
        <f t="shared" si="0"/>
        <v>0</v>
      </c>
      <c r="F28" s="9"/>
      <c r="G28" s="9"/>
      <c r="H28" s="9"/>
      <c r="I28" s="9">
        <f t="shared" si="1"/>
        <v>0</v>
      </c>
      <c r="J28" s="9"/>
      <c r="K28" s="9"/>
      <c r="L28" s="9">
        <f t="shared" si="2"/>
        <v>0</v>
      </c>
    </row>
    <row r="29" spans="2:12" x14ac:dyDescent="0.25">
      <c r="B29" s="9" t="s">
        <v>132</v>
      </c>
      <c r="C29" s="9"/>
      <c r="D29" s="9"/>
      <c r="E29" s="9">
        <f t="shared" si="0"/>
        <v>0</v>
      </c>
      <c r="F29" s="9"/>
      <c r="G29" s="9"/>
      <c r="H29" s="9"/>
      <c r="I29" s="9">
        <f t="shared" si="1"/>
        <v>0</v>
      </c>
      <c r="J29" s="9"/>
      <c r="K29" s="9"/>
      <c r="L29" s="9">
        <f t="shared" si="2"/>
        <v>0</v>
      </c>
    </row>
    <row r="30" spans="2:12" x14ac:dyDescent="0.25">
      <c r="B30" s="9" t="s">
        <v>133</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81</v>
      </c>
      <c r="C34" s="9"/>
      <c r="D34" s="9">
        <f>E34*10.764</f>
        <v>0</v>
      </c>
      <c r="E34" s="9">
        <f>SUM(E6:E33)</f>
        <v>0</v>
      </c>
      <c r="F34" s="9"/>
      <c r="G34" s="9"/>
      <c r="H34" s="9">
        <f>I34*10.764</f>
        <v>0</v>
      </c>
      <c r="I34" s="9">
        <f>SUM(I6:I33)</f>
        <v>0</v>
      </c>
      <c r="J34" s="9"/>
      <c r="K34" s="9">
        <f>L34*10.764</f>
        <v>0</v>
      </c>
      <c r="L34" s="9">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B &amp; C Wing -C%</vt:lpstr>
      <vt:lpstr>A &amp; D Wing - C% (2)</vt:lpstr>
      <vt:lpstr>Note</vt:lpstr>
      <vt:lpstr>valuation</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2025-07-15T12:28:09Z</cp:lastPrinted>
  <dcterms:created xsi:type="dcterms:W3CDTF">2019-07-16T09:29:46Z</dcterms:created>
  <dcterms:modified xsi:type="dcterms:W3CDTF">2025-07-15T12:28:43Z</dcterms:modified>
</cp:coreProperties>
</file>