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E:\Shruti\July 25\Dump\New folder\"/>
    </mc:Choice>
  </mc:AlternateContent>
  <bookViews>
    <workbookView xWindow="0" yWindow="0" windowWidth="20490" windowHeight="7755" tabRatio="725"/>
  </bookViews>
  <sheets>
    <sheet name="Report" sheetId="1" r:id="rId1"/>
    <sheet name="valuation" sheetId="5" r:id="rId2"/>
    <sheet name="Research" sheetId="4" r:id="rId3"/>
  </sheets>
  <definedNames>
    <definedName name="_xlnm.Print_Area" localSheetId="0">Report!$A$1:$H$299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49" i="1" l="1"/>
  <c r="D146" i="1" l="1"/>
  <c r="D145" i="1"/>
  <c r="D144" i="1"/>
  <c r="D143" i="1"/>
  <c r="D142" i="1"/>
  <c r="D141" i="1"/>
  <c r="D140" i="1"/>
  <c r="D139" i="1"/>
  <c r="D137" i="1"/>
  <c r="D136" i="1"/>
  <c r="D135" i="1"/>
  <c r="D134" i="1"/>
  <c r="D133" i="1"/>
  <c r="D132" i="1"/>
  <c r="D131" i="1"/>
  <c r="D130" i="1"/>
  <c r="L131" i="1" l="1"/>
  <c r="L135" i="1"/>
  <c r="I131" i="1"/>
  <c r="I137" i="1"/>
  <c r="I136" i="1"/>
  <c r="I135" i="1"/>
  <c r="K131" i="1"/>
  <c r="L130" i="1"/>
  <c r="K130" i="1"/>
  <c r="J134" i="1" l="1"/>
  <c r="I134" i="1"/>
  <c r="J132" i="1"/>
  <c r="E137" i="1"/>
  <c r="E136" i="1"/>
  <c r="E135" i="1"/>
  <c r="E134" i="1"/>
  <c r="E133" i="1"/>
  <c r="E132" i="1"/>
  <c r="E131" i="1"/>
  <c r="E130" i="1"/>
  <c r="E146" i="1"/>
  <c r="E145" i="1"/>
  <c r="E144" i="1"/>
  <c r="E143" i="1"/>
  <c r="E142" i="1"/>
  <c r="E141" i="1"/>
  <c r="E140" i="1"/>
  <c r="E139" i="1"/>
  <c r="G135" i="1"/>
  <c r="G134" i="1"/>
  <c r="G133" i="1"/>
  <c r="G132" i="1"/>
  <c r="F134" i="1" l="1"/>
  <c r="H134" i="1" s="1"/>
  <c r="J131" i="1"/>
  <c r="I130" i="1"/>
  <c r="J136" i="1"/>
  <c r="K135" i="1"/>
  <c r="J130" i="1"/>
  <c r="K132" i="1"/>
  <c r="K133" i="1"/>
  <c r="A145" i="1"/>
  <c r="A146" i="1" s="1"/>
  <c r="A140" i="1"/>
  <c r="A141" i="1" s="1"/>
  <c r="A142" i="1" s="1"/>
  <c r="A143" i="1" s="1"/>
  <c r="F146" i="1"/>
  <c r="H146" i="1" s="1"/>
  <c r="K146" i="1" s="1"/>
  <c r="F140" i="1"/>
  <c r="H140" i="1" s="1"/>
  <c r="D123" i="1"/>
  <c r="H123" i="1" s="1"/>
  <c r="D122" i="1"/>
  <c r="F122" i="1" s="1"/>
  <c r="D121" i="1"/>
  <c r="F121" i="1" s="1"/>
  <c r="D120" i="1"/>
  <c r="H120" i="1" s="1"/>
  <c r="D119" i="1"/>
  <c r="H119" i="1" s="1"/>
  <c r="D118" i="1"/>
  <c r="F118" i="1" s="1"/>
  <c r="D117" i="1"/>
  <c r="H117" i="1" s="1"/>
  <c r="D116" i="1"/>
  <c r="H116" i="1" s="1"/>
  <c r="D115" i="1"/>
  <c r="H115" i="1" s="1"/>
  <c r="D114" i="1"/>
  <c r="F114" i="1" s="1"/>
  <c r="D113" i="1"/>
  <c r="F113" i="1" s="1"/>
  <c r="D112" i="1"/>
  <c r="H112" i="1" s="1"/>
  <c r="D111" i="1"/>
  <c r="D110" i="1"/>
  <c r="A114" i="1"/>
  <c r="A115" i="1" s="1"/>
  <c r="A117" i="1"/>
  <c r="A118" i="1" s="1"/>
  <c r="A119" i="1" s="1"/>
  <c r="A122" i="1"/>
  <c r="A123" i="1" s="1"/>
  <c r="H122" i="1"/>
  <c r="F117" i="1"/>
  <c r="I108" i="1"/>
  <c r="G51" i="1"/>
  <c r="G52" i="1" s="1"/>
  <c r="E43" i="1"/>
  <c r="H121" i="1" l="1"/>
  <c r="H118" i="1"/>
  <c r="H113" i="1"/>
  <c r="H114" i="1"/>
  <c r="I140" i="1"/>
  <c r="K140" i="1"/>
  <c r="J146" i="1"/>
  <c r="J140" i="1"/>
  <c r="F115" i="1"/>
  <c r="F119" i="1"/>
  <c r="F123" i="1"/>
  <c r="F112" i="1"/>
  <c r="F116" i="1"/>
  <c r="F120" i="1"/>
  <c r="S33" i="1" l="1"/>
  <c r="F11" i="5" l="1"/>
  <c r="G11" i="5" s="1"/>
  <c r="F10" i="5"/>
  <c r="G10" i="5" s="1"/>
  <c r="F9" i="5"/>
  <c r="G9" i="5" s="1"/>
  <c r="F8" i="5"/>
  <c r="G8" i="5" s="1"/>
  <c r="F7" i="5"/>
  <c r="G7" i="5" s="1"/>
  <c r="F6" i="5"/>
  <c r="G6" i="5" s="1"/>
  <c r="F5" i="5"/>
  <c r="G5" i="5" s="1"/>
  <c r="G12" i="5" s="1"/>
  <c r="D171" i="1"/>
  <c r="B150" i="1"/>
  <c r="F145" i="1"/>
  <c r="H145" i="1" s="1"/>
  <c r="K145" i="1" s="1"/>
  <c r="F144" i="1"/>
  <c r="H144" i="1" s="1"/>
  <c r="K144" i="1" s="1"/>
  <c r="F143" i="1"/>
  <c r="H143" i="1" s="1"/>
  <c r="K143" i="1" s="1"/>
  <c r="F142" i="1"/>
  <c r="H142" i="1" s="1"/>
  <c r="K142" i="1" s="1"/>
  <c r="F141" i="1"/>
  <c r="H141" i="1" s="1"/>
  <c r="F139" i="1"/>
  <c r="H139" i="1" s="1"/>
  <c r="F137" i="1"/>
  <c r="H137" i="1" s="1"/>
  <c r="F136" i="1"/>
  <c r="H136" i="1" s="1"/>
  <c r="F135" i="1"/>
  <c r="H135" i="1" s="1"/>
  <c r="A136" i="1"/>
  <c r="A137" i="1" s="1"/>
  <c r="F133" i="1"/>
  <c r="H133" i="1" s="1"/>
  <c r="F132" i="1"/>
  <c r="H132" i="1" s="1"/>
  <c r="F131" i="1"/>
  <c r="H131" i="1" s="1"/>
  <c r="K97" i="1" s="1"/>
  <c r="A131" i="1"/>
  <c r="A132" i="1" s="1"/>
  <c r="A133" i="1" s="1"/>
  <c r="A134" i="1" s="1"/>
  <c r="F130" i="1"/>
  <c r="H130" i="1" s="1"/>
  <c r="H111" i="1"/>
  <c r="F111" i="1"/>
  <c r="H110" i="1"/>
  <c r="F110" i="1"/>
  <c r="A111" i="1"/>
  <c r="F93" i="1"/>
  <c r="C67" i="1"/>
  <c r="D61" i="1"/>
  <c r="C51" i="1"/>
  <c r="C52" i="1" s="1"/>
  <c r="E44" i="1"/>
  <c r="E45" i="1" s="1"/>
  <c r="E31" i="1"/>
  <c r="E28" i="1"/>
  <c r="E26" i="1"/>
  <c r="C16" i="1"/>
  <c r="I15" i="1"/>
  <c r="Z13" i="1"/>
  <c r="E3" i="1"/>
  <c r="H68" i="1"/>
  <c r="G96" i="1" l="1"/>
  <c r="G97" i="1" s="1"/>
  <c r="L138" i="1"/>
  <c r="K96" i="1"/>
  <c r="K98" i="1" s="1"/>
  <c r="K139" i="1"/>
  <c r="I139" i="1"/>
  <c r="K141" i="1"/>
  <c r="I141" i="1"/>
  <c r="J139" i="1"/>
  <c r="J142" i="1"/>
  <c r="J144" i="1"/>
  <c r="J141" i="1"/>
  <c r="J143" i="1"/>
  <c r="J145" i="1"/>
  <c r="E96" i="1"/>
  <c r="E97" i="1" s="1"/>
  <c r="C96" i="1"/>
  <c r="C97" i="1" s="1"/>
  <c r="G100" i="1"/>
  <c r="G101" i="1" s="1"/>
  <c r="C100" i="1"/>
  <c r="C101" i="1" s="1"/>
  <c r="E100" i="1"/>
  <c r="E101" i="1" s="1"/>
  <c r="J67" i="1"/>
  <c r="J69" i="1" s="1"/>
  <c r="J70" i="1"/>
  <c r="J71" i="1"/>
  <c r="J72" i="1"/>
  <c r="C71" i="1" s="1"/>
  <c r="D75" i="1"/>
  <c r="D77" i="1"/>
  <c r="D76" i="1"/>
  <c r="D80" i="1"/>
  <c r="I67" i="1" s="1"/>
  <c r="D74" i="1"/>
  <c r="D79" i="1"/>
  <c r="D73" i="1"/>
  <c r="D78" i="1"/>
  <c r="B68" i="1"/>
  <c r="J73" i="1" s="1"/>
  <c r="G102" i="1" l="1"/>
  <c r="C102" i="1"/>
  <c r="E102" i="1"/>
  <c r="D71" i="1"/>
  <c r="J77" i="1"/>
  <c r="J75" i="1"/>
  <c r="J76" i="1"/>
  <c r="J74" i="1"/>
  <c r="J79" i="1" s="1"/>
  <c r="J80" i="1" s="1"/>
  <c r="C72" i="1" s="1"/>
  <c r="J78" i="1"/>
  <c r="J68" i="1" l="1"/>
  <c r="E71" i="1"/>
  <c r="D72" i="1"/>
  <c r="I68" i="1" s="1"/>
  <c r="G71" i="1"/>
  <c r="D65" i="1" s="1"/>
  <c r="F66" i="1" l="1"/>
  <c r="D66" i="1"/>
  <c r="I69" i="1"/>
  <c r="C69" i="1" s="1"/>
</calcChain>
</file>

<file path=xl/comments1.xml><?xml version="1.0" encoding="utf-8"?>
<comments xmlns="http://schemas.openxmlformats.org/spreadsheetml/2006/main">
  <authors>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D56"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List>
</comments>
</file>

<file path=xl/sharedStrings.xml><?xml version="1.0" encoding="utf-8"?>
<sst xmlns="http://schemas.openxmlformats.org/spreadsheetml/2006/main" count="534" uniqueCount="340">
  <si>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</si>
  <si>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</si>
  <si>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</si>
  <si>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</si>
  <si>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</si>
  <si>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</si>
  <si>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</si>
  <si>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</si>
  <si>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</si>
  <si>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</si>
  <si>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</si>
  <si>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</si>
  <si>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</si>
  <si>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</si>
  <si>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</si>
  <si>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</si>
  <si>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</si>
  <si>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</si>
  <si>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</si>
  <si>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</si>
  <si>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</si>
  <si>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</si>
  <si>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</si>
  <si>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</si>
  <si>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</si>
  <si>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</si>
  <si>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</si>
  <si>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</si>
  <si>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</si>
  <si>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</si>
  <si>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</si>
  <si>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</si>
  <si>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</si>
  <si>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</si>
  <si>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</si>
  <si>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</si>
  <si>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</si>
  <si>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</si>
  <si>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</si>
  <si>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</si>
  <si>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</si>
  <si>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</si>
  <si>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</si>
  <si>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</si>
  <si>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</si>
  <si>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</si>
  <si>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</si>
  <si>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</si>
  <si>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</si>
  <si>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</si>
  <si>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</si>
  <si>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</si>
  <si>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</si>
  <si>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</si>
  <si>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</si>
  <si>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</si>
  <si>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</si>
  <si>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</si>
  <si>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</si>
  <si>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</si>
  <si>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</si>
  <si>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</si>
  <si>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</si>
  <si>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</si>
  <si>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</si>
  <si>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</si>
  <si>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</si>
  <si>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</si>
  <si>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</si>
  <si>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</si>
  <si>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</si>
  <si>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</si>
  <si>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</si>
  <si>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</si>
  <si>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</si>
  <si>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</si>
  <si>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</si>
  <si>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</si>
  <si>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</si>
  <si>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</si>
  <si>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</si>
  <si>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</si>
  <si>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</si>
  <si>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</si>
  <si>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</si>
  <si>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</si>
  <si>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</si>
  <si>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</si>
  <si>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</si>
  <si>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</si>
  <si>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</si>
  <si>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</si>
  <si>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</si>
  <si>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</si>
  <si>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</si>
  <si>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</si>
  <si>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</si>
  <si>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</si>
  <si>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</si>
  <si>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</si>
  <si>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</si>
  <si>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</si>
  <si>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</si>
  <si>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</si>
  <si>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</si>
  <si>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</si>
  <si>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</si>
  <si>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</si>
  <si>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</si>
  <si>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</si>
  <si>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</si>
  <si>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</si>
  <si>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</si>
  <si>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</si>
  <si>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</si>
  <si>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</si>
  <si>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</si>
  <si>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</si>
  <si>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</si>
  <si>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</si>
  <si>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</si>
  <si>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</si>
  <si>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</si>
  <si>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</si>
  <si>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</si>
  <si>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</si>
  <si>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</si>
  <si>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</si>
  <si>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</si>
  <si>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</si>
  <si>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</si>
  <si>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</si>
  <si>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</si>
  <si>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</si>
  <si>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</si>
  <si>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</si>
  <si>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</si>
  <si>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</si>
  <si>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</si>
  <si>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</si>
  <si>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</si>
  <si>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</si>
  <si>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</si>
  <si>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</si>
  <si>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</si>
  <si>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</si>
  <si>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</si>
  <si>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</si>
  <si>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</si>
  <si>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</si>
  <si>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</si>
  <si>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</si>
  <si>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</si>
  <si>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</si>
  <si>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</si>
  <si>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</si>
  <si>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</si>
  <si>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</si>
  <si>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</si>
  <si>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</si>
  <si>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</si>
  <si>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</si>
  <si>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</si>
  <si>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</si>
  <si>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</si>
  <si>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</si>
  <si>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</si>
  <si>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</si>
  <si>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</si>
  <si>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</si>
  <si>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</si>
  <si>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</si>
  <si>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</si>
  <si>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</si>
  <si>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</si>
  <si>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</si>
  <si>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</si>
  <si>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</si>
  <si>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</si>
  <si>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</si>
  <si>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</si>
  <si>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</si>
  <si>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</si>
  <si>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</si>
  <si>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</si>
  <si>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</si>
  <si>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</si>
  <si>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</si>
  <si>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</si>
  <si>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</si>
  <si>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</si>
  <si>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</si>
  <si>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</si>
  <si>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</si>
  <si>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</si>
  <si>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</si>
  <si>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</si>
  <si>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</si>
  <si>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</si>
  <si>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</si>
  <si>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</si>
  <si>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</si>
  <si>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</si>
  <si>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</si>
  <si>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</si>
  <si>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</si>
  <si>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</si>
  <si>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</si>
  <si>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</si>
  <si>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</si>
  <si>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</si>
  <si>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</si>
  <si>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</si>
  <si>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</si>
  <si>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</si>
  <si>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</si>
  <si>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</si>
  <si>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</si>
  <si>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</si>
  <si>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</si>
  <si>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</si>
  <si>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</si>
  <si>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</si>
  <si>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</si>
  <si>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</si>
  <si>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</si>
  <si>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</si>
  <si>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</si>
  <si>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</si>
  <si>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</si>
  <si>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</si>
  <si>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</si>
  <si>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</si>
  <si>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</si>
  <si>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</si>
  <si>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</si>
  <si>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</si>
  <si>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</si>
  <si>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</si>
  <si>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</si>
  <si>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</si>
  <si>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</si>
  <si>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</si>
  <si>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</si>
  <si>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</si>
  <si>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</si>
  <si>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</si>
  <si>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</si>
  <si>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</si>
  <si>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</si>
  <si>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</si>
  <si>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</si>
  <si>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</si>
  <si>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</si>
  <si>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</si>
  <si>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</si>
  <si>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</si>
  <si>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</si>
  <si>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</si>
  <si>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</si>
  <si>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</si>
  <si>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</si>
  <si>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</si>
  <si>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</si>
  <si>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</si>
  <si>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</si>
  <si>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</si>
  <si>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</si>
  <si>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</si>
  <si>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</si>
  <si>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</si>
  <si>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</si>
  <si>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</si>
  <si>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</si>
  <si>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</si>
  <si>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</si>
  <si>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</si>
  <si>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</si>
  <si>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Thane Municipal Corporation (TMC)</t>
  </si>
  <si>
    <t xml:space="preserve">Mira-Bhayandar Municipal Corporation
</t>
  </si>
  <si>
    <t>Studio High 5 Phase 3 Wing F</t>
  </si>
  <si>
    <t>Survey No</t>
  </si>
  <si>
    <t>106, P. No. 1 To 13, S. No. 105, P. No. 8 To 13, S. No. 93/3, P. No. 3, New S. No. 96, P. No. 1 To 3</t>
  </si>
  <si>
    <t>Wing F (Vista)</t>
  </si>
  <si>
    <t>19.031381,73.325590</t>
  </si>
  <si>
    <t>https://maps.app.goo.gl/bGhM6iCpEiUEU4qk6</t>
  </si>
  <si>
    <t>Ramkrishna Nagar</t>
  </si>
  <si>
    <t>Dhamote</t>
  </si>
  <si>
    <t>Karjat-Murbad Road</t>
  </si>
  <si>
    <t>Studio High 5 Phase 2 &amp; Pankaj Residency</t>
  </si>
  <si>
    <t>1.2 KM from Neral Railway Station</t>
  </si>
  <si>
    <t>Name of the builder</t>
  </si>
  <si>
    <t>Mr. Ramshiromani Lurkhur Yadav</t>
  </si>
  <si>
    <t>Manoj Orchid</t>
  </si>
  <si>
    <t>Glorious shivam one</t>
  </si>
  <si>
    <t>Other Plot</t>
  </si>
  <si>
    <t>Other Plot, Open Space</t>
  </si>
  <si>
    <t xml:space="preserve">Karjat-Murbad Road/Studio High 5 Phase III Wing E (Luxe)
</t>
  </si>
  <si>
    <t>Kalamb-Neral Existing Road/Studio High 5 Phase III Wing E (Luxe)</t>
  </si>
  <si>
    <t>01 Wing</t>
  </si>
  <si>
    <t xml:space="preserve">Raigad Zilha Parishad, Alibag </t>
  </si>
  <si>
    <t>Vasai-Virar City Municipal Corporation  (VVCMC)</t>
  </si>
  <si>
    <t>RZP/BD/NSVP/561/2022</t>
  </si>
  <si>
    <t>Wing F (Vista) = Gr + 1st to 7th Floor</t>
  </si>
  <si>
    <t>https://housing.com/in/buy/projects/page/301095-sonu-studio-high-5-phase-3-wing-f-by-sonu-builders-developers-in-neral</t>
  </si>
  <si>
    <r>
      <t xml:space="preserve">Proposed Amenities :                                                                                                                                                                                                                         </t>
    </r>
    <r>
      <rPr>
        <b/>
        <sz val="12"/>
        <rFont val="Times New Roman"/>
        <family val="1"/>
      </rPr>
      <t xml:space="preserve">                                               </t>
    </r>
  </si>
  <si>
    <t xml:space="preserve">Recreation Facilities, Entrance Lobby, Table Tennis, Children's Play Area, Yoga/Meditation Area, Indoor Games, Fire Fighting System, Power Backup, Football, Carrom, Senior Citizen Siteout, Chess Board, Club House, CCTV, Lift(s), Business Center, Internal Roads, Sewage Treatment Plant, 24X7 Water Supply, Landscaping &amp; Tree Planting, Electrification(Transformer, Solar Energy etc), Water Conservation, Rain water Harvesting, Open Parking, Storm Water Drains, Closed Car Parking
</t>
  </si>
  <si>
    <t>Phase 3</t>
  </si>
  <si>
    <t>Ground Floor for Commercial, Society Office, Drivers Room, Meter Room &amp; Parking</t>
  </si>
  <si>
    <t>Shop</t>
  </si>
  <si>
    <t>1st Floor For Residential</t>
  </si>
  <si>
    <t>2nd to 7th Floor</t>
  </si>
  <si>
    <t>1BHK</t>
  </si>
  <si>
    <t>2BHK</t>
  </si>
  <si>
    <t>Balcony Area</t>
  </si>
  <si>
    <t>Flats - 56, Shops - 14</t>
  </si>
  <si>
    <t>We considered Gross carpet area = Net carpet + Balcony Area</t>
  </si>
  <si>
    <t>M/s. Sonu Builders &amp; Developers</t>
  </si>
  <si>
    <t>9 M Wide Road</t>
  </si>
  <si>
    <t>Internal Road/Pankaj Residency</t>
  </si>
  <si>
    <t>Approved Builtup Aarea of Wing F  (Vista) (Sq.Mt)</t>
  </si>
  <si>
    <t>Approved Plans, CC, Cost Sheet,  Builder Saleable Area</t>
  </si>
  <si>
    <t xml:space="preserve">Neral </t>
  </si>
  <si>
    <t>Carpet Area</t>
  </si>
  <si>
    <t>Wing E</t>
  </si>
  <si>
    <t>Plus Other Charges</t>
  </si>
  <si>
    <t>F Wing (Yes)</t>
  </si>
  <si>
    <t>3650 (60% &amp; 45%)</t>
  </si>
  <si>
    <t>4000 &amp; 6500 (60% &amp; 45%)</t>
  </si>
  <si>
    <t>Cost Sheet</t>
  </si>
  <si>
    <t>Housing</t>
  </si>
  <si>
    <t xml:space="preserve">https://housing.com/in/buy/projects/page/301095-sonu-studio-high-5-phase-3-wing-f-by-sonu-builders-developers-in-neral </t>
  </si>
  <si>
    <t xml:space="preserve">https://www.proptiger.com/mumbai/neral/sonu-studio-high-5-phase-3-wing-f-3309209 </t>
  </si>
  <si>
    <t>Mr. Gaikar 7744910555</t>
  </si>
  <si>
    <t>Mr. Sujit Shirkar 7744920555</t>
  </si>
  <si>
    <t>Naynesh Lovanshi</t>
  </si>
  <si>
    <t>P52000051238</t>
  </si>
  <si>
    <t>Shruti Tathare</t>
  </si>
  <si>
    <t>Completed</t>
  </si>
  <si>
    <t>All work Completed. Please provide OC.</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</si>
</sst>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0"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
      <sz val="9"/>
      <color indexed="81"/>
      <name val="Tahoma"/>
      <family val="2"/>
    </font>
    <font>
      <b/>
      <sz val="9"/>
      <color indexed="81"/>
      <name val="Tahoma"/>
      <family val="2"/>
    </font>
    <font>
      <sz val="10"/>
      <color theme="1"/>
      <name val="Calibri"/>
      <family val="2"/>
      <scheme val="minor"/>
    </font>
  </fonts>
  <fills count="3">
    <fill>
      <patternFill patternType="none"/>
    </fill>
    <fill>
      <patternFill patternType="gray125"/>
    </fill>
    <fill>
      <patternFill patternType="solid">
        <fgColor rgb="FFFFFF00"/>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5" fontId="6"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6" fillId="0" borderId="0" applyNumberFormat="0" applyFill="0" applyBorder="0" applyAlignment="0" applyProtection="0"/>
  </cellStyleXfs>
  <cellXfs count="212">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20"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19" fillId="0" borderId="1" xfId="5" applyNumberFormat="1" applyFont="1" applyBorder="1" applyAlignment="1">
      <alignment horizontal="center" vertical="center"/>
    </xf>
    <xf numFmtId="0" fontId="6" fillId="0" borderId="1" xfId="4" applyBorder="1" applyAlignment="1">
      <alignment horizontal="center" vertical="center"/>
    </xf>
    <xf numFmtId="0" fontId="13" fillId="0" borderId="3"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7" fillId="0" borderId="1" xfId="1" applyFont="1" applyBorder="1" applyAlignment="1" applyProtection="1">
      <alignment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4" fillId="0" borderId="0" xfId="1" applyFont="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8" fillId="0" borderId="0" xfId="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center" wrapText="1"/>
      <protection locked="0"/>
    </xf>
    <xf numFmtId="0" fontId="25" fillId="2" borderId="29" xfId="0" applyFont="1" applyFill="1" applyBorder="1"/>
    <xf numFmtId="0" fontId="13" fillId="0" borderId="1" xfId="1" applyFont="1" applyBorder="1" applyAlignment="1" applyProtection="1">
      <alignment horizontal="center" vertical="top"/>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vertical="center"/>
    </xf>
    <xf numFmtId="0" fontId="0" fillId="0" borderId="1" xfId="0"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9" fillId="0" borderId="2" xfId="1" applyNumberFormat="1"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0" fillId="0" borderId="0" xfId="0" applyAlignment="1">
      <alignment horizontal="center"/>
    </xf>
    <xf numFmtId="1" fontId="7" fillId="0" borderId="1"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0" fontId="29" fillId="0" borderId="0" xfId="1" applyFont="1" applyAlignment="1"/>
    <xf numFmtId="0" fontId="1" fillId="0" borderId="0" xfId="1" applyFont="1"/>
    <xf numFmtId="0" fontId="25" fillId="0" borderId="30" xfId="0" applyFont="1" applyBorder="1"/>
    <xf numFmtId="0" fontId="25" fillId="0" borderId="1" xfId="0" applyFont="1" applyBorder="1"/>
    <xf numFmtId="0" fontId="25" fillId="0" borderId="4" xfId="0" applyFont="1" applyBorder="1"/>
    <xf numFmtId="0" fontId="15" fillId="0" borderId="0" xfId="0" applyFont="1" applyProtection="1">
      <protection hidden="1"/>
    </xf>
    <xf numFmtId="0" fontId="13" fillId="0" borderId="9" xfId="1" applyFont="1" applyBorder="1"/>
    <xf numFmtId="9" fontId="13" fillId="0" borderId="1" xfId="8" applyFont="1" applyFill="1" applyBorder="1" applyAlignment="1" applyProtection="1">
      <alignment horizontal="center" vertical="top" wrapText="1"/>
      <protection locked="0"/>
    </xf>
    <xf numFmtId="0" fontId="15" fillId="0" borderId="9" xfId="0" applyFont="1" applyBorder="1" applyProtection="1">
      <protection hidden="1"/>
    </xf>
    <xf numFmtId="1" fontId="25" fillId="0" borderId="9" xfId="0" applyNumberFormat="1" applyFont="1" applyBorder="1"/>
    <xf numFmtId="1" fontId="25" fillId="0" borderId="9" xfId="0" applyNumberFormat="1" applyFont="1" applyBorder="1" applyAlignment="1">
      <alignment horizontal="right"/>
    </xf>
    <xf numFmtId="9" fontId="13" fillId="0" borderId="6" xfId="8" applyFont="1" applyFill="1" applyBorder="1" applyAlignment="1" applyProtection="1">
      <alignment horizontal="center" vertical="top" wrapText="1"/>
      <protection locked="0"/>
    </xf>
    <xf numFmtId="0" fontId="15" fillId="0" borderId="10" xfId="0" applyFont="1" applyBorder="1" applyProtection="1">
      <protection hidden="1"/>
    </xf>
    <xf numFmtId="1" fontId="25" fillId="0" borderId="11" xfId="0" applyNumberFormat="1" applyFont="1" applyBorder="1"/>
    <xf numFmtId="0" fontId="26" fillId="0" borderId="0" xfId="10"/>
    <xf numFmtId="2" fontId="8" fillId="0" borderId="0" xfId="1" applyNumberFormat="1" applyFont="1" applyAlignment="1">
      <alignment horizontal="center" vertical="center"/>
    </xf>
    <xf numFmtId="1" fontId="8" fillId="0" borderId="1" xfId="0" applyNumberFormat="1" applyFont="1" applyFill="1" applyBorder="1" applyAlignment="1">
      <alignment horizontal="center" vertical="center"/>
    </xf>
    <xf numFmtId="1" fontId="7" fillId="0" borderId="1" xfId="0" applyNumberFormat="1" applyFont="1" applyFill="1" applyBorder="1" applyAlignment="1">
      <alignment horizontal="center" vertical="center" wrapText="1"/>
    </xf>
    <xf numFmtId="1" fontId="8" fillId="0" borderId="1" xfId="1" applyNumberFormat="1" applyFont="1" applyBorder="1" applyAlignment="1">
      <alignment horizontal="center" vertical="center"/>
    </xf>
    <xf numFmtId="9" fontId="11" fillId="0" borderId="15" xfId="8" applyFont="1" applyFill="1" applyBorder="1" applyAlignment="1" applyProtection="1">
      <alignment horizontal="center" vertical="top" wrapText="1"/>
      <protection locked="0"/>
    </xf>
    <xf numFmtId="0" fontId="8" fillId="0" borderId="0" xfId="0" applyFont="1" applyFill="1"/>
    <xf numFmtId="0" fontId="13" fillId="0" borderId="1" xfId="1" applyFont="1" applyBorder="1" applyAlignment="1" applyProtection="1">
      <alignment horizontal="center" vertical="top" wrapText="1"/>
      <protection locked="0"/>
    </xf>
    <xf numFmtId="0" fontId="8" fillId="0" borderId="0" xfId="1" applyFont="1" applyAlignment="1">
      <alignment horizontal="center" vertical="center"/>
    </xf>
    <xf numFmtId="0" fontId="13" fillId="0" borderId="6" xfId="1" applyFont="1" applyBorder="1" applyAlignment="1" applyProtection="1">
      <alignment horizontal="center" vertical="top" wrapText="1"/>
      <protection locked="0"/>
    </xf>
    <xf numFmtId="0" fontId="11" fillId="0" borderId="0" xfId="1" applyFont="1" applyAlignment="1">
      <alignment horizontal="center" vertical="center"/>
    </xf>
    <xf numFmtId="0" fontId="16" fillId="0" borderId="0" xfId="1" applyFont="1" applyAlignment="1">
      <alignment horizontal="center" vertical="center"/>
    </xf>
    <xf numFmtId="1" fontId="16" fillId="0" borderId="0" xfId="1" applyNumberFormat="1" applyFont="1" applyAlignment="1">
      <alignment horizontal="center" vertical="center"/>
    </xf>
    <xf numFmtId="2" fontId="16" fillId="0" borderId="0" xfId="1" applyNumberFormat="1" applyFont="1" applyAlignment="1">
      <alignment horizontal="center" vertical="center"/>
    </xf>
    <xf numFmtId="0" fontId="11" fillId="0" borderId="0" xfId="0" applyFont="1" applyAlignment="1">
      <alignment horizontal="center" vertical="center"/>
    </xf>
    <xf numFmtId="1" fontId="17" fillId="0" borderId="1" xfId="0" applyNumberFormat="1" applyFont="1" applyFill="1" applyBorder="1" applyAlignment="1">
      <alignment horizontal="center" vertical="center"/>
    </xf>
    <xf numFmtId="1" fontId="8" fillId="0" borderId="0" xfId="0" applyNumberFormat="1" applyFont="1" applyAlignment="1">
      <alignment horizontal="center" vertical="center"/>
    </xf>
    <xf numFmtId="1" fontId="11" fillId="0" borderId="0" xfId="0" applyNumberFormat="1" applyFont="1" applyAlignment="1">
      <alignment horizontal="center" vertical="center"/>
    </xf>
    <xf numFmtId="0" fontId="26" fillId="0" borderId="0" xfId="10" applyAlignment="1">
      <alignment horizontal="center" vertical="center"/>
    </xf>
    <xf numFmtId="0" fontId="8" fillId="0" borderId="0" xfId="1" applyFont="1" applyAlignment="1">
      <alignment horizontal="center" vertical="center"/>
    </xf>
    <xf numFmtId="1" fontId="7" fillId="0" borderId="1" xfId="1" applyNumberFormat="1" applyFont="1" applyBorder="1" applyAlignment="1" applyProtection="1">
      <alignment horizontal="center" vertical="center" wrapText="1"/>
      <protection locked="0"/>
    </xf>
    <xf numFmtId="1" fontId="14" fillId="0" borderId="2" xfId="1" applyNumberFormat="1" applyFont="1" applyBorder="1" applyAlignment="1" applyProtection="1">
      <alignment horizontal="center" vertical="top" wrapText="1"/>
      <protection locked="0"/>
    </xf>
    <xf numFmtId="9" fontId="14" fillId="0" borderId="15" xfId="8" applyFont="1" applyFill="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0" fontId="13" fillId="0" borderId="1" xfId="1" applyFont="1" applyBorder="1" applyAlignment="1" applyProtection="1">
      <alignment horizontal="left" vertical="top"/>
      <protection locked="0"/>
    </xf>
    <xf numFmtId="0" fontId="8" fillId="0" borderId="24" xfId="1" applyFont="1" applyBorder="1" applyAlignment="1">
      <alignment horizontal="center"/>
    </xf>
    <xf numFmtId="0" fontId="8" fillId="0" borderId="0" xfId="1" applyFont="1" applyAlignment="1">
      <alignment horizontal="center"/>
    </xf>
    <xf numFmtId="167" fontId="13" fillId="0" borderId="1" xfId="9" applyNumberFormat="1" applyFont="1" applyFill="1" applyBorder="1" applyAlignment="1" applyProtection="1">
      <alignment horizontal="left" vertical="top"/>
      <protection locked="0"/>
    </xf>
    <xf numFmtId="1" fontId="7" fillId="0" borderId="7"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0" fontId="11" fillId="0" borderId="1" xfId="1" applyFont="1" applyBorder="1" applyAlignment="1" applyProtection="1">
      <alignment horizontal="center" vertical="top"/>
      <protection locked="0"/>
    </xf>
    <xf numFmtId="1" fontId="9" fillId="0" borderId="1" xfId="0" applyNumberFormat="1" applyFont="1" applyBorder="1" applyAlignment="1" applyProtection="1">
      <alignment horizontal="center" vertical="top" wrapText="1"/>
      <protection locked="0"/>
    </xf>
    <xf numFmtId="0" fontId="7" fillId="0" borderId="1" xfId="1" applyFont="1" applyBorder="1" applyAlignment="1" applyProtection="1">
      <alignment horizontal="left" vertical="top"/>
      <protection locked="0"/>
    </xf>
    <xf numFmtId="0" fontId="9" fillId="0" borderId="7" xfId="1" applyFont="1" applyBorder="1" applyAlignment="1" applyProtection="1">
      <alignment horizontal="left" vertical="top" wrapText="1"/>
      <protection locked="0"/>
    </xf>
    <xf numFmtId="0" fontId="9" fillId="0" borderId="8" xfId="1" applyFont="1" applyBorder="1" applyAlignment="1" applyProtection="1">
      <alignment horizontal="left" vertical="top" wrapText="1"/>
      <protection locked="0"/>
    </xf>
    <xf numFmtId="0" fontId="9" fillId="0" borderId="20" xfId="1" applyFont="1" applyBorder="1" applyAlignment="1" applyProtection="1">
      <alignment horizontal="left" vertical="top" wrapText="1"/>
      <protection locked="0"/>
    </xf>
    <xf numFmtId="0" fontId="11" fillId="0" borderId="1" xfId="0" applyFont="1" applyBorder="1" applyAlignment="1" applyProtection="1">
      <alignment horizontal="center" vertical="top" wrapText="1"/>
      <protection locked="0"/>
    </xf>
    <xf numFmtId="0" fontId="11" fillId="0" borderId="1" xfId="0" applyFont="1" applyBorder="1" applyAlignment="1" applyProtection="1">
      <alignment horizontal="center" vertical="center"/>
      <protection locked="0"/>
    </xf>
    <xf numFmtId="0" fontId="7" fillId="0" borderId="1" xfId="1" applyFont="1" applyBorder="1" applyAlignment="1" applyProtection="1">
      <alignment horizontal="left" vertical="top" wrapText="1"/>
      <protection locked="0"/>
    </xf>
    <xf numFmtId="0" fontId="7" fillId="0" borderId="2" xfId="1" applyFont="1" applyBorder="1" applyAlignment="1" applyProtection="1">
      <alignment horizontal="left" vertical="top"/>
      <protection locked="0"/>
    </xf>
    <xf numFmtId="164" fontId="7" fillId="0" borderId="1" xfId="1" applyNumberFormat="1" applyFont="1" applyBorder="1" applyAlignment="1" applyProtection="1">
      <alignment horizontal="left" vertical="top"/>
      <protection locked="0"/>
    </xf>
    <xf numFmtId="0" fontId="13" fillId="0" borderId="3"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7" fillId="0" borderId="2"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1" fontId="7" fillId="0" borderId="1" xfId="1"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0" fontId="11" fillId="0" borderId="2" xfId="0" applyFont="1" applyBorder="1" applyAlignment="1" applyProtection="1">
      <alignment horizontal="center" vertical="center"/>
      <protection locked="0"/>
    </xf>
    <xf numFmtId="1" fontId="9" fillId="0" borderId="7" xfId="1" applyNumberFormat="1" applyFont="1" applyBorder="1" applyAlignment="1" applyProtection="1">
      <alignment horizontal="center" vertical="center" wrapText="1"/>
      <protection locked="0"/>
    </xf>
    <xf numFmtId="1" fontId="9" fillId="0" borderId="20"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14" fillId="0" borderId="7" xfId="0" applyNumberFormat="1" applyFont="1" applyBorder="1" applyAlignment="1" applyProtection="1">
      <alignment vertical="top" wrapText="1"/>
      <protection locked="0"/>
    </xf>
    <xf numFmtId="1" fontId="14" fillId="0" borderId="20" xfId="0" applyNumberFormat="1" applyFont="1" applyBorder="1" applyAlignment="1" applyProtection="1">
      <alignment vertical="top" wrapText="1"/>
      <protection locked="0"/>
    </xf>
    <xf numFmtId="1" fontId="14" fillId="0" borderId="8" xfId="0" applyNumberFormat="1" applyFont="1" applyBorder="1" applyAlignment="1" applyProtection="1">
      <alignment vertical="top" wrapText="1"/>
      <protection locked="0"/>
    </xf>
    <xf numFmtId="0" fontId="7" fillId="0" borderId="20"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14" fontId="7" fillId="0" borderId="7" xfId="1" applyNumberFormat="1" applyFont="1" applyBorder="1" applyAlignment="1" applyProtection="1">
      <alignment horizontal="left" vertical="top" wrapText="1"/>
      <protection locked="0"/>
    </xf>
    <xf numFmtId="0" fontId="9" fillId="0" borderId="1" xfId="1" applyFont="1" applyBorder="1" applyAlignment="1" applyProtection="1">
      <alignment vertical="top"/>
      <protection locked="0"/>
    </xf>
    <xf numFmtId="0" fontId="9" fillId="0" borderId="15" xfId="1" applyFont="1" applyBorder="1" applyAlignment="1" applyProtection="1">
      <alignment horizontal="center" vertical="top"/>
      <protection locked="0"/>
    </xf>
    <xf numFmtId="1" fontId="9" fillId="0" borderId="7" xfId="0" applyNumberFormat="1" applyFont="1" applyBorder="1" applyAlignment="1" applyProtection="1">
      <alignment vertical="top" wrapText="1"/>
      <protection locked="0"/>
    </xf>
    <xf numFmtId="1" fontId="9" fillId="0" borderId="20"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9" fillId="0" borderId="1" xfId="0" applyNumberFormat="1" applyFont="1" applyBorder="1" applyAlignment="1" applyProtection="1">
      <alignment horizontal="left" vertical="top" wrapText="1"/>
      <protection locked="0"/>
    </xf>
    <xf numFmtId="1" fontId="5" fillId="0" borderId="1" xfId="1" applyNumberFormat="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0" fontId="9"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wrapText="1"/>
      <protection locked="0"/>
    </xf>
    <xf numFmtId="1" fontId="18" fillId="0" borderId="7" xfId="0" applyNumberFormat="1" applyFont="1" applyBorder="1" applyAlignment="1" applyProtection="1">
      <alignment vertical="top" wrapText="1"/>
      <protection locked="0"/>
    </xf>
    <xf numFmtId="1" fontId="18" fillId="0" borderId="20" xfId="0" applyNumberFormat="1" applyFont="1" applyBorder="1" applyAlignment="1" applyProtection="1">
      <alignment vertical="top" wrapText="1"/>
      <protection locked="0"/>
    </xf>
    <xf numFmtId="1" fontId="18" fillId="0" borderId="8" xfId="0" applyNumberFormat="1" applyFont="1" applyBorder="1" applyAlignment="1" applyProtection="1">
      <alignment vertical="top" wrapText="1"/>
      <protection locked="0"/>
    </xf>
    <xf numFmtId="1" fontId="9" fillId="0" borderId="2"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top" wrapText="1"/>
      <protection locked="0"/>
    </xf>
    <xf numFmtId="1" fontId="9" fillId="0" borderId="31" xfId="0" applyNumberFormat="1" applyFont="1" applyBorder="1" applyAlignment="1" applyProtection="1">
      <alignment horizontal="center" vertical="center" wrapText="1"/>
      <protection locked="0"/>
    </xf>
    <xf numFmtId="1" fontId="9" fillId="0" borderId="32"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0" fontId="9" fillId="0" borderId="1" xfId="1" applyFont="1" applyBorder="1" applyAlignment="1" applyProtection="1">
      <alignment horizontal="center" vertical="top"/>
      <protection locked="0"/>
    </xf>
    <xf numFmtId="0" fontId="14" fillId="0" borderId="1" xfId="1" applyFont="1" applyBorder="1" applyAlignment="1" applyProtection="1">
      <alignment horizontal="left" vertical="top"/>
      <protection locked="0"/>
    </xf>
    <xf numFmtId="14" fontId="13"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protection locked="0"/>
    </xf>
    <xf numFmtId="0" fontId="13" fillId="0" borderId="1" xfId="1" applyFont="1" applyBorder="1" applyAlignment="1" applyProtection="1">
      <alignment horizontal="center"/>
      <protection locked="0"/>
    </xf>
    <xf numFmtId="0" fontId="13" fillId="0" borderId="7"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3" fillId="0" borderId="8" xfId="1" applyFont="1" applyBorder="1" applyAlignment="1" applyProtection="1">
      <alignment horizontal="center" vertical="top"/>
      <protection locked="0"/>
    </xf>
    <xf numFmtId="0" fontId="14" fillId="0" borderId="7" xfId="1" applyFont="1" applyBorder="1" applyAlignment="1" applyProtection="1">
      <alignment horizontal="center" vertical="top"/>
      <protection locked="0"/>
    </xf>
    <xf numFmtId="0" fontId="14" fillId="0" borderId="20" xfId="1" applyFont="1" applyBorder="1" applyAlignment="1" applyProtection="1">
      <alignment horizontal="center" vertical="top"/>
      <protection locked="0"/>
    </xf>
    <xf numFmtId="0" fontId="14" fillId="0" borderId="8"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0" fontId="13" fillId="0" borderId="1" xfId="1" applyFont="1" applyBorder="1" applyAlignment="1" applyProtection="1">
      <alignment horizontal="center" vertical="center"/>
      <protection locked="0"/>
    </xf>
    <xf numFmtId="0" fontId="13" fillId="0" borderId="7" xfId="1" applyFont="1" applyBorder="1" applyAlignment="1" applyProtection="1">
      <alignment horizontal="center" vertical="center" wrapText="1"/>
      <protection locked="0"/>
    </xf>
    <xf numFmtId="0" fontId="13" fillId="0" borderId="20" xfId="1" applyFont="1" applyBorder="1" applyAlignment="1" applyProtection="1">
      <alignment horizontal="center" vertical="center" wrapText="1"/>
      <protection locked="0"/>
    </xf>
    <xf numFmtId="0" fontId="13" fillId="0" borderId="8" xfId="1" applyFont="1" applyBorder="1" applyAlignment="1" applyProtection="1">
      <alignment horizontal="center" vertical="center" wrapText="1"/>
      <protection locked="0"/>
    </xf>
    <xf numFmtId="0" fontId="13" fillId="0" borderId="7" xfId="1" applyFont="1" applyBorder="1" applyAlignment="1" applyProtection="1">
      <alignment horizontal="center" vertical="top" wrapText="1"/>
      <protection locked="0"/>
    </xf>
    <xf numFmtId="2" fontId="7" fillId="0" borderId="1" xfId="1" applyNumberFormat="1" applyFont="1" applyBorder="1" applyAlignment="1" applyProtection="1">
      <alignment horizontal="left" vertical="top" wrapText="1"/>
      <protection locked="0"/>
    </xf>
    <xf numFmtId="1" fontId="7" fillId="0" borderId="1" xfId="1" applyNumberFormat="1" applyFont="1" applyBorder="1" applyAlignment="1" applyProtection="1">
      <alignment horizontal="left" vertical="top" wrapText="1"/>
      <protection locked="0"/>
    </xf>
    <xf numFmtId="2" fontId="7" fillId="0" borderId="1" xfId="1" applyNumberFormat="1" applyFont="1" applyBorder="1" applyAlignment="1" applyProtection="1">
      <alignment horizontal="left" vertical="top"/>
      <protection locked="0"/>
    </xf>
    <xf numFmtId="0" fontId="9" fillId="0" borderId="7"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8" fillId="0" borderId="0" xfId="1" applyFont="1" applyAlignment="1">
      <alignment horizontal="center" vertical="center"/>
    </xf>
    <xf numFmtId="0" fontId="8" fillId="0" borderId="1" xfId="0" applyFont="1" applyBorder="1" applyAlignment="1" applyProtection="1">
      <alignment horizontal="center" vertical="center"/>
      <protection locked="0"/>
    </xf>
    <xf numFmtId="1" fontId="5" fillId="0" borderId="2" xfId="1" applyNumberFormat="1" applyFont="1" applyBorder="1" applyAlignment="1" applyProtection="1">
      <alignment horizontal="center" vertical="top" wrapText="1"/>
      <protection locked="0"/>
    </xf>
    <xf numFmtId="1" fontId="5" fillId="0" borderId="15" xfId="1" applyNumberFormat="1" applyFont="1" applyBorder="1" applyAlignment="1" applyProtection="1">
      <alignment horizontal="center" vertical="top" wrapText="1"/>
      <protection locked="0"/>
    </xf>
    <xf numFmtId="0" fontId="13" fillId="0" borderId="17" xfId="1" applyFont="1" applyBorder="1" applyAlignment="1" applyProtection="1">
      <alignment horizontal="left" vertical="top" wrapText="1"/>
      <protection locked="0"/>
    </xf>
    <xf numFmtId="0" fontId="7" fillId="0" borderId="16" xfId="1" applyFont="1" applyBorder="1" applyAlignment="1" applyProtection="1">
      <alignment horizontal="left" vertical="top" wrapText="1"/>
      <protection locked="0"/>
    </xf>
    <xf numFmtId="0" fontId="7" fillId="0" borderId="17" xfId="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9" fontId="13" fillId="0" borderId="16" xfId="8" applyFont="1" applyFill="1" applyBorder="1" applyAlignment="1" applyProtection="1">
      <alignment horizontal="center" vertical="center" wrapText="1"/>
      <protection locked="0"/>
    </xf>
    <xf numFmtId="9" fontId="13" fillId="0" borderId="17" xfId="8" applyFont="1" applyFill="1" applyBorder="1" applyAlignment="1" applyProtection="1">
      <alignment horizontal="center" vertical="center" wrapText="1"/>
      <protection locked="0"/>
    </xf>
    <xf numFmtId="9" fontId="13" fillId="0" borderId="24" xfId="8" applyFont="1" applyFill="1" applyBorder="1" applyAlignment="1" applyProtection="1">
      <alignment horizontal="center" vertical="center" wrapText="1"/>
      <protection locked="0"/>
    </xf>
    <xf numFmtId="9" fontId="13" fillId="0" borderId="25" xfId="8" applyFont="1" applyFill="1" applyBorder="1" applyAlignment="1" applyProtection="1">
      <alignment horizontal="center" vertical="center" wrapText="1"/>
      <protection locked="0"/>
    </xf>
    <xf numFmtId="9" fontId="13" fillId="0" borderId="27" xfId="8" applyFont="1" applyFill="1" applyBorder="1" applyAlignment="1" applyProtection="1">
      <alignment horizontal="center" vertical="center" wrapText="1"/>
      <protection locked="0"/>
    </xf>
    <xf numFmtId="9" fontId="13" fillId="0" borderId="28" xfId="8" applyFont="1" applyFill="1" applyBorder="1" applyAlignment="1" applyProtection="1">
      <alignment horizontal="center" vertical="center" wrapText="1"/>
      <protection locked="0"/>
    </xf>
    <xf numFmtId="9" fontId="13" fillId="0" borderId="26" xfId="8" applyFont="1" applyFill="1" applyBorder="1" applyAlignment="1" applyProtection="1">
      <alignment horizontal="center" vertical="center" wrapText="1"/>
      <protection locked="0"/>
    </xf>
    <xf numFmtId="9" fontId="13" fillId="0" borderId="9" xfId="8" applyFont="1" applyFill="1" applyBorder="1" applyAlignment="1" applyProtection="1">
      <alignment horizontal="center" vertical="center" wrapText="1"/>
      <protection locked="0"/>
    </xf>
    <xf numFmtId="9" fontId="13" fillId="0" borderId="11" xfId="8" applyFont="1" applyFill="1" applyBorder="1" applyAlignment="1" applyProtection="1">
      <alignment horizontal="center" vertical="center" wrapText="1"/>
      <protection locked="0"/>
    </xf>
    <xf numFmtId="0" fontId="26" fillId="0" borderId="1" xfId="10" applyFill="1" applyBorder="1" applyAlignment="1" applyProtection="1">
      <alignment horizontal="left" vertical="top" wrapText="1"/>
      <protection locked="0"/>
    </xf>
    <xf numFmtId="1" fontId="9" fillId="0" borderId="2" xfId="1" applyNumberFormat="1" applyFont="1" applyBorder="1" applyAlignment="1" applyProtection="1">
      <alignment horizontal="center" vertical="top" wrapText="1"/>
      <protection locked="0"/>
    </xf>
    <xf numFmtId="1" fontId="9" fillId="0" borderId="15"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protection locked="0"/>
    </xf>
    <xf numFmtId="1" fontId="9" fillId="0" borderId="32" xfId="0" applyNumberFormat="1" applyFont="1" applyBorder="1" applyAlignment="1" applyProtection="1">
      <alignment horizontal="center" vertical="top" wrapText="1"/>
      <protection locked="0"/>
    </xf>
    <xf numFmtId="1" fontId="9" fillId="0" borderId="33" xfId="0" applyNumberFormat="1" applyFont="1" applyBorder="1" applyAlignment="1" applyProtection="1">
      <alignment horizontal="center" vertical="top" wrapText="1"/>
      <protection locked="0"/>
    </xf>
    <xf numFmtId="0" fontId="13" fillId="0" borderId="5" xfId="1" applyFont="1" applyBorder="1" applyAlignment="1" applyProtection="1">
      <alignment horizontal="center" vertical="top" wrapText="1"/>
      <protection locked="0"/>
    </xf>
    <xf numFmtId="0" fontId="13" fillId="0" borderId="6"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0" fontId="11" fillId="0" borderId="32" xfId="0" applyFont="1" applyBorder="1" applyAlignment="1" applyProtection="1">
      <alignment horizontal="center" vertical="center"/>
      <protection locked="0"/>
    </xf>
    <xf numFmtId="1" fontId="11" fillId="0" borderId="32" xfId="0" applyNumberFormat="1" applyFont="1" applyBorder="1" applyAlignment="1" applyProtection="1">
      <alignment horizontal="center" vertical="top" wrapText="1"/>
      <protection locked="0"/>
    </xf>
    <xf numFmtId="1" fontId="9" fillId="0" borderId="2" xfId="0" applyNumberFormat="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1" fontId="11" fillId="0" borderId="1" xfId="0" applyNumberFormat="1" applyFont="1" applyBorder="1" applyAlignment="1" applyProtection="1">
      <alignment horizontal="center" vertical="top" wrapText="1"/>
      <protection locked="0"/>
    </xf>
    <xf numFmtId="0" fontId="14" fillId="0" borderId="7" xfId="1" applyFont="1" applyBorder="1" applyAlignment="1" applyProtection="1">
      <alignment horizontal="left" vertical="top"/>
      <protection locked="0"/>
    </xf>
    <xf numFmtId="0" fontId="14" fillId="0" borderId="20" xfId="1" applyFont="1" applyBorder="1" applyAlignment="1" applyProtection="1">
      <alignment horizontal="left" vertical="top"/>
      <protection locked="0"/>
    </xf>
    <xf numFmtId="0" fontId="14" fillId="0" borderId="8" xfId="1" applyFont="1" applyBorder="1" applyAlignment="1" applyProtection="1">
      <alignment horizontal="left" vertical="top"/>
      <protection locked="0"/>
    </xf>
    <xf numFmtId="0" fontId="9" fillId="0" borderId="15" xfId="1" applyFont="1" applyBorder="1" applyAlignment="1" applyProtection="1">
      <alignment horizontal="left" vertical="top"/>
      <protection locked="0"/>
    </xf>
    <xf numFmtId="0" fontId="14" fillId="0" borderId="3" xfId="1" applyFont="1" applyBorder="1" applyAlignment="1" applyProtection="1">
      <alignment horizontal="left" vertical="top"/>
      <protection locked="0"/>
    </xf>
    <xf numFmtId="0" fontId="14" fillId="0" borderId="21"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14" fillId="0" borderId="12" xfId="1" applyFont="1" applyBorder="1" applyAlignment="1" applyProtection="1">
      <alignment horizontal="left" vertical="top" wrapText="1"/>
      <protection locked="0"/>
    </xf>
    <xf numFmtId="0" fontId="14" fillId="0" borderId="13" xfId="1" applyFont="1" applyBorder="1" applyAlignment="1" applyProtection="1">
      <alignment horizontal="left" vertical="top" wrapText="1"/>
      <protection locked="0"/>
    </xf>
    <xf numFmtId="0" fontId="14" fillId="0" borderId="22"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4"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0"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colors>
    <mruColors>
      <color rgb="FFFF33CC"/>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227220</xdr:colOff>
      <xdr:row>258</xdr:row>
      <xdr:rowOff>47625</xdr:rowOff>
    </xdr:from>
    <xdr:to>
      <xdr:col>6</xdr:col>
      <xdr:colOff>515056</xdr:colOff>
      <xdr:row>274</xdr:row>
      <xdr:rowOff>37741</xdr:rowOff>
    </xdr:to>
    <xdr:pic>
      <xdr:nvPicPr>
        <xdr:cNvPr id="13" name="Picture 12">
          <a:extLst>
            <a:ext uri="{FF2B5EF4-FFF2-40B4-BE49-F238E27FC236}">
              <a16:creationId xmlns:a16="http://schemas.microsoft.com/office/drawing/2014/main" xmlns="" id="{00000000-0008-0000-0000-00000D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89220" y="61388625"/>
          <a:ext cx="4383586" cy="3038116"/>
        </a:xfrm>
        <a:prstGeom prst="rect">
          <a:avLst/>
        </a:prstGeom>
        <a:ln w="9525">
          <a:solidFill>
            <a:schemeClr val="tx1"/>
          </a:solidFill>
        </a:ln>
      </xdr:spPr>
    </xdr:pic>
    <xdr:clientData/>
  </xdr:twoCellAnchor>
  <xdr:twoCellAnchor editAs="oneCell">
    <xdr:from>
      <xdr:col>0</xdr:col>
      <xdr:colOff>476250</xdr:colOff>
      <xdr:row>274</xdr:row>
      <xdr:rowOff>166239</xdr:rowOff>
    </xdr:from>
    <xdr:to>
      <xdr:col>7</xdr:col>
      <xdr:colOff>289837</xdr:colOff>
      <xdr:row>294</xdr:row>
      <xdr:rowOff>53740</xdr:rowOff>
    </xdr:to>
    <xdr:pic>
      <xdr:nvPicPr>
        <xdr:cNvPr id="14" name="Picture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76250" y="64555239"/>
          <a:ext cx="5409525" cy="3697500"/>
        </a:xfrm>
        <a:prstGeom prst="rect">
          <a:avLst/>
        </a:prstGeom>
        <a:ln w="9525">
          <a:solidFill>
            <a:schemeClr val="tx1"/>
          </a:solidFill>
        </a:ln>
      </xdr:spPr>
    </xdr:pic>
    <xdr:clientData/>
  </xdr:twoCellAnchor>
  <xdr:twoCellAnchor>
    <xdr:from>
      <xdr:col>3</xdr:col>
      <xdr:colOff>612627</xdr:colOff>
      <xdr:row>284</xdr:row>
      <xdr:rowOff>127535</xdr:rowOff>
    </xdr:from>
    <xdr:to>
      <xdr:col>4</xdr:col>
      <xdr:colOff>290534</xdr:colOff>
      <xdr:row>286</xdr:row>
      <xdr:rowOff>34378</xdr:rowOff>
    </xdr:to>
    <xdr:sp macro="" textlink="">
      <xdr:nvSpPr>
        <xdr:cNvPr id="15" name="Rectangle 14">
          <a:extLst>
            <a:ext uri="{FF2B5EF4-FFF2-40B4-BE49-F238E27FC236}">
              <a16:creationId xmlns:a16="http://schemas.microsoft.com/office/drawing/2014/main" xmlns="" id="{00000000-0008-0000-0000-00000F000000}"/>
            </a:ext>
          </a:extLst>
        </xdr:cNvPr>
        <xdr:cNvSpPr/>
      </xdr:nvSpPr>
      <xdr:spPr>
        <a:xfrm rot="894454">
          <a:off x="3041502" y="66421535"/>
          <a:ext cx="582782" cy="287843"/>
        </a:xfrm>
        <a:prstGeom prst="rect">
          <a:avLst/>
        </a:prstGeom>
        <a:no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clientData/>
  </xdr:twoCellAnchor>
  <xdr:twoCellAnchor editAs="oneCell">
    <xdr:from>
      <xdr:col>2</xdr:col>
      <xdr:colOff>145432</xdr:colOff>
      <xdr:row>214</xdr:row>
      <xdr:rowOff>175117</xdr:rowOff>
    </xdr:from>
    <xdr:to>
      <xdr:col>5</xdr:col>
      <xdr:colOff>51097</xdr:colOff>
      <xdr:row>223</xdr:row>
      <xdr:rowOff>77446</xdr:rowOff>
    </xdr:to>
    <xdr:pic>
      <xdr:nvPicPr>
        <xdr:cNvPr id="24" name="Picture 23">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17057" y="52943617"/>
          <a:ext cx="2453603" cy="1616828"/>
        </a:xfrm>
        <a:prstGeom prst="rect">
          <a:avLst/>
        </a:prstGeom>
        <a:ln w="9525">
          <a:solidFill>
            <a:schemeClr val="tx1"/>
          </a:solidFill>
        </a:ln>
      </xdr:spPr>
    </xdr:pic>
    <xdr:clientData/>
  </xdr:twoCellAnchor>
  <xdr:twoCellAnchor editAs="oneCell">
    <xdr:from>
      <xdr:col>1</xdr:col>
      <xdr:colOff>690563</xdr:colOff>
      <xdr:row>224</xdr:row>
      <xdr:rowOff>76286</xdr:rowOff>
    </xdr:from>
    <xdr:to>
      <xdr:col>5</xdr:col>
      <xdr:colOff>213000</xdr:colOff>
      <xdr:row>253</xdr:row>
      <xdr:rowOff>49110</xdr:rowOff>
    </xdr:to>
    <xdr:pic>
      <xdr:nvPicPr>
        <xdr:cNvPr id="25" name="Picture 24">
          <a:extLst>
            <a:ext uri="{FF2B5EF4-FFF2-40B4-BE49-F238E27FC236}">
              <a16:creationId xmlns:a16="http://schemas.microsoft.com/office/drawing/2014/main" xmlns="" id="{00000000-0008-0000-0000-000019000000}"/>
            </a:ext>
          </a:extLst>
        </xdr:cNvPr>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452563" y="54749786"/>
          <a:ext cx="2880000" cy="5497323"/>
        </a:xfrm>
        <a:prstGeom prst="rect">
          <a:avLst/>
        </a:prstGeom>
        <a:ln w="9525">
          <a:solidFill>
            <a:sysClr val="windowText" lastClr="000000"/>
          </a:solidFill>
        </a:ln>
      </xdr:spPr>
    </xdr:pic>
    <xdr:clientData/>
  </xdr:twoCellAnchor>
  <xdr:twoCellAnchor>
    <xdr:from>
      <xdr:col>3</xdr:col>
      <xdr:colOff>34737</xdr:colOff>
      <xdr:row>238</xdr:row>
      <xdr:rowOff>46264</xdr:rowOff>
    </xdr:from>
    <xdr:to>
      <xdr:col>3</xdr:col>
      <xdr:colOff>585506</xdr:colOff>
      <xdr:row>241</xdr:row>
      <xdr:rowOff>121065</xdr:rowOff>
    </xdr:to>
    <xdr:sp macro="" textlink="">
      <xdr:nvSpPr>
        <xdr:cNvPr id="26" name="Rectangle 25">
          <a:extLst>
            <a:ext uri="{FF2B5EF4-FFF2-40B4-BE49-F238E27FC236}">
              <a16:creationId xmlns:a16="http://schemas.microsoft.com/office/drawing/2014/main" xmlns="" id="{00000000-0008-0000-0000-00001A000000}"/>
            </a:ext>
          </a:extLst>
        </xdr:cNvPr>
        <xdr:cNvSpPr/>
      </xdr:nvSpPr>
      <xdr:spPr>
        <a:xfrm>
          <a:off x="2634502" y="53386264"/>
          <a:ext cx="550769" cy="679919"/>
        </a:xfrm>
        <a:prstGeom prst="rect">
          <a:avLst/>
        </a:prstGeom>
        <a:noFill/>
        <a:ln w="28575">
          <a:solidFill>
            <a:srgbClr val="0066FF"/>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ln>
              <a:noFill/>
            </a:ln>
            <a:noFill/>
          </a:endParaRPr>
        </a:p>
      </xdr:txBody>
    </xdr:sp>
    <xdr:clientData/>
  </xdr:twoCellAnchor>
  <xdr:twoCellAnchor>
    <xdr:from>
      <xdr:col>2</xdr:col>
      <xdr:colOff>308353</xdr:colOff>
      <xdr:row>245</xdr:row>
      <xdr:rowOff>181236</xdr:rowOff>
    </xdr:from>
    <xdr:to>
      <xdr:col>3</xdr:col>
      <xdr:colOff>103627</xdr:colOff>
      <xdr:row>250</xdr:row>
      <xdr:rowOff>133629</xdr:rowOff>
    </xdr:to>
    <xdr:sp macro="" textlink="">
      <xdr:nvSpPr>
        <xdr:cNvPr id="27" name="Rectangle 26">
          <a:extLst>
            <a:ext uri="{FF2B5EF4-FFF2-40B4-BE49-F238E27FC236}">
              <a16:creationId xmlns:a16="http://schemas.microsoft.com/office/drawing/2014/main" xmlns="" id="{00000000-0008-0000-0000-00001B000000}"/>
            </a:ext>
          </a:extLst>
        </xdr:cNvPr>
        <xdr:cNvSpPr/>
      </xdr:nvSpPr>
      <xdr:spPr>
        <a:xfrm rot="20378621">
          <a:off x="1879978" y="58855236"/>
          <a:ext cx="652524" cy="904893"/>
        </a:xfrm>
        <a:prstGeom prst="rect">
          <a:avLst/>
        </a:prstGeom>
        <a:noFill/>
        <a:ln w="28575">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ln>
              <a:noFill/>
            </a:ln>
            <a:solidFill>
              <a:srgbClr val="00B0F0"/>
            </a:solidFill>
          </a:endParaRPr>
        </a:p>
      </xdr:txBody>
    </xdr:sp>
    <xdr:clientData/>
  </xdr:twoCellAnchor>
  <xdr:twoCellAnchor>
    <xdr:from>
      <xdr:col>2</xdr:col>
      <xdr:colOff>372665</xdr:colOff>
      <xdr:row>242</xdr:row>
      <xdr:rowOff>158036</xdr:rowOff>
    </xdr:from>
    <xdr:to>
      <xdr:col>2</xdr:col>
      <xdr:colOff>762516</xdr:colOff>
      <xdr:row>245</xdr:row>
      <xdr:rowOff>66662</xdr:rowOff>
    </xdr:to>
    <xdr:sp macro="" textlink="">
      <xdr:nvSpPr>
        <xdr:cNvPr id="28" name="Rectangle 27">
          <a:extLst>
            <a:ext uri="{FF2B5EF4-FFF2-40B4-BE49-F238E27FC236}">
              <a16:creationId xmlns:a16="http://schemas.microsoft.com/office/drawing/2014/main" xmlns="" id="{00000000-0008-0000-0000-00001C000000}"/>
            </a:ext>
          </a:extLst>
        </xdr:cNvPr>
        <xdr:cNvSpPr/>
      </xdr:nvSpPr>
      <xdr:spPr>
        <a:xfrm rot="20378621">
          <a:off x="1934765" y="60489386"/>
          <a:ext cx="389851" cy="508701"/>
        </a:xfrm>
        <a:prstGeom prst="rect">
          <a:avLst/>
        </a:prstGeom>
        <a:noFill/>
        <a:ln w="28575">
          <a:solidFill>
            <a:srgbClr val="FF33CC"/>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ln>
              <a:noFill/>
            </a:ln>
            <a:noFill/>
          </a:endParaRPr>
        </a:p>
      </xdr:txBody>
    </xdr:sp>
    <xdr:clientData/>
  </xdr:twoCellAnchor>
  <xdr:twoCellAnchor>
    <xdr:from>
      <xdr:col>1</xdr:col>
      <xdr:colOff>736800</xdr:colOff>
      <xdr:row>240</xdr:row>
      <xdr:rowOff>67161</xdr:rowOff>
    </xdr:from>
    <xdr:to>
      <xdr:col>3</xdr:col>
      <xdr:colOff>95250</xdr:colOff>
      <xdr:row>243</xdr:row>
      <xdr:rowOff>155958</xdr:rowOff>
    </xdr:to>
    <xdr:sp macro="" textlink="">
      <xdr:nvSpPr>
        <xdr:cNvPr id="29" name="Text Box 1">
          <a:extLst>
            <a:ext uri="{FF2B5EF4-FFF2-40B4-BE49-F238E27FC236}">
              <a16:creationId xmlns:a16="http://schemas.microsoft.com/office/drawing/2014/main" xmlns="" id="{00000000-0008-0000-0000-00001D000000}"/>
            </a:ext>
          </a:extLst>
        </xdr:cNvPr>
        <xdr:cNvSpPr txBox="1">
          <a:spLocks noChangeArrowheads="1"/>
        </xdr:cNvSpPr>
      </xdr:nvSpPr>
      <xdr:spPr bwMode="auto">
        <a:xfrm>
          <a:off x="1498800" y="59998461"/>
          <a:ext cx="1006275" cy="688872"/>
        </a:xfrm>
        <a:prstGeom prst="rect">
          <a:avLst/>
        </a:prstGeom>
        <a:noFill/>
        <a:ln w="9525">
          <a:noFill/>
          <a:miter lim="800000"/>
          <a:headEnd/>
          <a:tailEnd/>
        </a:ln>
      </xdr:spPr>
      <xdr:txBody>
        <a:bodyPr wrap="square" lIns="27432" tIns="27432" rIns="0" bIns="0" anchor="t" upright="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indent="0" algn="l" defTabSz="914400" rtl="0" eaLnBrk="1" fontAlgn="base" latinLnBrk="0" hangingPunct="1">
            <a:lnSpc>
              <a:spcPct val="100000"/>
            </a:lnSpc>
            <a:spcBef>
              <a:spcPts val="0"/>
            </a:spcBef>
            <a:spcAft>
              <a:spcPts val="0"/>
            </a:spcAft>
            <a:buClrTx/>
            <a:buSzTx/>
            <a:buFontTx/>
            <a:buNone/>
            <a:tabLst/>
            <a:defRPr/>
          </a:pPr>
          <a:r>
            <a:rPr lang="en-IN" sz="1100" b="1" i="0">
              <a:solidFill>
                <a:srgbClr val="FF33CC"/>
              </a:solidFill>
              <a:effectLst/>
              <a:latin typeface="Calibri" panose="020F0502020204030204" pitchFamily="34" charset="0"/>
              <a:ea typeface="+mn-ea"/>
              <a:cs typeface="Calibri" panose="020F0502020204030204" pitchFamily="34" charset="0"/>
            </a:rPr>
            <a:t>Studio High 5 - Phase II</a:t>
          </a:r>
          <a:r>
            <a:rPr lang="en-IN" sz="1100" b="1" i="0" baseline="0">
              <a:solidFill>
                <a:srgbClr val="FF33CC"/>
              </a:solidFill>
              <a:effectLst/>
              <a:latin typeface="Calibri" panose="020F0502020204030204" pitchFamily="34" charset="0"/>
              <a:ea typeface="+mn-ea"/>
              <a:cs typeface="Calibri" panose="020F0502020204030204" pitchFamily="34" charset="0"/>
            </a:rPr>
            <a:t> </a:t>
          </a:r>
          <a:r>
            <a:rPr lang="en-IN" sz="1100" b="1" i="0">
              <a:solidFill>
                <a:srgbClr val="FF33CC"/>
              </a:solidFill>
              <a:effectLst/>
              <a:latin typeface="Calibri" panose="020F0502020204030204" pitchFamily="34" charset="0"/>
              <a:ea typeface="+mn-ea"/>
              <a:cs typeface="Calibri" panose="020F0502020204030204" pitchFamily="34" charset="0"/>
            </a:rPr>
            <a:t>Wing D </a:t>
          </a:r>
          <a:r>
            <a:rPr lang="en-IN" sz="1100" b="1" i="0" kern="1200" baseline="0">
              <a:solidFill>
                <a:srgbClr val="FF33CC"/>
              </a:solidFill>
              <a:effectLst/>
              <a:latin typeface="+mn-lt"/>
              <a:ea typeface="+mn-ea"/>
              <a:cs typeface="+mn-cs"/>
            </a:rPr>
            <a:t>(</a:t>
          </a:r>
          <a:r>
            <a:rPr lang="en-IN" sz="1100" b="1" i="0" kern="1200">
              <a:solidFill>
                <a:srgbClr val="FF33CC"/>
              </a:solidFill>
              <a:effectLst/>
              <a:latin typeface="+mn-lt"/>
              <a:ea typeface="+mn-ea"/>
              <a:cs typeface="+mn-cs"/>
            </a:rPr>
            <a:t>Feliz)</a:t>
          </a:r>
          <a:endParaRPr lang="en-IN" sz="1100">
            <a:solidFill>
              <a:srgbClr val="FF33CC"/>
            </a:solidFill>
            <a:effectLst/>
          </a:endParaRPr>
        </a:p>
        <a:p>
          <a:pPr fontAlgn="base"/>
          <a:endParaRPr lang="en-IN" sz="1100" b="1" i="0">
            <a:solidFill>
              <a:srgbClr val="FF33CC"/>
            </a:solidFill>
            <a:effectLst/>
            <a:latin typeface="Calibri" panose="020F0502020204030204" pitchFamily="34" charset="0"/>
            <a:ea typeface="+mn-ea"/>
            <a:cs typeface="Calibri" panose="020F0502020204030204" pitchFamily="34" charset="0"/>
          </a:endParaRPr>
        </a:p>
      </xdr:txBody>
    </xdr:sp>
    <xdr:clientData/>
  </xdr:twoCellAnchor>
  <xdr:twoCellAnchor>
    <xdr:from>
      <xdr:col>3</xdr:col>
      <xdr:colOff>187838</xdr:colOff>
      <xdr:row>249</xdr:row>
      <xdr:rowOff>130892</xdr:rowOff>
    </xdr:from>
    <xdr:to>
      <xdr:col>5</xdr:col>
      <xdr:colOff>262541</xdr:colOff>
      <xdr:row>253</xdr:row>
      <xdr:rowOff>39909</xdr:rowOff>
    </xdr:to>
    <xdr:sp macro="" textlink="">
      <xdr:nvSpPr>
        <xdr:cNvPr id="30" name="Text Box 1">
          <a:extLst>
            <a:ext uri="{FF2B5EF4-FFF2-40B4-BE49-F238E27FC236}">
              <a16:creationId xmlns:a16="http://schemas.microsoft.com/office/drawing/2014/main" xmlns="" id="{00000000-0008-0000-0000-00001E000000}"/>
            </a:ext>
          </a:extLst>
        </xdr:cNvPr>
        <xdr:cNvSpPr txBox="1">
          <a:spLocks noChangeArrowheads="1"/>
        </xdr:cNvSpPr>
      </xdr:nvSpPr>
      <xdr:spPr bwMode="auto">
        <a:xfrm>
          <a:off x="2596302" y="62859821"/>
          <a:ext cx="1761989" cy="725445"/>
        </a:xfrm>
        <a:prstGeom prst="rect">
          <a:avLst/>
        </a:prstGeom>
        <a:noFill/>
        <a:ln w="9525">
          <a:noFill/>
          <a:miter lim="800000"/>
          <a:headEnd/>
          <a:tailEnd/>
        </a:ln>
      </xdr:spPr>
      <xdr:txBody>
        <a:bodyPr wrap="square" lIns="27432" tIns="27432" rIns="0" bIns="0" anchor="t" upright="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fontAlgn="base"/>
          <a:r>
            <a:rPr lang="en-IN" sz="1100" b="1" i="0">
              <a:solidFill>
                <a:schemeClr val="accent6">
                  <a:lumMod val="50000"/>
                </a:schemeClr>
              </a:solidFill>
              <a:effectLst/>
              <a:latin typeface="+mn-lt"/>
              <a:ea typeface="+mn-ea"/>
              <a:cs typeface="+mn-cs"/>
            </a:rPr>
            <a:t>Studio High 5 - Phase II, Wing C (</a:t>
          </a:r>
          <a:r>
            <a:rPr lang="en-IN" sz="1100" b="1" i="0" kern="1200">
              <a:solidFill>
                <a:schemeClr val="accent6">
                  <a:lumMod val="50000"/>
                </a:schemeClr>
              </a:solidFill>
              <a:effectLst/>
              <a:latin typeface="+mn-lt"/>
              <a:ea typeface="+mn-ea"/>
              <a:cs typeface="+mn-cs"/>
            </a:rPr>
            <a:t>Palacio</a:t>
          </a:r>
          <a:r>
            <a:rPr lang="en-IN" sz="1100" b="1" i="0" kern="1200" baseline="0">
              <a:solidFill>
                <a:schemeClr val="accent6">
                  <a:lumMod val="50000"/>
                </a:schemeClr>
              </a:solidFill>
              <a:effectLst/>
              <a:latin typeface="+mn-lt"/>
              <a:ea typeface="+mn-ea"/>
              <a:cs typeface="+mn-cs"/>
            </a:rPr>
            <a:t> )</a:t>
          </a:r>
          <a:endParaRPr lang="en-IN" sz="1100" b="1" i="0">
            <a:solidFill>
              <a:schemeClr val="accent6">
                <a:lumMod val="50000"/>
              </a:schemeClr>
            </a:solidFill>
            <a:effectLst/>
            <a:latin typeface="+mn-lt"/>
            <a:ea typeface="+mn-ea"/>
            <a:cs typeface="+mn-cs"/>
          </a:endParaRPr>
        </a:p>
        <a:p>
          <a:pPr algn="l" rtl="0">
            <a:defRPr sz="1000"/>
          </a:pPr>
          <a:endParaRPr lang="en-IN" sz="1100" b="1" i="0" u="none" strike="noStrike" baseline="0">
            <a:ln>
              <a:noFill/>
            </a:ln>
            <a:solidFill>
              <a:schemeClr val="accent6">
                <a:lumMod val="50000"/>
              </a:schemeClr>
            </a:solidFill>
            <a:latin typeface="Calibri"/>
            <a:cs typeface="Calibri"/>
          </a:endParaRPr>
        </a:p>
      </xdr:txBody>
    </xdr:sp>
    <xdr:clientData/>
  </xdr:twoCellAnchor>
  <xdr:twoCellAnchor>
    <xdr:from>
      <xdr:col>3</xdr:col>
      <xdr:colOff>143893</xdr:colOff>
      <xdr:row>224</xdr:row>
      <xdr:rowOff>152172</xdr:rowOff>
    </xdr:from>
    <xdr:to>
      <xdr:col>4</xdr:col>
      <xdr:colOff>113586</xdr:colOff>
      <xdr:row>231</xdr:row>
      <xdr:rowOff>36801</xdr:rowOff>
    </xdr:to>
    <xdr:sp macro="" textlink="">
      <xdr:nvSpPr>
        <xdr:cNvPr id="31" name="Freeform 30">
          <a:extLst>
            <a:ext uri="{FF2B5EF4-FFF2-40B4-BE49-F238E27FC236}">
              <a16:creationId xmlns:a16="http://schemas.microsoft.com/office/drawing/2014/main" xmlns="" id="{00000000-0008-0000-0000-00001F000000}"/>
            </a:ext>
          </a:extLst>
        </xdr:cNvPr>
        <xdr:cNvSpPr/>
      </xdr:nvSpPr>
      <xdr:spPr>
        <a:xfrm>
          <a:off x="2743658" y="50668290"/>
          <a:ext cx="955810" cy="1296570"/>
        </a:xfrm>
        <a:custGeom>
          <a:avLst/>
          <a:gdLst>
            <a:gd name="connsiteX0" fmla="*/ 0 w 1251857"/>
            <a:gd name="connsiteY0" fmla="*/ 217715 h 1646465"/>
            <a:gd name="connsiteX1" fmla="*/ 81642 w 1251857"/>
            <a:gd name="connsiteY1" fmla="*/ 244929 h 1646465"/>
            <a:gd name="connsiteX2" fmla="*/ 585107 w 1251857"/>
            <a:gd name="connsiteY2" fmla="*/ 0 h 1646465"/>
            <a:gd name="connsiteX3" fmla="*/ 1251857 w 1251857"/>
            <a:gd name="connsiteY3" fmla="*/ 1319893 h 1646465"/>
            <a:gd name="connsiteX4" fmla="*/ 1251857 w 1251857"/>
            <a:gd name="connsiteY4" fmla="*/ 1646465 h 1646465"/>
            <a:gd name="connsiteX5" fmla="*/ 721178 w 1251857"/>
            <a:gd name="connsiteY5" fmla="*/ 1592036 h 1646465"/>
            <a:gd name="connsiteX6" fmla="*/ 0 w 1251857"/>
            <a:gd name="connsiteY6" fmla="*/ 217715 h 164646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251857" h="1646465">
              <a:moveTo>
                <a:pt x="0" y="217715"/>
              </a:moveTo>
              <a:lnTo>
                <a:pt x="81642" y="244929"/>
              </a:lnTo>
              <a:lnTo>
                <a:pt x="585107" y="0"/>
              </a:lnTo>
              <a:lnTo>
                <a:pt x="1251857" y="1319893"/>
              </a:lnTo>
              <a:lnTo>
                <a:pt x="1251857" y="1646465"/>
              </a:lnTo>
              <a:lnTo>
                <a:pt x="721178" y="1592036"/>
              </a:lnTo>
              <a:lnTo>
                <a:pt x="0" y="217715"/>
              </a:lnTo>
              <a:close/>
            </a:path>
          </a:pathLst>
        </a:cu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IN" sz="1100"/>
        </a:p>
      </xdr:txBody>
    </xdr:sp>
    <xdr:clientData/>
  </xdr:twoCellAnchor>
  <xdr:twoCellAnchor>
    <xdr:from>
      <xdr:col>1</xdr:col>
      <xdr:colOff>702006</xdr:colOff>
      <xdr:row>226</xdr:row>
      <xdr:rowOff>25668</xdr:rowOff>
    </xdr:from>
    <xdr:to>
      <xdr:col>3</xdr:col>
      <xdr:colOff>312964</xdr:colOff>
      <xdr:row>230</xdr:row>
      <xdr:rowOff>33851</xdr:rowOff>
    </xdr:to>
    <xdr:sp macro="" textlink="">
      <xdr:nvSpPr>
        <xdr:cNvPr id="32" name="Text Box 1">
          <a:extLst>
            <a:ext uri="{FF2B5EF4-FFF2-40B4-BE49-F238E27FC236}">
              <a16:creationId xmlns:a16="http://schemas.microsoft.com/office/drawing/2014/main" xmlns="" id="{00000000-0008-0000-0000-000020000000}"/>
            </a:ext>
          </a:extLst>
        </xdr:cNvPr>
        <xdr:cNvSpPr txBox="1">
          <a:spLocks noChangeArrowheads="1"/>
        </xdr:cNvSpPr>
      </xdr:nvSpPr>
      <xdr:spPr bwMode="auto">
        <a:xfrm>
          <a:off x="1464006" y="58060132"/>
          <a:ext cx="1257422" cy="824612"/>
        </a:xfrm>
        <a:prstGeom prst="rect">
          <a:avLst/>
        </a:prstGeom>
        <a:noFill/>
        <a:ln w="9525">
          <a:noFill/>
          <a:miter lim="800000"/>
          <a:headEnd/>
          <a:tailEnd/>
        </a:ln>
      </xdr:spPr>
      <xdr:txBody>
        <a:bodyPr wrap="square" lIns="27432" tIns="27432" rIns="0" bIns="0" anchor="t" upright="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IN" sz="1100" b="1" i="0" u="none" strike="noStrike" baseline="0">
              <a:ln>
                <a:noFill/>
              </a:ln>
              <a:solidFill>
                <a:srgbClr val="7030A0"/>
              </a:solidFill>
              <a:latin typeface="Calibri" panose="020F0502020204030204" pitchFamily="34" charset="0"/>
              <a:cs typeface="Calibri" panose="020F0502020204030204" pitchFamily="34" charset="0"/>
            </a:rPr>
            <a:t>Studio High 5 Phase III Wing F (Vista)</a:t>
          </a:r>
        </a:p>
      </xdr:txBody>
    </xdr:sp>
    <xdr:clientData/>
  </xdr:twoCellAnchor>
  <xdr:twoCellAnchor>
    <xdr:from>
      <xdr:col>2</xdr:col>
      <xdr:colOff>674370</xdr:colOff>
      <xdr:row>235</xdr:row>
      <xdr:rowOff>153653</xdr:rowOff>
    </xdr:from>
    <xdr:to>
      <xdr:col>4</xdr:col>
      <xdr:colOff>129043</xdr:colOff>
      <xdr:row>239</xdr:row>
      <xdr:rowOff>84742</xdr:rowOff>
    </xdr:to>
    <xdr:sp macro="" textlink="">
      <xdr:nvSpPr>
        <xdr:cNvPr id="33" name="Text Box 1">
          <a:extLst>
            <a:ext uri="{FF2B5EF4-FFF2-40B4-BE49-F238E27FC236}">
              <a16:creationId xmlns:a16="http://schemas.microsoft.com/office/drawing/2014/main" xmlns="" id="{00000000-0008-0000-0000-000021000000}"/>
            </a:ext>
          </a:extLst>
        </xdr:cNvPr>
        <xdr:cNvSpPr txBox="1">
          <a:spLocks noChangeArrowheads="1"/>
        </xdr:cNvSpPr>
      </xdr:nvSpPr>
      <xdr:spPr bwMode="auto">
        <a:xfrm>
          <a:off x="2236470" y="59084828"/>
          <a:ext cx="1216798" cy="731189"/>
        </a:xfrm>
        <a:prstGeom prst="rect">
          <a:avLst/>
        </a:prstGeom>
        <a:noFill/>
        <a:ln w="9525">
          <a:noFill/>
          <a:miter lim="800000"/>
          <a:headEnd/>
          <a:tailEnd/>
        </a:ln>
      </xdr:spPr>
      <xdr:txBody>
        <a:bodyPr wrap="square" lIns="27432" tIns="27432" rIns="0" bIns="0" anchor="t" upright="1"/>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rtl="0">
            <a:defRPr sz="1000"/>
          </a:pPr>
          <a:r>
            <a:rPr lang="en-IN" sz="1100" b="1" i="0" u="none" strike="noStrike" baseline="0">
              <a:ln>
                <a:noFill/>
              </a:ln>
              <a:solidFill>
                <a:srgbClr val="0066FF"/>
              </a:solidFill>
              <a:latin typeface="Calibri"/>
              <a:cs typeface="Calibri"/>
            </a:rPr>
            <a:t>Studio High 5 Phase III Wing E (Luxe)</a:t>
          </a:r>
        </a:p>
      </xdr:txBody>
    </xdr:sp>
    <xdr:clientData/>
  </xdr:twoCellAnchor>
  <xdr:twoCellAnchor editAs="oneCell">
    <xdr:from>
      <xdr:col>14</xdr:col>
      <xdr:colOff>256446</xdr:colOff>
      <xdr:row>123</xdr:row>
      <xdr:rowOff>78871</xdr:rowOff>
    </xdr:from>
    <xdr:to>
      <xdr:col>20</xdr:col>
      <xdr:colOff>453286</xdr:colOff>
      <xdr:row>133</xdr:row>
      <xdr:rowOff>136986</xdr:rowOff>
    </xdr:to>
    <xdr:pic>
      <xdr:nvPicPr>
        <xdr:cNvPr id="54" name="Pictur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
        <a:stretch>
          <a:fillRect/>
        </a:stretch>
      </xdr:blipFill>
      <xdr:spPr>
        <a:xfrm>
          <a:off x="11752388" y="29313294"/>
          <a:ext cx="4343879" cy="2480779"/>
        </a:xfrm>
        <a:prstGeom prst="rect">
          <a:avLst/>
        </a:prstGeom>
      </xdr:spPr>
    </xdr:pic>
    <xdr:clientData/>
  </xdr:twoCellAnchor>
  <xdr:twoCellAnchor>
    <xdr:from>
      <xdr:col>3</xdr:col>
      <xdr:colOff>308584</xdr:colOff>
      <xdr:row>286</xdr:row>
      <xdr:rowOff>72452</xdr:rowOff>
    </xdr:from>
    <xdr:to>
      <xdr:col>5</xdr:col>
      <xdr:colOff>338054</xdr:colOff>
      <xdr:row>289</xdr:row>
      <xdr:rowOff>7620</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rot="855820">
          <a:off x="2717849" y="63296040"/>
          <a:ext cx="1732764" cy="54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solidFill>
                <a:srgbClr val="FFFF00"/>
              </a:solidFill>
            </a:rPr>
            <a:t>Wing F (Vista)</a:t>
          </a:r>
        </a:p>
      </xdr:txBody>
    </xdr:sp>
    <xdr:clientData/>
  </xdr:twoCellAnchor>
  <xdr:twoCellAnchor>
    <xdr:from>
      <xdr:col>0</xdr:col>
      <xdr:colOff>523168</xdr:colOff>
      <xdr:row>171</xdr:row>
      <xdr:rowOff>76199</xdr:rowOff>
    </xdr:from>
    <xdr:to>
      <xdr:col>7</xdr:col>
      <xdr:colOff>46688</xdr:colOff>
      <xdr:row>210</xdr:row>
      <xdr:rowOff>131175</xdr:rowOff>
    </xdr:to>
    <xdr:grpSp>
      <xdr:nvGrpSpPr>
        <xdr:cNvPr id="6" name="Group 5"/>
        <xdr:cNvGrpSpPr/>
      </xdr:nvGrpSpPr>
      <xdr:grpSpPr>
        <a:xfrm>
          <a:off x="523168" y="37661849"/>
          <a:ext cx="5105170" cy="7846426"/>
          <a:chOff x="523168" y="37880924"/>
          <a:chExt cx="5105170" cy="7846426"/>
        </a:xfrm>
      </xdr:grpSpPr>
      <xdr:grpSp>
        <xdr:nvGrpSpPr>
          <xdr:cNvPr id="5" name="Group 4"/>
          <xdr:cNvGrpSpPr/>
        </xdr:nvGrpSpPr>
        <xdr:grpSpPr>
          <a:xfrm>
            <a:off x="523168" y="37880924"/>
            <a:ext cx="5105170" cy="7846426"/>
            <a:chOff x="523168" y="37880924"/>
            <a:chExt cx="5105170" cy="7846426"/>
          </a:xfrm>
        </xdr:grpSpPr>
        <xdr:pic>
          <xdr:nvPicPr>
            <xdr:cNvPr id="37" name="Picture 36" descr="https://vsjcllp.vsjadon.com/upload/insp-239903-1525.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981450" y="435673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39903-843.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523168" y="37880924"/>
              <a:ext cx="2504845" cy="33432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9" name="Picture 38" descr="https://vsjcllp.vsjadon.com/upload/insp-239903-849.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590550" y="435673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https://vsjcllp.vsjadon.com/upload/insp-239903-862.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3123493" y="37880924"/>
              <a:ext cx="2504845" cy="33432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7" name="Picture 56" descr="https://vsjcllp.vsjadon.com/upload/insp-239903-877.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2286000" y="413099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8" name="Picture 57" descr="https://vsjcllp.vsjadon.com/upload/insp-239903-940.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581025" y="413194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9" name="Picture 58" descr="https://vsjcllp.vsjadon.com/upload/insp-239903-9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3981450" y="41309925"/>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0" name="Picture 59" descr="https://vsjcllp.vsjadon.com/upload/insp-239903-1512.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2286000" y="43567350"/>
              <a:ext cx="161831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sp macro="" textlink="">
        <xdr:nvSpPr>
          <xdr:cNvPr id="61" name="TextBox 226">
            <a:extLst>
              <a:ext uri="{FF2B5EF4-FFF2-40B4-BE49-F238E27FC236}">
                <a16:creationId xmlns:a16="http://schemas.microsoft.com/office/drawing/2014/main" xmlns="" id="{9CA7BAD2-D84D-424F-81AD-210BA224D74D}"/>
              </a:ext>
            </a:extLst>
          </xdr:cNvPr>
          <xdr:cNvSpPr txBox="1"/>
        </xdr:nvSpPr>
        <xdr:spPr>
          <a:xfrm>
            <a:off x="599368" y="37928549"/>
            <a:ext cx="841897" cy="3693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rPr>
              <a:t>Wing F</a:t>
            </a:r>
            <a:endParaRPr lang="en-IN" sz="1600" b="1">
              <a:solidFill>
                <a:sysClr val="windowText" lastClr="00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xmlns=""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housing.com/in/buy/projects/page/301095-sonu-studio-high-5-phase-3-wing-f-by-sonu-builders-developers-in-neral" TargetMode="External"/><Relationship Id="rId7" Type="http://schemas.openxmlformats.org/officeDocument/2006/relationships/vmlDrawing" Target="../drawings/vmlDrawing1.vml"/><Relationship Id="rId2" Type="http://schemas.openxmlformats.org/officeDocument/2006/relationships/hyperlink" Target="https://housing.com/in/buy/projects/page/301095-sonu-studio-high-5-phase-3-wing-f-by-sonu-builders-developers-in-neral" TargetMode="External"/><Relationship Id="rId1" Type="http://schemas.openxmlformats.org/officeDocument/2006/relationships/hyperlink" Target="https://maps.app.goo.gl/bGhM6iCpEiUEU4qk6"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proptiger.com/mumbai/neral/sonu-studio-high-5-phase-3-wing-f-3309209"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257"/>
  <sheetViews>
    <sheetView tabSelected="1" view="pageBreakPreview" zoomScaleNormal="100" zoomScaleSheetLayoutView="100" zoomScalePageLayoutView="85" workbookViewId="0">
      <selection activeCell="I16" sqref="I16"/>
    </sheetView>
  </sheetViews>
  <sheetFormatPr defaultColWidth="9.140625" defaultRowHeight="15.75" x14ac:dyDescent="0.25"/>
  <cols>
    <col min="1" max="1" width="11.42578125" style="30" customWidth="1"/>
    <col min="2" max="2" width="12" style="30" customWidth="1"/>
    <col min="3" max="3" width="12.7109375" style="30" customWidth="1"/>
    <col min="4" max="4" width="13.7109375" style="30" customWidth="1"/>
    <col min="5" max="5" width="11.7109375" style="30" customWidth="1"/>
    <col min="6" max="6" width="11.140625" style="30" customWidth="1"/>
    <col min="7" max="8" width="11" style="30" customWidth="1"/>
    <col min="9" max="9" width="27.5703125" style="16" customWidth="1"/>
    <col min="10" max="10" width="11.42578125" style="16" customWidth="1"/>
    <col min="11" max="11" width="12" style="16" customWidth="1"/>
    <col min="12" max="12" width="13.85546875" style="16" bestFit="1" customWidth="1"/>
    <col min="13" max="13" width="11.85546875" style="16" customWidth="1"/>
    <col min="14" max="14" width="12.5703125" style="16" customWidth="1"/>
    <col min="15" max="15" width="12.140625" style="16" customWidth="1"/>
    <col min="16" max="16" width="11.7109375" style="16" customWidth="1"/>
    <col min="17" max="18" width="9.140625" style="16"/>
    <col min="19" max="19" width="10.85546875" style="16" bestFit="1" customWidth="1"/>
    <col min="20" max="247" width="9.140625" style="16"/>
    <col min="248" max="248" width="8.7109375" style="16" customWidth="1"/>
    <col min="249" max="249" width="9.85546875" style="16" customWidth="1"/>
    <col min="250" max="250" width="14.42578125" style="16" customWidth="1"/>
    <col min="251" max="251" width="7.28515625" style="16" customWidth="1"/>
    <col min="252" max="252" width="5.5703125" style="16" customWidth="1"/>
    <col min="253" max="253" width="9" style="16" customWidth="1"/>
    <col min="254" max="255" width="9.85546875" style="16" customWidth="1"/>
    <col min="256" max="256" width="11.140625" style="16" customWidth="1"/>
    <col min="257" max="257" width="2.85546875" style="16" customWidth="1"/>
    <col min="258" max="258" width="3.5703125" style="16" customWidth="1"/>
    <col min="259" max="503" width="9.140625" style="16"/>
    <col min="504" max="504" width="8.7109375" style="16" customWidth="1"/>
    <col min="505" max="505" width="9.85546875" style="16" customWidth="1"/>
    <col min="506" max="506" width="14.42578125" style="16" customWidth="1"/>
    <col min="507" max="507" width="7.28515625" style="16" customWidth="1"/>
    <col min="508" max="508" width="5.5703125" style="16" customWidth="1"/>
    <col min="509" max="509" width="9" style="16" customWidth="1"/>
    <col min="510" max="511" width="9.85546875" style="16" customWidth="1"/>
    <col min="512" max="512" width="11.140625" style="16" customWidth="1"/>
    <col min="513" max="513" width="2.85546875" style="16" customWidth="1"/>
    <col min="514" max="514" width="3.5703125" style="16" customWidth="1"/>
    <col min="515" max="759" width="9.140625" style="16"/>
    <col min="760" max="760" width="8.7109375" style="16" customWidth="1"/>
    <col min="761" max="761" width="9.85546875" style="16" customWidth="1"/>
    <col min="762" max="762" width="14.42578125" style="16" customWidth="1"/>
    <col min="763" max="763" width="7.28515625" style="16" customWidth="1"/>
    <col min="764" max="764" width="5.5703125" style="16" customWidth="1"/>
    <col min="765" max="765" width="9" style="16" customWidth="1"/>
    <col min="766" max="767" width="9.85546875" style="16" customWidth="1"/>
    <col min="768" max="768" width="11.140625" style="16" customWidth="1"/>
    <col min="769" max="769" width="2.85546875" style="16" customWidth="1"/>
    <col min="770" max="770" width="3.5703125" style="16" customWidth="1"/>
    <col min="771" max="1015" width="9.140625" style="16"/>
    <col min="1016" max="1016" width="8.7109375" style="16" customWidth="1"/>
    <col min="1017" max="1017" width="9.85546875" style="16" customWidth="1"/>
    <col min="1018" max="1018" width="14.42578125" style="16" customWidth="1"/>
    <col min="1019" max="1019" width="7.28515625" style="16" customWidth="1"/>
    <col min="1020" max="1020" width="5.5703125" style="16" customWidth="1"/>
    <col min="1021" max="1021" width="9" style="16" customWidth="1"/>
    <col min="1022" max="1023" width="9.85546875" style="16" customWidth="1"/>
    <col min="1024" max="1024" width="11.140625" style="16" customWidth="1"/>
    <col min="1025" max="1025" width="2.85546875" style="16" customWidth="1"/>
    <col min="1026" max="1026" width="3.5703125" style="16" customWidth="1"/>
    <col min="1027" max="1271" width="9.140625" style="16"/>
    <col min="1272" max="1272" width="8.7109375" style="16" customWidth="1"/>
    <col min="1273" max="1273" width="9.85546875" style="16" customWidth="1"/>
    <col min="1274" max="1274" width="14.42578125" style="16" customWidth="1"/>
    <col min="1275" max="1275" width="7.28515625" style="16" customWidth="1"/>
    <col min="1276" max="1276" width="5.5703125" style="16" customWidth="1"/>
    <col min="1277" max="1277" width="9" style="16" customWidth="1"/>
    <col min="1278" max="1279" width="9.85546875" style="16" customWidth="1"/>
    <col min="1280" max="1280" width="11.140625" style="16" customWidth="1"/>
    <col min="1281" max="1281" width="2.85546875" style="16" customWidth="1"/>
    <col min="1282" max="1282" width="3.5703125" style="16" customWidth="1"/>
    <col min="1283" max="1527" width="9.140625" style="16"/>
    <col min="1528" max="1528" width="8.7109375" style="16" customWidth="1"/>
    <col min="1529" max="1529" width="9.85546875" style="16" customWidth="1"/>
    <col min="1530" max="1530" width="14.42578125" style="16" customWidth="1"/>
    <col min="1531" max="1531" width="7.28515625" style="16" customWidth="1"/>
    <col min="1532" max="1532" width="5.5703125" style="16" customWidth="1"/>
    <col min="1533" max="1533" width="9" style="16" customWidth="1"/>
    <col min="1534" max="1535" width="9.85546875" style="16" customWidth="1"/>
    <col min="1536" max="1536" width="11.140625" style="16" customWidth="1"/>
    <col min="1537" max="1537" width="2.85546875" style="16" customWidth="1"/>
    <col min="1538" max="1538" width="3.5703125" style="16" customWidth="1"/>
    <col min="1539" max="1783" width="9.140625" style="16"/>
    <col min="1784" max="1784" width="8.7109375" style="16" customWidth="1"/>
    <col min="1785" max="1785" width="9.85546875" style="16" customWidth="1"/>
    <col min="1786" max="1786" width="14.42578125" style="16" customWidth="1"/>
    <col min="1787" max="1787" width="7.28515625" style="16" customWidth="1"/>
    <col min="1788" max="1788" width="5.5703125" style="16" customWidth="1"/>
    <col min="1789" max="1789" width="9" style="16" customWidth="1"/>
    <col min="1790" max="1791" width="9.85546875" style="16" customWidth="1"/>
    <col min="1792" max="1792" width="11.140625" style="16" customWidth="1"/>
    <col min="1793" max="1793" width="2.85546875" style="16" customWidth="1"/>
    <col min="1794" max="1794" width="3.5703125" style="16" customWidth="1"/>
    <col min="1795" max="2039" width="9.140625" style="16"/>
    <col min="2040" max="2040" width="8.7109375" style="16" customWidth="1"/>
    <col min="2041" max="2041" width="9.85546875" style="16" customWidth="1"/>
    <col min="2042" max="2042" width="14.42578125" style="16" customWidth="1"/>
    <col min="2043" max="2043" width="7.28515625" style="16" customWidth="1"/>
    <col min="2044" max="2044" width="5.5703125" style="16" customWidth="1"/>
    <col min="2045" max="2045" width="9" style="16" customWidth="1"/>
    <col min="2046" max="2047" width="9.85546875" style="16" customWidth="1"/>
    <col min="2048" max="2048" width="11.140625" style="16" customWidth="1"/>
    <col min="2049" max="2049" width="2.85546875" style="16" customWidth="1"/>
    <col min="2050" max="2050" width="3.5703125" style="16" customWidth="1"/>
    <col min="2051" max="2295" width="9.140625" style="16"/>
    <col min="2296" max="2296" width="8.7109375" style="16" customWidth="1"/>
    <col min="2297" max="2297" width="9.85546875" style="16" customWidth="1"/>
    <col min="2298" max="2298" width="14.42578125" style="16" customWidth="1"/>
    <col min="2299" max="2299" width="7.28515625" style="16" customWidth="1"/>
    <col min="2300" max="2300" width="5.5703125" style="16" customWidth="1"/>
    <col min="2301" max="2301" width="9" style="16" customWidth="1"/>
    <col min="2302" max="2303" width="9.85546875" style="16" customWidth="1"/>
    <col min="2304" max="2304" width="11.140625" style="16" customWidth="1"/>
    <col min="2305" max="2305" width="2.85546875" style="16" customWidth="1"/>
    <col min="2306" max="2306" width="3.5703125" style="16" customWidth="1"/>
    <col min="2307" max="2551" width="9.140625" style="16"/>
    <col min="2552" max="2552" width="8.7109375" style="16" customWidth="1"/>
    <col min="2553" max="2553" width="9.85546875" style="16" customWidth="1"/>
    <col min="2554" max="2554" width="14.42578125" style="16" customWidth="1"/>
    <col min="2555" max="2555" width="7.28515625" style="16" customWidth="1"/>
    <col min="2556" max="2556" width="5.5703125" style="16" customWidth="1"/>
    <col min="2557" max="2557" width="9" style="16" customWidth="1"/>
    <col min="2558" max="2559" width="9.85546875" style="16" customWidth="1"/>
    <col min="2560" max="2560" width="11.140625" style="16" customWidth="1"/>
    <col min="2561" max="2561" width="2.85546875" style="16" customWidth="1"/>
    <col min="2562" max="2562" width="3.5703125" style="16" customWidth="1"/>
    <col min="2563" max="2807" width="9.140625" style="16"/>
    <col min="2808" max="2808" width="8.7109375" style="16" customWidth="1"/>
    <col min="2809" max="2809" width="9.85546875" style="16" customWidth="1"/>
    <col min="2810" max="2810" width="14.42578125" style="16" customWidth="1"/>
    <col min="2811" max="2811" width="7.28515625" style="16" customWidth="1"/>
    <col min="2812" max="2812" width="5.5703125" style="16" customWidth="1"/>
    <col min="2813" max="2813" width="9" style="16" customWidth="1"/>
    <col min="2814" max="2815" width="9.85546875" style="16" customWidth="1"/>
    <col min="2816" max="2816" width="11.140625" style="16" customWidth="1"/>
    <col min="2817" max="2817" width="2.85546875" style="16" customWidth="1"/>
    <col min="2818" max="2818" width="3.5703125" style="16" customWidth="1"/>
    <col min="2819" max="3063" width="9.140625" style="16"/>
    <col min="3064" max="3064" width="8.7109375" style="16" customWidth="1"/>
    <col min="3065" max="3065" width="9.85546875" style="16" customWidth="1"/>
    <col min="3066" max="3066" width="14.42578125" style="16" customWidth="1"/>
    <col min="3067" max="3067" width="7.28515625" style="16" customWidth="1"/>
    <col min="3068" max="3068" width="5.5703125" style="16" customWidth="1"/>
    <col min="3069" max="3069" width="9" style="16" customWidth="1"/>
    <col min="3070" max="3071" width="9.85546875" style="16" customWidth="1"/>
    <col min="3072" max="3072" width="11.140625" style="16" customWidth="1"/>
    <col min="3073" max="3073" width="2.85546875" style="16" customWidth="1"/>
    <col min="3074" max="3074" width="3.5703125" style="16" customWidth="1"/>
    <col min="3075" max="3319" width="9.140625" style="16"/>
    <col min="3320" max="3320" width="8.7109375" style="16" customWidth="1"/>
    <col min="3321" max="3321" width="9.85546875" style="16" customWidth="1"/>
    <col min="3322" max="3322" width="14.42578125" style="16" customWidth="1"/>
    <col min="3323" max="3323" width="7.28515625" style="16" customWidth="1"/>
    <col min="3324" max="3324" width="5.5703125" style="16" customWidth="1"/>
    <col min="3325" max="3325" width="9" style="16" customWidth="1"/>
    <col min="3326" max="3327" width="9.85546875" style="16" customWidth="1"/>
    <col min="3328" max="3328" width="11.140625" style="16" customWidth="1"/>
    <col min="3329" max="3329" width="2.85546875" style="16" customWidth="1"/>
    <col min="3330" max="3330" width="3.5703125" style="16" customWidth="1"/>
    <col min="3331" max="3575" width="9.140625" style="16"/>
    <col min="3576" max="3576" width="8.7109375" style="16" customWidth="1"/>
    <col min="3577" max="3577" width="9.85546875" style="16" customWidth="1"/>
    <col min="3578" max="3578" width="14.42578125" style="16" customWidth="1"/>
    <col min="3579" max="3579" width="7.28515625" style="16" customWidth="1"/>
    <col min="3580" max="3580" width="5.5703125" style="16" customWidth="1"/>
    <col min="3581" max="3581" width="9" style="16" customWidth="1"/>
    <col min="3582" max="3583" width="9.85546875" style="16" customWidth="1"/>
    <col min="3584" max="3584" width="11.140625" style="16" customWidth="1"/>
    <col min="3585" max="3585" width="2.85546875" style="16" customWidth="1"/>
    <col min="3586" max="3586" width="3.5703125" style="16" customWidth="1"/>
    <col min="3587" max="3831" width="9.140625" style="16"/>
    <col min="3832" max="3832" width="8.7109375" style="16" customWidth="1"/>
    <col min="3833" max="3833" width="9.85546875" style="16" customWidth="1"/>
    <col min="3834" max="3834" width="14.42578125" style="16" customWidth="1"/>
    <col min="3835" max="3835" width="7.28515625" style="16" customWidth="1"/>
    <col min="3836" max="3836" width="5.5703125" style="16" customWidth="1"/>
    <col min="3837" max="3837" width="9" style="16" customWidth="1"/>
    <col min="3838" max="3839" width="9.85546875" style="16" customWidth="1"/>
    <col min="3840" max="3840" width="11.140625" style="16" customWidth="1"/>
    <col min="3841" max="3841" width="2.85546875" style="16" customWidth="1"/>
    <col min="3842" max="3842" width="3.5703125" style="16" customWidth="1"/>
    <col min="3843" max="4087" width="9.140625" style="16"/>
    <col min="4088" max="4088" width="8.7109375" style="16" customWidth="1"/>
    <col min="4089" max="4089" width="9.85546875" style="16" customWidth="1"/>
    <col min="4090" max="4090" width="14.42578125" style="16" customWidth="1"/>
    <col min="4091" max="4091" width="7.28515625" style="16" customWidth="1"/>
    <col min="4092" max="4092" width="5.5703125" style="16" customWidth="1"/>
    <col min="4093" max="4093" width="9" style="16" customWidth="1"/>
    <col min="4094" max="4095" width="9.85546875" style="16" customWidth="1"/>
    <col min="4096" max="4096" width="11.140625" style="16" customWidth="1"/>
    <col min="4097" max="4097" width="2.85546875" style="16" customWidth="1"/>
    <col min="4098" max="4098" width="3.5703125" style="16" customWidth="1"/>
    <col min="4099" max="4343" width="9.140625" style="16"/>
    <col min="4344" max="4344" width="8.7109375" style="16" customWidth="1"/>
    <col min="4345" max="4345" width="9.85546875" style="16" customWidth="1"/>
    <col min="4346" max="4346" width="14.42578125" style="16" customWidth="1"/>
    <col min="4347" max="4347" width="7.28515625" style="16" customWidth="1"/>
    <col min="4348" max="4348" width="5.5703125" style="16" customWidth="1"/>
    <col min="4349" max="4349" width="9" style="16" customWidth="1"/>
    <col min="4350" max="4351" width="9.85546875" style="16" customWidth="1"/>
    <col min="4352" max="4352" width="11.140625" style="16" customWidth="1"/>
    <col min="4353" max="4353" width="2.85546875" style="16" customWidth="1"/>
    <col min="4354" max="4354" width="3.5703125" style="16" customWidth="1"/>
    <col min="4355" max="4599" width="9.140625" style="16"/>
    <col min="4600" max="4600" width="8.7109375" style="16" customWidth="1"/>
    <col min="4601" max="4601" width="9.85546875" style="16" customWidth="1"/>
    <col min="4602" max="4602" width="14.42578125" style="16" customWidth="1"/>
    <col min="4603" max="4603" width="7.28515625" style="16" customWidth="1"/>
    <col min="4604" max="4604" width="5.5703125" style="16" customWidth="1"/>
    <col min="4605" max="4605" width="9" style="16" customWidth="1"/>
    <col min="4606" max="4607" width="9.85546875" style="16" customWidth="1"/>
    <col min="4608" max="4608" width="11.140625" style="16" customWidth="1"/>
    <col min="4609" max="4609" width="2.85546875" style="16" customWidth="1"/>
    <col min="4610" max="4610" width="3.5703125" style="16" customWidth="1"/>
    <col min="4611" max="4855" width="9.140625" style="16"/>
    <col min="4856" max="4856" width="8.7109375" style="16" customWidth="1"/>
    <col min="4857" max="4857" width="9.85546875" style="16" customWidth="1"/>
    <col min="4858" max="4858" width="14.42578125" style="16" customWidth="1"/>
    <col min="4859" max="4859" width="7.28515625" style="16" customWidth="1"/>
    <col min="4860" max="4860" width="5.5703125" style="16" customWidth="1"/>
    <col min="4861" max="4861" width="9" style="16" customWidth="1"/>
    <col min="4862" max="4863" width="9.85546875" style="16" customWidth="1"/>
    <col min="4864" max="4864" width="11.140625" style="16" customWidth="1"/>
    <col min="4865" max="4865" width="2.85546875" style="16" customWidth="1"/>
    <col min="4866" max="4866" width="3.5703125" style="16" customWidth="1"/>
    <col min="4867" max="5111" width="9.140625" style="16"/>
    <col min="5112" max="5112" width="8.7109375" style="16" customWidth="1"/>
    <col min="5113" max="5113" width="9.85546875" style="16" customWidth="1"/>
    <col min="5114" max="5114" width="14.42578125" style="16" customWidth="1"/>
    <col min="5115" max="5115" width="7.28515625" style="16" customWidth="1"/>
    <col min="5116" max="5116" width="5.5703125" style="16" customWidth="1"/>
    <col min="5117" max="5117" width="9" style="16" customWidth="1"/>
    <col min="5118" max="5119" width="9.85546875" style="16" customWidth="1"/>
    <col min="5120" max="5120" width="11.140625" style="16" customWidth="1"/>
    <col min="5121" max="5121" width="2.85546875" style="16" customWidth="1"/>
    <col min="5122" max="5122" width="3.5703125" style="16" customWidth="1"/>
    <col min="5123" max="5367" width="9.140625" style="16"/>
    <col min="5368" max="5368" width="8.7109375" style="16" customWidth="1"/>
    <col min="5369" max="5369" width="9.85546875" style="16" customWidth="1"/>
    <col min="5370" max="5370" width="14.42578125" style="16" customWidth="1"/>
    <col min="5371" max="5371" width="7.28515625" style="16" customWidth="1"/>
    <col min="5372" max="5372" width="5.5703125" style="16" customWidth="1"/>
    <col min="5373" max="5373" width="9" style="16" customWidth="1"/>
    <col min="5374" max="5375" width="9.85546875" style="16" customWidth="1"/>
    <col min="5376" max="5376" width="11.140625" style="16" customWidth="1"/>
    <col min="5377" max="5377" width="2.85546875" style="16" customWidth="1"/>
    <col min="5378" max="5378" width="3.5703125" style="16" customWidth="1"/>
    <col min="5379" max="5623" width="9.140625" style="16"/>
    <col min="5624" max="5624" width="8.7109375" style="16" customWidth="1"/>
    <col min="5625" max="5625" width="9.85546875" style="16" customWidth="1"/>
    <col min="5626" max="5626" width="14.42578125" style="16" customWidth="1"/>
    <col min="5627" max="5627" width="7.28515625" style="16" customWidth="1"/>
    <col min="5628" max="5628" width="5.5703125" style="16" customWidth="1"/>
    <col min="5629" max="5629" width="9" style="16" customWidth="1"/>
    <col min="5630" max="5631" width="9.85546875" style="16" customWidth="1"/>
    <col min="5632" max="5632" width="11.140625" style="16" customWidth="1"/>
    <col min="5633" max="5633" width="2.85546875" style="16" customWidth="1"/>
    <col min="5634" max="5634" width="3.5703125" style="16" customWidth="1"/>
    <col min="5635" max="5879" width="9.140625" style="16"/>
    <col min="5880" max="5880" width="8.7109375" style="16" customWidth="1"/>
    <col min="5881" max="5881" width="9.85546875" style="16" customWidth="1"/>
    <col min="5882" max="5882" width="14.42578125" style="16" customWidth="1"/>
    <col min="5883" max="5883" width="7.28515625" style="16" customWidth="1"/>
    <col min="5884" max="5884" width="5.5703125" style="16" customWidth="1"/>
    <col min="5885" max="5885" width="9" style="16" customWidth="1"/>
    <col min="5886" max="5887" width="9.85546875" style="16" customWidth="1"/>
    <col min="5888" max="5888" width="11.140625" style="16" customWidth="1"/>
    <col min="5889" max="5889" width="2.85546875" style="16" customWidth="1"/>
    <col min="5890" max="5890" width="3.5703125" style="16" customWidth="1"/>
    <col min="5891" max="6135" width="9.140625" style="16"/>
    <col min="6136" max="6136" width="8.7109375" style="16" customWidth="1"/>
    <col min="6137" max="6137" width="9.85546875" style="16" customWidth="1"/>
    <col min="6138" max="6138" width="14.42578125" style="16" customWidth="1"/>
    <col min="6139" max="6139" width="7.28515625" style="16" customWidth="1"/>
    <col min="6140" max="6140" width="5.5703125" style="16" customWidth="1"/>
    <col min="6141" max="6141" width="9" style="16" customWidth="1"/>
    <col min="6142" max="6143" width="9.85546875" style="16" customWidth="1"/>
    <col min="6144" max="6144" width="11.140625" style="16" customWidth="1"/>
    <col min="6145" max="6145" width="2.85546875" style="16" customWidth="1"/>
    <col min="6146" max="6146" width="3.5703125" style="16" customWidth="1"/>
    <col min="6147" max="6391" width="9.140625" style="16"/>
    <col min="6392" max="6392" width="8.7109375" style="16" customWidth="1"/>
    <col min="6393" max="6393" width="9.85546875" style="16" customWidth="1"/>
    <col min="6394" max="6394" width="14.42578125" style="16" customWidth="1"/>
    <col min="6395" max="6395" width="7.28515625" style="16" customWidth="1"/>
    <col min="6396" max="6396" width="5.5703125" style="16" customWidth="1"/>
    <col min="6397" max="6397" width="9" style="16" customWidth="1"/>
    <col min="6398" max="6399" width="9.85546875" style="16" customWidth="1"/>
    <col min="6400" max="6400" width="11.140625" style="16" customWidth="1"/>
    <col min="6401" max="6401" width="2.85546875" style="16" customWidth="1"/>
    <col min="6402" max="6402" width="3.5703125" style="16" customWidth="1"/>
    <col min="6403" max="6647" width="9.140625" style="16"/>
    <col min="6648" max="6648" width="8.7109375" style="16" customWidth="1"/>
    <col min="6649" max="6649" width="9.85546875" style="16" customWidth="1"/>
    <col min="6650" max="6650" width="14.42578125" style="16" customWidth="1"/>
    <col min="6651" max="6651" width="7.28515625" style="16" customWidth="1"/>
    <col min="6652" max="6652" width="5.5703125" style="16" customWidth="1"/>
    <col min="6653" max="6653" width="9" style="16" customWidth="1"/>
    <col min="6654" max="6655" width="9.85546875" style="16" customWidth="1"/>
    <col min="6656" max="6656" width="11.140625" style="16" customWidth="1"/>
    <col min="6657" max="6657" width="2.85546875" style="16" customWidth="1"/>
    <col min="6658" max="6658" width="3.5703125" style="16" customWidth="1"/>
    <col min="6659" max="6903" width="9.140625" style="16"/>
    <col min="6904" max="6904" width="8.7109375" style="16" customWidth="1"/>
    <col min="6905" max="6905" width="9.85546875" style="16" customWidth="1"/>
    <col min="6906" max="6906" width="14.42578125" style="16" customWidth="1"/>
    <col min="6907" max="6907" width="7.28515625" style="16" customWidth="1"/>
    <col min="6908" max="6908" width="5.5703125" style="16" customWidth="1"/>
    <col min="6909" max="6909" width="9" style="16" customWidth="1"/>
    <col min="6910" max="6911" width="9.85546875" style="16" customWidth="1"/>
    <col min="6912" max="6912" width="11.140625" style="16" customWidth="1"/>
    <col min="6913" max="6913" width="2.85546875" style="16" customWidth="1"/>
    <col min="6914" max="6914" width="3.5703125" style="16" customWidth="1"/>
    <col min="6915" max="7159" width="9.140625" style="16"/>
    <col min="7160" max="7160" width="8.7109375" style="16" customWidth="1"/>
    <col min="7161" max="7161" width="9.85546875" style="16" customWidth="1"/>
    <col min="7162" max="7162" width="14.42578125" style="16" customWidth="1"/>
    <col min="7163" max="7163" width="7.28515625" style="16" customWidth="1"/>
    <col min="7164" max="7164" width="5.5703125" style="16" customWidth="1"/>
    <col min="7165" max="7165" width="9" style="16" customWidth="1"/>
    <col min="7166" max="7167" width="9.85546875" style="16" customWidth="1"/>
    <col min="7168" max="7168" width="11.140625" style="16" customWidth="1"/>
    <col min="7169" max="7169" width="2.85546875" style="16" customWidth="1"/>
    <col min="7170" max="7170" width="3.5703125" style="16" customWidth="1"/>
    <col min="7171" max="7415" width="9.140625" style="16"/>
    <col min="7416" max="7416" width="8.7109375" style="16" customWidth="1"/>
    <col min="7417" max="7417" width="9.85546875" style="16" customWidth="1"/>
    <col min="7418" max="7418" width="14.42578125" style="16" customWidth="1"/>
    <col min="7419" max="7419" width="7.28515625" style="16" customWidth="1"/>
    <col min="7420" max="7420" width="5.5703125" style="16" customWidth="1"/>
    <col min="7421" max="7421" width="9" style="16" customWidth="1"/>
    <col min="7422" max="7423" width="9.85546875" style="16" customWidth="1"/>
    <col min="7424" max="7424" width="11.140625" style="16" customWidth="1"/>
    <col min="7425" max="7425" width="2.85546875" style="16" customWidth="1"/>
    <col min="7426" max="7426" width="3.5703125" style="16" customWidth="1"/>
    <col min="7427" max="7671" width="9.140625" style="16"/>
    <col min="7672" max="7672" width="8.7109375" style="16" customWidth="1"/>
    <col min="7673" max="7673" width="9.85546875" style="16" customWidth="1"/>
    <col min="7674" max="7674" width="14.42578125" style="16" customWidth="1"/>
    <col min="7675" max="7675" width="7.28515625" style="16" customWidth="1"/>
    <col min="7676" max="7676" width="5.5703125" style="16" customWidth="1"/>
    <col min="7677" max="7677" width="9" style="16" customWidth="1"/>
    <col min="7678" max="7679" width="9.85546875" style="16" customWidth="1"/>
    <col min="7680" max="7680" width="11.140625" style="16" customWidth="1"/>
    <col min="7681" max="7681" width="2.85546875" style="16" customWidth="1"/>
    <col min="7682" max="7682" width="3.5703125" style="16" customWidth="1"/>
    <col min="7683" max="7927" width="9.140625" style="16"/>
    <col min="7928" max="7928" width="8.7109375" style="16" customWidth="1"/>
    <col min="7929" max="7929" width="9.85546875" style="16" customWidth="1"/>
    <col min="7930" max="7930" width="14.42578125" style="16" customWidth="1"/>
    <col min="7931" max="7931" width="7.28515625" style="16" customWidth="1"/>
    <col min="7932" max="7932" width="5.5703125" style="16" customWidth="1"/>
    <col min="7933" max="7933" width="9" style="16" customWidth="1"/>
    <col min="7934" max="7935" width="9.85546875" style="16" customWidth="1"/>
    <col min="7936" max="7936" width="11.140625" style="16" customWidth="1"/>
    <col min="7937" max="7937" width="2.85546875" style="16" customWidth="1"/>
    <col min="7938" max="7938" width="3.5703125" style="16" customWidth="1"/>
    <col min="7939" max="8183" width="9.140625" style="16"/>
    <col min="8184" max="8184" width="8.7109375" style="16" customWidth="1"/>
    <col min="8185" max="8185" width="9.85546875" style="16" customWidth="1"/>
    <col min="8186" max="8186" width="14.42578125" style="16" customWidth="1"/>
    <col min="8187" max="8187" width="7.28515625" style="16" customWidth="1"/>
    <col min="8188" max="8188" width="5.5703125" style="16" customWidth="1"/>
    <col min="8189" max="8189" width="9" style="16" customWidth="1"/>
    <col min="8190" max="8191" width="9.85546875" style="16" customWidth="1"/>
    <col min="8192" max="8192" width="11.140625" style="16" customWidth="1"/>
    <col min="8193" max="8193" width="2.85546875" style="16" customWidth="1"/>
    <col min="8194" max="8194" width="3.5703125" style="16" customWidth="1"/>
    <col min="8195" max="8439" width="9.140625" style="16"/>
    <col min="8440" max="8440" width="8.7109375" style="16" customWidth="1"/>
    <col min="8441" max="8441" width="9.85546875" style="16" customWidth="1"/>
    <col min="8442" max="8442" width="14.42578125" style="16" customWidth="1"/>
    <col min="8443" max="8443" width="7.28515625" style="16" customWidth="1"/>
    <col min="8444" max="8444" width="5.5703125" style="16" customWidth="1"/>
    <col min="8445" max="8445" width="9" style="16" customWidth="1"/>
    <col min="8446" max="8447" width="9.85546875" style="16" customWidth="1"/>
    <col min="8448" max="8448" width="11.140625" style="16" customWidth="1"/>
    <col min="8449" max="8449" width="2.85546875" style="16" customWidth="1"/>
    <col min="8450" max="8450" width="3.5703125" style="16" customWidth="1"/>
    <col min="8451" max="8695" width="9.140625" style="16"/>
    <col min="8696" max="8696" width="8.7109375" style="16" customWidth="1"/>
    <col min="8697" max="8697" width="9.85546875" style="16" customWidth="1"/>
    <col min="8698" max="8698" width="14.42578125" style="16" customWidth="1"/>
    <col min="8699" max="8699" width="7.28515625" style="16" customWidth="1"/>
    <col min="8700" max="8700" width="5.5703125" style="16" customWidth="1"/>
    <col min="8701" max="8701" width="9" style="16" customWidth="1"/>
    <col min="8702" max="8703" width="9.85546875" style="16" customWidth="1"/>
    <col min="8704" max="8704" width="11.140625" style="16" customWidth="1"/>
    <col min="8705" max="8705" width="2.85546875" style="16" customWidth="1"/>
    <col min="8706" max="8706" width="3.5703125" style="16" customWidth="1"/>
    <col min="8707" max="8951" width="9.140625" style="16"/>
    <col min="8952" max="8952" width="8.7109375" style="16" customWidth="1"/>
    <col min="8953" max="8953" width="9.85546875" style="16" customWidth="1"/>
    <col min="8954" max="8954" width="14.42578125" style="16" customWidth="1"/>
    <col min="8955" max="8955" width="7.28515625" style="16" customWidth="1"/>
    <col min="8956" max="8956" width="5.5703125" style="16" customWidth="1"/>
    <col min="8957" max="8957" width="9" style="16" customWidth="1"/>
    <col min="8958" max="8959" width="9.85546875" style="16" customWidth="1"/>
    <col min="8960" max="8960" width="11.140625" style="16" customWidth="1"/>
    <col min="8961" max="8961" width="2.85546875" style="16" customWidth="1"/>
    <col min="8962" max="8962" width="3.5703125" style="16" customWidth="1"/>
    <col min="8963" max="9207" width="9.140625" style="16"/>
    <col min="9208" max="9208" width="8.7109375" style="16" customWidth="1"/>
    <col min="9209" max="9209" width="9.85546875" style="16" customWidth="1"/>
    <col min="9210" max="9210" width="14.42578125" style="16" customWidth="1"/>
    <col min="9211" max="9211" width="7.28515625" style="16" customWidth="1"/>
    <col min="9212" max="9212" width="5.5703125" style="16" customWidth="1"/>
    <col min="9213" max="9213" width="9" style="16" customWidth="1"/>
    <col min="9214" max="9215" width="9.85546875" style="16" customWidth="1"/>
    <col min="9216" max="9216" width="11.140625" style="16" customWidth="1"/>
    <col min="9217" max="9217" width="2.85546875" style="16" customWidth="1"/>
    <col min="9218" max="9218" width="3.5703125" style="16" customWidth="1"/>
    <col min="9219" max="9463" width="9.140625" style="16"/>
    <col min="9464" max="9464" width="8.7109375" style="16" customWidth="1"/>
    <col min="9465" max="9465" width="9.85546875" style="16" customWidth="1"/>
    <col min="9466" max="9466" width="14.42578125" style="16" customWidth="1"/>
    <col min="9467" max="9467" width="7.28515625" style="16" customWidth="1"/>
    <col min="9468" max="9468" width="5.5703125" style="16" customWidth="1"/>
    <col min="9469" max="9469" width="9" style="16" customWidth="1"/>
    <col min="9470" max="9471" width="9.85546875" style="16" customWidth="1"/>
    <col min="9472" max="9472" width="11.140625" style="16" customWidth="1"/>
    <col min="9473" max="9473" width="2.85546875" style="16" customWidth="1"/>
    <col min="9474" max="9474" width="3.5703125" style="16" customWidth="1"/>
    <col min="9475" max="9719" width="9.140625" style="16"/>
    <col min="9720" max="9720" width="8.7109375" style="16" customWidth="1"/>
    <col min="9721" max="9721" width="9.85546875" style="16" customWidth="1"/>
    <col min="9722" max="9722" width="14.42578125" style="16" customWidth="1"/>
    <col min="9723" max="9723" width="7.28515625" style="16" customWidth="1"/>
    <col min="9724" max="9724" width="5.5703125" style="16" customWidth="1"/>
    <col min="9725" max="9725" width="9" style="16" customWidth="1"/>
    <col min="9726" max="9727" width="9.85546875" style="16" customWidth="1"/>
    <col min="9728" max="9728" width="11.140625" style="16" customWidth="1"/>
    <col min="9729" max="9729" width="2.85546875" style="16" customWidth="1"/>
    <col min="9730" max="9730" width="3.5703125" style="16" customWidth="1"/>
    <col min="9731" max="9975" width="9.140625" style="16"/>
    <col min="9976" max="9976" width="8.7109375" style="16" customWidth="1"/>
    <col min="9977" max="9977" width="9.85546875" style="16" customWidth="1"/>
    <col min="9978" max="9978" width="14.42578125" style="16" customWidth="1"/>
    <col min="9979" max="9979" width="7.28515625" style="16" customWidth="1"/>
    <col min="9980" max="9980" width="5.5703125" style="16" customWidth="1"/>
    <col min="9981" max="9981" width="9" style="16" customWidth="1"/>
    <col min="9982" max="9983" width="9.85546875" style="16" customWidth="1"/>
    <col min="9984" max="9984" width="11.140625" style="16" customWidth="1"/>
    <col min="9985" max="9985" width="2.85546875" style="16" customWidth="1"/>
    <col min="9986" max="9986" width="3.5703125" style="16" customWidth="1"/>
    <col min="9987" max="10231" width="9.140625" style="16"/>
    <col min="10232" max="10232" width="8.7109375" style="16" customWidth="1"/>
    <col min="10233" max="10233" width="9.85546875" style="16" customWidth="1"/>
    <col min="10234" max="10234" width="14.42578125" style="16" customWidth="1"/>
    <col min="10235" max="10235" width="7.28515625" style="16" customWidth="1"/>
    <col min="10236" max="10236" width="5.5703125" style="16" customWidth="1"/>
    <col min="10237" max="10237" width="9" style="16" customWidth="1"/>
    <col min="10238" max="10239" width="9.85546875" style="16" customWidth="1"/>
    <col min="10240" max="10240" width="11.140625" style="16" customWidth="1"/>
    <col min="10241" max="10241" width="2.85546875" style="16" customWidth="1"/>
    <col min="10242" max="10242" width="3.5703125" style="16" customWidth="1"/>
    <col min="10243" max="10487" width="9.140625" style="16"/>
    <col min="10488" max="10488" width="8.7109375" style="16" customWidth="1"/>
    <col min="10489" max="10489" width="9.85546875" style="16" customWidth="1"/>
    <col min="10490" max="10490" width="14.42578125" style="16" customWidth="1"/>
    <col min="10491" max="10491" width="7.28515625" style="16" customWidth="1"/>
    <col min="10492" max="10492" width="5.5703125" style="16" customWidth="1"/>
    <col min="10493" max="10493" width="9" style="16" customWidth="1"/>
    <col min="10494" max="10495" width="9.85546875" style="16" customWidth="1"/>
    <col min="10496" max="10496" width="11.140625" style="16" customWidth="1"/>
    <col min="10497" max="10497" width="2.85546875" style="16" customWidth="1"/>
    <col min="10498" max="10498" width="3.5703125" style="16" customWidth="1"/>
    <col min="10499" max="10743" width="9.140625" style="16"/>
    <col min="10744" max="10744" width="8.7109375" style="16" customWidth="1"/>
    <col min="10745" max="10745" width="9.85546875" style="16" customWidth="1"/>
    <col min="10746" max="10746" width="14.42578125" style="16" customWidth="1"/>
    <col min="10747" max="10747" width="7.28515625" style="16" customWidth="1"/>
    <col min="10748" max="10748" width="5.5703125" style="16" customWidth="1"/>
    <col min="10749" max="10749" width="9" style="16" customWidth="1"/>
    <col min="10750" max="10751" width="9.85546875" style="16" customWidth="1"/>
    <col min="10752" max="10752" width="11.140625" style="16" customWidth="1"/>
    <col min="10753" max="10753" width="2.85546875" style="16" customWidth="1"/>
    <col min="10754" max="10754" width="3.5703125" style="16" customWidth="1"/>
    <col min="10755" max="10999" width="9.140625" style="16"/>
    <col min="11000" max="11000" width="8.7109375" style="16" customWidth="1"/>
    <col min="11001" max="11001" width="9.85546875" style="16" customWidth="1"/>
    <col min="11002" max="11002" width="14.42578125" style="16" customWidth="1"/>
    <col min="11003" max="11003" width="7.28515625" style="16" customWidth="1"/>
    <col min="11004" max="11004" width="5.5703125" style="16" customWidth="1"/>
    <col min="11005" max="11005" width="9" style="16" customWidth="1"/>
    <col min="11006" max="11007" width="9.85546875" style="16" customWidth="1"/>
    <col min="11008" max="11008" width="11.140625" style="16" customWidth="1"/>
    <col min="11009" max="11009" width="2.85546875" style="16" customWidth="1"/>
    <col min="11010" max="11010" width="3.5703125" style="16" customWidth="1"/>
    <col min="11011" max="11255" width="9.140625" style="16"/>
    <col min="11256" max="11256" width="8.7109375" style="16" customWidth="1"/>
    <col min="11257" max="11257" width="9.85546875" style="16" customWidth="1"/>
    <col min="11258" max="11258" width="14.42578125" style="16" customWidth="1"/>
    <col min="11259" max="11259" width="7.28515625" style="16" customWidth="1"/>
    <col min="11260" max="11260" width="5.5703125" style="16" customWidth="1"/>
    <col min="11261" max="11261" width="9" style="16" customWidth="1"/>
    <col min="11262" max="11263" width="9.85546875" style="16" customWidth="1"/>
    <col min="11264" max="11264" width="11.140625" style="16" customWidth="1"/>
    <col min="11265" max="11265" width="2.85546875" style="16" customWidth="1"/>
    <col min="11266" max="11266" width="3.5703125" style="16" customWidth="1"/>
    <col min="11267" max="11511" width="9.140625" style="16"/>
    <col min="11512" max="11512" width="8.7109375" style="16" customWidth="1"/>
    <col min="11513" max="11513" width="9.85546875" style="16" customWidth="1"/>
    <col min="11514" max="11514" width="14.42578125" style="16" customWidth="1"/>
    <col min="11515" max="11515" width="7.28515625" style="16" customWidth="1"/>
    <col min="11516" max="11516" width="5.5703125" style="16" customWidth="1"/>
    <col min="11517" max="11517" width="9" style="16" customWidth="1"/>
    <col min="11518" max="11519" width="9.85546875" style="16" customWidth="1"/>
    <col min="11520" max="11520" width="11.140625" style="16" customWidth="1"/>
    <col min="11521" max="11521" width="2.85546875" style="16" customWidth="1"/>
    <col min="11522" max="11522" width="3.5703125" style="16" customWidth="1"/>
    <col min="11523" max="11767" width="9.140625" style="16"/>
    <col min="11768" max="11768" width="8.7109375" style="16" customWidth="1"/>
    <col min="11769" max="11769" width="9.85546875" style="16" customWidth="1"/>
    <col min="11770" max="11770" width="14.42578125" style="16" customWidth="1"/>
    <col min="11771" max="11771" width="7.28515625" style="16" customWidth="1"/>
    <col min="11772" max="11772" width="5.5703125" style="16" customWidth="1"/>
    <col min="11773" max="11773" width="9" style="16" customWidth="1"/>
    <col min="11774" max="11775" width="9.85546875" style="16" customWidth="1"/>
    <col min="11776" max="11776" width="11.140625" style="16" customWidth="1"/>
    <col min="11777" max="11777" width="2.85546875" style="16" customWidth="1"/>
    <col min="11778" max="11778" width="3.5703125" style="16" customWidth="1"/>
    <col min="11779" max="12023" width="9.140625" style="16"/>
    <col min="12024" max="12024" width="8.7109375" style="16" customWidth="1"/>
    <col min="12025" max="12025" width="9.85546875" style="16" customWidth="1"/>
    <col min="12026" max="12026" width="14.42578125" style="16" customWidth="1"/>
    <col min="12027" max="12027" width="7.28515625" style="16" customWidth="1"/>
    <col min="12028" max="12028" width="5.5703125" style="16" customWidth="1"/>
    <col min="12029" max="12029" width="9" style="16" customWidth="1"/>
    <col min="12030" max="12031" width="9.85546875" style="16" customWidth="1"/>
    <col min="12032" max="12032" width="11.140625" style="16" customWidth="1"/>
    <col min="12033" max="12033" width="2.85546875" style="16" customWidth="1"/>
    <col min="12034" max="12034" width="3.5703125" style="16" customWidth="1"/>
    <col min="12035" max="12279" width="9.140625" style="16"/>
    <col min="12280" max="12280" width="8.7109375" style="16" customWidth="1"/>
    <col min="12281" max="12281" width="9.85546875" style="16" customWidth="1"/>
    <col min="12282" max="12282" width="14.42578125" style="16" customWidth="1"/>
    <col min="12283" max="12283" width="7.28515625" style="16" customWidth="1"/>
    <col min="12284" max="12284" width="5.5703125" style="16" customWidth="1"/>
    <col min="12285" max="12285" width="9" style="16" customWidth="1"/>
    <col min="12286" max="12287" width="9.85546875" style="16" customWidth="1"/>
    <col min="12288" max="12288" width="11.140625" style="16" customWidth="1"/>
    <col min="12289" max="12289" width="2.85546875" style="16" customWidth="1"/>
    <col min="12290" max="12290" width="3.5703125" style="16" customWidth="1"/>
    <col min="12291" max="12535" width="9.140625" style="16"/>
    <col min="12536" max="12536" width="8.7109375" style="16" customWidth="1"/>
    <col min="12537" max="12537" width="9.85546875" style="16" customWidth="1"/>
    <col min="12538" max="12538" width="14.42578125" style="16" customWidth="1"/>
    <col min="12539" max="12539" width="7.28515625" style="16" customWidth="1"/>
    <col min="12540" max="12540" width="5.5703125" style="16" customWidth="1"/>
    <col min="12541" max="12541" width="9" style="16" customWidth="1"/>
    <col min="12542" max="12543" width="9.85546875" style="16" customWidth="1"/>
    <col min="12544" max="12544" width="11.140625" style="16" customWidth="1"/>
    <col min="12545" max="12545" width="2.85546875" style="16" customWidth="1"/>
    <col min="12546" max="12546" width="3.5703125" style="16" customWidth="1"/>
    <col min="12547" max="12791" width="9.140625" style="16"/>
    <col min="12792" max="12792" width="8.7109375" style="16" customWidth="1"/>
    <col min="12793" max="12793" width="9.85546875" style="16" customWidth="1"/>
    <col min="12794" max="12794" width="14.42578125" style="16" customWidth="1"/>
    <col min="12795" max="12795" width="7.28515625" style="16" customWidth="1"/>
    <col min="12796" max="12796" width="5.5703125" style="16" customWidth="1"/>
    <col min="12797" max="12797" width="9" style="16" customWidth="1"/>
    <col min="12798" max="12799" width="9.85546875" style="16" customWidth="1"/>
    <col min="12800" max="12800" width="11.140625" style="16" customWidth="1"/>
    <col min="12801" max="12801" width="2.85546875" style="16" customWidth="1"/>
    <col min="12802" max="12802" width="3.5703125" style="16" customWidth="1"/>
    <col min="12803" max="13047" width="9.140625" style="16"/>
    <col min="13048" max="13048" width="8.7109375" style="16" customWidth="1"/>
    <col min="13049" max="13049" width="9.85546875" style="16" customWidth="1"/>
    <col min="13050" max="13050" width="14.42578125" style="16" customWidth="1"/>
    <col min="13051" max="13051" width="7.28515625" style="16" customWidth="1"/>
    <col min="13052" max="13052" width="5.5703125" style="16" customWidth="1"/>
    <col min="13053" max="13053" width="9" style="16" customWidth="1"/>
    <col min="13054" max="13055" width="9.85546875" style="16" customWidth="1"/>
    <col min="13056" max="13056" width="11.140625" style="16" customWidth="1"/>
    <col min="13057" max="13057" width="2.85546875" style="16" customWidth="1"/>
    <col min="13058" max="13058" width="3.5703125" style="16" customWidth="1"/>
    <col min="13059" max="13303" width="9.140625" style="16"/>
    <col min="13304" max="13304" width="8.7109375" style="16" customWidth="1"/>
    <col min="13305" max="13305" width="9.85546875" style="16" customWidth="1"/>
    <col min="13306" max="13306" width="14.42578125" style="16" customWidth="1"/>
    <col min="13307" max="13307" width="7.28515625" style="16" customWidth="1"/>
    <col min="13308" max="13308" width="5.5703125" style="16" customWidth="1"/>
    <col min="13309" max="13309" width="9" style="16" customWidth="1"/>
    <col min="13310" max="13311" width="9.85546875" style="16" customWidth="1"/>
    <col min="13312" max="13312" width="11.140625" style="16" customWidth="1"/>
    <col min="13313" max="13313" width="2.85546875" style="16" customWidth="1"/>
    <col min="13314" max="13314" width="3.5703125" style="16" customWidth="1"/>
    <col min="13315" max="13559" width="9.140625" style="16"/>
    <col min="13560" max="13560" width="8.7109375" style="16" customWidth="1"/>
    <col min="13561" max="13561" width="9.85546875" style="16" customWidth="1"/>
    <col min="13562" max="13562" width="14.42578125" style="16" customWidth="1"/>
    <col min="13563" max="13563" width="7.28515625" style="16" customWidth="1"/>
    <col min="13564" max="13564" width="5.5703125" style="16" customWidth="1"/>
    <col min="13565" max="13565" width="9" style="16" customWidth="1"/>
    <col min="13566" max="13567" width="9.85546875" style="16" customWidth="1"/>
    <col min="13568" max="13568" width="11.140625" style="16" customWidth="1"/>
    <col min="13569" max="13569" width="2.85546875" style="16" customWidth="1"/>
    <col min="13570" max="13570" width="3.5703125" style="16" customWidth="1"/>
    <col min="13571" max="13815" width="9.140625" style="16"/>
    <col min="13816" max="13816" width="8.7109375" style="16" customWidth="1"/>
    <col min="13817" max="13817" width="9.85546875" style="16" customWidth="1"/>
    <col min="13818" max="13818" width="14.42578125" style="16" customWidth="1"/>
    <col min="13819" max="13819" width="7.28515625" style="16" customWidth="1"/>
    <col min="13820" max="13820" width="5.5703125" style="16" customWidth="1"/>
    <col min="13821" max="13821" width="9" style="16" customWidth="1"/>
    <col min="13822" max="13823" width="9.85546875" style="16" customWidth="1"/>
    <col min="13824" max="13824" width="11.140625" style="16" customWidth="1"/>
    <col min="13825" max="13825" width="2.85546875" style="16" customWidth="1"/>
    <col min="13826" max="13826" width="3.5703125" style="16" customWidth="1"/>
    <col min="13827" max="14071" width="9.140625" style="16"/>
    <col min="14072" max="14072" width="8.7109375" style="16" customWidth="1"/>
    <col min="14073" max="14073" width="9.85546875" style="16" customWidth="1"/>
    <col min="14074" max="14074" width="14.42578125" style="16" customWidth="1"/>
    <col min="14075" max="14075" width="7.28515625" style="16" customWidth="1"/>
    <col min="14076" max="14076" width="5.5703125" style="16" customWidth="1"/>
    <col min="14077" max="14077" width="9" style="16" customWidth="1"/>
    <col min="14078" max="14079" width="9.85546875" style="16" customWidth="1"/>
    <col min="14080" max="14080" width="11.140625" style="16" customWidth="1"/>
    <col min="14081" max="14081" width="2.85546875" style="16" customWidth="1"/>
    <col min="14082" max="14082" width="3.5703125" style="16" customWidth="1"/>
    <col min="14083" max="14327" width="9.140625" style="16"/>
    <col min="14328" max="14328" width="8.7109375" style="16" customWidth="1"/>
    <col min="14329" max="14329" width="9.85546875" style="16" customWidth="1"/>
    <col min="14330" max="14330" width="14.42578125" style="16" customWidth="1"/>
    <col min="14331" max="14331" width="7.28515625" style="16" customWidth="1"/>
    <col min="14332" max="14332" width="5.5703125" style="16" customWidth="1"/>
    <col min="14333" max="14333" width="9" style="16" customWidth="1"/>
    <col min="14334" max="14335" width="9.85546875" style="16" customWidth="1"/>
    <col min="14336" max="14336" width="11.140625" style="16" customWidth="1"/>
    <col min="14337" max="14337" width="2.85546875" style="16" customWidth="1"/>
    <col min="14338" max="14338" width="3.5703125" style="16" customWidth="1"/>
    <col min="14339" max="14583" width="9.140625" style="16"/>
    <col min="14584" max="14584" width="8.7109375" style="16" customWidth="1"/>
    <col min="14585" max="14585" width="9.85546875" style="16" customWidth="1"/>
    <col min="14586" max="14586" width="14.42578125" style="16" customWidth="1"/>
    <col min="14587" max="14587" width="7.28515625" style="16" customWidth="1"/>
    <col min="14588" max="14588" width="5.5703125" style="16" customWidth="1"/>
    <col min="14589" max="14589" width="9" style="16" customWidth="1"/>
    <col min="14590" max="14591" width="9.85546875" style="16" customWidth="1"/>
    <col min="14592" max="14592" width="11.140625" style="16" customWidth="1"/>
    <col min="14593" max="14593" width="2.85546875" style="16" customWidth="1"/>
    <col min="14594" max="14594" width="3.5703125" style="16" customWidth="1"/>
    <col min="14595" max="14839" width="9.140625" style="16"/>
    <col min="14840" max="14840" width="8.7109375" style="16" customWidth="1"/>
    <col min="14841" max="14841" width="9.85546875" style="16" customWidth="1"/>
    <col min="14842" max="14842" width="14.42578125" style="16" customWidth="1"/>
    <col min="14843" max="14843" width="7.28515625" style="16" customWidth="1"/>
    <col min="14844" max="14844" width="5.5703125" style="16" customWidth="1"/>
    <col min="14845" max="14845" width="9" style="16" customWidth="1"/>
    <col min="14846" max="14847" width="9.85546875" style="16" customWidth="1"/>
    <col min="14848" max="14848" width="11.140625" style="16" customWidth="1"/>
    <col min="14849" max="14849" width="2.85546875" style="16" customWidth="1"/>
    <col min="14850" max="14850" width="3.5703125" style="16" customWidth="1"/>
    <col min="14851" max="15095" width="9.140625" style="16"/>
    <col min="15096" max="15096" width="8.7109375" style="16" customWidth="1"/>
    <col min="15097" max="15097" width="9.85546875" style="16" customWidth="1"/>
    <col min="15098" max="15098" width="14.42578125" style="16" customWidth="1"/>
    <col min="15099" max="15099" width="7.28515625" style="16" customWidth="1"/>
    <col min="15100" max="15100" width="5.5703125" style="16" customWidth="1"/>
    <col min="15101" max="15101" width="9" style="16" customWidth="1"/>
    <col min="15102" max="15103" width="9.85546875" style="16" customWidth="1"/>
    <col min="15104" max="15104" width="11.140625" style="16" customWidth="1"/>
    <col min="15105" max="15105" width="2.85546875" style="16" customWidth="1"/>
    <col min="15106" max="15106" width="3.5703125" style="16" customWidth="1"/>
    <col min="15107" max="15351" width="9.140625" style="16"/>
    <col min="15352" max="15352" width="8.7109375" style="16" customWidth="1"/>
    <col min="15353" max="15353" width="9.85546875" style="16" customWidth="1"/>
    <col min="15354" max="15354" width="14.42578125" style="16" customWidth="1"/>
    <col min="15355" max="15355" width="7.28515625" style="16" customWidth="1"/>
    <col min="15356" max="15356" width="5.5703125" style="16" customWidth="1"/>
    <col min="15357" max="15357" width="9" style="16" customWidth="1"/>
    <col min="15358" max="15359" width="9.85546875" style="16" customWidth="1"/>
    <col min="15360" max="15360" width="11.140625" style="16" customWidth="1"/>
    <col min="15361" max="15361" width="2.85546875" style="16" customWidth="1"/>
    <col min="15362" max="15362" width="3.5703125" style="16" customWidth="1"/>
    <col min="15363" max="15607" width="9.140625" style="16"/>
    <col min="15608" max="15608" width="8.7109375" style="16" customWidth="1"/>
    <col min="15609" max="15609" width="9.85546875" style="16" customWidth="1"/>
    <col min="15610" max="15610" width="14.42578125" style="16" customWidth="1"/>
    <col min="15611" max="15611" width="7.28515625" style="16" customWidth="1"/>
    <col min="15612" max="15612" width="5.5703125" style="16" customWidth="1"/>
    <col min="15613" max="15613" width="9" style="16" customWidth="1"/>
    <col min="15614" max="15615" width="9.85546875" style="16" customWidth="1"/>
    <col min="15616" max="15616" width="11.140625" style="16" customWidth="1"/>
    <col min="15617" max="15617" width="2.85546875" style="16" customWidth="1"/>
    <col min="15618" max="15618" width="3.5703125" style="16" customWidth="1"/>
    <col min="15619" max="15863" width="9.140625" style="16"/>
    <col min="15864" max="15864" width="8.7109375" style="16" customWidth="1"/>
    <col min="15865" max="15865" width="9.85546875" style="16" customWidth="1"/>
    <col min="15866" max="15866" width="14.42578125" style="16" customWidth="1"/>
    <col min="15867" max="15867" width="7.28515625" style="16" customWidth="1"/>
    <col min="15868" max="15868" width="5.5703125" style="16" customWidth="1"/>
    <col min="15869" max="15869" width="9" style="16" customWidth="1"/>
    <col min="15870" max="15871" width="9.85546875" style="16" customWidth="1"/>
    <col min="15872" max="15872" width="11.140625" style="16" customWidth="1"/>
    <col min="15873" max="15873" width="2.85546875" style="16" customWidth="1"/>
    <col min="15874" max="15874" width="3.5703125" style="16" customWidth="1"/>
    <col min="15875" max="16119" width="9.140625" style="16"/>
    <col min="16120" max="16120" width="8.7109375" style="16" customWidth="1"/>
    <col min="16121" max="16121" width="9.85546875" style="16" customWidth="1"/>
    <col min="16122" max="16122" width="14.42578125" style="16" customWidth="1"/>
    <col min="16123" max="16123" width="7.28515625" style="16" customWidth="1"/>
    <col min="16124" max="16124" width="5.5703125" style="16" customWidth="1"/>
    <col min="16125" max="16125" width="9" style="16" customWidth="1"/>
    <col min="16126" max="16127" width="9.85546875" style="16" customWidth="1"/>
    <col min="16128" max="16128" width="11.140625" style="16" customWidth="1"/>
    <col min="16129" max="16129" width="2.85546875" style="16" customWidth="1"/>
    <col min="16130" max="16130" width="3.5703125" style="16" customWidth="1"/>
    <col min="16131" max="16384" width="9.140625" style="16"/>
  </cols>
  <sheetData>
    <row r="1" spans="1:26" ht="46.5" customHeight="1" x14ac:dyDescent="0.25">
      <c r="A1" s="143" t="s">
        <v>160</v>
      </c>
      <c r="B1" s="143"/>
      <c r="C1" s="143"/>
      <c r="D1" s="143"/>
      <c r="E1" s="143"/>
      <c r="F1" s="143"/>
      <c r="G1" s="143"/>
      <c r="H1" s="143"/>
    </row>
    <row r="2" spans="1:26" ht="16.5" customHeight="1" x14ac:dyDescent="0.25">
      <c r="A2" s="144" t="s">
        <v>0</v>
      </c>
      <c r="B2" s="144"/>
      <c r="C2" s="144"/>
      <c r="D2" s="144"/>
      <c r="E2" s="144"/>
      <c r="F2" s="144"/>
      <c r="G2" s="144"/>
      <c r="H2" s="144"/>
    </row>
    <row r="3" spans="1:26" x14ac:dyDescent="0.25">
      <c r="A3" s="84" t="s">
        <v>1</v>
      </c>
      <c r="B3" s="84"/>
      <c r="C3" s="84"/>
      <c r="D3" s="84"/>
      <c r="E3" s="84" t="str">
        <f ca="1">TEXT(TODAY(),"DD/MM/YYYY")</f>
        <v>15/07/2025</v>
      </c>
      <c r="F3" s="84"/>
      <c r="G3" s="84"/>
      <c r="H3" s="84"/>
      <c r="K3" s="43" t="s">
        <v>233</v>
      </c>
      <c r="L3" s="39" t="s">
        <v>231</v>
      </c>
      <c r="M3" s="39" t="s">
        <v>236</v>
      </c>
      <c r="N3" s="39" t="s">
        <v>234</v>
      </c>
      <c r="O3" s="39" t="s">
        <v>235</v>
      </c>
      <c r="P3" s="39" t="s">
        <v>237</v>
      </c>
    </row>
    <row r="4" spans="1:26" ht="15" customHeight="1" x14ac:dyDescent="0.25">
      <c r="A4" s="84" t="s">
        <v>230</v>
      </c>
      <c r="B4" s="84"/>
      <c r="C4" s="84"/>
      <c r="D4" s="84"/>
      <c r="E4" s="84" t="s">
        <v>231</v>
      </c>
      <c r="F4" s="84"/>
      <c r="G4" s="84"/>
      <c r="H4" s="84"/>
      <c r="K4" s="38" t="s">
        <v>232</v>
      </c>
      <c r="L4" s="39" t="s">
        <v>166</v>
      </c>
      <c r="M4" s="39" t="s">
        <v>241</v>
      </c>
      <c r="N4" s="39" t="s">
        <v>243</v>
      </c>
      <c r="O4" s="39" t="s">
        <v>245</v>
      </c>
      <c r="P4" s="39"/>
    </row>
    <row r="5" spans="1:26" ht="15" customHeight="1" x14ac:dyDescent="0.25">
      <c r="A5" s="84" t="s">
        <v>2</v>
      </c>
      <c r="B5" s="84"/>
      <c r="C5" s="84"/>
      <c r="D5" s="84"/>
      <c r="E5" s="84" t="s">
        <v>239</v>
      </c>
      <c r="F5" s="84"/>
      <c r="G5" s="84"/>
      <c r="H5" s="84"/>
      <c r="K5" s="38"/>
      <c r="L5" s="39" t="s">
        <v>238</v>
      </c>
      <c r="M5" s="39" t="s">
        <v>242</v>
      </c>
      <c r="N5" s="39" t="s">
        <v>244</v>
      </c>
      <c r="O5" s="39" t="s">
        <v>246</v>
      </c>
      <c r="P5" s="39"/>
    </row>
    <row r="6" spans="1:26" x14ac:dyDescent="0.25">
      <c r="A6" s="84" t="s">
        <v>3</v>
      </c>
      <c r="B6" s="84"/>
      <c r="C6" s="84"/>
      <c r="D6" s="84"/>
      <c r="E6" s="146">
        <v>45849</v>
      </c>
      <c r="F6" s="84"/>
      <c r="G6" s="84"/>
      <c r="H6" s="84"/>
      <c r="K6" s="38"/>
      <c r="L6" s="39" t="s">
        <v>239</v>
      </c>
      <c r="M6" s="39"/>
      <c r="N6" s="39"/>
      <c r="O6" s="39" t="s">
        <v>247</v>
      </c>
      <c r="P6" s="39"/>
    </row>
    <row r="7" spans="1:26" ht="16.5" customHeight="1" x14ac:dyDescent="0.25">
      <c r="A7" s="84" t="s">
        <v>291</v>
      </c>
      <c r="B7" s="84"/>
      <c r="C7" s="84"/>
      <c r="D7" s="84"/>
      <c r="E7" s="84" t="s">
        <v>292</v>
      </c>
      <c r="F7" s="84"/>
      <c r="G7" s="84"/>
      <c r="H7" s="84"/>
      <c r="K7" s="38"/>
      <c r="L7" s="39" t="s">
        <v>240</v>
      </c>
      <c r="M7" s="39"/>
      <c r="N7" s="39"/>
      <c r="O7" s="39" t="s">
        <v>247</v>
      </c>
      <c r="P7" s="39"/>
    </row>
    <row r="8" spans="1:26" ht="15" customHeight="1" x14ac:dyDescent="0.25">
      <c r="A8" s="84" t="s">
        <v>4</v>
      </c>
      <c r="B8" s="84"/>
      <c r="C8" s="84"/>
      <c r="D8" s="84"/>
      <c r="E8" s="84" t="s">
        <v>317</v>
      </c>
      <c r="F8" s="84"/>
      <c r="G8" s="84"/>
      <c r="H8" s="84"/>
      <c r="K8" s="38"/>
      <c r="L8" s="39"/>
      <c r="M8" s="39"/>
      <c r="N8" s="39"/>
      <c r="O8" s="39" t="s">
        <v>248</v>
      </c>
      <c r="P8" s="39"/>
    </row>
    <row r="9" spans="1:26" x14ac:dyDescent="0.25">
      <c r="A9" s="84" t="s">
        <v>5</v>
      </c>
      <c r="B9" s="84"/>
      <c r="C9" s="84"/>
      <c r="D9" s="84"/>
      <c r="E9" s="145" t="s">
        <v>280</v>
      </c>
      <c r="F9" s="145"/>
      <c r="G9" s="145"/>
      <c r="H9" s="145"/>
      <c r="K9" s="38"/>
      <c r="L9" s="39"/>
      <c r="M9" s="39"/>
      <c r="N9" s="39"/>
      <c r="O9" s="39" t="s">
        <v>249</v>
      </c>
      <c r="P9" s="39"/>
    </row>
    <row r="10" spans="1:26" x14ac:dyDescent="0.25">
      <c r="A10" s="84" t="s">
        <v>163</v>
      </c>
      <c r="B10" s="84"/>
      <c r="C10" s="84"/>
      <c r="D10" s="84"/>
      <c r="E10" s="84" t="s">
        <v>333</v>
      </c>
      <c r="F10" s="84"/>
      <c r="G10" s="84"/>
      <c r="H10" s="84"/>
      <c r="K10" s="38"/>
      <c r="L10" s="39"/>
      <c r="M10" s="39"/>
      <c r="N10" s="39"/>
      <c r="O10" s="39"/>
      <c r="P10" s="39"/>
    </row>
    <row r="11" spans="1:26" x14ac:dyDescent="0.25">
      <c r="A11" s="84" t="s">
        <v>164</v>
      </c>
      <c r="B11" s="84"/>
      <c r="C11" s="84"/>
      <c r="D11" s="84"/>
      <c r="E11" s="84" t="s">
        <v>27</v>
      </c>
      <c r="F11" s="84"/>
      <c r="G11" s="84"/>
      <c r="H11" s="84"/>
      <c r="I11" s="84" t="s">
        <v>334</v>
      </c>
      <c r="J11" s="84"/>
      <c r="K11" s="84"/>
      <c r="L11" s="84"/>
    </row>
    <row r="12" spans="1:26" x14ac:dyDescent="0.25">
      <c r="A12" s="84" t="s">
        <v>6</v>
      </c>
      <c r="B12" s="84"/>
      <c r="C12" s="84"/>
      <c r="D12" s="84"/>
      <c r="E12" s="84" t="s">
        <v>283</v>
      </c>
      <c r="F12" s="84"/>
      <c r="G12" s="84"/>
      <c r="H12" s="84"/>
    </row>
    <row r="13" spans="1:26" x14ac:dyDescent="0.25">
      <c r="A13" s="84" t="s">
        <v>167</v>
      </c>
      <c r="B13" s="84"/>
      <c r="C13" s="84"/>
      <c r="D13" s="84"/>
      <c r="E13" s="84" t="s">
        <v>27</v>
      </c>
      <c r="F13" s="84"/>
      <c r="G13" s="84"/>
      <c r="H13" s="84"/>
      <c r="S13" s="39" t="s">
        <v>175</v>
      </c>
      <c r="T13" s="39" t="s">
        <v>185</v>
      </c>
      <c r="U13" s="39" t="s">
        <v>168</v>
      </c>
      <c r="V13" s="39" t="s">
        <v>190</v>
      </c>
      <c r="W13" s="39" t="s">
        <v>208</v>
      </c>
      <c r="X13"/>
      <c r="Y13" t="s">
        <v>190</v>
      </c>
      <c r="Z13" t="e">
        <f ca="1">OFFSET($S$13,1,MATCH($G20,$S$13:$W$13,0)-1,15,1)</f>
        <v>#VALUE!</v>
      </c>
    </row>
    <row r="14" spans="1:26" ht="32.25" customHeight="1" x14ac:dyDescent="0.25">
      <c r="A14" s="92" t="s">
        <v>276</v>
      </c>
      <c r="B14" s="92"/>
      <c r="C14" s="92"/>
      <c r="D14" s="92"/>
      <c r="E14" s="122" t="s">
        <v>321</v>
      </c>
      <c r="F14" s="122"/>
      <c r="G14" s="122"/>
      <c r="H14" s="122"/>
      <c r="S14" s="39" t="s">
        <v>176</v>
      </c>
      <c r="T14" s="39" t="s">
        <v>183</v>
      </c>
      <c r="U14" s="39" t="s">
        <v>205</v>
      </c>
      <c r="V14" s="39" t="s">
        <v>191</v>
      </c>
      <c r="W14" s="39" t="s">
        <v>209</v>
      </c>
      <c r="X14"/>
      <c r="Y14"/>
      <c r="Z14"/>
    </row>
    <row r="15" spans="1:26" x14ac:dyDescent="0.25">
      <c r="A15" s="92" t="s">
        <v>7</v>
      </c>
      <c r="B15" s="92"/>
      <c r="C15" s="92"/>
      <c r="D15" s="92"/>
      <c r="E15" s="122" t="s">
        <v>336</v>
      </c>
      <c r="F15" s="84"/>
      <c r="G15" s="84"/>
      <c r="H15" s="84"/>
      <c r="I15" s="85" t="e">
        <f ca="1">OFFSET($D$5,1,MATCH($J13,$D$5:$H$5,0)-1,15,1)</f>
        <v>#N/A</v>
      </c>
      <c r="J15" s="86"/>
      <c r="K15" s="86"/>
      <c r="L15" s="86"/>
      <c r="M15" s="86"/>
      <c r="N15" s="86"/>
      <c r="O15" s="86"/>
      <c r="P15" s="86"/>
      <c r="S15" s="39" t="s">
        <v>177</v>
      </c>
      <c r="T15" s="39" t="s">
        <v>184</v>
      </c>
      <c r="U15" s="39" t="s">
        <v>206</v>
      </c>
      <c r="V15" s="39" t="s">
        <v>192</v>
      </c>
      <c r="W15" s="39" t="s">
        <v>222</v>
      </c>
      <c r="X15"/>
      <c r="Y15"/>
      <c r="Z15"/>
    </row>
    <row r="16" spans="1:26" ht="62.25" customHeight="1" x14ac:dyDescent="0.25">
      <c r="A16" s="98" t="s">
        <v>8</v>
      </c>
      <c r="B16" s="98"/>
      <c r="C16" s="98" t="str">
        <f>CONCATENATE((IF(OR(E9="",E9="NA"),"",E9)),", ",(IF(OR(A17="",A17="NA"),"",A17)),".",(IF(OR(C17="",C17="NA"),"",C17)),", near ",(IF(OR(C22="",C22="NA"),"",C22)),", ",(IF(OR(C19="",C19="NA"),"",C19)),", ",(IF(OR(C18="",C18="NA"),"",C18)),", ",(IF(OR(G19="",G19="NA"),"",G19)),", ",(IF(OR(C20="",C20="NA"),"",C20)),", ",(IF(OR(C21="",C21="NA"),"",C21)),", ",(IF(OR(G20="",G20="NA"),"",G20))," - ",(IF(OR(G21="",G21="NA"),"",G21)),".")</f>
        <v>Studio High 5 Phase 3 Wing F, Survey No.106, P. No. 1 To 13, S. No. 105, P. No. 8 To 13, S. No. 93/3, P. No. 3, New S. No. 96, P. No. 1 To 3, near Studio High 5 Phase 2 &amp; Pankaj Residency, Karjat-Murbad Road, Ramkrishna Nagar, Dhamote, Neral , Karjat, Raigad - 410101.</v>
      </c>
      <c r="D16" s="98"/>
      <c r="E16" s="98"/>
      <c r="F16" s="98"/>
      <c r="G16" s="98"/>
      <c r="H16" s="98"/>
      <c r="S16" s="39" t="s">
        <v>178</v>
      </c>
      <c r="T16" s="39" t="s">
        <v>186</v>
      </c>
      <c r="U16" s="39" t="s">
        <v>207</v>
      </c>
      <c r="V16" s="39" t="s">
        <v>193</v>
      </c>
      <c r="W16" s="39" t="s">
        <v>210</v>
      </c>
      <c r="X16"/>
      <c r="Y16"/>
      <c r="Z16"/>
    </row>
    <row r="17" spans="1:26" ht="32.25" customHeight="1" x14ac:dyDescent="0.25">
      <c r="A17" s="122" t="s">
        <v>281</v>
      </c>
      <c r="B17" s="122"/>
      <c r="C17" s="122" t="s">
        <v>282</v>
      </c>
      <c r="D17" s="122"/>
      <c r="E17" s="122"/>
      <c r="F17" s="122"/>
      <c r="G17" s="122"/>
      <c r="H17" s="122"/>
      <c r="S17" s="39" t="s">
        <v>179</v>
      </c>
      <c r="T17" s="39" t="s">
        <v>187</v>
      </c>
      <c r="U17" s="39" t="s">
        <v>168</v>
      </c>
      <c r="V17" s="39" t="s">
        <v>194</v>
      </c>
      <c r="W17" s="39" t="s">
        <v>211</v>
      </c>
      <c r="X17"/>
      <c r="Y17"/>
      <c r="Z17"/>
    </row>
    <row r="18" spans="1:26" ht="15.75" customHeight="1" x14ac:dyDescent="0.25">
      <c r="A18" s="122" t="s">
        <v>158</v>
      </c>
      <c r="B18" s="122"/>
      <c r="C18" s="122" t="s">
        <v>286</v>
      </c>
      <c r="D18" s="122"/>
      <c r="E18" s="122"/>
      <c r="F18" s="122"/>
      <c r="G18" s="122"/>
      <c r="H18" s="122"/>
      <c r="S18" s="39" t="s">
        <v>180</v>
      </c>
      <c r="T18" s="39" t="s">
        <v>185</v>
      </c>
      <c r="U18" s="39"/>
      <c r="V18" s="39" t="s">
        <v>195</v>
      </c>
      <c r="W18" s="39" t="s">
        <v>212</v>
      </c>
      <c r="X18"/>
      <c r="Y18"/>
      <c r="Z18"/>
    </row>
    <row r="19" spans="1:26" ht="15.75" customHeight="1" x14ac:dyDescent="0.25">
      <c r="A19" s="98" t="s">
        <v>9</v>
      </c>
      <c r="B19" s="98"/>
      <c r="C19" s="84" t="s">
        <v>288</v>
      </c>
      <c r="D19" s="84"/>
      <c r="E19" s="122" t="s">
        <v>69</v>
      </c>
      <c r="F19" s="122"/>
      <c r="G19" s="122" t="s">
        <v>287</v>
      </c>
      <c r="H19" s="122"/>
      <c r="S19" s="39" t="s">
        <v>181</v>
      </c>
      <c r="T19" s="39" t="s">
        <v>188</v>
      </c>
      <c r="U19" s="39"/>
      <c r="V19" s="39" t="s">
        <v>196</v>
      </c>
      <c r="W19" s="39" t="s">
        <v>213</v>
      </c>
      <c r="X19"/>
      <c r="Y19"/>
      <c r="Z19"/>
    </row>
    <row r="20" spans="1:26" x14ac:dyDescent="0.25">
      <c r="A20" s="92" t="s">
        <v>11</v>
      </c>
      <c r="B20" s="92"/>
      <c r="C20" s="122" t="s">
        <v>322</v>
      </c>
      <c r="D20" s="122"/>
      <c r="E20" s="122" t="s">
        <v>10</v>
      </c>
      <c r="F20" s="122"/>
      <c r="G20" s="147" t="s">
        <v>190</v>
      </c>
      <c r="H20" s="147"/>
      <c r="S20" s="39" t="s">
        <v>182</v>
      </c>
      <c r="T20" s="39" t="s">
        <v>189</v>
      </c>
      <c r="U20" s="39"/>
      <c r="V20" s="39" t="s">
        <v>197</v>
      </c>
      <c r="W20" s="39" t="s">
        <v>214</v>
      </c>
      <c r="X20"/>
      <c r="Y20"/>
      <c r="Z20"/>
    </row>
    <row r="21" spans="1:26" x14ac:dyDescent="0.25">
      <c r="A21" s="92" t="s">
        <v>70</v>
      </c>
      <c r="B21" s="92"/>
      <c r="C21" s="122" t="s">
        <v>194</v>
      </c>
      <c r="D21" s="122"/>
      <c r="E21" s="122" t="s">
        <v>12</v>
      </c>
      <c r="F21" s="122"/>
      <c r="G21" s="122">
        <v>410101</v>
      </c>
      <c r="H21" s="122"/>
      <c r="S21" s="39"/>
      <c r="T21" s="39"/>
      <c r="U21" s="39"/>
      <c r="V21" s="39" t="s">
        <v>198</v>
      </c>
      <c r="W21" s="39" t="s">
        <v>215</v>
      </c>
      <c r="X21"/>
      <c r="Y21"/>
      <c r="Z21"/>
    </row>
    <row r="22" spans="1:26" ht="32.25" customHeight="1" x14ac:dyDescent="0.25">
      <c r="A22" s="92" t="s">
        <v>117</v>
      </c>
      <c r="B22" s="92"/>
      <c r="C22" s="122" t="s">
        <v>289</v>
      </c>
      <c r="D22" s="122"/>
      <c r="E22" s="98" t="s">
        <v>13</v>
      </c>
      <c r="F22" s="98"/>
      <c r="G22" s="122" t="s">
        <v>290</v>
      </c>
      <c r="H22" s="122"/>
      <c r="S22" s="39"/>
      <c r="T22" s="39"/>
      <c r="U22" s="39"/>
      <c r="V22" s="39" t="s">
        <v>199</v>
      </c>
      <c r="W22" s="39" t="s">
        <v>216</v>
      </c>
      <c r="X22"/>
      <c r="Y22"/>
      <c r="Z22"/>
    </row>
    <row r="23" spans="1:26" ht="15" customHeight="1" x14ac:dyDescent="0.25">
      <c r="A23" s="98" t="s">
        <v>72</v>
      </c>
      <c r="B23" s="98"/>
      <c r="C23" s="98"/>
      <c r="D23" s="98"/>
      <c r="E23" s="84" t="s">
        <v>14</v>
      </c>
      <c r="F23" s="84"/>
      <c r="G23" s="84"/>
      <c r="H23" s="84"/>
      <c r="S23" s="39"/>
      <c r="T23" s="39"/>
      <c r="U23" s="39"/>
      <c r="V23" s="39" t="s">
        <v>200</v>
      </c>
      <c r="W23" s="39" t="s">
        <v>217</v>
      </c>
      <c r="X23"/>
      <c r="Y23"/>
      <c r="Z23"/>
    </row>
    <row r="24" spans="1:26" ht="18.75" customHeight="1" x14ac:dyDescent="0.25">
      <c r="A24" s="98"/>
      <c r="B24" s="98"/>
      <c r="C24" s="98"/>
      <c r="D24" s="98"/>
      <c r="E24" s="84"/>
      <c r="F24" s="84"/>
      <c r="G24" s="84"/>
      <c r="H24" s="84"/>
      <c r="S24" s="39"/>
      <c r="T24" s="39"/>
      <c r="U24" s="39"/>
      <c r="V24" s="39" t="s">
        <v>201</v>
      </c>
      <c r="W24" s="39" t="s">
        <v>218</v>
      </c>
      <c r="X24"/>
      <c r="Y24"/>
      <c r="Z24"/>
    </row>
    <row r="25" spans="1:26" ht="15" customHeight="1" x14ac:dyDescent="0.25">
      <c r="A25" s="98" t="s">
        <v>15</v>
      </c>
      <c r="B25" s="98"/>
      <c r="C25" s="98"/>
      <c r="D25" s="98"/>
      <c r="E25" s="122" t="s">
        <v>16</v>
      </c>
      <c r="F25" s="122"/>
      <c r="G25" s="122"/>
      <c r="H25" s="122"/>
      <c r="S25" s="39"/>
      <c r="T25" s="39"/>
      <c r="U25" s="39"/>
      <c r="V25" s="39" t="s">
        <v>202</v>
      </c>
      <c r="W25" s="39" t="s">
        <v>219</v>
      </c>
      <c r="X25"/>
      <c r="Y25"/>
      <c r="Z25"/>
    </row>
    <row r="26" spans="1:26" ht="15" customHeight="1" x14ac:dyDescent="0.25">
      <c r="A26" s="92" t="s">
        <v>17</v>
      </c>
      <c r="B26" s="92"/>
      <c r="C26" s="92"/>
      <c r="D26" s="92"/>
      <c r="E26" s="122" t="str">
        <f>IF(AND(G20="Mumbai"),"Upper Class","Middle Class")</f>
        <v>Middle Class</v>
      </c>
      <c r="F26" s="122"/>
      <c r="G26" s="122"/>
      <c r="H26" s="122"/>
      <c r="S26" s="39"/>
      <c r="T26" s="39"/>
      <c r="U26" s="39"/>
      <c r="V26" s="39" t="s">
        <v>203</v>
      </c>
      <c r="W26" s="39" t="s">
        <v>220</v>
      </c>
      <c r="X26"/>
      <c r="Y26"/>
      <c r="Z26"/>
    </row>
    <row r="27" spans="1:26" x14ac:dyDescent="0.25">
      <c r="A27" s="92" t="s">
        <v>18</v>
      </c>
      <c r="B27" s="92"/>
      <c r="C27" s="92"/>
      <c r="D27" s="92"/>
      <c r="E27" s="122" t="s">
        <v>19</v>
      </c>
      <c r="F27" s="122"/>
      <c r="G27" s="122"/>
      <c r="H27" s="122"/>
      <c r="S27" s="39"/>
      <c r="T27" s="39"/>
      <c r="U27" s="39"/>
      <c r="V27" s="39" t="s">
        <v>204</v>
      </c>
      <c r="W27" s="39" t="s">
        <v>221</v>
      </c>
      <c r="X27"/>
      <c r="Y27"/>
      <c r="Z27"/>
    </row>
    <row r="28" spans="1:26" ht="15.75" customHeight="1" x14ac:dyDescent="0.25">
      <c r="A28" s="92" t="s">
        <v>20</v>
      </c>
      <c r="B28" s="92"/>
      <c r="C28" s="92"/>
      <c r="D28" s="92"/>
      <c r="E28" s="122" t="str">
        <f>IF(AND(G20="Mumbai"),"Developed","Developing")</f>
        <v>Developing</v>
      </c>
      <c r="F28" s="122"/>
      <c r="G28" s="122"/>
      <c r="H28" s="122"/>
    </row>
    <row r="29" spans="1:26" x14ac:dyDescent="0.25">
      <c r="A29" s="92" t="s">
        <v>21</v>
      </c>
      <c r="B29" s="92"/>
      <c r="C29" s="92"/>
      <c r="D29" s="92"/>
      <c r="E29" s="122" t="s">
        <v>22</v>
      </c>
      <c r="F29" s="122"/>
      <c r="G29" s="122"/>
      <c r="H29" s="122"/>
    </row>
    <row r="30" spans="1:26" ht="15.75" customHeight="1" x14ac:dyDescent="0.25">
      <c r="A30" s="92" t="s">
        <v>77</v>
      </c>
      <c r="B30" s="92"/>
      <c r="C30" s="92"/>
      <c r="D30" s="92"/>
      <c r="E30" s="122" t="s">
        <v>78</v>
      </c>
      <c r="F30" s="122"/>
      <c r="G30" s="122"/>
      <c r="H30" s="122"/>
    </row>
    <row r="31" spans="1:26" ht="15" customHeight="1" x14ac:dyDescent="0.25">
      <c r="A31" s="92" t="s">
        <v>29</v>
      </c>
      <c r="B31" s="92"/>
      <c r="C31" s="92"/>
      <c r="D31" s="92"/>
      <c r="E31" s="122" t="str">
        <f>IF(AND(ISNUMBER(SEARCH("Flat",D57)),ISNUMBER(SEARCH("Shop",D57)),ISNUMBER(SEARCH("Office",D57))),"Residential + Commercial",IF(AND(ISNUMBER(SEARCH("Flat",D57)),ISNUMBER(SEARCH("Shop",D57))),"Residential + Commercial",IF(AND(ISNUMBER(SEARCH("Flat",D57)),ISNUMBER(SEARCH("Office",D57))),"Residential + Commercial",IF(AND(ISNUMBER(SEARCH("Shop",D57)),ISNUMBER(SEARCH("Office",D57))),"Commercial",IF(ISNUMBER(SEARCH("Shop",D57)),"Commercial",IF(ISNUMBER(SEARCH("Office",D57)),"Commercial",IF(ISNUMBER(SEARCH("Flat",D57)),"Residential")))))))</f>
        <v>Residential + Commercial</v>
      </c>
      <c r="F31" s="122"/>
      <c r="G31" s="122"/>
      <c r="H31" s="122"/>
    </row>
    <row r="32" spans="1:26" ht="15.75" customHeight="1" x14ac:dyDescent="0.25">
      <c r="A32" s="92" t="s">
        <v>88</v>
      </c>
      <c r="B32" s="92"/>
      <c r="C32" s="92"/>
      <c r="D32" s="92"/>
      <c r="E32" s="122" t="s">
        <v>30</v>
      </c>
      <c r="F32" s="122"/>
      <c r="G32" s="122"/>
      <c r="H32" s="122"/>
    </row>
    <row r="33" spans="1:19" s="17" customFormat="1" x14ac:dyDescent="0.25">
      <c r="A33" s="155" t="s">
        <v>89</v>
      </c>
      <c r="B33" s="155"/>
      <c r="C33" s="152" t="s">
        <v>169</v>
      </c>
      <c r="D33" s="153"/>
      <c r="E33" s="154"/>
      <c r="F33" s="152" t="s">
        <v>28</v>
      </c>
      <c r="G33" s="153"/>
      <c r="H33" s="154"/>
      <c r="S33" s="17" t="e">
        <f ca="1">OFFSET($S$13,1,MATCH($G20,$S$13:$W$13,0)-1,15,1)</f>
        <v>#VALUE!</v>
      </c>
    </row>
    <row r="34" spans="1:19" s="17" customFormat="1" x14ac:dyDescent="0.25">
      <c r="A34" s="148" t="s">
        <v>23</v>
      </c>
      <c r="B34" s="148" t="s">
        <v>27</v>
      </c>
      <c r="C34" s="149" t="s">
        <v>295</v>
      </c>
      <c r="D34" s="150"/>
      <c r="E34" s="151"/>
      <c r="F34" s="149" t="s">
        <v>294</v>
      </c>
      <c r="G34" s="150"/>
      <c r="H34" s="151"/>
    </row>
    <row r="35" spans="1:19" ht="30.75" customHeight="1" x14ac:dyDescent="0.25">
      <c r="A35" s="156" t="s">
        <v>24</v>
      </c>
      <c r="B35" s="156" t="s">
        <v>27</v>
      </c>
      <c r="C35" s="157" t="s">
        <v>298</v>
      </c>
      <c r="D35" s="158"/>
      <c r="E35" s="159"/>
      <c r="F35" s="160" t="s">
        <v>297</v>
      </c>
      <c r="G35" s="150"/>
      <c r="H35" s="151"/>
    </row>
    <row r="36" spans="1:19" s="17" customFormat="1" x14ac:dyDescent="0.25">
      <c r="A36" s="148" t="s">
        <v>26</v>
      </c>
      <c r="B36" s="148" t="s">
        <v>27</v>
      </c>
      <c r="C36" s="149" t="s">
        <v>296</v>
      </c>
      <c r="D36" s="150"/>
      <c r="E36" s="151"/>
      <c r="F36" s="149" t="s">
        <v>293</v>
      </c>
      <c r="G36" s="150"/>
      <c r="H36" s="151"/>
    </row>
    <row r="37" spans="1:19" x14ac:dyDescent="0.25">
      <c r="A37" s="148" t="s">
        <v>25</v>
      </c>
      <c r="B37" s="148" t="s">
        <v>27</v>
      </c>
      <c r="C37" s="149" t="s">
        <v>318</v>
      </c>
      <c r="D37" s="150"/>
      <c r="E37" s="151"/>
      <c r="F37" s="149" t="s">
        <v>319</v>
      </c>
      <c r="G37" s="150"/>
      <c r="H37" s="151"/>
    </row>
    <row r="38" spans="1:19" x14ac:dyDescent="0.25">
      <c r="A38" s="92" t="s">
        <v>277</v>
      </c>
      <c r="B38" s="92"/>
      <c r="C38" s="92"/>
      <c r="D38" s="92"/>
      <c r="E38" s="92"/>
      <c r="F38" s="92"/>
      <c r="G38" s="92"/>
      <c r="H38" s="92"/>
    </row>
    <row r="39" spans="1:19" ht="15.75" customHeight="1" x14ac:dyDescent="0.25">
      <c r="A39" s="92" t="s">
        <v>161</v>
      </c>
      <c r="B39" s="92"/>
      <c r="C39" s="134" t="s">
        <v>284</v>
      </c>
      <c r="D39" s="134"/>
      <c r="E39" s="134"/>
      <c r="F39" s="134"/>
      <c r="G39" s="134"/>
      <c r="H39" s="134"/>
    </row>
    <row r="40" spans="1:19" x14ac:dyDescent="0.25">
      <c r="A40" s="92" t="s">
        <v>157</v>
      </c>
      <c r="B40" s="92"/>
      <c r="C40" s="184" t="s">
        <v>285</v>
      </c>
      <c r="D40" s="122"/>
      <c r="E40" s="122"/>
      <c r="F40" s="122"/>
      <c r="G40" s="122"/>
      <c r="H40" s="122"/>
    </row>
    <row r="41" spans="1:19" x14ac:dyDescent="0.25">
      <c r="A41" s="134" t="s">
        <v>31</v>
      </c>
      <c r="B41" s="134"/>
      <c r="C41" s="134"/>
      <c r="D41" s="134"/>
      <c r="E41" s="134"/>
      <c r="F41" s="134"/>
      <c r="G41" s="134"/>
      <c r="H41" s="134"/>
    </row>
    <row r="42" spans="1:19" x14ac:dyDescent="0.25">
      <c r="A42" s="92" t="s">
        <v>32</v>
      </c>
      <c r="B42" s="92"/>
      <c r="C42" s="92"/>
      <c r="D42" s="92"/>
      <c r="E42" s="161">
        <v>6657.83</v>
      </c>
      <c r="F42" s="161"/>
      <c r="G42" s="161"/>
      <c r="H42" s="161"/>
    </row>
    <row r="43" spans="1:19" x14ac:dyDescent="0.25">
      <c r="A43" s="92" t="s">
        <v>33</v>
      </c>
      <c r="B43" s="92"/>
      <c r="C43" s="92"/>
      <c r="D43" s="92"/>
      <c r="E43" s="100">
        <f>7323.61/E42</f>
        <v>1.0999995494027333</v>
      </c>
      <c r="F43" s="100"/>
      <c r="G43" s="100"/>
      <c r="H43" s="100"/>
    </row>
    <row r="44" spans="1:19" x14ac:dyDescent="0.25">
      <c r="A44" s="92" t="s">
        <v>34</v>
      </c>
      <c r="B44" s="92"/>
      <c r="C44" s="92"/>
      <c r="D44" s="92"/>
      <c r="E44" s="100">
        <f>E46/E42-E43</f>
        <v>0.75072058012896115</v>
      </c>
      <c r="F44" s="100"/>
      <c r="G44" s="100"/>
      <c r="H44" s="100"/>
    </row>
    <row r="45" spans="1:19" x14ac:dyDescent="0.25">
      <c r="A45" s="92" t="s">
        <v>35</v>
      </c>
      <c r="B45" s="92"/>
      <c r="C45" s="92"/>
      <c r="D45" s="92"/>
      <c r="E45" s="100">
        <f>E43+E44</f>
        <v>1.8507201295316944</v>
      </c>
      <c r="F45" s="100"/>
      <c r="G45" s="100"/>
      <c r="H45" s="100"/>
    </row>
    <row r="46" spans="1:19" x14ac:dyDescent="0.25">
      <c r="A46" s="92" t="s">
        <v>87</v>
      </c>
      <c r="B46" s="92"/>
      <c r="C46" s="92"/>
      <c r="D46" s="92"/>
      <c r="E46" s="163">
        <v>12321.78</v>
      </c>
      <c r="F46" s="163"/>
      <c r="G46" s="163"/>
      <c r="H46" s="163"/>
    </row>
    <row r="47" spans="1:19" x14ac:dyDescent="0.25">
      <c r="A47" s="84" t="s">
        <v>36</v>
      </c>
      <c r="B47" s="84"/>
      <c r="C47" s="84"/>
      <c r="D47" s="84"/>
      <c r="E47" s="84" t="s">
        <v>299</v>
      </c>
      <c r="F47" s="84"/>
      <c r="G47" s="84"/>
      <c r="H47" s="84"/>
    </row>
    <row r="48" spans="1:19" x14ac:dyDescent="0.25">
      <c r="A48" s="134" t="s">
        <v>37</v>
      </c>
      <c r="B48" s="134"/>
      <c r="C48" s="134"/>
      <c r="D48" s="134"/>
      <c r="E48" s="134"/>
      <c r="F48" s="134"/>
      <c r="G48" s="134"/>
      <c r="H48" s="134"/>
    </row>
    <row r="49" spans="1:23" ht="33.75" customHeight="1" x14ac:dyDescent="0.25">
      <c r="A49" s="103" t="s">
        <v>146</v>
      </c>
      <c r="B49" s="104"/>
      <c r="C49" s="198" t="s">
        <v>300</v>
      </c>
      <c r="D49" s="199"/>
      <c r="E49" s="199"/>
      <c r="F49" s="199"/>
      <c r="G49" s="199"/>
      <c r="H49" s="200"/>
      <c r="R49" t="s">
        <v>250</v>
      </c>
      <c r="S49" t="s">
        <v>168</v>
      </c>
      <c r="T49" t="s">
        <v>175</v>
      </c>
      <c r="U49" t="s">
        <v>190</v>
      </c>
      <c r="V49" t="s">
        <v>185</v>
      </c>
    </row>
    <row r="50" spans="1:23" ht="15.75" customHeight="1" x14ac:dyDescent="0.25">
      <c r="A50" s="103" t="s">
        <v>38</v>
      </c>
      <c r="B50" s="104"/>
      <c r="C50" s="103" t="s">
        <v>302</v>
      </c>
      <c r="D50" s="119"/>
      <c r="E50" s="104"/>
      <c r="F50" s="15" t="s">
        <v>39</v>
      </c>
      <c r="G50" s="123">
        <v>44910</v>
      </c>
      <c r="H50" s="104"/>
      <c r="R50"/>
      <c r="S50" t="s">
        <v>251</v>
      </c>
      <c r="T50" t="s">
        <v>256</v>
      </c>
      <c r="U50" t="s">
        <v>267</v>
      </c>
      <c r="V50" t="s">
        <v>301</v>
      </c>
      <c r="W50" s="47" t="s">
        <v>300</v>
      </c>
    </row>
    <row r="51" spans="1:23" x14ac:dyDescent="0.25">
      <c r="A51" s="103" t="s">
        <v>40</v>
      </c>
      <c r="B51" s="104"/>
      <c r="C51" s="103" t="str">
        <f>C50</f>
        <v>RZP/BD/NSVP/561/2022</v>
      </c>
      <c r="D51" s="119"/>
      <c r="E51" s="104"/>
      <c r="F51" s="15" t="s">
        <v>39</v>
      </c>
      <c r="G51" s="123">
        <f>G50</f>
        <v>44910</v>
      </c>
      <c r="H51" s="104"/>
      <c r="R51"/>
      <c r="S51" t="s">
        <v>252</v>
      </c>
      <c r="T51" t="s">
        <v>278</v>
      </c>
      <c r="U51" t="s">
        <v>265</v>
      </c>
      <c r="V51" t="s">
        <v>273</v>
      </c>
      <c r="W51" s="46" t="s">
        <v>279</v>
      </c>
    </row>
    <row r="52" spans="1:23" s="18" customFormat="1" ht="15" customHeight="1" x14ac:dyDescent="0.25">
      <c r="A52" s="171" t="s">
        <v>150</v>
      </c>
      <c r="B52" s="172"/>
      <c r="C52" s="103" t="str">
        <f>C51</f>
        <v>RZP/BD/NSVP/561/2022</v>
      </c>
      <c r="D52" s="119"/>
      <c r="E52" s="104"/>
      <c r="F52" s="15" t="s">
        <v>39</v>
      </c>
      <c r="G52" s="123">
        <f>G51</f>
        <v>44910</v>
      </c>
      <c r="H52" s="104"/>
      <c r="R52"/>
      <c r="S52" t="s">
        <v>253</v>
      </c>
      <c r="T52" t="s">
        <v>258</v>
      </c>
      <c r="U52" t="s">
        <v>255</v>
      </c>
      <c r="V52" t="s">
        <v>274</v>
      </c>
    </row>
    <row r="53" spans="1:23" s="18" customFormat="1" x14ac:dyDescent="0.25">
      <c r="A53" s="173"/>
      <c r="B53" s="174"/>
      <c r="C53" s="103" t="s">
        <v>303</v>
      </c>
      <c r="D53" s="119"/>
      <c r="E53" s="119"/>
      <c r="F53" s="119"/>
      <c r="G53" s="119"/>
      <c r="H53" s="104"/>
      <c r="R53"/>
      <c r="S53" t="s">
        <v>254</v>
      </c>
      <c r="T53" t="s">
        <v>261</v>
      </c>
      <c r="U53" t="s">
        <v>268</v>
      </c>
    </row>
    <row r="54" spans="1:23" x14ac:dyDescent="0.25">
      <c r="A54" s="93" t="s">
        <v>41</v>
      </c>
      <c r="B54" s="94"/>
      <c r="C54" s="93" t="s">
        <v>101</v>
      </c>
      <c r="D54" s="95"/>
      <c r="E54" s="94"/>
      <c r="F54" s="33" t="s">
        <v>39</v>
      </c>
      <c r="G54" s="164" t="s">
        <v>27</v>
      </c>
      <c r="H54" s="165"/>
      <c r="R54"/>
      <c r="S54" t="s">
        <v>255</v>
      </c>
      <c r="T54" t="s">
        <v>259</v>
      </c>
      <c r="U54" t="s">
        <v>269</v>
      </c>
    </row>
    <row r="55" spans="1:23" x14ac:dyDescent="0.25">
      <c r="A55" s="124" t="s">
        <v>43</v>
      </c>
      <c r="B55" s="124"/>
      <c r="C55" s="124"/>
      <c r="D55" s="124"/>
      <c r="E55" s="124"/>
      <c r="F55" s="124"/>
      <c r="G55" s="124"/>
      <c r="H55" s="124"/>
      <c r="T55" t="s">
        <v>260</v>
      </c>
      <c r="U55" t="s">
        <v>270</v>
      </c>
    </row>
    <row r="56" spans="1:23" ht="32.25" customHeight="1" x14ac:dyDescent="0.25">
      <c r="A56" s="98" t="s">
        <v>320</v>
      </c>
      <c r="B56" s="98"/>
      <c r="C56" s="98"/>
      <c r="D56" s="92">
        <v>3164.75</v>
      </c>
      <c r="E56" s="92"/>
      <c r="F56" s="92"/>
      <c r="G56" s="92"/>
      <c r="H56" s="92"/>
      <c r="R56"/>
      <c r="T56" t="s">
        <v>262</v>
      </c>
      <c r="U56" t="s">
        <v>271</v>
      </c>
    </row>
    <row r="57" spans="1:23" x14ac:dyDescent="0.25">
      <c r="A57" s="122" t="s">
        <v>44</v>
      </c>
      <c r="B57" s="84"/>
      <c r="C57" s="84"/>
      <c r="D57" s="84" t="s">
        <v>315</v>
      </c>
      <c r="E57" s="84"/>
      <c r="F57" s="84"/>
      <c r="G57" s="84"/>
      <c r="H57" s="84"/>
      <c r="I57" s="19"/>
      <c r="R57"/>
      <c r="T57" t="s">
        <v>263</v>
      </c>
    </row>
    <row r="58" spans="1:23" x14ac:dyDescent="0.25">
      <c r="A58" s="120" t="s">
        <v>45</v>
      </c>
      <c r="B58" s="121"/>
      <c r="C58" s="170"/>
      <c r="D58" s="122" t="s">
        <v>303</v>
      </c>
      <c r="E58" s="84"/>
      <c r="F58" s="84"/>
      <c r="G58" s="84"/>
      <c r="H58" s="84"/>
      <c r="R58"/>
      <c r="T58" t="s">
        <v>264</v>
      </c>
    </row>
    <row r="59" spans="1:23" ht="15.75" customHeight="1" x14ac:dyDescent="0.25">
      <c r="A59" s="120" t="s">
        <v>85</v>
      </c>
      <c r="B59" s="121"/>
      <c r="C59" s="121"/>
      <c r="D59" s="122" t="s">
        <v>303</v>
      </c>
      <c r="E59" s="84"/>
      <c r="F59" s="84"/>
      <c r="G59" s="84"/>
      <c r="H59" s="84"/>
      <c r="R59"/>
      <c r="T59" t="s">
        <v>266</v>
      </c>
    </row>
    <row r="60" spans="1:23" ht="15.75" customHeight="1" x14ac:dyDescent="0.25">
      <c r="A60" s="92" t="s">
        <v>42</v>
      </c>
      <c r="B60" s="92"/>
      <c r="C60" s="92"/>
      <c r="D60" s="98" t="s">
        <v>338</v>
      </c>
      <c r="E60" s="98"/>
      <c r="F60" s="98"/>
      <c r="G60" s="98"/>
      <c r="H60" s="98"/>
      <c r="J60" s="20"/>
      <c r="K60" s="19"/>
      <c r="N60" s="19"/>
      <c r="S60"/>
    </row>
    <row r="61" spans="1:23" ht="15.75" customHeight="1" x14ac:dyDescent="0.25">
      <c r="A61" s="92" t="s">
        <v>83</v>
      </c>
      <c r="B61" s="92"/>
      <c r="C61" s="92"/>
      <c r="D61" s="162" t="str">
        <f>(IF(G54="NA","60 Years After Completion",IF(G54&lt;&gt;"NA",""&amp;60-ROUNDDOWN((E3-G54)/360,0)&amp;" Years"," ")))</f>
        <v>60 Years After Completion</v>
      </c>
      <c r="E61" s="162"/>
      <c r="F61" s="162"/>
      <c r="G61" s="162"/>
      <c r="H61" s="162"/>
      <c r="N61" s="19"/>
      <c r="S61"/>
    </row>
    <row r="62" spans="1:23" ht="15.75" customHeight="1" x14ac:dyDescent="0.25">
      <c r="A62" s="92" t="s">
        <v>84</v>
      </c>
      <c r="B62" s="92"/>
      <c r="C62" s="92"/>
      <c r="D62" s="98" t="s">
        <v>22</v>
      </c>
      <c r="E62" s="98"/>
      <c r="F62" s="98"/>
      <c r="G62" s="98"/>
      <c r="H62" s="98"/>
      <c r="J62" s="21"/>
      <c r="K62" s="21"/>
      <c r="S62"/>
    </row>
    <row r="63" spans="1:23" ht="126" customHeight="1" x14ac:dyDescent="0.25">
      <c r="A63" s="84" t="s">
        <v>305</v>
      </c>
      <c r="B63" s="84"/>
      <c r="C63" s="84"/>
      <c r="D63" s="210" t="s">
        <v>306</v>
      </c>
      <c r="E63" s="210"/>
      <c r="F63" s="210"/>
      <c r="G63" s="210"/>
      <c r="H63" s="210"/>
      <c r="I63" s="60" t="s">
        <v>304</v>
      </c>
      <c r="S63"/>
    </row>
    <row r="64" spans="1:23" x14ac:dyDescent="0.25">
      <c r="A64" s="98" t="s">
        <v>143</v>
      </c>
      <c r="B64" s="98"/>
      <c r="C64" s="98"/>
      <c r="D64" s="98" t="s">
        <v>27</v>
      </c>
      <c r="E64" s="98"/>
      <c r="F64" s="98"/>
      <c r="G64" s="98"/>
      <c r="H64" s="98"/>
      <c r="I64" s="22"/>
      <c r="J64" s="22"/>
      <c r="K64" s="22"/>
      <c r="L64" s="22"/>
      <c r="M64" s="22"/>
      <c r="N64" s="22"/>
    </row>
    <row r="65" spans="1:19" ht="15.75" customHeight="1" x14ac:dyDescent="0.25">
      <c r="A65" s="99" t="s">
        <v>82</v>
      </c>
      <c r="B65" s="99"/>
      <c r="C65" s="99"/>
      <c r="D65" s="106" t="str">
        <f ca="1">(IF(G71&gt;95%,"Nothing",IF(G71&gt;0%,"Cement, Aggregate, Steel, etc",IF(G71=0%,"Work not yet Started"))))</f>
        <v>Nothing</v>
      </c>
      <c r="E65" s="106"/>
      <c r="F65" s="106"/>
      <c r="G65" s="106"/>
      <c r="H65" s="106"/>
      <c r="J65" s="21"/>
      <c r="S65"/>
    </row>
    <row r="66" spans="1:19" ht="33.75" customHeight="1" thickBot="1" x14ac:dyDescent="0.3">
      <c r="A66" s="105" t="s">
        <v>114</v>
      </c>
      <c r="B66" s="105"/>
      <c r="C66" s="105"/>
      <c r="D66" s="106" t="str">
        <f ca="1">(IF(D65="Nothing","Yes",IF(D65="Cement, Aggregate, Steel, etc","Under Construction",IF(D65="Work not yet Started","Work not yet Started"))))</f>
        <v>Yes</v>
      </c>
      <c r="E66" s="106"/>
      <c r="F66" s="106" t="str">
        <f ca="1">(IF(D65="Nothing","Yes",IF(D65="Cement, Aggregate, Steel, etc","Under Construction",IF(D65="Work not yet Started","Work not yet Started"))))</f>
        <v>Yes</v>
      </c>
      <c r="G66" s="106"/>
      <c r="H66" s="106"/>
      <c r="S66"/>
    </row>
    <row r="67" spans="1:19" ht="15.75" customHeight="1" x14ac:dyDescent="0.25">
      <c r="A67" s="203" t="s">
        <v>135</v>
      </c>
      <c r="B67" s="204"/>
      <c r="C67" s="205" t="str">
        <f>D59</f>
        <v>Wing F (Vista) = Gr + 1st to 7th Floor</v>
      </c>
      <c r="D67" s="206"/>
      <c r="E67" s="206"/>
      <c r="F67" s="206"/>
      <c r="G67" s="206"/>
      <c r="H67" s="207"/>
      <c r="I67" s="35" t="str">
        <f ca="1">IF(D80=100%,"All work Completed. Possession granted to the Building.",IF(D79=100%,"All work Completed, Waiting for OC",I68&amp;""&amp;I69&amp;""&amp;J68&amp;""&amp;J67&amp;" "&amp;J69))</f>
        <v>All work Completed. Possession granted to the Building.</v>
      </c>
      <c r="J67" s="48"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c>
      <c r="K67" s="18"/>
      <c r="L67" s="18"/>
      <c r="S67"/>
    </row>
    <row r="68" spans="1:19" x14ac:dyDescent="0.25">
      <c r="A68" s="13" t="s">
        <v>137</v>
      </c>
      <c r="B68" s="36">
        <f>IF(AND(ISNUMBER(SEARCH("1B",C67))),1,IF(AND(ISNUMBER(SEARCH("2B",C67))),2,IF(AND(ISNUMBER(SEARCH("3B",C67))),3,IF(AND(ISNUMBER(SEARCH("4B",C67))),4,IF(ISNUMBER(SEARCH("5B",C67)),5,0)))))</f>
        <v>0</v>
      </c>
      <c r="C68" s="36" t="s">
        <v>68</v>
      </c>
      <c r="D68" s="36">
        <v>1</v>
      </c>
      <c r="E68" s="36" t="s">
        <v>67</v>
      </c>
      <c r="F68" s="36">
        <v>0</v>
      </c>
      <c r="G68" s="36" t="s">
        <v>76</v>
      </c>
      <c r="H68" s="14">
        <f ca="1">--TRIM(RIGHT(SUBSTITUTE(LEFT(C67,_xlfn.AGGREGATE(16,6,FIND({0,1,2,3,4,5,6,7,8,9},C67,ROW(INDIRECT("1:"&amp;LEN(C67)))),1))," ",REPT(" ",LEN(C67))),LEN(C67)))</f>
        <v>7</v>
      </c>
      <c r="I68" s="49" t="str">
        <f ca="1">IF(D71=100%,"Excavation","")&amp;IF(D72=100%,", Plinth","")&amp;IF(D73=100%,", RCC Slab","")&amp;IF(D74=100%,", Brickwork","")&amp;IF(D75=100%,", Internal Plaster","")&amp;IF(D76=100%,", External Plaster","")&amp;IF(D77=100%,", Flooring","")&amp;IF(D78=100%,", Painting","")&amp;IF(D79=100%,", Building common Amenities","")</f>
        <v>Excavation, Plinth, RCC Slab, Brickwork, Internal Plaster, External Plaster, Flooring, Painting, Building common Amenities</v>
      </c>
      <c r="J68" s="50"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c r="K68" s="18"/>
      <c r="L68" s="18"/>
      <c r="S68"/>
    </row>
    <row r="69" spans="1:19" x14ac:dyDescent="0.25">
      <c r="A69" s="202" t="s">
        <v>86</v>
      </c>
      <c r="B69" s="145"/>
      <c r="C69" s="208" t="str">
        <f ca="1">I67</f>
        <v>All work Completed. Possession granted to the Building.</v>
      </c>
      <c r="D69" s="208"/>
      <c r="E69" s="208"/>
      <c r="F69" s="208"/>
      <c r="G69" s="208"/>
      <c r="H69" s="209"/>
      <c r="I69" s="49" t="str">
        <f ca="1">IF(I68&lt;&gt;""," Completed","")</f>
        <v xml:space="preserve"> Completed</v>
      </c>
      <c r="J69" s="50" t="str">
        <f ca="1">IF(J67&lt;&gt;"","Completed","")</f>
        <v/>
      </c>
      <c r="K69" s="18"/>
      <c r="L69" s="18"/>
      <c r="S69"/>
    </row>
    <row r="70" spans="1:19" ht="15.75" customHeight="1" x14ac:dyDescent="0.25">
      <c r="A70" s="101" t="s">
        <v>46</v>
      </c>
      <c r="B70" s="102"/>
      <c r="C70" s="67" t="s">
        <v>134</v>
      </c>
      <c r="D70" s="67" t="s">
        <v>79</v>
      </c>
      <c r="E70" s="102" t="s">
        <v>81</v>
      </c>
      <c r="F70" s="102"/>
      <c r="G70" s="102" t="s">
        <v>80</v>
      </c>
      <c r="H70" s="192"/>
      <c r="I70" s="51" t="s">
        <v>136</v>
      </c>
      <c r="J70" s="52">
        <f ca="1">H68*25%</f>
        <v>1.75</v>
      </c>
      <c r="K70" s="18"/>
      <c r="L70" s="18"/>
      <c r="S70"/>
    </row>
    <row r="71" spans="1:19" x14ac:dyDescent="0.25">
      <c r="A71" s="101" t="s">
        <v>123</v>
      </c>
      <c r="B71" s="102"/>
      <c r="C71" s="67">
        <f ca="1">J72</f>
        <v>7</v>
      </c>
      <c r="D71" s="53">
        <f ca="1">((100/H68)*C71)/100</f>
        <v>1</v>
      </c>
      <c r="E71" s="175">
        <f ca="1">(((C72/H68*10)+(40/(D68+F68+H68)*C73)+(7.5/(H68)*C74)+(7.5/(H68)*C75)+(10/H68*C76)+(10/H68*C77)+(5/H68*C78)+(5/H68*C79)+(5/H68*C80))/100)</f>
        <v>1</v>
      </c>
      <c r="F71" s="176"/>
      <c r="G71" s="175">
        <f ca="1">((((C71/H68)*20)+((C72/H68)*25)+(30/(H68+F68+D68)*C73)+(5/H68*C74)+(5/H68*C75)+(5/H68*C76)+(5/H68*C77)+(0/H68*C78)+(0/H68*C79)+(5/H68*C80))/100)</f>
        <v>1</v>
      </c>
      <c r="H71" s="181"/>
      <c r="I71" s="51" t="s">
        <v>96</v>
      </c>
      <c r="J71" s="54">
        <f ca="1">H68*50%</f>
        <v>3.5</v>
      </c>
      <c r="K71" s="18"/>
      <c r="L71" s="18"/>
    </row>
    <row r="72" spans="1:19" x14ac:dyDescent="0.25">
      <c r="A72" s="101" t="s">
        <v>47</v>
      </c>
      <c r="B72" s="102"/>
      <c r="C72" s="67">
        <f ca="1">J80</f>
        <v>7</v>
      </c>
      <c r="D72" s="53">
        <f ca="1">((100/H68)*C72)/100</f>
        <v>1</v>
      </c>
      <c r="E72" s="177"/>
      <c r="F72" s="178"/>
      <c r="G72" s="177"/>
      <c r="H72" s="182"/>
      <c r="I72" s="51" t="s">
        <v>97</v>
      </c>
      <c r="J72" s="54">
        <f ca="1">H68</f>
        <v>7</v>
      </c>
      <c r="K72" s="18"/>
      <c r="L72" s="18"/>
      <c r="S72"/>
    </row>
    <row r="73" spans="1:19" ht="15.75" customHeight="1" x14ac:dyDescent="0.25">
      <c r="A73" s="101" t="s">
        <v>124</v>
      </c>
      <c r="B73" s="102"/>
      <c r="C73" s="67">
        <v>8</v>
      </c>
      <c r="D73" s="53">
        <f ca="1">((100/(D68+F68+H68))*C73)/100</f>
        <v>1</v>
      </c>
      <c r="E73" s="177"/>
      <c r="F73" s="178"/>
      <c r="G73" s="177"/>
      <c r="H73" s="182"/>
      <c r="I73" s="51" t="s">
        <v>98</v>
      </c>
      <c r="J73" s="55">
        <f ca="1">(IF(B68&gt;1,(H68/(B68+2)),H68/4))</f>
        <v>1.75</v>
      </c>
      <c r="K73" s="18"/>
      <c r="L73" s="18"/>
      <c r="S73"/>
    </row>
    <row r="74" spans="1:19" ht="15.75" customHeight="1" x14ac:dyDescent="0.25">
      <c r="A74" s="101" t="s">
        <v>131</v>
      </c>
      <c r="B74" s="102" t="s">
        <v>125</v>
      </c>
      <c r="C74" s="67">
        <v>7</v>
      </c>
      <c r="D74" s="53">
        <f ca="1">((100/H68)*C74)/100</f>
        <v>1</v>
      </c>
      <c r="E74" s="177"/>
      <c r="F74" s="178"/>
      <c r="G74" s="177"/>
      <c r="H74" s="182"/>
      <c r="I74" s="51" t="s">
        <v>99</v>
      </c>
      <c r="J74" s="55">
        <f ca="1">(IF(B68&gt;1,(H68/(B68+2)+J73),H68/4+J73))</f>
        <v>3.5</v>
      </c>
      <c r="K74" s="18"/>
      <c r="L74" s="18"/>
    </row>
    <row r="75" spans="1:19" ht="15.75" customHeight="1" x14ac:dyDescent="0.25">
      <c r="A75" s="101" t="s">
        <v>132</v>
      </c>
      <c r="B75" s="102" t="s">
        <v>125</v>
      </c>
      <c r="C75" s="67">
        <v>7</v>
      </c>
      <c r="D75" s="53">
        <f ca="1">((100/H68)*C75)/100</f>
        <v>1</v>
      </c>
      <c r="E75" s="177"/>
      <c r="F75" s="178"/>
      <c r="G75" s="177"/>
      <c r="H75" s="182"/>
      <c r="I75" s="51" t="s">
        <v>141</v>
      </c>
      <c r="J75" s="55">
        <f>(IF(B68&gt;1,(H68/(B68+2)+J74),0))</f>
        <v>0</v>
      </c>
      <c r="K75" s="18"/>
      <c r="L75" s="18"/>
    </row>
    <row r="76" spans="1:19" ht="15" customHeight="1" x14ac:dyDescent="0.25">
      <c r="A76" s="101" t="s">
        <v>130</v>
      </c>
      <c r="B76" s="102" t="s">
        <v>127</v>
      </c>
      <c r="C76" s="67">
        <v>7</v>
      </c>
      <c r="D76" s="53">
        <f ca="1">((100/(H68))*C76)/100</f>
        <v>1</v>
      </c>
      <c r="E76" s="177"/>
      <c r="F76" s="178"/>
      <c r="G76" s="177"/>
      <c r="H76" s="182"/>
      <c r="I76" s="51" t="s">
        <v>138</v>
      </c>
      <c r="J76" s="55">
        <f>(IF(B68&gt;2,(H68/(B68+2)+J75),0))</f>
        <v>0</v>
      </c>
      <c r="K76" s="18"/>
      <c r="L76" s="18"/>
    </row>
    <row r="77" spans="1:19" ht="15.75" customHeight="1" x14ac:dyDescent="0.25">
      <c r="A77" s="101" t="s">
        <v>126</v>
      </c>
      <c r="B77" s="102" t="s">
        <v>126</v>
      </c>
      <c r="C77" s="67">
        <v>7</v>
      </c>
      <c r="D77" s="53">
        <f ca="1">((100/H68)*C77)/100</f>
        <v>1</v>
      </c>
      <c r="E77" s="177"/>
      <c r="F77" s="178"/>
      <c r="G77" s="177"/>
      <c r="H77" s="182"/>
      <c r="I77" s="51" t="s">
        <v>139</v>
      </c>
      <c r="J77" s="56">
        <f>(IF(B68&gt;3,(H68/(B68+2)+J76),0))</f>
        <v>0</v>
      </c>
      <c r="K77" s="18"/>
      <c r="L77" s="18"/>
    </row>
    <row r="78" spans="1:19" ht="15.75" customHeight="1" x14ac:dyDescent="0.25">
      <c r="A78" s="101" t="s">
        <v>133</v>
      </c>
      <c r="B78" s="102"/>
      <c r="C78" s="67">
        <v>7</v>
      </c>
      <c r="D78" s="53">
        <f ca="1">((100/H68)*C78)/100</f>
        <v>1</v>
      </c>
      <c r="E78" s="177"/>
      <c r="F78" s="178"/>
      <c r="G78" s="177"/>
      <c r="H78" s="182"/>
      <c r="I78" s="51" t="s">
        <v>140</v>
      </c>
      <c r="J78" s="55">
        <f>(IF(B68&gt;4,(H68/(B68+2)+J77),0))</f>
        <v>0</v>
      </c>
      <c r="K78" s="18"/>
      <c r="L78" s="18"/>
    </row>
    <row r="79" spans="1:19" ht="15.75" customHeight="1" x14ac:dyDescent="0.25">
      <c r="A79" s="101" t="s">
        <v>128</v>
      </c>
      <c r="B79" s="102" t="s">
        <v>128</v>
      </c>
      <c r="C79" s="67">
        <v>7</v>
      </c>
      <c r="D79" s="53">
        <f ca="1">((100/(H68))*C79)/100</f>
        <v>1</v>
      </c>
      <c r="E79" s="177"/>
      <c r="F79" s="178"/>
      <c r="G79" s="177"/>
      <c r="H79" s="182"/>
      <c r="I79" s="51" t="s">
        <v>142</v>
      </c>
      <c r="J79" s="55">
        <f ca="1">(IF(B68=1,(H68/(B68+3)+J74),IF(B68=0,(H68/4+J74),IF(B68&gt;1,0))))</f>
        <v>5.25</v>
      </c>
      <c r="K79" s="18"/>
      <c r="L79" s="18"/>
    </row>
    <row r="80" spans="1:19" ht="16.5" thickBot="1" x14ac:dyDescent="0.3">
      <c r="A80" s="190" t="s">
        <v>129</v>
      </c>
      <c r="B80" s="191"/>
      <c r="C80" s="69">
        <v>7</v>
      </c>
      <c r="D80" s="57">
        <f ca="1">((100/(H68))*C80)/100</f>
        <v>1</v>
      </c>
      <c r="E80" s="179"/>
      <c r="F80" s="180"/>
      <c r="G80" s="179"/>
      <c r="H80" s="183"/>
      <c r="I80" s="58" t="s">
        <v>100</v>
      </c>
      <c r="J80" s="59">
        <f ca="1">(IF(B68&gt;1.5,(H68/(B68+2)+J74+MAX(0,J75-J74)+MAX(0,J76-J75)+MAX(0,J77-J76)+MAX(0,J78-J77)+MAX(0,J79-J78)),IF(B68=1,(H68/(B68+3)+J79),IF(B68=0,H68/4+J79))))</f>
        <v>7</v>
      </c>
      <c r="K80" s="18"/>
      <c r="L80" s="18"/>
    </row>
    <row r="81" spans="1:11" x14ac:dyDescent="0.25">
      <c r="A81" s="201" t="s">
        <v>152</v>
      </c>
      <c r="B81" s="201"/>
      <c r="C81" s="201"/>
      <c r="D81" s="201"/>
      <c r="E81" s="201"/>
      <c r="F81" s="125" t="s">
        <v>156</v>
      </c>
      <c r="G81" s="125"/>
      <c r="H81" s="125"/>
    </row>
    <row r="82" spans="1:11" x14ac:dyDescent="0.25">
      <c r="A82" s="92" t="s">
        <v>154</v>
      </c>
      <c r="B82" s="92"/>
      <c r="C82" s="92"/>
      <c r="D82" s="92"/>
      <c r="E82" s="92"/>
      <c r="F82" s="87">
        <v>3400</v>
      </c>
      <c r="G82" s="87"/>
      <c r="H82" s="87"/>
    </row>
    <row r="83" spans="1:11" x14ac:dyDescent="0.25">
      <c r="A83" s="92" t="s">
        <v>153</v>
      </c>
      <c r="B83" s="92"/>
      <c r="C83" s="92"/>
      <c r="D83" s="92"/>
      <c r="E83" s="92"/>
      <c r="F83" s="87">
        <v>6500</v>
      </c>
      <c r="G83" s="87"/>
      <c r="H83" s="87"/>
    </row>
    <row r="84" spans="1:11" hidden="1" x14ac:dyDescent="0.25">
      <c r="A84" s="92" t="s">
        <v>155</v>
      </c>
      <c r="B84" s="92"/>
      <c r="C84" s="92"/>
      <c r="D84" s="92"/>
      <c r="E84" s="92"/>
      <c r="F84" s="87"/>
      <c r="G84" s="87"/>
      <c r="H84" s="87"/>
    </row>
    <row r="85" spans="1:11" s="23" customFormat="1" hidden="1" x14ac:dyDescent="0.25">
      <c r="A85" s="92" t="s">
        <v>171</v>
      </c>
      <c r="B85" s="92"/>
      <c r="C85" s="92"/>
      <c r="D85" s="92"/>
      <c r="E85" s="92"/>
      <c r="F85" s="87"/>
      <c r="G85" s="87"/>
      <c r="H85" s="87"/>
    </row>
    <row r="86" spans="1:11" s="23" customFormat="1" x14ac:dyDescent="0.25">
      <c r="A86" s="92" t="s">
        <v>90</v>
      </c>
      <c r="B86" s="92"/>
      <c r="C86" s="92"/>
      <c r="D86" s="92"/>
      <c r="E86" s="92"/>
      <c r="F86" s="87">
        <v>240000</v>
      </c>
      <c r="G86" s="87"/>
      <c r="H86" s="87"/>
    </row>
    <row r="87" spans="1:11" s="23" customFormat="1" hidden="1" x14ac:dyDescent="0.25">
      <c r="A87" s="92" t="s">
        <v>91</v>
      </c>
      <c r="B87" s="92"/>
      <c r="C87" s="92"/>
      <c r="D87" s="92"/>
      <c r="E87" s="92"/>
      <c r="F87" s="87"/>
      <c r="G87" s="87"/>
      <c r="H87" s="87"/>
    </row>
    <row r="88" spans="1:11" s="23" customFormat="1" hidden="1" x14ac:dyDescent="0.25">
      <c r="A88" s="92" t="s">
        <v>92</v>
      </c>
      <c r="B88" s="92"/>
      <c r="C88" s="92"/>
      <c r="D88" s="92"/>
      <c r="E88" s="92"/>
      <c r="F88" s="87"/>
      <c r="G88" s="87"/>
      <c r="H88" s="87"/>
    </row>
    <row r="89" spans="1:11" s="23" customFormat="1" hidden="1" x14ac:dyDescent="0.25">
      <c r="A89" s="92" t="s">
        <v>93</v>
      </c>
      <c r="B89" s="92"/>
      <c r="C89" s="92"/>
      <c r="D89" s="92"/>
      <c r="E89" s="92"/>
      <c r="F89" s="87"/>
      <c r="G89" s="87"/>
      <c r="H89" s="87"/>
    </row>
    <row r="90" spans="1:11" s="23" customFormat="1" hidden="1" x14ac:dyDescent="0.25">
      <c r="A90" s="92" t="s">
        <v>94</v>
      </c>
      <c r="B90" s="92"/>
      <c r="C90" s="92"/>
      <c r="D90" s="92"/>
      <c r="E90" s="92"/>
      <c r="F90" s="87"/>
      <c r="G90" s="87"/>
      <c r="H90" s="87"/>
    </row>
    <row r="91" spans="1:11" s="23" customFormat="1" hidden="1" x14ac:dyDescent="0.25">
      <c r="A91" s="92" t="s">
        <v>95</v>
      </c>
      <c r="B91" s="92"/>
      <c r="C91" s="92"/>
      <c r="D91" s="92"/>
      <c r="E91" s="92"/>
      <c r="F91" s="87"/>
      <c r="G91" s="87"/>
      <c r="H91" s="87"/>
    </row>
    <row r="92" spans="1:11" x14ac:dyDescent="0.25">
      <c r="A92" s="92" t="s">
        <v>48</v>
      </c>
      <c r="B92" s="92"/>
      <c r="C92" s="92"/>
      <c r="D92" s="92"/>
      <c r="E92" s="92"/>
      <c r="F92" s="87">
        <v>100000</v>
      </c>
      <c r="G92" s="87"/>
      <c r="H92" s="87"/>
    </row>
    <row r="93" spans="1:11" s="24" customFormat="1" x14ac:dyDescent="0.25">
      <c r="A93" s="134" t="s">
        <v>49</v>
      </c>
      <c r="B93" s="134"/>
      <c r="C93" s="134"/>
      <c r="D93" s="134"/>
      <c r="E93" s="134"/>
      <c r="F93" s="87">
        <f>F82*0.8</f>
        <v>2720</v>
      </c>
      <c r="G93" s="87"/>
      <c r="H93" s="87"/>
    </row>
    <row r="94" spans="1:11" s="25" customFormat="1" ht="15.75" customHeight="1" x14ac:dyDescent="0.25">
      <c r="A94" s="133" t="s">
        <v>71</v>
      </c>
      <c r="B94" s="133"/>
      <c r="C94" s="133"/>
      <c r="D94" s="133"/>
      <c r="E94" s="133"/>
      <c r="F94" s="133"/>
      <c r="G94" s="133"/>
      <c r="H94" s="133"/>
    </row>
    <row r="95" spans="1:11" s="25" customFormat="1" ht="15.75" customHeight="1" x14ac:dyDescent="0.25">
      <c r="A95" s="91" t="s">
        <v>50</v>
      </c>
      <c r="B95" s="91"/>
      <c r="C95" s="97" t="s">
        <v>74</v>
      </c>
      <c r="D95" s="97"/>
      <c r="E95" s="96" t="s">
        <v>51</v>
      </c>
      <c r="F95" s="96"/>
      <c r="G95" s="91" t="s">
        <v>52</v>
      </c>
      <c r="H95" s="91"/>
      <c r="I95" s="74" t="s">
        <v>324</v>
      </c>
      <c r="J95" s="74" t="s">
        <v>329</v>
      </c>
      <c r="K95" s="74" t="s">
        <v>330</v>
      </c>
    </row>
    <row r="96" spans="1:11" s="25" customFormat="1" x14ac:dyDescent="0.25">
      <c r="A96" s="135" t="s">
        <v>283</v>
      </c>
      <c r="B96" s="135"/>
      <c r="C96" s="187">
        <f>COUNT(F110:F123)</f>
        <v>14</v>
      </c>
      <c r="D96" s="167"/>
      <c r="E96" s="109">
        <f>SUM(F110:F123)</f>
        <v>1649.0447999999994</v>
      </c>
      <c r="F96" s="110"/>
      <c r="G96" s="109">
        <f>SUM(H110:H123)</f>
        <v>2638.4716800000001</v>
      </c>
      <c r="H96" s="110"/>
      <c r="I96" s="25" t="s">
        <v>327</v>
      </c>
      <c r="J96" s="25">
        <v>3000</v>
      </c>
      <c r="K96" s="76">
        <f>2300000/H130</f>
        <v>4007.6751788885927</v>
      </c>
    </row>
    <row r="97" spans="1:14" s="25" customFormat="1" x14ac:dyDescent="0.25">
      <c r="A97" s="133" t="s">
        <v>145</v>
      </c>
      <c r="B97" s="133"/>
      <c r="C97" s="196">
        <f t="shared" ref="C97:G97" si="0">SUM(C96)</f>
        <v>14</v>
      </c>
      <c r="D97" s="97"/>
      <c r="E97" s="197">
        <f t="shared" si="0"/>
        <v>1649.0447999999994</v>
      </c>
      <c r="F97" s="96"/>
      <c r="G97" s="91">
        <f t="shared" si="0"/>
        <v>2638.4716800000001</v>
      </c>
      <c r="H97" s="91"/>
      <c r="I97" s="25" t="s">
        <v>325</v>
      </c>
      <c r="K97" s="76">
        <f>3200000/H131</f>
        <v>4089.0644651388934</v>
      </c>
    </row>
    <row r="98" spans="1:14" s="25" customFormat="1" x14ac:dyDescent="0.25">
      <c r="A98" s="133" t="s">
        <v>66</v>
      </c>
      <c r="B98" s="133"/>
      <c r="C98" s="133"/>
      <c r="D98" s="133"/>
      <c r="E98" s="133"/>
      <c r="F98" s="133"/>
      <c r="G98" s="133"/>
      <c r="H98" s="133"/>
      <c r="I98" s="74" t="s">
        <v>326</v>
      </c>
      <c r="K98" s="77">
        <f>AVERAGE(K96:K97)</f>
        <v>4048.369822013743</v>
      </c>
    </row>
    <row r="99" spans="1:14" s="25" customFormat="1" ht="15.75" customHeight="1" x14ac:dyDescent="0.25">
      <c r="A99" s="91" t="s">
        <v>50</v>
      </c>
      <c r="B99" s="91"/>
      <c r="C99" s="97" t="s">
        <v>74</v>
      </c>
      <c r="D99" s="97"/>
      <c r="E99" s="96" t="s">
        <v>51</v>
      </c>
      <c r="F99" s="96"/>
      <c r="G99" s="91" t="s">
        <v>52</v>
      </c>
      <c r="H99" s="91"/>
      <c r="I99" s="25" t="s">
        <v>328</v>
      </c>
    </row>
    <row r="100" spans="1:14" s="25" customFormat="1" x14ac:dyDescent="0.25">
      <c r="A100" s="135" t="s">
        <v>283</v>
      </c>
      <c r="B100" s="135"/>
      <c r="C100" s="167">
        <f>COUNT(F130:F137)+COUNT(F139:F146)*6</f>
        <v>56</v>
      </c>
      <c r="D100" s="167"/>
      <c r="E100" s="109">
        <f>SUM(F130:F137)+SUM(F139:F146)*6</f>
        <v>24863.333039999998</v>
      </c>
      <c r="F100" s="109"/>
      <c r="G100" s="109">
        <f>SUM(H130:H137)+SUM(H139:H146)*6</f>
        <v>36231.806987999997</v>
      </c>
      <c r="H100" s="109"/>
    </row>
    <row r="101" spans="1:14" s="25" customFormat="1" ht="16.5" thickBot="1" x14ac:dyDescent="0.3">
      <c r="A101" s="139" t="s">
        <v>145</v>
      </c>
      <c r="B101" s="139"/>
      <c r="C101" s="111">
        <f t="shared" ref="C101:G101" si="1">SUM(C100)</f>
        <v>56</v>
      </c>
      <c r="D101" s="111"/>
      <c r="E101" s="140">
        <f t="shared" si="1"/>
        <v>24863.333039999998</v>
      </c>
      <c r="F101" s="140"/>
      <c r="G101" s="195">
        <f t="shared" si="1"/>
        <v>36231.806987999997</v>
      </c>
      <c r="H101" s="195"/>
      <c r="I101" s="78" t="s">
        <v>331</v>
      </c>
    </row>
    <row r="102" spans="1:14" s="25" customFormat="1" ht="16.5" thickBot="1" x14ac:dyDescent="0.3">
      <c r="A102" s="141" t="s">
        <v>162</v>
      </c>
      <c r="B102" s="142"/>
      <c r="C102" s="193">
        <f>C97+C101</f>
        <v>70</v>
      </c>
      <c r="D102" s="193"/>
      <c r="E102" s="194">
        <f>E97+E101</f>
        <v>26512.377839999997</v>
      </c>
      <c r="F102" s="194"/>
      <c r="G102" s="188">
        <f>G97+G101</f>
        <v>38870.278667999999</v>
      </c>
      <c r="H102" s="189"/>
      <c r="I102" s="78" t="s">
        <v>332</v>
      </c>
    </row>
    <row r="103" spans="1:14" s="24" customFormat="1" x14ac:dyDescent="0.25">
      <c r="A103" s="125" t="s">
        <v>53</v>
      </c>
      <c r="B103" s="125"/>
      <c r="C103" s="125"/>
      <c r="D103" s="125"/>
      <c r="E103" s="125"/>
      <c r="F103" s="125"/>
      <c r="G103" s="125"/>
      <c r="H103" s="125"/>
    </row>
    <row r="104" spans="1:14" x14ac:dyDescent="0.25">
      <c r="A104" s="90" t="s">
        <v>170</v>
      </c>
      <c r="B104" s="90"/>
      <c r="C104" s="90"/>
      <c r="D104" s="90"/>
      <c r="E104" s="90"/>
      <c r="F104" s="90"/>
      <c r="G104" s="90"/>
      <c r="H104" s="90"/>
    </row>
    <row r="105" spans="1:14" ht="47.25" customHeight="1" x14ac:dyDescent="0.25">
      <c r="A105" s="185" t="s">
        <v>115</v>
      </c>
      <c r="B105" s="185" t="s">
        <v>172</v>
      </c>
      <c r="C105" s="185" t="s">
        <v>54</v>
      </c>
      <c r="D105" s="185" t="s">
        <v>228</v>
      </c>
      <c r="E105" s="168" t="s">
        <v>151</v>
      </c>
      <c r="F105" s="185" t="s">
        <v>55</v>
      </c>
      <c r="G105" s="168" t="s">
        <v>56</v>
      </c>
      <c r="H105" s="41" t="s">
        <v>144</v>
      </c>
    </row>
    <row r="106" spans="1:14" s="27" customFormat="1" x14ac:dyDescent="0.25">
      <c r="A106" s="186"/>
      <c r="B106" s="186"/>
      <c r="C106" s="186"/>
      <c r="D106" s="186"/>
      <c r="E106" s="169"/>
      <c r="F106" s="186"/>
      <c r="G106" s="169"/>
      <c r="H106" s="65">
        <v>0.6</v>
      </c>
    </row>
    <row r="107" spans="1:14" s="27" customFormat="1" x14ac:dyDescent="0.25">
      <c r="A107" s="112" t="s">
        <v>307</v>
      </c>
      <c r="B107" s="113"/>
      <c r="C107" s="113"/>
      <c r="D107" s="113"/>
      <c r="E107" s="113"/>
      <c r="F107" s="113"/>
      <c r="G107" s="113"/>
      <c r="H107" s="114"/>
      <c r="J107" s="26"/>
    </row>
    <row r="108" spans="1:14" s="27" customFormat="1" ht="15.75" customHeight="1" x14ac:dyDescent="0.25">
      <c r="A108" s="112" t="s">
        <v>283</v>
      </c>
      <c r="B108" s="113"/>
      <c r="C108" s="113"/>
      <c r="D108" s="113"/>
      <c r="E108" s="113"/>
      <c r="F108" s="113"/>
      <c r="G108" s="113"/>
      <c r="H108" s="114"/>
      <c r="I108" s="61">
        <f>2.75*3.88</f>
        <v>10.67</v>
      </c>
      <c r="L108" s="166"/>
      <c r="M108" s="166"/>
      <c r="N108" s="26"/>
    </row>
    <row r="109" spans="1:14" s="27" customFormat="1" ht="15.75" customHeight="1" x14ac:dyDescent="0.25">
      <c r="A109" s="112" t="s">
        <v>308</v>
      </c>
      <c r="B109" s="113"/>
      <c r="C109" s="113"/>
      <c r="D109" s="113"/>
      <c r="E109" s="113"/>
      <c r="F109" s="113"/>
      <c r="G109" s="113"/>
      <c r="H109" s="114"/>
      <c r="I109" s="26"/>
      <c r="L109" s="166"/>
      <c r="M109" s="166"/>
      <c r="N109" s="26"/>
    </row>
    <row r="110" spans="1:14" s="27" customFormat="1" ht="15.75" customHeight="1" x14ac:dyDescent="0.25">
      <c r="A110" s="88">
        <v>1</v>
      </c>
      <c r="B110" s="89"/>
      <c r="C110" s="32" t="s">
        <v>309</v>
      </c>
      <c r="D110" s="62">
        <f>(10.67)*10.764</f>
        <v>114.85187999999999</v>
      </c>
      <c r="E110" s="32">
        <v>0</v>
      </c>
      <c r="F110" s="40">
        <f t="shared" ref="F110:F123" si="2">D110+E110</f>
        <v>114.85187999999999</v>
      </c>
      <c r="G110" s="40">
        <v>0</v>
      </c>
      <c r="H110" s="40">
        <f t="shared" ref="H110:H123" si="3">(D110+E110)*(($H$106)+1)</f>
        <v>183.76300800000001</v>
      </c>
      <c r="I110" s="26"/>
      <c r="L110" s="166"/>
      <c r="M110" s="166"/>
      <c r="N110" s="26"/>
    </row>
    <row r="111" spans="1:14" s="27" customFormat="1" ht="15.75" customHeight="1" x14ac:dyDescent="0.25">
      <c r="A111" s="88">
        <f>A110+1</f>
        <v>2</v>
      </c>
      <c r="B111" s="89"/>
      <c r="C111" s="44" t="s">
        <v>309</v>
      </c>
      <c r="D111" s="62">
        <f>(10.67)*10.764</f>
        <v>114.85187999999999</v>
      </c>
      <c r="E111" s="32">
        <v>0</v>
      </c>
      <c r="F111" s="40">
        <f t="shared" si="2"/>
        <v>114.85187999999999</v>
      </c>
      <c r="G111" s="40">
        <v>0</v>
      </c>
      <c r="H111" s="40">
        <f t="shared" si="3"/>
        <v>183.76300800000001</v>
      </c>
      <c r="I111" s="26"/>
      <c r="L111" s="166"/>
      <c r="M111" s="166"/>
      <c r="N111" s="26"/>
    </row>
    <row r="112" spans="1:14" s="45" customFormat="1" ht="15.75" customHeight="1" x14ac:dyDescent="0.25">
      <c r="A112" s="88">
        <v>3</v>
      </c>
      <c r="B112" s="89"/>
      <c r="C112" s="44" t="s">
        <v>309</v>
      </c>
      <c r="D112" s="62">
        <f>(10.67)*10.764</f>
        <v>114.85187999999999</v>
      </c>
      <c r="E112" s="44">
        <v>0</v>
      </c>
      <c r="F112" s="44">
        <f t="shared" si="2"/>
        <v>114.85187999999999</v>
      </c>
      <c r="G112" s="44">
        <v>0</v>
      </c>
      <c r="H112" s="44">
        <f t="shared" si="3"/>
        <v>183.76300800000001</v>
      </c>
      <c r="I112" s="26"/>
      <c r="N112" s="26"/>
    </row>
    <row r="113" spans="1:14" s="45" customFormat="1" ht="15.75" customHeight="1" x14ac:dyDescent="0.25">
      <c r="A113" s="88">
        <v>4</v>
      </c>
      <c r="B113" s="89"/>
      <c r="C113" s="44" t="s">
        <v>309</v>
      </c>
      <c r="D113" s="62">
        <f>(8.15)*10.764</f>
        <v>87.726600000000005</v>
      </c>
      <c r="E113" s="44">
        <v>0</v>
      </c>
      <c r="F113" s="44">
        <f t="shared" si="2"/>
        <v>87.726600000000005</v>
      </c>
      <c r="G113" s="44">
        <v>0</v>
      </c>
      <c r="H113" s="44">
        <f t="shared" si="3"/>
        <v>140.36256</v>
      </c>
      <c r="I113" s="26"/>
      <c r="N113" s="26"/>
    </row>
    <row r="114" spans="1:14" s="45" customFormat="1" ht="15.75" customHeight="1" x14ac:dyDescent="0.25">
      <c r="A114" s="88">
        <f>A113+1</f>
        <v>5</v>
      </c>
      <c r="B114" s="89"/>
      <c r="C114" s="44" t="s">
        <v>309</v>
      </c>
      <c r="D114" s="62">
        <f>(11.83)*10.764</f>
        <v>127.33811999999999</v>
      </c>
      <c r="E114" s="44">
        <v>0</v>
      </c>
      <c r="F114" s="44">
        <f t="shared" si="2"/>
        <v>127.33811999999999</v>
      </c>
      <c r="G114" s="44">
        <v>0</v>
      </c>
      <c r="H114" s="44">
        <f t="shared" si="3"/>
        <v>203.74099200000001</v>
      </c>
      <c r="I114" s="26"/>
      <c r="N114" s="26"/>
    </row>
    <row r="115" spans="1:14" s="45" customFormat="1" ht="15.75" customHeight="1" x14ac:dyDescent="0.25">
      <c r="A115" s="88">
        <f>A114+1</f>
        <v>6</v>
      </c>
      <c r="B115" s="89"/>
      <c r="C115" s="44" t="s">
        <v>309</v>
      </c>
      <c r="D115" s="62">
        <f>(11.83)*10.764</f>
        <v>127.33811999999999</v>
      </c>
      <c r="E115" s="44">
        <v>0</v>
      </c>
      <c r="F115" s="44">
        <f t="shared" si="2"/>
        <v>127.33811999999999</v>
      </c>
      <c r="G115" s="44">
        <v>0</v>
      </c>
      <c r="H115" s="44">
        <f t="shared" si="3"/>
        <v>203.74099200000001</v>
      </c>
      <c r="I115" s="26"/>
      <c r="N115" s="26"/>
    </row>
    <row r="116" spans="1:14" s="45" customFormat="1" ht="15.75" customHeight="1" x14ac:dyDescent="0.25">
      <c r="A116" s="88">
        <v>7</v>
      </c>
      <c r="B116" s="89"/>
      <c r="C116" s="44" t="s">
        <v>309</v>
      </c>
      <c r="D116" s="62">
        <f>(9.02)*10.764</f>
        <v>97.091279999999983</v>
      </c>
      <c r="E116" s="44">
        <v>0</v>
      </c>
      <c r="F116" s="44">
        <f t="shared" si="2"/>
        <v>97.091279999999983</v>
      </c>
      <c r="G116" s="44">
        <v>0</v>
      </c>
      <c r="H116" s="44">
        <f t="shared" si="3"/>
        <v>155.346048</v>
      </c>
      <c r="I116" s="26"/>
      <c r="N116" s="26"/>
    </row>
    <row r="117" spans="1:14" s="45" customFormat="1" ht="15.75" customHeight="1" x14ac:dyDescent="0.25">
      <c r="A117" s="88">
        <f>A116+1</f>
        <v>8</v>
      </c>
      <c r="B117" s="89"/>
      <c r="C117" s="44" t="s">
        <v>309</v>
      </c>
      <c r="D117" s="62">
        <f>(14.43)*10.764</f>
        <v>155.32451999999998</v>
      </c>
      <c r="E117" s="44">
        <v>0</v>
      </c>
      <c r="F117" s="44">
        <f t="shared" si="2"/>
        <v>155.32451999999998</v>
      </c>
      <c r="G117" s="44">
        <v>0</v>
      </c>
      <c r="H117" s="44">
        <f t="shared" si="3"/>
        <v>248.51923199999999</v>
      </c>
      <c r="I117" s="26"/>
      <c r="N117" s="26"/>
    </row>
    <row r="118" spans="1:14" s="45" customFormat="1" ht="15.75" customHeight="1" x14ac:dyDescent="0.25">
      <c r="A118" s="88">
        <f>A117+1</f>
        <v>9</v>
      </c>
      <c r="B118" s="89"/>
      <c r="C118" s="44" t="s">
        <v>309</v>
      </c>
      <c r="D118" s="62">
        <f>(14.43)*10.764</f>
        <v>155.32451999999998</v>
      </c>
      <c r="E118" s="44">
        <v>0</v>
      </c>
      <c r="F118" s="44">
        <f t="shared" si="2"/>
        <v>155.32451999999998</v>
      </c>
      <c r="G118" s="44">
        <v>0</v>
      </c>
      <c r="H118" s="44">
        <f t="shared" si="3"/>
        <v>248.51923199999999</v>
      </c>
      <c r="I118" s="26"/>
      <c r="N118" s="26"/>
    </row>
    <row r="119" spans="1:14" s="45" customFormat="1" ht="15.75" customHeight="1" x14ac:dyDescent="0.25">
      <c r="A119" s="88">
        <f>A118+1</f>
        <v>10</v>
      </c>
      <c r="B119" s="89"/>
      <c r="C119" s="44" t="s">
        <v>309</v>
      </c>
      <c r="D119" s="62">
        <f>(9.02)*10.764</f>
        <v>97.091279999999983</v>
      </c>
      <c r="E119" s="44">
        <v>0</v>
      </c>
      <c r="F119" s="44">
        <f t="shared" si="2"/>
        <v>97.091279999999983</v>
      </c>
      <c r="G119" s="44">
        <v>0</v>
      </c>
      <c r="H119" s="44">
        <f t="shared" si="3"/>
        <v>155.346048</v>
      </c>
      <c r="I119" s="26"/>
      <c r="N119" s="26"/>
    </row>
    <row r="120" spans="1:14" s="45" customFormat="1" ht="15.75" customHeight="1" x14ac:dyDescent="0.25">
      <c r="A120" s="88">
        <v>11</v>
      </c>
      <c r="B120" s="89"/>
      <c r="C120" s="44" t="s">
        <v>309</v>
      </c>
      <c r="D120" s="62">
        <f>(11.83)*10.764</f>
        <v>127.33811999999999</v>
      </c>
      <c r="E120" s="44">
        <v>0</v>
      </c>
      <c r="F120" s="44">
        <f t="shared" si="2"/>
        <v>127.33811999999999</v>
      </c>
      <c r="G120" s="44">
        <v>0</v>
      </c>
      <c r="H120" s="44">
        <f t="shared" si="3"/>
        <v>203.74099200000001</v>
      </c>
      <c r="I120" s="26"/>
      <c r="N120" s="26"/>
    </row>
    <row r="121" spans="1:14" s="45" customFormat="1" ht="15.75" customHeight="1" x14ac:dyDescent="0.25">
      <c r="A121" s="88">
        <v>12</v>
      </c>
      <c r="B121" s="89"/>
      <c r="C121" s="44" t="s">
        <v>309</v>
      </c>
      <c r="D121" s="62">
        <f>(11.83)*10.764</f>
        <v>127.33811999999999</v>
      </c>
      <c r="E121" s="44">
        <v>0</v>
      </c>
      <c r="F121" s="44">
        <f t="shared" si="2"/>
        <v>127.33811999999999</v>
      </c>
      <c r="G121" s="44">
        <v>0</v>
      </c>
      <c r="H121" s="44">
        <f t="shared" si="3"/>
        <v>203.74099200000001</v>
      </c>
      <c r="I121" s="26"/>
      <c r="N121" s="26"/>
    </row>
    <row r="122" spans="1:14" s="45" customFormat="1" ht="15.75" customHeight="1" x14ac:dyDescent="0.25">
      <c r="A122" s="88">
        <f>A121+1</f>
        <v>13</v>
      </c>
      <c r="B122" s="89"/>
      <c r="C122" s="44" t="s">
        <v>309</v>
      </c>
      <c r="D122" s="62">
        <f>(8.15)*10.764</f>
        <v>87.726600000000005</v>
      </c>
      <c r="E122" s="44">
        <v>0</v>
      </c>
      <c r="F122" s="44">
        <f t="shared" si="2"/>
        <v>87.726600000000005</v>
      </c>
      <c r="G122" s="44">
        <v>0</v>
      </c>
      <c r="H122" s="44">
        <f t="shared" si="3"/>
        <v>140.36256</v>
      </c>
      <c r="I122" s="26"/>
      <c r="N122" s="26"/>
    </row>
    <row r="123" spans="1:14" s="45" customFormat="1" ht="15.75" customHeight="1" x14ac:dyDescent="0.25">
      <c r="A123" s="88">
        <f>A122+1</f>
        <v>14</v>
      </c>
      <c r="B123" s="89"/>
      <c r="C123" s="44" t="s">
        <v>309</v>
      </c>
      <c r="D123" s="62">
        <f>(10.67)*10.764</f>
        <v>114.85187999999999</v>
      </c>
      <c r="E123" s="44">
        <v>0</v>
      </c>
      <c r="F123" s="44">
        <f t="shared" si="2"/>
        <v>114.85187999999999</v>
      </c>
      <c r="G123" s="44">
        <v>0</v>
      </c>
      <c r="H123" s="44">
        <f t="shared" si="3"/>
        <v>183.76300800000001</v>
      </c>
      <c r="I123" s="26"/>
      <c r="N123" s="26"/>
    </row>
    <row r="124" spans="1:14" s="27" customFormat="1" x14ac:dyDescent="0.25">
      <c r="A124" s="88"/>
      <c r="B124" s="115"/>
      <c r="C124" s="115"/>
      <c r="D124" s="115"/>
      <c r="E124" s="115"/>
      <c r="F124" s="115"/>
      <c r="G124" s="115"/>
      <c r="H124" s="89"/>
      <c r="I124" s="26"/>
      <c r="N124" s="26"/>
    </row>
    <row r="125" spans="1:14" ht="50.25" customHeight="1" x14ac:dyDescent="0.25">
      <c r="A125" s="130" t="s">
        <v>116</v>
      </c>
      <c r="B125" s="130" t="s">
        <v>173</v>
      </c>
      <c r="C125" s="130" t="s">
        <v>54</v>
      </c>
      <c r="D125" s="130" t="s">
        <v>228</v>
      </c>
      <c r="E125" s="130" t="s">
        <v>314</v>
      </c>
      <c r="F125" s="130" t="s">
        <v>55</v>
      </c>
      <c r="G125" s="130" t="s">
        <v>56</v>
      </c>
      <c r="H125" s="81" t="s">
        <v>144</v>
      </c>
      <c r="I125" s="26"/>
    </row>
    <row r="126" spans="1:14" s="79" customFormat="1" x14ac:dyDescent="0.25">
      <c r="A126" s="130"/>
      <c r="B126" s="130"/>
      <c r="C126" s="130"/>
      <c r="D126" s="130"/>
      <c r="E126" s="130"/>
      <c r="F126" s="130"/>
      <c r="G126" s="130"/>
      <c r="H126" s="82">
        <v>0.45</v>
      </c>
      <c r="I126" s="26"/>
    </row>
    <row r="127" spans="1:14" s="45" customFormat="1" x14ac:dyDescent="0.25">
      <c r="A127" s="112" t="s">
        <v>307</v>
      </c>
      <c r="B127" s="113"/>
      <c r="C127" s="113"/>
      <c r="D127" s="113"/>
      <c r="E127" s="113"/>
      <c r="F127" s="113"/>
      <c r="G127" s="113"/>
      <c r="H127" s="114"/>
      <c r="I127" s="26"/>
    </row>
    <row r="128" spans="1:14" s="45" customFormat="1" x14ac:dyDescent="0.25">
      <c r="A128" s="112" t="s">
        <v>283</v>
      </c>
      <c r="B128" s="113"/>
      <c r="C128" s="113"/>
      <c r="D128" s="113"/>
      <c r="E128" s="113"/>
      <c r="F128" s="113"/>
      <c r="G128" s="113"/>
      <c r="H128" s="114"/>
      <c r="I128" s="64">
        <v>10.763999999999999</v>
      </c>
    </row>
    <row r="129" spans="1:14" s="27" customFormat="1" x14ac:dyDescent="0.25">
      <c r="A129" s="112" t="s">
        <v>310</v>
      </c>
      <c r="B129" s="113"/>
      <c r="C129" s="113"/>
      <c r="D129" s="113"/>
      <c r="E129" s="113"/>
      <c r="F129" s="113"/>
      <c r="G129" s="113"/>
      <c r="H129" s="114"/>
      <c r="J129" s="26"/>
      <c r="K129" s="27" t="s">
        <v>323</v>
      </c>
      <c r="L129" s="27" t="s">
        <v>314</v>
      </c>
    </row>
    <row r="130" spans="1:14" s="27" customFormat="1" ht="15.75" customHeight="1" x14ac:dyDescent="0.25">
      <c r="A130" s="88">
        <v>1</v>
      </c>
      <c r="B130" s="89"/>
      <c r="C130" s="63" t="s">
        <v>312</v>
      </c>
      <c r="D130" s="75">
        <f>(31.07)*10.764</f>
        <v>334.43747999999999</v>
      </c>
      <c r="E130" s="62">
        <f>(5.7)*10.764</f>
        <v>61.354799999999997</v>
      </c>
      <c r="F130" s="32">
        <f t="shared" ref="F130:F137" si="4">D130+E130</f>
        <v>395.79228000000001</v>
      </c>
      <c r="G130" s="40">
        <v>0</v>
      </c>
      <c r="H130" s="40">
        <f>F130*(($H$126)+1)+(IF(G130&lt;101,G130,IF(G130&lt;201,G130/2,IF(G130&lt;=301,G130/3,G130/4))))</f>
        <v>573.89880600000004</v>
      </c>
      <c r="I130" s="66">
        <f>2.75*4.3+2.1*2.15+2.75*2.5+1.2*1.52+1.2*0.9+2.4*0.9+1.2*0.6+2.3*0.3</f>
        <v>29.689</v>
      </c>
      <c r="J130" s="26">
        <f>2.75*1.2+2.75</f>
        <v>6.05</v>
      </c>
      <c r="K130" s="71">
        <f>2.75*4.3+2.1*2.15+2.75*3.5+2.3*0.3+1.2*0.9+1.2*1.52+1.2*1.2+1*0.7</f>
        <v>31.698999999999998</v>
      </c>
      <c r="L130" s="71">
        <f>1.2*2.75</f>
        <v>3.3</v>
      </c>
      <c r="M130" s="71"/>
      <c r="N130" s="26"/>
    </row>
    <row r="131" spans="1:14" s="27" customFormat="1" ht="15.75" customHeight="1" x14ac:dyDescent="0.25">
      <c r="A131" s="88">
        <f>A130+1</f>
        <v>2</v>
      </c>
      <c r="B131" s="89"/>
      <c r="C131" s="63" t="s">
        <v>313</v>
      </c>
      <c r="D131" s="75">
        <f>(44.32)*10.764</f>
        <v>477.06047999999998</v>
      </c>
      <c r="E131" s="62">
        <f>(5.82)*10.764</f>
        <v>62.646479999999997</v>
      </c>
      <c r="F131" s="40">
        <f t="shared" si="4"/>
        <v>539.70695999999998</v>
      </c>
      <c r="G131" s="40">
        <v>0</v>
      </c>
      <c r="H131" s="80">
        <f t="shared" ref="H131:H146" si="5">F131*(($H$126)+1)+(IF(G131&lt;101,G131,IF(G131&lt;201,G131/2,IF(G131&lt;=301,G131/3,G131/4))))</f>
        <v>782.57509199999993</v>
      </c>
      <c r="I131" s="66">
        <f>2.75*4.3+2.6*1.8+3.05*2.13+2.27*0.3+2.75*2.6+1.2*2.13+1.2*2.13+4.5*0.9</f>
        <v>39.994499999999995</v>
      </c>
      <c r="J131" s="26">
        <f>2.75*1.2+3.05</f>
        <v>6.35</v>
      </c>
      <c r="K131" s="71">
        <f>2.75*4.3+2.1*2.15+2.75*2.5+2.3*0.3+1.2*0.9+1.2*1.52+1.2*1.2+1*0.7</f>
        <v>28.948999999999998</v>
      </c>
      <c r="L131" s="71">
        <f>1.2*2.75+1*2.75</f>
        <v>6.05</v>
      </c>
      <c r="M131" s="71"/>
      <c r="N131" s="26"/>
    </row>
    <row r="132" spans="1:14" s="27" customFormat="1" ht="15.75" customHeight="1" x14ac:dyDescent="0.25">
      <c r="A132" s="88">
        <f>A131+1</f>
        <v>3</v>
      </c>
      <c r="B132" s="89"/>
      <c r="C132" s="63" t="s">
        <v>312</v>
      </c>
      <c r="D132" s="75">
        <f>(30.83)*10.764</f>
        <v>331.85411999999997</v>
      </c>
      <c r="E132" s="62">
        <f>(5.07)*10.764</f>
        <v>54.573479999999996</v>
      </c>
      <c r="F132" s="40">
        <f t="shared" si="4"/>
        <v>386.42759999999998</v>
      </c>
      <c r="G132" s="64">
        <f>(5.5)*10.764</f>
        <v>59.201999999999998</v>
      </c>
      <c r="H132" s="80">
        <f t="shared" si="5"/>
        <v>619.52202</v>
      </c>
      <c r="I132" s="26"/>
      <c r="J132" s="26">
        <f>2.75+2.75</f>
        <v>5.5</v>
      </c>
      <c r="K132" s="26">
        <f>8.9*0.7</f>
        <v>6.2299999999999995</v>
      </c>
      <c r="L132" s="166"/>
      <c r="M132" s="166"/>
      <c r="N132" s="26"/>
    </row>
    <row r="133" spans="1:14" s="27" customFormat="1" ht="15.75" customHeight="1" x14ac:dyDescent="0.25">
      <c r="A133" s="88">
        <f>A132+1</f>
        <v>4</v>
      </c>
      <c r="B133" s="89"/>
      <c r="C133" s="63" t="s">
        <v>313</v>
      </c>
      <c r="D133" s="75">
        <f>(44.25)*10.764</f>
        <v>476.30699999999996</v>
      </c>
      <c r="E133" s="62">
        <f>(5.05)*10.764</f>
        <v>54.358199999999997</v>
      </c>
      <c r="F133" s="40">
        <f t="shared" si="4"/>
        <v>530.66519999999991</v>
      </c>
      <c r="G133" s="64">
        <f>(1.92)*10.764</f>
        <v>20.666879999999999</v>
      </c>
      <c r="H133" s="80">
        <f t="shared" si="5"/>
        <v>790.13141999999982</v>
      </c>
      <c r="I133" s="26"/>
      <c r="K133" s="27">
        <f>2.75*0.7</f>
        <v>1.9249999999999998</v>
      </c>
      <c r="L133" s="166"/>
      <c r="M133" s="166"/>
      <c r="N133" s="26"/>
    </row>
    <row r="134" spans="1:14" s="27" customFormat="1" x14ac:dyDescent="0.25">
      <c r="A134" s="88">
        <f>A133+1</f>
        <v>5</v>
      </c>
      <c r="B134" s="89"/>
      <c r="C134" s="63" t="s">
        <v>313</v>
      </c>
      <c r="D134" s="75">
        <f>(44.25)*10.764</f>
        <v>476.30699999999996</v>
      </c>
      <c r="E134" s="62">
        <f>(5.05)*10.764</f>
        <v>54.358199999999997</v>
      </c>
      <c r="F134" s="44">
        <f t="shared" si="4"/>
        <v>530.66519999999991</v>
      </c>
      <c r="G134" s="64">
        <f>(1.92)*10.764</f>
        <v>20.666879999999999</v>
      </c>
      <c r="H134" s="80">
        <f t="shared" si="5"/>
        <v>790.13141999999982</v>
      </c>
      <c r="I134" s="26">
        <f>2.75*4.3+2.13*2.6+2.75*1.75+3.05*3.28+2.1*1.2+1.2*2.21+4.6*1</f>
        <v>41.951500000000003</v>
      </c>
      <c r="J134" s="27">
        <f>2.75+2.75</f>
        <v>5.5</v>
      </c>
      <c r="L134" s="166"/>
      <c r="M134" s="166"/>
    </row>
    <row r="135" spans="1:14" s="27" customFormat="1" x14ac:dyDescent="0.25">
      <c r="A135" s="108">
        <v>6</v>
      </c>
      <c r="B135" s="108"/>
      <c r="C135" s="63" t="s">
        <v>312</v>
      </c>
      <c r="D135" s="75">
        <f>(30.83)*10.764</f>
        <v>331.85411999999997</v>
      </c>
      <c r="E135" s="62">
        <f>(5.07)*10.764</f>
        <v>54.573479999999996</v>
      </c>
      <c r="F135" s="40">
        <f t="shared" si="4"/>
        <v>386.42759999999998</v>
      </c>
      <c r="G135" s="64">
        <f>(29.52)*10.764</f>
        <v>317.75327999999996</v>
      </c>
      <c r="H135" s="80">
        <f t="shared" si="5"/>
        <v>639.75833999999998</v>
      </c>
      <c r="I135" s="72">
        <f>2.75*4.3+2.13*2.6+2.1*1.2+3.05*3.28+1.2*2.28+2.75*2.75+1*(2.75+1.2)</f>
        <v>44.1355</v>
      </c>
      <c r="K135" s="26">
        <f>5.3*0.7+5.65*0.7+5.7*4</f>
        <v>30.465</v>
      </c>
      <c r="L135" s="27">
        <f>1.2*2.75</f>
        <v>3.3</v>
      </c>
      <c r="N135" s="26"/>
    </row>
    <row r="136" spans="1:14" s="27" customFormat="1" x14ac:dyDescent="0.25">
      <c r="A136" s="108">
        <f>A135+1</f>
        <v>7</v>
      </c>
      <c r="B136" s="108"/>
      <c r="C136" s="63" t="s">
        <v>312</v>
      </c>
      <c r="D136" s="75">
        <f>(30.83)*10.764</f>
        <v>331.85411999999997</v>
      </c>
      <c r="E136" s="62">
        <f>(5.07)*10.764</f>
        <v>54.573479999999996</v>
      </c>
      <c r="F136" s="40">
        <f t="shared" si="4"/>
        <v>386.42759999999998</v>
      </c>
      <c r="G136" s="40">
        <v>0</v>
      </c>
      <c r="H136" s="80">
        <f t="shared" si="5"/>
        <v>560.32002</v>
      </c>
      <c r="I136" s="72">
        <f>2.75*4.3+2.13*2.6+2.1*1.2+3.05*3.28+1.2*2.28+2.75*1.75+1*(2.75+1.2)</f>
        <v>41.3855</v>
      </c>
      <c r="J136" s="26">
        <f>2.75+2.75</f>
        <v>5.5</v>
      </c>
      <c r="N136" s="26"/>
    </row>
    <row r="137" spans="1:14" s="27" customFormat="1" x14ac:dyDescent="0.25">
      <c r="A137" s="108">
        <f>A136+1</f>
        <v>8</v>
      </c>
      <c r="B137" s="108"/>
      <c r="C137" s="63" t="s">
        <v>312</v>
      </c>
      <c r="D137" s="75">
        <f>(31.07)*10.764</f>
        <v>334.43747999999999</v>
      </c>
      <c r="E137" s="62">
        <f>(5.7)*10.764</f>
        <v>61.354799999999997</v>
      </c>
      <c r="F137" s="40">
        <f t="shared" si="4"/>
        <v>395.79228000000001</v>
      </c>
      <c r="G137" s="40">
        <v>0</v>
      </c>
      <c r="H137" s="80">
        <f t="shared" si="5"/>
        <v>573.89880600000004</v>
      </c>
      <c r="I137" s="73">
        <f>1*(2.75+1*2.75)</f>
        <v>5.5</v>
      </c>
      <c r="N137" s="26"/>
    </row>
    <row r="138" spans="1:14" s="27" customFormat="1" ht="15.75" customHeight="1" x14ac:dyDescent="0.25">
      <c r="A138" s="112" t="s">
        <v>311</v>
      </c>
      <c r="B138" s="113"/>
      <c r="C138" s="113"/>
      <c r="D138" s="113"/>
      <c r="E138" s="113"/>
      <c r="F138" s="113"/>
      <c r="G138" s="113"/>
      <c r="H138" s="114"/>
      <c r="I138" s="26"/>
      <c r="J138" s="70" t="s">
        <v>112</v>
      </c>
      <c r="L138" s="27">
        <f>H130/F130</f>
        <v>1.4500000000000002</v>
      </c>
      <c r="N138" s="26"/>
    </row>
    <row r="139" spans="1:14" s="27" customFormat="1" x14ac:dyDescent="0.25">
      <c r="A139" s="88">
        <v>1</v>
      </c>
      <c r="B139" s="89"/>
      <c r="C139" s="63" t="s">
        <v>312</v>
      </c>
      <c r="D139" s="75">
        <f>(31.07)*10.764</f>
        <v>334.43747999999999</v>
      </c>
      <c r="E139" s="62">
        <f>(5.7)*10.764</f>
        <v>61.354799999999997</v>
      </c>
      <c r="F139" s="40">
        <f t="shared" ref="F139:F146" si="6">D139+E139</f>
        <v>395.79228000000001</v>
      </c>
      <c r="G139" s="40">
        <v>0</v>
      </c>
      <c r="H139" s="80">
        <f t="shared" si="5"/>
        <v>573.89880600000004</v>
      </c>
      <c r="I139" s="26">
        <f>1830000/H139</f>
        <v>3188.7154684200545</v>
      </c>
      <c r="J139" s="61">
        <f>610/F139</f>
        <v>1.5412124764030264</v>
      </c>
      <c r="K139" s="27">
        <f>3800*H139</f>
        <v>2180815.4628000003</v>
      </c>
      <c r="N139" s="26"/>
    </row>
    <row r="140" spans="1:14" s="27" customFormat="1" ht="15.75" customHeight="1" x14ac:dyDescent="0.25">
      <c r="A140" s="88">
        <f>A139+1</f>
        <v>2</v>
      </c>
      <c r="B140" s="89"/>
      <c r="C140" s="63" t="s">
        <v>313</v>
      </c>
      <c r="D140" s="75">
        <f>(44.32)*10.764</f>
        <v>477.06047999999998</v>
      </c>
      <c r="E140" s="62">
        <f>(5.82)*10.764</f>
        <v>62.646479999999997</v>
      </c>
      <c r="F140" s="44">
        <f t="shared" si="6"/>
        <v>539.70695999999998</v>
      </c>
      <c r="G140" s="44">
        <v>0</v>
      </c>
      <c r="H140" s="80">
        <f t="shared" si="5"/>
        <v>782.57509199999993</v>
      </c>
      <c r="I140" s="26">
        <f>2445000/H140</f>
        <v>3124.3008178951859</v>
      </c>
      <c r="J140" s="61">
        <f>815/F140</f>
        <v>1.5100787286493398</v>
      </c>
      <c r="K140" s="68">
        <f t="shared" ref="K140:K146" si="7">3800*H140</f>
        <v>2973785.3495999998</v>
      </c>
    </row>
    <row r="141" spans="1:14" s="27" customFormat="1" ht="15.75" customHeight="1" x14ac:dyDescent="0.25">
      <c r="A141" s="88">
        <f>A140+1</f>
        <v>3</v>
      </c>
      <c r="B141" s="89"/>
      <c r="C141" s="63" t="s">
        <v>312</v>
      </c>
      <c r="D141" s="75">
        <f>(30.83)*10.764</f>
        <v>331.85411999999997</v>
      </c>
      <c r="E141" s="62">
        <f>(5.07)*10.764</f>
        <v>54.573479999999996</v>
      </c>
      <c r="F141" s="40">
        <f t="shared" si="6"/>
        <v>386.42759999999998</v>
      </c>
      <c r="G141" s="40">
        <v>0</v>
      </c>
      <c r="H141" s="80">
        <f t="shared" si="5"/>
        <v>560.32002</v>
      </c>
      <c r="I141" s="26">
        <f>1800000/H141</f>
        <v>3212.4499138902802</v>
      </c>
      <c r="J141" s="61">
        <f>600/F141</f>
        <v>1.5526841250469687</v>
      </c>
      <c r="K141" s="68">
        <f t="shared" si="7"/>
        <v>2129216.0759999999</v>
      </c>
    </row>
    <row r="142" spans="1:14" s="27" customFormat="1" ht="15.75" customHeight="1" x14ac:dyDescent="0.25">
      <c r="A142" s="88">
        <f>A141+1</f>
        <v>4</v>
      </c>
      <c r="B142" s="89"/>
      <c r="C142" s="63" t="s">
        <v>313</v>
      </c>
      <c r="D142" s="75">
        <f>(44.25)*10.764</f>
        <v>476.30699999999996</v>
      </c>
      <c r="E142" s="62">
        <f>(5.05)*10.764</f>
        <v>54.358199999999997</v>
      </c>
      <c r="F142" s="40">
        <f t="shared" si="6"/>
        <v>530.66519999999991</v>
      </c>
      <c r="G142" s="40">
        <v>0</v>
      </c>
      <c r="H142" s="80">
        <f t="shared" si="5"/>
        <v>769.46453999999983</v>
      </c>
      <c r="I142" s="26"/>
      <c r="J142" s="61">
        <f>840/F142</f>
        <v>1.5829189477659362</v>
      </c>
      <c r="K142" s="68">
        <f t="shared" si="7"/>
        <v>2923965.2519999994</v>
      </c>
    </row>
    <row r="143" spans="1:14" s="27" customFormat="1" ht="15.75" customHeight="1" x14ac:dyDescent="0.25">
      <c r="A143" s="88">
        <f>A142+1</f>
        <v>5</v>
      </c>
      <c r="B143" s="89"/>
      <c r="C143" s="63" t="s">
        <v>313</v>
      </c>
      <c r="D143" s="75">
        <f>(44.25)*10.764</f>
        <v>476.30699999999996</v>
      </c>
      <c r="E143" s="62">
        <f>(5.05)*10.764</f>
        <v>54.358199999999997</v>
      </c>
      <c r="F143" s="40">
        <f t="shared" si="6"/>
        <v>530.66519999999991</v>
      </c>
      <c r="G143" s="40">
        <v>0</v>
      </c>
      <c r="H143" s="80">
        <f t="shared" si="5"/>
        <v>769.46453999999983</v>
      </c>
      <c r="I143" s="26"/>
      <c r="J143" s="61">
        <f>840/F143</f>
        <v>1.5829189477659362</v>
      </c>
      <c r="K143" s="68">
        <f t="shared" si="7"/>
        <v>2923965.2519999994</v>
      </c>
    </row>
    <row r="144" spans="1:14" s="27" customFormat="1" ht="15.75" customHeight="1" x14ac:dyDescent="0.25">
      <c r="A144" s="108">
        <v>6</v>
      </c>
      <c r="B144" s="108"/>
      <c r="C144" s="63" t="s">
        <v>312</v>
      </c>
      <c r="D144" s="75">
        <f>(30.83)*10.764</f>
        <v>331.85411999999997</v>
      </c>
      <c r="E144" s="62">
        <f>(5.07)*10.764</f>
        <v>54.573479999999996</v>
      </c>
      <c r="F144" s="40">
        <f t="shared" si="6"/>
        <v>386.42759999999998</v>
      </c>
      <c r="G144" s="40">
        <v>0</v>
      </c>
      <c r="H144" s="80">
        <f t="shared" si="5"/>
        <v>560.32002</v>
      </c>
      <c r="I144" s="26"/>
      <c r="J144" s="61">
        <f>600/F144</f>
        <v>1.5526841250469687</v>
      </c>
      <c r="K144" s="68">
        <f t="shared" si="7"/>
        <v>2129216.0759999999</v>
      </c>
    </row>
    <row r="145" spans="1:11" s="27" customFormat="1" ht="15.75" customHeight="1" x14ac:dyDescent="0.25">
      <c r="A145" s="108">
        <f>A144+1</f>
        <v>7</v>
      </c>
      <c r="B145" s="108"/>
      <c r="C145" s="63" t="s">
        <v>312</v>
      </c>
      <c r="D145" s="75">
        <f>(30.83)*10.764</f>
        <v>331.85411999999997</v>
      </c>
      <c r="E145" s="62">
        <f>(5.07)*10.764</f>
        <v>54.573479999999996</v>
      </c>
      <c r="F145" s="40">
        <f t="shared" si="6"/>
        <v>386.42759999999998</v>
      </c>
      <c r="G145" s="40">
        <v>0</v>
      </c>
      <c r="H145" s="80">
        <f t="shared" si="5"/>
        <v>560.32002</v>
      </c>
      <c r="I145" s="26"/>
      <c r="J145" s="61">
        <f>600/F145</f>
        <v>1.5526841250469687</v>
      </c>
      <c r="K145" s="68">
        <f t="shared" si="7"/>
        <v>2129216.0759999999</v>
      </c>
    </row>
    <row r="146" spans="1:11" s="27" customFormat="1" ht="15.75" customHeight="1" x14ac:dyDescent="0.25">
      <c r="A146" s="108">
        <f>A145+1</f>
        <v>8</v>
      </c>
      <c r="B146" s="108"/>
      <c r="C146" s="63" t="s">
        <v>312</v>
      </c>
      <c r="D146" s="75">
        <f>(31.07)*10.764</f>
        <v>334.43747999999999</v>
      </c>
      <c r="E146" s="62">
        <f>(5.7)*10.764</f>
        <v>61.354799999999997</v>
      </c>
      <c r="F146" s="44">
        <f t="shared" si="6"/>
        <v>395.79228000000001</v>
      </c>
      <c r="G146" s="44">
        <v>0</v>
      </c>
      <c r="H146" s="80">
        <f t="shared" si="5"/>
        <v>573.89880600000004</v>
      </c>
      <c r="I146" s="26"/>
      <c r="J146" s="61">
        <f>610/F146</f>
        <v>1.5412124764030264</v>
      </c>
      <c r="K146" s="68">
        <f t="shared" si="7"/>
        <v>2180815.4628000003</v>
      </c>
    </row>
    <row r="147" spans="1:11" s="25" customFormat="1" x14ac:dyDescent="0.25">
      <c r="A147" s="129" t="s">
        <v>64</v>
      </c>
      <c r="B147" s="129"/>
      <c r="C147" s="129"/>
      <c r="D147" s="129"/>
      <c r="E147" s="129"/>
      <c r="F147" s="129"/>
      <c r="G147" s="129"/>
      <c r="H147" s="129"/>
    </row>
    <row r="148" spans="1:11" s="25" customFormat="1" x14ac:dyDescent="0.25">
      <c r="A148" s="34" t="s">
        <v>148</v>
      </c>
      <c r="B148" s="116" t="s">
        <v>339</v>
      </c>
      <c r="C148" s="117"/>
      <c r="D148" s="117"/>
      <c r="E148" s="117"/>
      <c r="F148" s="117"/>
      <c r="G148" s="117"/>
      <c r="H148" s="118"/>
    </row>
    <row r="149" spans="1:11" s="25" customFormat="1" x14ac:dyDescent="0.25">
      <c r="A149" s="34" t="s">
        <v>148</v>
      </c>
      <c r="B149" s="116" t="str">
        <f>(IF(H125="Saleable area Loading :","We have considered Saleable area of Flats as per our Calculation.","We considered Saleable area of Flat as per Builder area Sheet."))</f>
        <v>We have considered Saleable area of Flats as per our Calculation.</v>
      </c>
      <c r="C149" s="117"/>
      <c r="D149" s="117"/>
      <c r="E149" s="117"/>
      <c r="F149" s="117"/>
      <c r="G149" s="117"/>
      <c r="H149" s="118"/>
    </row>
    <row r="150" spans="1:11" s="25" customFormat="1" x14ac:dyDescent="0.25">
      <c r="A150" s="34" t="s">
        <v>148</v>
      </c>
      <c r="B150" s="116" t="str">
        <f>(IF(H105="Saleable area Loading :","We have considered Saleable area of Commercial as per our Calculation.","We considered Saleable area of Commercial as per Builder area Sheet."))</f>
        <v>We have considered Saleable area of Commercial as per our Calculation.</v>
      </c>
      <c r="C150" s="117"/>
      <c r="D150" s="117"/>
      <c r="E150" s="117"/>
      <c r="F150" s="117"/>
      <c r="G150" s="117"/>
      <c r="H150" s="118"/>
    </row>
    <row r="151" spans="1:11" s="25" customFormat="1" x14ac:dyDescent="0.25">
      <c r="A151" s="34" t="s">
        <v>148</v>
      </c>
      <c r="B151" s="126" t="s">
        <v>118</v>
      </c>
      <c r="C151" s="127"/>
      <c r="D151" s="127"/>
      <c r="E151" s="127"/>
      <c r="F151" s="127"/>
      <c r="G151" s="127"/>
      <c r="H151" s="128"/>
    </row>
    <row r="152" spans="1:11" s="25" customFormat="1" x14ac:dyDescent="0.25">
      <c r="A152" s="34" t="s">
        <v>148</v>
      </c>
      <c r="B152" s="126" t="s">
        <v>316</v>
      </c>
      <c r="C152" s="127"/>
      <c r="D152" s="127"/>
      <c r="E152" s="127"/>
      <c r="F152" s="127"/>
      <c r="G152" s="127"/>
      <c r="H152" s="128"/>
    </row>
    <row r="153" spans="1:11" s="25" customFormat="1" x14ac:dyDescent="0.25">
      <c r="A153" s="34" t="s">
        <v>148</v>
      </c>
      <c r="B153" s="126" t="s">
        <v>147</v>
      </c>
      <c r="C153" s="127"/>
      <c r="D153" s="127"/>
      <c r="E153" s="127"/>
      <c r="F153" s="127"/>
      <c r="G153" s="127"/>
      <c r="H153" s="128"/>
    </row>
    <row r="154" spans="1:11" s="25" customFormat="1" x14ac:dyDescent="0.25">
      <c r="A154" s="34" t="s">
        <v>148</v>
      </c>
      <c r="B154" s="126" t="s">
        <v>119</v>
      </c>
      <c r="C154" s="127"/>
      <c r="D154" s="127"/>
      <c r="E154" s="127"/>
      <c r="F154" s="127"/>
      <c r="G154" s="127"/>
      <c r="H154" s="128"/>
    </row>
    <row r="155" spans="1:11" s="25" customFormat="1" ht="34.5" customHeight="1" x14ac:dyDescent="0.25">
      <c r="A155" s="34" t="s">
        <v>148</v>
      </c>
      <c r="B155" s="126" t="s">
        <v>149</v>
      </c>
      <c r="C155" s="127"/>
      <c r="D155" s="127"/>
      <c r="E155" s="127"/>
      <c r="F155" s="127"/>
      <c r="G155" s="127"/>
      <c r="H155" s="128"/>
    </row>
    <row r="156" spans="1:11" s="25" customFormat="1" x14ac:dyDescent="0.25">
      <c r="A156" s="83" t="s">
        <v>148</v>
      </c>
      <c r="B156" s="126" t="s">
        <v>120</v>
      </c>
      <c r="C156" s="127"/>
      <c r="D156" s="127"/>
      <c r="E156" s="127"/>
      <c r="F156" s="127"/>
      <c r="G156" s="127"/>
      <c r="H156" s="128"/>
    </row>
    <row r="157" spans="1:11" s="25" customFormat="1" ht="32.25" hidden="1" customHeight="1" x14ac:dyDescent="0.25">
      <c r="A157" s="37" t="s">
        <v>148</v>
      </c>
      <c r="B157" s="136" t="s">
        <v>174</v>
      </c>
      <c r="C157" s="137"/>
      <c r="D157" s="137"/>
      <c r="E157" s="137"/>
      <c r="F157" s="137"/>
      <c r="G157" s="137"/>
      <c r="H157" s="138"/>
    </row>
    <row r="158" spans="1:11" s="25" customFormat="1" ht="0.75" customHeight="1" x14ac:dyDescent="0.25">
      <c r="A158" s="42" t="s">
        <v>148</v>
      </c>
      <c r="B158" s="136" t="s">
        <v>229</v>
      </c>
      <c r="C158" s="137"/>
      <c r="D158" s="137"/>
      <c r="E158" s="137"/>
      <c r="F158" s="137"/>
      <c r="G158" s="137"/>
      <c r="H158" s="138"/>
    </row>
    <row r="159" spans="1:11" x14ac:dyDescent="0.25">
      <c r="A159" s="124" t="s">
        <v>57</v>
      </c>
      <c r="B159" s="124"/>
      <c r="C159" s="124"/>
      <c r="D159" s="124"/>
      <c r="E159" s="124"/>
      <c r="F159" s="124"/>
      <c r="G159" s="124"/>
      <c r="H159" s="124"/>
    </row>
    <row r="160" spans="1:11" x14ac:dyDescent="0.25">
      <c r="A160" s="92" t="s">
        <v>58</v>
      </c>
      <c r="B160" s="92"/>
      <c r="C160" s="92"/>
      <c r="D160" s="92"/>
      <c r="E160" s="92"/>
      <c r="F160" s="92"/>
      <c r="G160" s="92"/>
      <c r="H160" s="92"/>
    </row>
    <row r="161" spans="1:8" ht="15.75" customHeight="1" x14ac:dyDescent="0.25">
      <c r="A161" s="107" t="s">
        <v>59</v>
      </c>
      <c r="B161" s="107"/>
      <c r="C161" s="107"/>
      <c r="D161" s="107"/>
      <c r="E161" s="107"/>
      <c r="F161" s="107"/>
      <c r="G161" s="107"/>
      <c r="H161" s="107"/>
    </row>
    <row r="162" spans="1:8" x14ac:dyDescent="0.25">
      <c r="A162" s="92" t="s">
        <v>60</v>
      </c>
      <c r="B162" s="92"/>
      <c r="C162" s="92"/>
      <c r="D162" s="92"/>
      <c r="E162" s="92"/>
      <c r="F162" s="92"/>
      <c r="G162" s="92"/>
      <c r="H162" s="92"/>
    </row>
    <row r="163" spans="1:8" x14ac:dyDescent="0.25">
      <c r="A163" s="92" t="s">
        <v>61</v>
      </c>
      <c r="B163" s="92"/>
      <c r="C163" s="92"/>
      <c r="D163" s="92"/>
      <c r="E163" s="92"/>
      <c r="F163" s="92"/>
      <c r="G163" s="92"/>
      <c r="H163" s="92"/>
    </row>
    <row r="164" spans="1:8" x14ac:dyDescent="0.25">
      <c r="A164" s="92" t="s">
        <v>121</v>
      </c>
      <c r="B164" s="92"/>
      <c r="C164" s="92"/>
      <c r="D164" s="92"/>
      <c r="E164" s="92"/>
      <c r="F164" s="92"/>
      <c r="G164" s="92"/>
      <c r="H164" s="92"/>
    </row>
    <row r="165" spans="1:8" ht="33.950000000000003" customHeight="1" x14ac:dyDescent="0.25">
      <c r="A165" s="98" t="s">
        <v>122</v>
      </c>
      <c r="B165" s="98"/>
      <c r="C165" s="98"/>
      <c r="D165" s="98"/>
      <c r="E165" s="98"/>
      <c r="F165" s="98"/>
      <c r="G165" s="98"/>
      <c r="H165" s="98"/>
    </row>
    <row r="166" spans="1:8" x14ac:dyDescent="0.25">
      <c r="A166" s="132" t="s">
        <v>73</v>
      </c>
      <c r="B166" s="132"/>
      <c r="C166" s="132" t="s">
        <v>335</v>
      </c>
      <c r="D166" s="132"/>
      <c r="E166" s="132" t="s">
        <v>102</v>
      </c>
      <c r="F166" s="132"/>
      <c r="G166" s="132" t="s">
        <v>337</v>
      </c>
      <c r="H166" s="132"/>
    </row>
    <row r="167" spans="1:8" x14ac:dyDescent="0.25">
      <c r="A167" s="131" t="s">
        <v>75</v>
      </c>
      <c r="B167" s="131"/>
      <c r="C167" s="131"/>
      <c r="D167" s="131"/>
      <c r="E167" s="131"/>
      <c r="F167" s="131"/>
      <c r="G167" s="131"/>
      <c r="H167" s="131"/>
    </row>
    <row r="168" spans="1:8" x14ac:dyDescent="0.25">
      <c r="A168" s="131"/>
      <c r="B168" s="131"/>
      <c r="C168" s="131"/>
      <c r="D168" s="131"/>
      <c r="E168" s="131"/>
      <c r="F168" s="131"/>
      <c r="G168" s="131"/>
      <c r="H168" s="131"/>
    </row>
    <row r="169" spans="1:8" x14ac:dyDescent="0.25">
      <c r="A169" s="131"/>
      <c r="B169" s="131"/>
      <c r="C169" s="131"/>
      <c r="D169" s="131"/>
      <c r="E169" s="131"/>
      <c r="F169" s="131"/>
      <c r="G169" s="131"/>
      <c r="H169" s="131"/>
    </row>
    <row r="170" spans="1:8" x14ac:dyDescent="0.25">
      <c r="A170" s="131"/>
      <c r="B170" s="131"/>
      <c r="C170" s="131"/>
      <c r="D170" s="131"/>
      <c r="E170" s="131"/>
      <c r="F170" s="131"/>
      <c r="G170" s="131"/>
      <c r="H170" s="131"/>
    </row>
    <row r="171" spans="1:8" x14ac:dyDescent="0.25">
      <c r="A171" s="28" t="s">
        <v>62</v>
      </c>
      <c r="B171" s="29"/>
      <c r="C171" s="29"/>
      <c r="D171" s="28" t="str">
        <f>E9</f>
        <v>Studio High 5 Phase 3 Wing F</v>
      </c>
      <c r="F171" s="29"/>
      <c r="G171" s="29"/>
      <c r="H171" s="29"/>
    </row>
    <row r="172" spans="1:8" x14ac:dyDescent="0.25">
      <c r="A172" s="29"/>
      <c r="B172" s="29"/>
      <c r="C172" s="29"/>
      <c r="D172" s="29"/>
      <c r="E172" s="29"/>
      <c r="F172" s="29"/>
      <c r="G172" s="29"/>
      <c r="H172" s="29"/>
    </row>
    <row r="173" spans="1:8" x14ac:dyDescent="0.25">
      <c r="A173" s="29"/>
      <c r="B173" s="29"/>
      <c r="C173" s="29"/>
      <c r="D173" s="29"/>
      <c r="E173" s="29"/>
      <c r="F173" s="29"/>
      <c r="G173" s="29"/>
      <c r="H173" s="29"/>
    </row>
    <row r="174" spans="1:8" ht="15" customHeight="1" x14ac:dyDescent="0.25"/>
    <row r="214" spans="1:1" x14ac:dyDescent="0.25">
      <c r="A214" s="31" t="s">
        <v>159</v>
      </c>
    </row>
    <row r="257" spans="1:1" x14ac:dyDescent="0.25">
      <c r="A257" s="31" t="s">
        <v>63</v>
      </c>
    </row>
  </sheetData>
  <mergeCells count="302">
    <mergeCell ref="C49:H49"/>
    <mergeCell ref="B153:H153"/>
    <mergeCell ref="F83:H83"/>
    <mergeCell ref="A83:E83"/>
    <mergeCell ref="D105:D106"/>
    <mergeCell ref="A85:E85"/>
    <mergeCell ref="A84:E84"/>
    <mergeCell ref="A81:E81"/>
    <mergeCell ref="F85:H85"/>
    <mergeCell ref="G105:G106"/>
    <mergeCell ref="A69:B69"/>
    <mergeCell ref="A67:B67"/>
    <mergeCell ref="C67:H67"/>
    <mergeCell ref="A75:B75"/>
    <mergeCell ref="A62:C62"/>
    <mergeCell ref="D62:H62"/>
    <mergeCell ref="C69:H69"/>
    <mergeCell ref="A72:B72"/>
    <mergeCell ref="A74:B74"/>
    <mergeCell ref="E70:F70"/>
    <mergeCell ref="A63:C63"/>
    <mergeCell ref="D63:H63"/>
    <mergeCell ref="A86:E86"/>
    <mergeCell ref="F84:H84"/>
    <mergeCell ref="L134:M134"/>
    <mergeCell ref="A139:B139"/>
    <mergeCell ref="A136:B136"/>
    <mergeCell ref="A137:B137"/>
    <mergeCell ref="A89:E89"/>
    <mergeCell ref="E99:F99"/>
    <mergeCell ref="A103:H103"/>
    <mergeCell ref="G101:H101"/>
    <mergeCell ref="A97:B97"/>
    <mergeCell ref="C97:D97"/>
    <mergeCell ref="E97:F97"/>
    <mergeCell ref="G97:H97"/>
    <mergeCell ref="B125:B126"/>
    <mergeCell ref="C125:C126"/>
    <mergeCell ref="D125:D126"/>
    <mergeCell ref="E125:E126"/>
    <mergeCell ref="F125:F126"/>
    <mergeCell ref="C105:C106"/>
    <mergeCell ref="A108:H108"/>
    <mergeCell ref="A109:H109"/>
    <mergeCell ref="A127:H127"/>
    <mergeCell ref="A128:H128"/>
    <mergeCell ref="A134:B134"/>
    <mergeCell ref="A130:B130"/>
    <mergeCell ref="A40:B40"/>
    <mergeCell ref="C40:H40"/>
    <mergeCell ref="F105:F106"/>
    <mergeCell ref="C96:D96"/>
    <mergeCell ref="E96:F96"/>
    <mergeCell ref="B105:B106"/>
    <mergeCell ref="A105:A106"/>
    <mergeCell ref="L133:M133"/>
    <mergeCell ref="A131:B131"/>
    <mergeCell ref="G102:H102"/>
    <mergeCell ref="A132:B132"/>
    <mergeCell ref="L132:M132"/>
    <mergeCell ref="A133:B133"/>
    <mergeCell ref="A70:B70"/>
    <mergeCell ref="A73:B73"/>
    <mergeCell ref="A80:B80"/>
    <mergeCell ref="G70:H70"/>
    <mergeCell ref="A91:E91"/>
    <mergeCell ref="C102:D102"/>
    <mergeCell ref="E102:F102"/>
    <mergeCell ref="A71:B71"/>
    <mergeCell ref="G99:H99"/>
    <mergeCell ref="A87:E87"/>
    <mergeCell ref="F87:H87"/>
    <mergeCell ref="C39:H39"/>
    <mergeCell ref="A46:D46"/>
    <mergeCell ref="L111:M111"/>
    <mergeCell ref="L110:M110"/>
    <mergeCell ref="L109:M109"/>
    <mergeCell ref="L108:M108"/>
    <mergeCell ref="A78:B78"/>
    <mergeCell ref="C100:D100"/>
    <mergeCell ref="E100:F100"/>
    <mergeCell ref="G100:H100"/>
    <mergeCell ref="A82:E82"/>
    <mergeCell ref="A107:H107"/>
    <mergeCell ref="E105:E106"/>
    <mergeCell ref="A47:D47"/>
    <mergeCell ref="A48:H48"/>
    <mergeCell ref="D58:H58"/>
    <mergeCell ref="A58:C58"/>
    <mergeCell ref="G51:H51"/>
    <mergeCell ref="A52:B53"/>
    <mergeCell ref="A77:B77"/>
    <mergeCell ref="E71:F80"/>
    <mergeCell ref="G71:H80"/>
    <mergeCell ref="A79:B79"/>
    <mergeCell ref="A49:B49"/>
    <mergeCell ref="A38:H38"/>
    <mergeCell ref="A37:B37"/>
    <mergeCell ref="C37:E37"/>
    <mergeCell ref="A42:D42"/>
    <mergeCell ref="E42:H42"/>
    <mergeCell ref="A41:H41"/>
    <mergeCell ref="A60:C60"/>
    <mergeCell ref="A61:C61"/>
    <mergeCell ref="D60:H60"/>
    <mergeCell ref="D61:H61"/>
    <mergeCell ref="A44:D44"/>
    <mergeCell ref="E44:H44"/>
    <mergeCell ref="E45:H45"/>
    <mergeCell ref="E46:H46"/>
    <mergeCell ref="E47:H47"/>
    <mergeCell ref="A45:D45"/>
    <mergeCell ref="F37:H37"/>
    <mergeCell ref="C50:E50"/>
    <mergeCell ref="G50:H50"/>
    <mergeCell ref="A57:C57"/>
    <mergeCell ref="D57:H57"/>
    <mergeCell ref="G54:H54"/>
    <mergeCell ref="C53:H53"/>
    <mergeCell ref="A39:B3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E20:F20"/>
    <mergeCell ref="G20:H20"/>
    <mergeCell ref="A21:B21"/>
    <mergeCell ref="C21:D21"/>
    <mergeCell ref="E21:F21"/>
    <mergeCell ref="G21:H21"/>
    <mergeCell ref="A22:B22"/>
    <mergeCell ref="C22:D22"/>
    <mergeCell ref="E22:F22"/>
    <mergeCell ref="G22:H22"/>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B156:H156"/>
    <mergeCell ref="A167:H170"/>
    <mergeCell ref="A166:B166"/>
    <mergeCell ref="E166:F166"/>
    <mergeCell ref="C166:D166"/>
    <mergeCell ref="G166:H166"/>
    <mergeCell ref="A94:H94"/>
    <mergeCell ref="A92:E92"/>
    <mergeCell ref="F92:H92"/>
    <mergeCell ref="A93:E93"/>
    <mergeCell ref="F93:H93"/>
    <mergeCell ref="A100:B100"/>
    <mergeCell ref="A143:B143"/>
    <mergeCell ref="A96:B96"/>
    <mergeCell ref="A162:H162"/>
    <mergeCell ref="A98:H98"/>
    <mergeCell ref="A165:H165"/>
    <mergeCell ref="A163:H163"/>
    <mergeCell ref="A159:H159"/>
    <mergeCell ref="B158:H158"/>
    <mergeCell ref="A101:B101"/>
    <mergeCell ref="E101:F101"/>
    <mergeCell ref="B155:H155"/>
    <mergeCell ref="B157:H157"/>
    <mergeCell ref="A114:B114"/>
    <mergeCell ref="A112:B112"/>
    <mergeCell ref="B154:H154"/>
    <mergeCell ref="B150:H150"/>
    <mergeCell ref="B151:H151"/>
    <mergeCell ref="B152:H152"/>
    <mergeCell ref="A147:H147"/>
    <mergeCell ref="A115:B115"/>
    <mergeCell ref="A116:B116"/>
    <mergeCell ref="A117:B117"/>
    <mergeCell ref="A118:B118"/>
    <mergeCell ref="A119:B119"/>
    <mergeCell ref="A120:B120"/>
    <mergeCell ref="A121:B121"/>
    <mergeCell ref="A141:B141"/>
    <mergeCell ref="G125:G126"/>
    <mergeCell ref="A125:A126"/>
    <mergeCell ref="A145:B145"/>
    <mergeCell ref="B148:H148"/>
    <mergeCell ref="A113:B113"/>
    <mergeCell ref="C52:E52"/>
    <mergeCell ref="A59:C59"/>
    <mergeCell ref="D59:H59"/>
    <mergeCell ref="C51:E51"/>
    <mergeCell ref="G52:H52"/>
    <mergeCell ref="A51:B51"/>
    <mergeCell ref="A55:H55"/>
    <mergeCell ref="A56:C56"/>
    <mergeCell ref="F81:H81"/>
    <mergeCell ref="A102:B102"/>
    <mergeCell ref="D65:H65"/>
    <mergeCell ref="A164:H164"/>
    <mergeCell ref="A161:H161"/>
    <mergeCell ref="A135:B135"/>
    <mergeCell ref="A99:B99"/>
    <mergeCell ref="F82:H82"/>
    <mergeCell ref="G96:H96"/>
    <mergeCell ref="F88:H88"/>
    <mergeCell ref="C95:D95"/>
    <mergeCell ref="C101:D101"/>
    <mergeCell ref="A129:H129"/>
    <mergeCell ref="A144:B144"/>
    <mergeCell ref="A160:H160"/>
    <mergeCell ref="F86:H86"/>
    <mergeCell ref="A88:E88"/>
    <mergeCell ref="A124:H124"/>
    <mergeCell ref="B149:H149"/>
    <mergeCell ref="A140:B140"/>
    <mergeCell ref="A146:B146"/>
    <mergeCell ref="A122:B122"/>
    <mergeCell ref="A123:B123"/>
    <mergeCell ref="A111:B111"/>
    <mergeCell ref="A110:B110"/>
    <mergeCell ref="A138:H138"/>
    <mergeCell ref="I11:L11"/>
    <mergeCell ref="I15:P15"/>
    <mergeCell ref="F91:H91"/>
    <mergeCell ref="F89:H89"/>
    <mergeCell ref="A142:B142"/>
    <mergeCell ref="A104:H104"/>
    <mergeCell ref="G95:H95"/>
    <mergeCell ref="A90:E90"/>
    <mergeCell ref="A54:B54"/>
    <mergeCell ref="C54:E54"/>
    <mergeCell ref="D56:H56"/>
    <mergeCell ref="F90:H90"/>
    <mergeCell ref="E95:F95"/>
    <mergeCell ref="A95:B95"/>
    <mergeCell ref="C99:D99"/>
    <mergeCell ref="D64:H64"/>
    <mergeCell ref="A65:C65"/>
    <mergeCell ref="E43:H43"/>
    <mergeCell ref="A43:D43"/>
    <mergeCell ref="A76:B76"/>
    <mergeCell ref="A50:B50"/>
    <mergeCell ref="A66:C66"/>
    <mergeCell ref="D66:H66"/>
    <mergeCell ref="A64:C64"/>
  </mergeCells>
  <dataValidations count="14">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05:E106">
      <formula1>"Attached Loft area,Attached Otla area,Attached Mezzanine area"</formula1>
    </dataValidation>
    <dataValidation type="list" allowBlank="1" showInputMessage="1" showErrorMessage="1" sqref="F81:H81">
      <formula1>"On Saleable Area,On Builtup Area,On Carpet Area,On Plot Area"</formula1>
    </dataValidation>
    <dataValidation type="list" allowBlank="1" showInputMessage="1" showErrorMessage="1" sqref="F92:H92">
      <formula1>"100000,150000,200000,250000,300000,350000,400000,500000,600000,700000,800000,900000,1000000,1200000,1400000,1500000"</formula1>
    </dataValidation>
    <dataValidation type="list" allowBlank="1" showInputMessage="1" showErrorMessage="1" sqref="B105:B106">
      <formula1>"Shop No. (Sale Plan),Sale / Rehab,Sale / Mhada"</formula1>
    </dataValidation>
    <dataValidation type="list" allowBlank="1" showInputMessage="1" showErrorMessage="1" sqref="B125:B126">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25:E126">
      <formula1>"Fungible area,Balcony Area,Chajja Area,Cornice Area,AP Area,WS Area"</formula1>
    </dataValidation>
    <dataValidation type="list" allowBlank="1" showInputMessage="1" showErrorMessage="1" sqref="H106 H126">
      <formula1>".45,.50,.55,.60"</formula1>
    </dataValidation>
    <dataValidation type="list" allowBlank="1" showInputMessage="1" showErrorMessage="1" sqref="E4:H4">
      <formula1>$L$3:$P$3</formula1>
    </dataValidation>
    <dataValidation type="list" allowBlank="1" showInputMessage="1" showErrorMessage="1" sqref="C49:H49">
      <formula1>$S$50:$Y$50</formula1>
    </dataValidation>
  </dataValidations>
  <hyperlinks>
    <hyperlink ref="C40" r:id="rId1"/>
    <hyperlink ref="I63" r:id="rId2"/>
    <hyperlink ref="I101" r:id="rId3"/>
    <hyperlink ref="I102" r:id="rId4"/>
  </hyperlinks>
  <printOptions horizontalCentered="1"/>
  <pageMargins left="0.39370078740157483" right="0.39370078740157483" top="0.82677165354330717" bottom="0.78740157480314965" header="0.15748031496062992" footer="0.19685039370078741"/>
  <pageSetup paperSize="2" fitToHeight="0" orientation="portrait" r:id="rId5"/>
  <headerFooter>
    <oddHeader>&amp;C&amp;G</oddHeader>
    <oddFooter>&amp;L&amp;"Times New Roman,Bold"&amp;12Ref No: &amp;F&amp;C&amp;G&amp;R&amp;"Times New Roman,Bold"&amp;12&amp;P</oddFooter>
  </headerFooter>
  <rowBreaks count="4" manualBreakCount="4">
    <brk id="66" max="16383" man="1"/>
    <brk id="170" max="16383" man="1"/>
    <brk id="213" max="16383" man="1"/>
    <brk id="256" max="16383" man="1"/>
  </rowBreaks>
  <drawing r:id="rId6"/>
  <legacyDrawing r:id="rId7"/>
  <legacyDrawingHF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11" t="s">
        <v>103</v>
      </c>
      <c r="C3" s="211"/>
      <c r="D3" s="211"/>
      <c r="E3" s="211"/>
      <c r="F3" s="211"/>
      <c r="G3" s="211"/>
      <c r="H3" s="211"/>
    </row>
    <row r="4" spans="1:9" x14ac:dyDescent="0.25">
      <c r="A4" s="2"/>
      <c r="B4" s="3" t="s">
        <v>104</v>
      </c>
      <c r="C4" s="3" t="s">
        <v>105</v>
      </c>
      <c r="D4" s="3" t="s">
        <v>65</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38"/>
      <c r="C4" s="38" t="s">
        <v>10</v>
      </c>
      <c r="D4" s="39" t="s">
        <v>175</v>
      </c>
      <c r="E4" s="39" t="s">
        <v>185</v>
      </c>
      <c r="F4" s="39" t="s">
        <v>168</v>
      </c>
      <c r="G4" s="39" t="s">
        <v>190</v>
      </c>
      <c r="H4" s="39" t="s">
        <v>208</v>
      </c>
      <c r="J4" t="s">
        <v>190</v>
      </c>
      <c r="K4" t="s">
        <v>206</v>
      </c>
    </row>
    <row r="5" spans="2:11" x14ac:dyDescent="0.25">
      <c r="B5" s="38"/>
      <c r="C5" s="38"/>
      <c r="D5" s="39" t="s">
        <v>176</v>
      </c>
      <c r="E5" s="39" t="s">
        <v>183</v>
      </c>
      <c r="F5" s="39" t="s">
        <v>205</v>
      </c>
      <c r="G5" s="39" t="s">
        <v>191</v>
      </c>
      <c r="H5" s="39" t="s">
        <v>209</v>
      </c>
    </row>
    <row r="6" spans="2:11" x14ac:dyDescent="0.25">
      <c r="B6" s="38"/>
      <c r="C6" s="38"/>
      <c r="D6" s="39" t="s">
        <v>177</v>
      </c>
      <c r="E6" s="39" t="s">
        <v>184</v>
      </c>
      <c r="F6" s="39" t="s">
        <v>206</v>
      </c>
      <c r="G6" s="39" t="s">
        <v>192</v>
      </c>
      <c r="H6" s="39" t="s">
        <v>222</v>
      </c>
    </row>
    <row r="7" spans="2:11" x14ac:dyDescent="0.25">
      <c r="B7" s="38"/>
      <c r="C7" s="38"/>
      <c r="D7" s="39" t="s">
        <v>178</v>
      </c>
      <c r="E7" s="39" t="s">
        <v>186</v>
      </c>
      <c r="F7" s="39" t="s">
        <v>207</v>
      </c>
      <c r="G7" s="39" t="s">
        <v>193</v>
      </c>
      <c r="H7" s="39" t="s">
        <v>210</v>
      </c>
    </row>
    <row r="8" spans="2:11" x14ac:dyDescent="0.25">
      <c r="B8" s="38"/>
      <c r="C8" s="38"/>
      <c r="D8" s="39" t="s">
        <v>179</v>
      </c>
      <c r="E8" s="39" t="s">
        <v>187</v>
      </c>
      <c r="F8" s="39"/>
      <c r="G8" s="39" t="s">
        <v>194</v>
      </c>
      <c r="H8" s="39" t="s">
        <v>211</v>
      </c>
    </row>
    <row r="9" spans="2:11" x14ac:dyDescent="0.25">
      <c r="B9" s="38"/>
      <c r="C9" s="38"/>
      <c r="D9" s="39" t="s">
        <v>180</v>
      </c>
      <c r="E9" s="39" t="s">
        <v>185</v>
      </c>
      <c r="F9" s="39"/>
      <c r="G9" s="39" t="s">
        <v>195</v>
      </c>
      <c r="H9" s="39" t="s">
        <v>212</v>
      </c>
    </row>
    <row r="10" spans="2:11" x14ac:dyDescent="0.25">
      <c r="B10" s="38"/>
      <c r="C10" s="38"/>
      <c r="D10" s="39" t="s">
        <v>181</v>
      </c>
      <c r="E10" s="39" t="s">
        <v>188</v>
      </c>
      <c r="F10" s="39"/>
      <c r="G10" s="39" t="s">
        <v>196</v>
      </c>
      <c r="H10" s="39" t="s">
        <v>213</v>
      </c>
    </row>
    <row r="11" spans="2:11" x14ac:dyDescent="0.25">
      <c r="B11" s="38"/>
      <c r="C11" s="38"/>
      <c r="D11" s="39" t="s">
        <v>182</v>
      </c>
      <c r="E11" s="39" t="s">
        <v>189</v>
      </c>
      <c r="F11" s="39"/>
      <c r="G11" s="39" t="s">
        <v>197</v>
      </c>
      <c r="H11" s="39" t="s">
        <v>214</v>
      </c>
    </row>
    <row r="12" spans="2:11" x14ac:dyDescent="0.25">
      <c r="B12" s="38"/>
      <c r="C12" s="38"/>
      <c r="D12" s="39"/>
      <c r="E12" s="39"/>
      <c r="F12" s="39"/>
      <c r="G12" s="39" t="s">
        <v>198</v>
      </c>
      <c r="H12" s="39" t="s">
        <v>215</v>
      </c>
    </row>
    <row r="13" spans="2:11" x14ac:dyDescent="0.25">
      <c r="B13" s="38"/>
      <c r="C13" s="38"/>
      <c r="D13" s="39"/>
      <c r="E13" s="39"/>
      <c r="F13" s="39"/>
      <c r="G13" s="39" t="s">
        <v>199</v>
      </c>
      <c r="H13" s="39" t="s">
        <v>216</v>
      </c>
    </row>
    <row r="14" spans="2:11" x14ac:dyDescent="0.25">
      <c r="B14" s="38"/>
      <c r="C14" s="38"/>
      <c r="D14" s="39"/>
      <c r="E14" s="39"/>
      <c r="F14" s="39"/>
      <c r="G14" s="39" t="s">
        <v>200</v>
      </c>
      <c r="H14" s="39" t="s">
        <v>217</v>
      </c>
    </row>
    <row r="15" spans="2:11" x14ac:dyDescent="0.25">
      <c r="B15" s="38"/>
      <c r="C15" s="38"/>
      <c r="D15" s="39"/>
      <c r="E15" s="39"/>
      <c r="F15" s="39"/>
      <c r="G15" s="39" t="s">
        <v>201</v>
      </c>
      <c r="H15" s="39" t="s">
        <v>218</v>
      </c>
    </row>
    <row r="16" spans="2:11" x14ac:dyDescent="0.25">
      <c r="B16" s="38"/>
      <c r="C16" s="38"/>
      <c r="D16" s="39"/>
      <c r="E16" s="39"/>
      <c r="F16" s="39"/>
      <c r="G16" s="39" t="s">
        <v>202</v>
      </c>
      <c r="H16" s="39" t="s">
        <v>219</v>
      </c>
    </row>
    <row r="17" spans="2:8" x14ac:dyDescent="0.25">
      <c r="B17" s="38"/>
      <c r="C17" s="38"/>
      <c r="D17" s="39"/>
      <c r="E17" s="39"/>
      <c r="F17" s="39"/>
      <c r="G17" s="39" t="s">
        <v>203</v>
      </c>
      <c r="H17" s="39" t="s">
        <v>220</v>
      </c>
    </row>
    <row r="18" spans="2:8" x14ac:dyDescent="0.25">
      <c r="B18" s="38"/>
      <c r="C18" s="38"/>
      <c r="D18" s="39"/>
      <c r="E18" s="39"/>
      <c r="F18" s="39"/>
      <c r="G18" s="39" t="s">
        <v>204</v>
      </c>
      <c r="H18" s="39" t="s">
        <v>221</v>
      </c>
    </row>
    <row r="24" spans="2:8" x14ac:dyDescent="0.25">
      <c r="C24" t="s">
        <v>165</v>
      </c>
    </row>
    <row r="25" spans="2:8" x14ac:dyDescent="0.25">
      <c r="C25" t="s">
        <v>223</v>
      </c>
    </row>
    <row r="26" spans="2:8" x14ac:dyDescent="0.25">
      <c r="C26" t="s">
        <v>224</v>
      </c>
    </row>
    <row r="27" spans="2:8" x14ac:dyDescent="0.25">
      <c r="C27" t="s">
        <v>225</v>
      </c>
    </row>
    <row r="28" spans="2:8" x14ac:dyDescent="0.25">
      <c r="C28" t="s">
        <v>226</v>
      </c>
    </row>
    <row r="29" spans="2:8" x14ac:dyDescent="0.25">
      <c r="C29" t="s">
        <v>227</v>
      </c>
    </row>
    <row r="30" spans="2:8" x14ac:dyDescent="0.25">
      <c r="C30" t="s">
        <v>165</v>
      </c>
    </row>
    <row r="33" spans="3:11" x14ac:dyDescent="0.25">
      <c r="J33">
        <v>1</v>
      </c>
      <c r="K33">
        <v>2</v>
      </c>
    </row>
    <row r="34" spans="3:11" x14ac:dyDescent="0.25">
      <c r="C34" s="43" t="s">
        <v>233</v>
      </c>
      <c r="D34" s="39" t="s">
        <v>231</v>
      </c>
      <c r="E34" s="39" t="s">
        <v>236</v>
      </c>
      <c r="F34" s="39" t="s">
        <v>234</v>
      </c>
      <c r="G34" s="39" t="s">
        <v>235</v>
      </c>
      <c r="H34" s="39" t="s">
        <v>237</v>
      </c>
      <c r="J34" t="s">
        <v>190</v>
      </c>
      <c r="K34" t="s">
        <v>206</v>
      </c>
    </row>
    <row r="35" spans="3:11" x14ac:dyDescent="0.25">
      <c r="C35" s="38" t="s">
        <v>232</v>
      </c>
      <c r="D35" s="39" t="s">
        <v>166</v>
      </c>
      <c r="E35" s="39" t="s">
        <v>241</v>
      </c>
      <c r="F35" s="39" t="s">
        <v>243</v>
      </c>
      <c r="G35" s="39" t="s">
        <v>245</v>
      </c>
      <c r="H35" s="39"/>
    </row>
    <row r="36" spans="3:11" x14ac:dyDescent="0.25">
      <c r="C36" s="38"/>
      <c r="D36" s="39" t="s">
        <v>238</v>
      </c>
      <c r="E36" s="39" t="s">
        <v>242</v>
      </c>
      <c r="F36" s="39" t="s">
        <v>244</v>
      </c>
      <c r="G36" s="39" t="s">
        <v>246</v>
      </c>
      <c r="H36" s="39"/>
    </row>
    <row r="37" spans="3:11" x14ac:dyDescent="0.25">
      <c r="C37" s="38"/>
      <c r="D37" s="39" t="s">
        <v>239</v>
      </c>
      <c r="E37" s="39"/>
      <c r="F37" s="39"/>
      <c r="G37" s="39" t="s">
        <v>247</v>
      </c>
      <c r="H37" s="39"/>
    </row>
    <row r="38" spans="3:11" x14ac:dyDescent="0.25">
      <c r="C38" s="38"/>
      <c r="D38" s="39" t="s">
        <v>240</v>
      </c>
      <c r="E38" s="39"/>
      <c r="F38" s="39"/>
      <c r="G38" s="39" t="s">
        <v>247</v>
      </c>
      <c r="H38" s="39"/>
    </row>
    <row r="39" spans="3:11" x14ac:dyDescent="0.25">
      <c r="C39" s="38"/>
      <c r="D39" s="39"/>
      <c r="E39" s="39"/>
      <c r="F39" s="39"/>
      <c r="G39" s="39" t="s">
        <v>248</v>
      </c>
      <c r="H39" s="39"/>
    </row>
    <row r="40" spans="3:11" x14ac:dyDescent="0.25">
      <c r="C40" s="38"/>
      <c r="D40" s="39"/>
      <c r="E40" s="39"/>
      <c r="F40" s="39"/>
      <c r="G40" s="39" t="s">
        <v>249</v>
      </c>
      <c r="H40" s="39"/>
    </row>
    <row r="41" spans="3:11" x14ac:dyDescent="0.25">
      <c r="C41" s="38"/>
      <c r="D41" s="39"/>
      <c r="E41" s="39"/>
      <c r="F41" s="39"/>
      <c r="G41" s="39"/>
      <c r="H41" s="39"/>
    </row>
    <row r="43" spans="3:11" x14ac:dyDescent="0.25">
      <c r="C43" t="s">
        <v>250</v>
      </c>
    </row>
    <row r="44" spans="3:11" x14ac:dyDescent="0.25">
      <c r="C44" t="s">
        <v>168</v>
      </c>
      <c r="D44" t="s">
        <v>251</v>
      </c>
    </row>
    <row r="45" spans="3:11" x14ac:dyDescent="0.25">
      <c r="D45" t="s">
        <v>252</v>
      </c>
    </row>
    <row r="46" spans="3:11" x14ac:dyDescent="0.25">
      <c r="D46" t="s">
        <v>253</v>
      </c>
    </row>
    <row r="47" spans="3:11" x14ac:dyDescent="0.25">
      <c r="D47" t="s">
        <v>254</v>
      </c>
    </row>
    <row r="48" spans="3:11" x14ac:dyDescent="0.25">
      <c r="D48" t="s">
        <v>255</v>
      </c>
    </row>
    <row r="49" spans="3:4" x14ac:dyDescent="0.25">
      <c r="C49" t="s">
        <v>175</v>
      </c>
      <c r="D49" t="s">
        <v>256</v>
      </c>
    </row>
    <row r="50" spans="3:4" x14ac:dyDescent="0.25">
      <c r="D50" t="s">
        <v>257</v>
      </c>
    </row>
    <row r="51" spans="3:4" x14ac:dyDescent="0.25">
      <c r="D51" t="s">
        <v>258</v>
      </c>
    </row>
    <row r="52" spans="3:4" x14ac:dyDescent="0.25">
      <c r="D52" t="s">
        <v>261</v>
      </c>
    </row>
    <row r="53" spans="3:4" x14ac:dyDescent="0.25">
      <c r="D53" t="s">
        <v>259</v>
      </c>
    </row>
    <row r="54" spans="3:4" x14ac:dyDescent="0.25">
      <c r="D54" t="s">
        <v>260</v>
      </c>
    </row>
    <row r="55" spans="3:4" x14ac:dyDescent="0.25">
      <c r="D55" t="s">
        <v>262</v>
      </c>
    </row>
    <row r="56" spans="3:4" x14ac:dyDescent="0.25">
      <c r="D56" t="s">
        <v>263</v>
      </c>
    </row>
    <row r="57" spans="3:4" x14ac:dyDescent="0.25">
      <c r="D57" t="s">
        <v>264</v>
      </c>
    </row>
    <row r="58" spans="3:4" x14ac:dyDescent="0.25">
      <c r="D58" t="s">
        <v>266</v>
      </c>
    </row>
    <row r="59" spans="3:4" x14ac:dyDescent="0.25">
      <c r="D59" t="s">
        <v>275</v>
      </c>
    </row>
    <row r="60" spans="3:4" x14ac:dyDescent="0.25">
      <c r="C60" t="s">
        <v>190</v>
      </c>
      <c r="D60" t="s">
        <v>267</v>
      </c>
    </row>
    <row r="61" spans="3:4" x14ac:dyDescent="0.25">
      <c r="D61" t="s">
        <v>265</v>
      </c>
    </row>
    <row r="62" spans="3:4" x14ac:dyDescent="0.25">
      <c r="D62" t="s">
        <v>255</v>
      </c>
    </row>
    <row r="63" spans="3:4" x14ac:dyDescent="0.25">
      <c r="D63" t="s">
        <v>268</v>
      </c>
    </row>
    <row r="64" spans="3:4" x14ac:dyDescent="0.25">
      <c r="D64" t="s">
        <v>269</v>
      </c>
    </row>
    <row r="65" spans="3:4" x14ac:dyDescent="0.25">
      <c r="D65" t="s">
        <v>270</v>
      </c>
    </row>
    <row r="66" spans="3:4" x14ac:dyDescent="0.25">
      <c r="D66" t="s">
        <v>271</v>
      </c>
    </row>
    <row r="67" spans="3:4" x14ac:dyDescent="0.25">
      <c r="C67" t="s">
        <v>185</v>
      </c>
      <c r="D67" t="s">
        <v>272</v>
      </c>
    </row>
    <row r="68" spans="3:4" x14ac:dyDescent="0.25">
      <c r="D68" t="s">
        <v>273</v>
      </c>
    </row>
    <row r="69" spans="3:4" x14ac:dyDescent="0.25">
      <c r="D69" t="s">
        <v>274</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Research</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2025-04-09T07:35:53Z</cp:lastPrinted>
  <dcterms:created xsi:type="dcterms:W3CDTF">2019-07-16T09:29:46Z</dcterms:created>
  <dcterms:modified xsi:type="dcterms:W3CDTF">2025-07-15T10:03:27Z</dcterms:modified>
</cp:coreProperties>
</file>