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July 25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7" i="1" l="1"/>
  <c r="F187" i="1" s="1"/>
  <c r="E176" i="1"/>
  <c r="D189" i="1" l="1"/>
  <c r="F189" i="1" s="1"/>
  <c r="D191" i="1"/>
  <c r="F191" i="1" s="1"/>
  <c r="D190" i="1"/>
  <c r="F190" i="1" s="1"/>
  <c r="J187" i="1"/>
  <c r="G187" i="1"/>
  <c r="G188" i="1" s="1"/>
  <c r="G189" i="1" s="1"/>
  <c r="G190" i="1" s="1"/>
  <c r="D176" i="1"/>
  <c r="F176" i="1" s="1"/>
  <c r="N176" i="1" s="1"/>
  <c r="D185" i="1"/>
  <c r="F185" i="1" s="1"/>
  <c r="J185" i="1" s="1"/>
  <c r="I171" i="1"/>
  <c r="I173" i="1"/>
  <c r="D175" i="1"/>
  <c r="F175" i="1" s="1"/>
  <c r="J175" i="1" s="1"/>
  <c r="A176" i="1"/>
  <c r="G175" i="1"/>
  <c r="G176" i="1" s="1"/>
  <c r="D184" i="1"/>
  <c r="F184" i="1" s="1"/>
  <c r="J184" i="1" s="1"/>
  <c r="D183" i="1"/>
  <c r="F183" i="1" s="1"/>
  <c r="J183" i="1" s="1"/>
  <c r="D182" i="1"/>
  <c r="F182" i="1" s="1"/>
  <c r="J182" i="1" s="1"/>
  <c r="D181" i="1"/>
  <c r="F181" i="1" s="1"/>
  <c r="J181" i="1" s="1"/>
  <c r="D180" i="1"/>
  <c r="A181" i="1"/>
  <c r="A182" i="1" s="1"/>
  <c r="A183" i="1" s="1"/>
  <c r="A184" i="1" s="1"/>
  <c r="A185" i="1" s="1"/>
  <c r="G180" i="1"/>
  <c r="G181" i="1" s="1"/>
  <c r="G182" i="1" s="1"/>
  <c r="G183" i="1" s="1"/>
  <c r="G184" i="1" s="1"/>
  <c r="G185" i="1" s="1"/>
  <c r="D173" i="1"/>
  <c r="F173" i="1" s="1"/>
  <c r="N173" i="1" s="1"/>
  <c r="D172" i="1"/>
  <c r="F172" i="1" s="1"/>
  <c r="D171" i="1"/>
  <c r="D170" i="1"/>
  <c r="D169" i="1"/>
  <c r="D168" i="1"/>
  <c r="I168" i="1"/>
  <c r="I169" i="1"/>
  <c r="N172" i="1" l="1"/>
  <c r="J172" i="1"/>
  <c r="E148" i="1"/>
  <c r="F180" i="1"/>
  <c r="E149" i="1"/>
  <c r="C149" i="1"/>
  <c r="C148" i="1"/>
  <c r="G191" i="1"/>
  <c r="C150" i="1" l="1"/>
  <c r="C151" i="1" s="1"/>
  <c r="E150" i="1"/>
  <c r="E151" i="1" s="1"/>
  <c r="G149" i="1"/>
  <c r="J180" i="1"/>
  <c r="E43" i="1"/>
  <c r="E44" i="1" s="1"/>
  <c r="C15" i="1" l="1"/>
  <c r="E30" i="1" l="1"/>
  <c r="F169" i="1" l="1"/>
  <c r="N169" i="1" s="1"/>
  <c r="F170" i="1"/>
  <c r="F171" i="1"/>
  <c r="N171" i="1" s="1"/>
  <c r="F168" i="1"/>
  <c r="A169" i="1"/>
  <c r="A170" i="1" s="1"/>
  <c r="A171" i="1" s="1"/>
  <c r="A172" i="1" s="1"/>
  <c r="A173" i="1" s="1"/>
  <c r="G168" i="1"/>
  <c r="G169" i="1" s="1"/>
  <c r="G170" i="1" s="1"/>
  <c r="G171" i="1" s="1"/>
  <c r="G172" i="1" s="1"/>
  <c r="G173" i="1" s="1"/>
  <c r="K168" i="1" l="1"/>
  <c r="N168" i="1"/>
  <c r="J170" i="1"/>
  <c r="N170" i="1"/>
  <c r="G148" i="1"/>
  <c r="G150" i="1" s="1"/>
  <c r="G151" i="1" s="1"/>
  <c r="F140" i="1"/>
  <c r="F158" i="1" l="1"/>
  <c r="F159" i="1"/>
  <c r="F160" i="1"/>
  <c r="F157" i="1"/>
  <c r="B194" i="1" l="1"/>
  <c r="B195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4" i="1"/>
  <c r="A158" i="1"/>
  <c r="A159" i="1" s="1"/>
  <c r="A160" i="1" s="1"/>
  <c r="G157" i="1"/>
  <c r="G158" i="1" s="1"/>
  <c r="G159" i="1" s="1"/>
  <c r="G160" i="1" s="1"/>
  <c r="C111" i="1"/>
  <c r="B112" i="1" s="1"/>
  <c r="C97" i="1"/>
  <c r="B98" i="1" s="1"/>
  <c r="B69" i="1"/>
  <c r="D55" i="1"/>
  <c r="C50" i="1"/>
  <c r="C51" i="1" s="1"/>
  <c r="E27" i="1"/>
  <c r="E25" i="1"/>
  <c r="E7" i="1"/>
  <c r="E3" i="1"/>
  <c r="D62" i="1" l="1"/>
  <c r="H112" i="1"/>
  <c r="H98" i="1"/>
  <c r="H69" i="1"/>
  <c r="J102" i="1" l="1"/>
  <c r="C101" i="1" s="1"/>
  <c r="D101" i="1" s="1"/>
  <c r="J100" i="1"/>
  <c r="D108" i="1"/>
  <c r="D104" i="1"/>
  <c r="J103" i="1"/>
  <c r="J104" i="1" s="1"/>
  <c r="J109" i="1" s="1"/>
  <c r="D110" i="1"/>
  <c r="D105" i="1"/>
  <c r="D107" i="1"/>
  <c r="J101" i="1"/>
  <c r="J97" i="1"/>
  <c r="J99" i="1" s="1"/>
  <c r="D109" i="1"/>
  <c r="D106" i="1"/>
  <c r="J111" i="1"/>
  <c r="J113" i="1" s="1"/>
  <c r="J115" i="1"/>
  <c r="D124" i="1"/>
  <c r="D120" i="1"/>
  <c r="D118" i="1"/>
  <c r="D123" i="1"/>
  <c r="D121" i="1"/>
  <c r="D119" i="1"/>
  <c r="D122" i="1"/>
  <c r="J116" i="1"/>
  <c r="C115" i="1" s="1"/>
  <c r="D115" i="1" s="1"/>
  <c r="J114" i="1"/>
  <c r="J117" i="1"/>
  <c r="J118" i="1" s="1"/>
  <c r="J123" i="1" s="1"/>
  <c r="C116" i="1" s="1"/>
  <c r="J68" i="1"/>
  <c r="J70" i="1" s="1"/>
  <c r="D80" i="1"/>
  <c r="D76" i="1"/>
  <c r="D81" i="1"/>
  <c r="J72" i="1"/>
  <c r="D78" i="1"/>
  <c r="D77" i="1"/>
  <c r="J74" i="1"/>
  <c r="J75" i="1" s="1"/>
  <c r="J80" i="1" s="1"/>
  <c r="D79" i="1"/>
  <c r="J73" i="1"/>
  <c r="C72" i="1" s="1"/>
  <c r="D72" i="1" s="1"/>
  <c r="J71" i="1"/>
  <c r="D75" i="1"/>
  <c r="J119" i="1"/>
  <c r="J120" i="1" s="1"/>
  <c r="J121" i="1" s="1"/>
  <c r="J122" i="1" s="1"/>
  <c r="J105" i="1"/>
  <c r="J106" i="1" s="1"/>
  <c r="J107" i="1" s="1"/>
  <c r="J108" i="1" s="1"/>
  <c r="J76" i="1"/>
  <c r="J77" i="1" s="1"/>
  <c r="J78" i="1" s="1"/>
  <c r="J79" i="1" s="1"/>
  <c r="D117" i="1"/>
  <c r="D103" i="1"/>
  <c r="D74" i="1"/>
  <c r="B83" i="1" l="1"/>
  <c r="J124" i="1"/>
  <c r="J126" i="1" s="1"/>
  <c r="J125" i="1"/>
  <c r="J81" i="1"/>
  <c r="C73" i="1" s="1"/>
  <c r="G72" i="1" s="1"/>
  <c r="E115" i="1"/>
  <c r="G115" i="1"/>
  <c r="D116" i="1"/>
  <c r="I112" i="1" s="1"/>
  <c r="J110" i="1"/>
  <c r="J112" i="1"/>
  <c r="H83" i="1"/>
  <c r="D66" i="1" l="1"/>
  <c r="D67" i="1" s="1"/>
  <c r="J85" i="1"/>
  <c r="D89" i="1"/>
  <c r="D94" i="1"/>
  <c r="J87" i="1"/>
  <c r="C86" i="1" s="1"/>
  <c r="D86" i="1" s="1"/>
  <c r="D93" i="1"/>
  <c r="D92" i="1"/>
  <c r="J86" i="1"/>
  <c r="J82" i="1"/>
  <c r="J84" i="1" s="1"/>
  <c r="D95" i="1"/>
  <c r="D88" i="1"/>
  <c r="D91" i="1"/>
  <c r="D90" i="1"/>
  <c r="J88" i="1"/>
  <c r="J89" i="1" s="1"/>
  <c r="J94" i="1" s="1"/>
  <c r="J92" i="1"/>
  <c r="J91" i="1"/>
  <c r="J93" i="1"/>
  <c r="J90" i="1"/>
  <c r="C102" i="1"/>
  <c r="J98" i="1" s="1"/>
  <c r="J69" i="1"/>
  <c r="D73" i="1"/>
  <c r="I69" i="1" s="1"/>
  <c r="I70" i="1" s="1"/>
  <c r="E72" i="1"/>
  <c r="I113" i="1"/>
  <c r="I111" i="1" s="1"/>
  <c r="C113" i="1" s="1"/>
  <c r="F67" i="1" l="1"/>
  <c r="J95" i="1"/>
  <c r="C87" i="1" s="1"/>
  <c r="E86" i="1" s="1"/>
  <c r="C96" i="1" s="1"/>
  <c r="G101" i="1"/>
  <c r="E101" i="1"/>
  <c r="D102" i="1"/>
  <c r="I98" i="1" s="1"/>
  <c r="I99" i="1" s="1"/>
  <c r="I68" i="1"/>
  <c r="C70" i="1" s="1"/>
  <c r="J83" i="1" l="1"/>
  <c r="G86" i="1"/>
  <c r="G96" i="1" s="1"/>
  <c r="D87" i="1"/>
  <c r="I83" i="1" s="1"/>
  <c r="I84" i="1" s="1"/>
  <c r="H125" i="1"/>
  <c r="E125" i="1"/>
  <c r="I97" i="1"/>
  <c r="C99" i="1" s="1"/>
  <c r="I82" i="1" l="1"/>
  <c r="C84" i="1" s="1"/>
</calcChain>
</file>

<file path=xl/sharedStrings.xml><?xml version="1.0" encoding="utf-8"?>
<sst xmlns="http://schemas.openxmlformats.org/spreadsheetml/2006/main" count="413" uniqueCount="238">
  <si>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</si>
  <si>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</si>
  <si>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</si>
  <si>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</si>
  <si>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</si>
  <si>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</si>
  <si>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</si>
  <si>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</si>
  <si>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</si>
  <si>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</si>
  <si>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</si>
  <si>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</si>
  <si>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</si>
  <si>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</si>
  <si>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</si>
  <si>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</si>
  <si>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</si>
  <si>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</si>
  <si>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</si>
  <si>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</si>
  <si>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</si>
  <si>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</si>
  <si>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</si>
  <si>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</si>
  <si>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</si>
  <si>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</si>
  <si>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</si>
  <si>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</si>
  <si>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</si>
  <si>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</si>
  <si>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</si>
  <si>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</si>
  <si>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</si>
  <si>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</si>
  <si>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</si>
  <si>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</si>
  <si>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</si>
  <si>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</si>
  <si>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</si>
  <si>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</si>
  <si>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</si>
  <si>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</si>
  <si>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</si>
  <si>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</si>
  <si>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</si>
  <si>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</si>
  <si>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</si>
  <si>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</si>
  <si>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</si>
  <si>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</si>
  <si>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</si>
  <si>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</si>
  <si>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</si>
  <si>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</si>
  <si>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</si>
  <si>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</si>
  <si>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</si>
  <si>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</si>
  <si>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</si>
  <si>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</si>
  <si>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</si>
  <si>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</si>
  <si>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</si>
  <si>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</si>
  <si>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</si>
  <si>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</si>
  <si>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</si>
  <si>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</si>
  <si>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</si>
  <si>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</si>
  <si>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</si>
  <si>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</si>
  <si>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</si>
  <si>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</si>
  <si>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</si>
  <si>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</si>
  <si>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</si>
  <si>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</si>
  <si>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</si>
  <si>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</si>
  <si>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</si>
  <si>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</si>
  <si>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</si>
  <si>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</si>
  <si>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</si>
  <si>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</si>
  <si>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</si>
  <si>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</si>
  <si>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</si>
  <si>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</si>
  <si>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</si>
  <si>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</si>
  <si>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</si>
  <si>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</si>
  <si>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</si>
  <si>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</si>
  <si>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</si>
  <si>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</si>
  <si>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</si>
  <si>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</si>
  <si>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</si>
  <si>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</si>
  <si>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</si>
  <si>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</si>
  <si>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</si>
  <si>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</si>
  <si>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</si>
  <si>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</si>
  <si>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</si>
  <si>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</si>
  <si>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</si>
  <si>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</si>
  <si>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</si>
  <si>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</si>
  <si>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</si>
  <si>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</si>
  <si>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</si>
  <si>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</si>
  <si>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</si>
  <si>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</si>
  <si>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</si>
  <si>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</si>
  <si>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</si>
  <si>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</si>
  <si>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</si>
  <si>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</si>
  <si>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</si>
  <si>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</si>
  <si>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</si>
  <si>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</si>
  <si>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</si>
  <si>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</si>
  <si>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</si>
  <si>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</si>
  <si>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</si>
  <si>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</si>
  <si>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</si>
  <si>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</si>
  <si>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</si>
  <si>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</si>
  <si>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</si>
  <si>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</si>
  <si>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</si>
  <si>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</si>
  <si>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</si>
  <si>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</si>
  <si>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</si>
  <si>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</si>
  <si>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</si>
  <si>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</si>
  <si>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</si>
  <si>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</si>
  <si>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</si>
  <si>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</si>
  <si>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</si>
  <si>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</si>
  <si>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</si>
  <si>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</si>
  <si>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</si>
  <si>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</si>
  <si>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</si>
  <si>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</si>
  <si>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</si>
  <si>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</si>
  <si>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</si>
  <si>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</si>
  <si>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</si>
  <si>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</si>
  <si>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</si>
  <si>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</si>
  <si>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</si>
  <si>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</si>
  <si>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</si>
  <si>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</si>
  <si>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</si>
  <si>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</si>
  <si>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</si>
  <si>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</si>
  <si>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Rifaa Structural Solutions Private Limited</t>
  </si>
  <si>
    <t>Mr. Sayyed (6283786313)</t>
  </si>
  <si>
    <t>Mr. Faizal (6283786313)</t>
  </si>
  <si>
    <t>P51700046112</t>
  </si>
  <si>
    <t>Survey No</t>
  </si>
  <si>
    <t>72, Hissa No. 2</t>
  </si>
  <si>
    <t>Neral</t>
  </si>
  <si>
    <t>Mamdapur</t>
  </si>
  <si>
    <t>Karjat</t>
  </si>
  <si>
    <t>Raigad</t>
  </si>
  <si>
    <t>https://goo.gl/maps/QxRp2SVE9wkCSPz46?coh=178572&amp;entry=tt</t>
  </si>
  <si>
    <t>19.0336955,73.3121234</t>
  </si>
  <si>
    <t>Internal Rd</t>
  </si>
  <si>
    <t>Deccan Homes &amp; City Enterprises</t>
  </si>
  <si>
    <t>1.1KM from Neral Railway Station</t>
  </si>
  <si>
    <t>Open Plot</t>
  </si>
  <si>
    <t>02 Wings</t>
  </si>
  <si>
    <t>Collector Of Raigad</t>
  </si>
  <si>
    <t>RJP/BP/NSVP/134/2022</t>
  </si>
  <si>
    <t xml:space="preserve">As per RERA - 30/06/2027
</t>
  </si>
  <si>
    <t xml:space="preserve">Ground Floor For Entrance Lobby, Snitary Block, Drivers Room &amp; Parking </t>
  </si>
  <si>
    <t>1st to 6th Floor</t>
  </si>
  <si>
    <t>Wing A</t>
  </si>
  <si>
    <t>1BHK</t>
  </si>
  <si>
    <t>2BHK</t>
  </si>
  <si>
    <t>Wing B</t>
  </si>
  <si>
    <t xml:space="preserve">Ground Floor For Entrance Lobby &amp; Parking </t>
  </si>
  <si>
    <t>7th Floor For Residential, Amenities &amp; (Part Terrace Area)</t>
  </si>
  <si>
    <t>2.5BHK</t>
  </si>
  <si>
    <t>7th Floor For Residential &amp; Amenities</t>
  </si>
  <si>
    <t>We considered Gross carpet area = Net carpet + Balcony.</t>
  </si>
  <si>
    <t>Gym, Yoga Deck, Kids Play Area, Garden, Swimming Pool, Sit-Out Area.</t>
  </si>
  <si>
    <t>Flats -78</t>
  </si>
  <si>
    <t>Average of Wing B (Part I &amp; II)</t>
  </si>
  <si>
    <t>Deccan Homes/ Rd</t>
  </si>
  <si>
    <t>Open Plot/Rd</t>
  </si>
  <si>
    <t>Approved Plans, CC, Sale Plans, Cost Sheet</t>
  </si>
  <si>
    <t>B Type (Wing A &amp; B) = Gr + 1st to 7th Floor</t>
  </si>
  <si>
    <t>B Type (Wing A) = Gr + 1st to 7th Floor</t>
  </si>
  <si>
    <t>B Type (Wing B) Part II = Gr + 1st to 7th Floor</t>
  </si>
  <si>
    <t>B Type Building</t>
  </si>
  <si>
    <t>Neral Property</t>
  </si>
  <si>
    <t>Housing</t>
  </si>
  <si>
    <t>MIS</t>
  </si>
  <si>
    <t>Builder</t>
  </si>
  <si>
    <t>B Type (Wing A &amp; B)</t>
  </si>
  <si>
    <t>Sukoon Residency Type B</t>
  </si>
  <si>
    <t>Gym</t>
  </si>
  <si>
    <t>B Type (Wing B) = Gr + 1st to 7th Floor</t>
  </si>
  <si>
    <t>35076-phadke heights</t>
  </si>
  <si>
    <t>Part 1 B Type (Wing A) = Gr + 1st to 7th Floor</t>
  </si>
  <si>
    <t>Name of the Project As Per RERA</t>
  </si>
  <si>
    <t>Name of the Project As Per Builder</t>
  </si>
  <si>
    <t>Sukoon Residency</t>
  </si>
  <si>
    <t>Shruti Tathare</t>
  </si>
  <si>
    <t>Naynesh Lovanshi</t>
  </si>
  <si>
    <t>Average  Progress %</t>
  </si>
  <si>
    <t>Average Disbursement %</t>
  </si>
  <si>
    <t>Part 2 B Type (Wing A) = Gr + 1st to 7th Floor</t>
  </si>
  <si>
    <t>Wing A = Construction work is the same as last visit (dtd.07/04/2025), but work is in process at the time of the visit. (Slow Speed)
Wing B = Construction work is in process at the time of Visit.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</si>
</sst>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9" fontId="12" fillId="0" borderId="3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44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43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37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10" fillId="3" borderId="39" xfId="8" applyFont="1" applyFill="1" applyBorder="1" applyAlignment="1" applyProtection="1">
      <alignment horizontal="center" vertical="center" wrapText="1"/>
      <protection locked="0"/>
    </xf>
    <xf numFmtId="9" fontId="10" fillId="3" borderId="40" xfId="8" applyFont="1" applyFill="1" applyBorder="1" applyAlignment="1" applyProtection="1">
      <alignment horizontal="center" vertical="center" wrapText="1"/>
      <protection locked="0"/>
    </xf>
    <xf numFmtId="9" fontId="10" fillId="3" borderId="36" xfId="8" applyFont="1" applyFill="1" applyBorder="1" applyAlignment="1" applyProtection="1">
      <alignment horizontal="center" vertical="center" wrapText="1"/>
      <protection locked="0"/>
    </xf>
    <xf numFmtId="9" fontId="10" fillId="3" borderId="35" xfId="8" applyFont="1" applyFill="1" applyBorder="1" applyAlignment="1" applyProtection="1">
      <alignment horizontal="center" vertical="center" wrapText="1"/>
      <protection locked="0"/>
    </xf>
    <xf numFmtId="9" fontId="10" fillId="3" borderId="28" xfId="8" applyFont="1" applyFill="1" applyBorder="1" applyAlignment="1" applyProtection="1">
      <alignment horizontal="center" vertical="center" wrapText="1"/>
      <protection locked="0"/>
    </xf>
    <xf numFmtId="9" fontId="10" fillId="3" borderId="29" xfId="8" applyFont="1" applyFill="1" applyBorder="1" applyAlignment="1" applyProtection="1">
      <alignment horizontal="center" vertical="center" wrapText="1"/>
      <protection locked="0"/>
    </xf>
    <xf numFmtId="9" fontId="10" fillId="3" borderId="41" xfId="8" applyFont="1" applyFill="1" applyBorder="1" applyAlignment="1" applyProtection="1">
      <alignment horizontal="center" vertical="center" wrapText="1"/>
      <protection locked="0"/>
    </xf>
    <xf numFmtId="9" fontId="10" fillId="3" borderId="42" xfId="8" applyFont="1" applyFill="1" applyBorder="1" applyAlignment="1" applyProtection="1">
      <alignment horizontal="center" vertical="center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0" xfId="1" applyFont="1" applyFill="1" applyBorder="1" applyAlignment="1" applyProtection="1">
      <alignment horizontal="center" vertical="center" wrapText="1"/>
      <protection locked="0"/>
    </xf>
    <xf numFmtId="0" fontId="10" fillId="3" borderId="6" xfId="1" applyFont="1" applyFill="1" applyBorder="1" applyAlignment="1" applyProtection="1">
      <alignment horizontal="center" vertical="center" wrapText="1"/>
      <protection locked="0"/>
    </xf>
    <xf numFmtId="0" fontId="10" fillId="3" borderId="7" xfId="1" applyFont="1" applyFill="1" applyBorder="1" applyAlignment="1" applyProtection="1">
      <alignment horizontal="center" vertical="center" wrapText="1"/>
      <protection locked="0"/>
    </xf>
    <xf numFmtId="0" fontId="10" fillId="3" borderId="36" xfId="1" applyFont="1" applyFill="1" applyBorder="1" applyAlignment="1" applyProtection="1">
      <alignment horizontal="center" vertical="center" wrapText="1"/>
      <protection locked="0"/>
    </xf>
    <xf numFmtId="0" fontId="10" fillId="3" borderId="35" xfId="1" applyFont="1" applyFill="1" applyBorder="1" applyAlignment="1" applyProtection="1">
      <alignment horizontal="center" vertical="center" wrapText="1"/>
      <protection locked="0"/>
    </xf>
    <xf numFmtId="0" fontId="10" fillId="3" borderId="28" xfId="1" applyFont="1" applyFill="1" applyBorder="1" applyAlignment="1" applyProtection="1">
      <alignment horizontal="center" vertical="center" wrapText="1"/>
      <protection locked="0"/>
    </xf>
    <xf numFmtId="0" fontId="10" fillId="3" borderId="29" xfId="1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43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7" fillId="0" borderId="0" xfId="0" applyFont="1" applyBorder="1" applyProtection="1">
      <protection hidden="1"/>
    </xf>
    <xf numFmtId="9" fontId="13" fillId="3" borderId="33" xfId="8" applyFont="1" applyFill="1" applyBorder="1" applyAlignment="1" applyProtection="1">
      <alignment horizontal="center" vertical="center" wrapText="1"/>
      <protection locked="0"/>
    </xf>
    <xf numFmtId="9" fontId="13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33" xfId="1" applyFont="1" applyFill="1" applyBorder="1" applyAlignment="1" applyProtection="1">
      <alignment horizontal="center" vertical="center" wrapText="1"/>
      <protection locked="0"/>
    </xf>
    <xf numFmtId="9" fontId="13" fillId="3" borderId="34" xfId="8" applyFont="1" applyFill="1" applyBorder="1" applyAlignment="1" applyProtection="1">
      <alignment horizontal="center" vertical="center" wrapText="1"/>
      <protection locked="0"/>
    </xf>
    <xf numFmtId="0" fontId="13" fillId="3" borderId="45" xfId="1" applyFont="1" applyFill="1" applyBorder="1" applyAlignment="1" applyProtection="1">
      <alignment horizontal="center" vertical="center" wrapText="1"/>
      <protection locked="0"/>
    </xf>
    <xf numFmtId="0" fontId="13" fillId="3" borderId="46" xfId="1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258</xdr:row>
      <xdr:rowOff>0</xdr:rowOff>
    </xdr:from>
    <xdr:to>
      <xdr:col>7</xdr:col>
      <xdr:colOff>327788</xdr:colOff>
      <xdr:row>283</xdr:row>
      <xdr:rowOff>39375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46243875"/>
          <a:ext cx="5871338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885825</xdr:colOff>
      <xdr:row>259</xdr:row>
      <xdr:rowOff>0</xdr:rowOff>
    </xdr:from>
    <xdr:to>
      <xdr:col>6</xdr:col>
      <xdr:colOff>828675</xdr:colOff>
      <xdr:row>268</xdr:row>
      <xdr:rowOff>38100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562225" y="42186225"/>
          <a:ext cx="3543300" cy="1838325"/>
        </a:xfrm>
        <a:custGeom>
          <a:avLst/>
          <a:gdLst>
            <a:gd name="connsiteX0" fmla="*/ 0 w 3543300"/>
            <a:gd name="connsiteY0" fmla="*/ 533400 h 1838325"/>
            <a:gd name="connsiteX1" fmla="*/ 9525 w 3543300"/>
            <a:gd name="connsiteY1" fmla="*/ 1752600 h 1838325"/>
            <a:gd name="connsiteX2" fmla="*/ 1543050 w 3543300"/>
            <a:gd name="connsiteY2" fmla="*/ 1733550 h 1838325"/>
            <a:gd name="connsiteX3" fmla="*/ 1724025 w 3543300"/>
            <a:gd name="connsiteY3" fmla="*/ 1533525 h 1838325"/>
            <a:gd name="connsiteX4" fmla="*/ 1981200 w 3543300"/>
            <a:gd name="connsiteY4" fmla="*/ 1838325 h 1838325"/>
            <a:gd name="connsiteX5" fmla="*/ 3171825 w 3543300"/>
            <a:gd name="connsiteY5" fmla="*/ 1838325 h 1838325"/>
            <a:gd name="connsiteX6" fmla="*/ 3543300 w 3543300"/>
            <a:gd name="connsiteY6" fmla="*/ 1419225 h 1838325"/>
            <a:gd name="connsiteX7" fmla="*/ 3533775 w 3543300"/>
            <a:gd name="connsiteY7" fmla="*/ 304800 h 1838325"/>
            <a:gd name="connsiteX8" fmla="*/ 2724150 w 3543300"/>
            <a:gd name="connsiteY8" fmla="*/ 0 h 1838325"/>
            <a:gd name="connsiteX9" fmla="*/ 247650 w 3543300"/>
            <a:gd name="connsiteY9" fmla="*/ 0 h 1838325"/>
            <a:gd name="connsiteX10" fmla="*/ 0 w 3543300"/>
            <a:gd name="connsiteY10" fmla="*/ 533400 h 18383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543300" h="1838325">
              <a:moveTo>
                <a:pt x="0" y="533400"/>
              </a:moveTo>
              <a:lnTo>
                <a:pt x="9525" y="1752600"/>
              </a:lnTo>
              <a:lnTo>
                <a:pt x="1543050" y="1733550"/>
              </a:lnTo>
              <a:lnTo>
                <a:pt x="1724025" y="1533525"/>
              </a:lnTo>
              <a:lnTo>
                <a:pt x="1981200" y="1838325"/>
              </a:lnTo>
              <a:lnTo>
                <a:pt x="3171825" y="1838325"/>
              </a:lnTo>
              <a:lnTo>
                <a:pt x="3543300" y="1419225"/>
              </a:lnTo>
              <a:lnTo>
                <a:pt x="3533775" y="304800"/>
              </a:lnTo>
              <a:lnTo>
                <a:pt x="2724150" y="0"/>
              </a:lnTo>
              <a:lnTo>
                <a:pt x="247650" y="0"/>
              </a:lnTo>
              <a:lnTo>
                <a:pt x="0" y="533400"/>
              </a:lnTo>
              <a:close/>
            </a:path>
          </a:pathLst>
        </a:cu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57150</xdr:colOff>
      <xdr:row>258</xdr:row>
      <xdr:rowOff>19050</xdr:rowOff>
    </xdr:from>
    <xdr:to>
      <xdr:col>3</xdr:col>
      <xdr:colOff>0</xdr:colOff>
      <xdr:row>264</xdr:row>
      <xdr:rowOff>95250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876300" y="46262925"/>
          <a:ext cx="1714500" cy="1276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Sukoon Residency</a:t>
          </a:r>
        </a:p>
        <a:p>
          <a:pPr algn="l"/>
          <a:r>
            <a:rPr lang="en-IN" sz="1800" b="1">
              <a:solidFill>
                <a:srgbClr val="C00000"/>
              </a:solidFill>
            </a:rPr>
            <a:t>(B Type)</a:t>
          </a:r>
        </a:p>
        <a:p>
          <a:pPr algn="l"/>
          <a:endParaRPr lang="en-IN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28575</xdr:colOff>
      <xdr:row>259</xdr:row>
      <xdr:rowOff>76200</xdr:rowOff>
    </xdr:from>
    <xdr:to>
      <xdr:col>2</xdr:col>
      <xdr:colOff>885825</xdr:colOff>
      <xdr:row>261</xdr:row>
      <xdr:rowOff>133350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>
          <a:endCxn id="11" idx="0"/>
        </xdr:cNvCxnSpPr>
      </xdr:nvCxnSpPr>
      <xdr:spPr>
        <a:xfrm>
          <a:off x="1704975" y="42262425"/>
          <a:ext cx="857250" cy="4572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561975</xdr:colOff>
      <xdr:row>293</xdr:row>
      <xdr:rowOff>0</xdr:rowOff>
    </xdr:from>
    <xdr:to>
      <xdr:col>7</xdr:col>
      <xdr:colOff>516346</xdr:colOff>
      <xdr:row>314</xdr:row>
      <xdr:rowOff>119475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1975" y="50787300"/>
          <a:ext cx="6069421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495392</xdr:colOff>
      <xdr:row>315</xdr:row>
      <xdr:rowOff>67932</xdr:rowOff>
    </xdr:from>
    <xdr:to>
      <xdr:col>6</xdr:col>
      <xdr:colOff>601978</xdr:colOff>
      <xdr:row>333</xdr:row>
      <xdr:rowOff>67481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4542" y="55255782"/>
          <a:ext cx="45642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627832</xdr:colOff>
      <xdr:row>297</xdr:row>
      <xdr:rowOff>42088</xdr:rowOff>
    </xdr:from>
    <xdr:to>
      <xdr:col>6</xdr:col>
      <xdr:colOff>480163</xdr:colOff>
      <xdr:row>303</xdr:row>
      <xdr:rowOff>8377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 rot="2610669">
          <a:off x="4228282" y="51629488"/>
          <a:ext cx="1528731" cy="1166439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688780</xdr:colOff>
      <xdr:row>268</xdr:row>
      <xdr:rowOff>137441</xdr:rowOff>
    </xdr:from>
    <xdr:to>
      <xdr:col>4</xdr:col>
      <xdr:colOff>333243</xdr:colOff>
      <xdr:row>277</xdr:row>
      <xdr:rowOff>54898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 rot="1622004">
          <a:off x="2365180" y="50381816"/>
          <a:ext cx="1568513" cy="1717682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228600</xdr:colOff>
      <xdr:row>275</xdr:row>
      <xdr:rowOff>76200</xdr:rowOff>
    </xdr:from>
    <xdr:to>
      <xdr:col>5</xdr:col>
      <xdr:colOff>361950</xdr:colOff>
      <xdr:row>278</xdr:row>
      <xdr:rowOff>38100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CxnSpPr/>
      </xdr:nvCxnSpPr>
      <xdr:spPr>
        <a:xfrm flipH="1" flipV="1">
          <a:off x="3829050" y="51720750"/>
          <a:ext cx="971550" cy="561975"/>
        </a:xfrm>
        <a:prstGeom prst="straightConnector1">
          <a:avLst/>
        </a:prstGeom>
        <a:ln>
          <a:solidFill>
            <a:srgbClr val="00206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276</xdr:row>
      <xdr:rowOff>142875</xdr:rowOff>
    </xdr:from>
    <xdr:to>
      <xdr:col>7</xdr:col>
      <xdr:colOff>438150</xdr:colOff>
      <xdr:row>283</xdr:row>
      <xdr:rowOff>19050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4838700" y="49987200"/>
          <a:ext cx="1714500" cy="1276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Sukoon Residency</a:t>
          </a:r>
        </a:p>
        <a:p>
          <a:pPr algn="l"/>
          <a:r>
            <a:rPr lang="en-IN" sz="1800" b="1">
              <a:solidFill>
                <a:srgbClr val="C00000"/>
              </a:solidFill>
            </a:rPr>
            <a:t>(A Type)</a:t>
          </a:r>
        </a:p>
        <a:p>
          <a:pPr algn="l"/>
          <a:endParaRPr lang="en-IN" sz="1800" b="1">
            <a:solidFill>
              <a:srgbClr val="C00000"/>
            </a:solidFill>
          </a:endParaRPr>
        </a:p>
      </xdr:txBody>
    </xdr:sp>
    <xdr:clientData/>
  </xdr:twoCellAnchor>
  <xdr:twoCellAnchor>
    <xdr:from>
      <xdr:col>8</xdr:col>
      <xdr:colOff>151821</xdr:colOff>
      <xdr:row>213</xdr:row>
      <xdr:rowOff>154130</xdr:rowOff>
    </xdr:from>
    <xdr:to>
      <xdr:col>8</xdr:col>
      <xdr:colOff>1099125</xdr:colOff>
      <xdr:row>215</xdr:row>
      <xdr:rowOff>162789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6997121" y="33263030"/>
          <a:ext cx="947304" cy="4023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Wing A</a:t>
          </a:r>
        </a:p>
      </xdr:txBody>
    </xdr:sp>
    <xdr:clientData/>
  </xdr:twoCellAnchor>
  <xdr:twoCellAnchor>
    <xdr:from>
      <xdr:col>8</xdr:col>
      <xdr:colOff>576118</xdr:colOff>
      <xdr:row>215</xdr:row>
      <xdr:rowOff>162789</xdr:rowOff>
    </xdr:from>
    <xdr:to>
      <xdr:col>8</xdr:col>
      <xdr:colOff>606423</xdr:colOff>
      <xdr:row>219</xdr:row>
      <xdr:rowOff>154132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CxnSpPr>
          <a:stCxn id="31" idx="2"/>
        </xdr:cNvCxnSpPr>
      </xdr:nvCxnSpPr>
      <xdr:spPr>
        <a:xfrm flipH="1">
          <a:off x="7421418" y="33665389"/>
          <a:ext cx="30305" cy="7723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472208</xdr:colOff>
      <xdr:row>213</xdr:row>
      <xdr:rowOff>191653</xdr:rowOff>
    </xdr:from>
    <xdr:to>
      <xdr:col>10</xdr:col>
      <xdr:colOff>621721</xdr:colOff>
      <xdr:row>216</xdr:row>
      <xdr:rowOff>5771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8536708" y="33300553"/>
          <a:ext cx="949613" cy="4046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Wing B</a:t>
          </a:r>
        </a:p>
      </xdr:txBody>
    </xdr:sp>
    <xdr:clientData/>
  </xdr:twoCellAnchor>
  <xdr:twoCellAnchor>
    <xdr:from>
      <xdr:col>10</xdr:col>
      <xdr:colOff>125846</xdr:colOff>
      <xdr:row>215</xdr:row>
      <xdr:rowOff>188768</xdr:rowOff>
    </xdr:from>
    <xdr:to>
      <xdr:col>10</xdr:col>
      <xdr:colOff>420255</xdr:colOff>
      <xdr:row>219</xdr:row>
      <xdr:rowOff>50223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CxnSpPr/>
      </xdr:nvCxnSpPr>
      <xdr:spPr>
        <a:xfrm>
          <a:off x="8990446" y="33691368"/>
          <a:ext cx="294409" cy="6425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24323</xdr:colOff>
      <xdr:row>213</xdr:row>
      <xdr:rowOff>154130</xdr:rowOff>
    </xdr:from>
    <xdr:to>
      <xdr:col>14</xdr:col>
      <xdr:colOff>97058</xdr:colOff>
      <xdr:row>215</xdr:row>
      <xdr:rowOff>162789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11187623" y="33263030"/>
          <a:ext cx="949035" cy="40235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Wing B</a:t>
          </a:r>
        </a:p>
      </xdr:txBody>
    </xdr:sp>
    <xdr:clientData/>
  </xdr:twoCellAnchor>
  <xdr:twoCellAnchor>
    <xdr:from>
      <xdr:col>0</xdr:col>
      <xdr:colOff>100853</xdr:colOff>
      <xdr:row>214</xdr:row>
      <xdr:rowOff>29974</xdr:rowOff>
    </xdr:from>
    <xdr:to>
      <xdr:col>7</xdr:col>
      <xdr:colOff>767486</xdr:colOff>
      <xdr:row>253</xdr:row>
      <xdr:rowOff>75706</xdr:rowOff>
    </xdr:to>
    <xdr:grpSp>
      <xdr:nvGrpSpPr>
        <xdr:cNvPr id="6" name="Group 5"/>
        <xdr:cNvGrpSpPr/>
      </xdr:nvGrpSpPr>
      <xdr:grpSpPr>
        <a:xfrm>
          <a:off x="100853" y="38510974"/>
          <a:ext cx="6370427" cy="7901056"/>
          <a:chOff x="100853" y="38062739"/>
          <a:chExt cx="6370427" cy="7901055"/>
        </a:xfrm>
      </xdr:grpSpPr>
      <xdr:pic>
        <xdr:nvPicPr>
          <xdr:cNvPr id="46" name="Picture 45" descr="https://vsjcllp.vsjadon.com/upload/insp-23990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02207" y="4380379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3990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9929" y="4379931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https://vsjcllp.vsjadon.com/upload/insp-23990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8588" y="41195063"/>
            <a:ext cx="1878289" cy="25069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3" descr="https://vsjcllp.vsjadon.com/upload/insp-239905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11170" y="38086555"/>
            <a:ext cx="2260110" cy="301662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https://vsjcllp.vsjadon.com/upload/insp-239905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33064" y="41197304"/>
            <a:ext cx="1878289" cy="25069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6" name="Picture 65" descr="https://vsjcllp.vsjadon.com/upload/insp-239905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00818" y="41192821"/>
            <a:ext cx="1878289" cy="25069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6" descr="https://vsjcllp.vsjadon.com/upload/insp-23990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3222" y="4379931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/>
          <xdr:cNvGrpSpPr/>
        </xdr:nvGrpSpPr>
        <xdr:grpSpPr>
          <a:xfrm>
            <a:off x="100853" y="38062739"/>
            <a:ext cx="4018438" cy="3039034"/>
            <a:chOff x="100853" y="38062739"/>
            <a:chExt cx="4018438" cy="3039034"/>
          </a:xfrm>
        </xdr:grpSpPr>
        <xdr:pic>
          <xdr:nvPicPr>
            <xdr:cNvPr id="47" name="Picture 46" descr="https://vsjcllp.vsjadon.com/upload/insp-239905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0853" y="38085151"/>
              <a:ext cx="4018438" cy="301662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8" name="TextBox 263">
              <a:extLst>
                <a:ext uri="{FF2B5EF4-FFF2-40B4-BE49-F238E27FC236}">
                  <a16:creationId xmlns:a16="http://schemas.microsoft.com/office/drawing/2014/main" xmlns="" id="{30F04DBA-9A15-4562-8C20-63A31503C8E7}"/>
                </a:ext>
              </a:extLst>
            </xdr:cNvPr>
            <xdr:cNvSpPr txBox="1"/>
          </xdr:nvSpPr>
          <xdr:spPr>
            <a:xfrm>
              <a:off x="1199030" y="38062739"/>
              <a:ext cx="942674" cy="36994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ysClr val="windowText" lastClr="000000"/>
                  </a:solidFill>
                </a:rPr>
                <a:t>Wing A</a:t>
              </a:r>
              <a:endParaRPr lang="en-IN" b="1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69" name="TextBox 263">
              <a:extLst>
                <a:ext uri="{FF2B5EF4-FFF2-40B4-BE49-F238E27FC236}">
                  <a16:creationId xmlns:a16="http://schemas.microsoft.com/office/drawing/2014/main" xmlns="" id="{30F04DBA-9A15-4562-8C20-63A31503C8E7}"/>
                </a:ext>
              </a:extLst>
            </xdr:cNvPr>
            <xdr:cNvSpPr txBox="1"/>
          </xdr:nvSpPr>
          <xdr:spPr>
            <a:xfrm>
              <a:off x="2247900" y="38271168"/>
              <a:ext cx="942674" cy="36994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ysClr val="windowText" lastClr="000000"/>
                  </a:solidFill>
                </a:rPr>
                <a:t>Wing B</a:t>
              </a:r>
              <a:endParaRPr lang="en-IN" b="1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xdr:twoCellAnchor>
    <xdr:from>
      <xdr:col>5</xdr:col>
      <xdr:colOff>638735</xdr:colOff>
      <xdr:row>214</xdr:row>
      <xdr:rowOff>74798</xdr:rowOff>
    </xdr:from>
    <xdr:to>
      <xdr:col>6</xdr:col>
      <xdr:colOff>637532</xdr:colOff>
      <xdr:row>216</xdr:row>
      <xdr:rowOff>48524</xdr:rowOff>
    </xdr:to>
    <xdr:sp macro="" textlink="">
      <xdr:nvSpPr>
        <xdr:cNvPr id="45" name="TextBox 266">
          <a:extLst>
            <a:ext uri="{FF2B5EF4-FFF2-40B4-BE49-F238E27FC236}">
              <a16:creationId xmlns:a16="http://schemas.microsoft.com/office/drawing/2014/main" xmlns="" id="{C27DCFFC-1560-4AF3-AC24-E696D4A6117D}"/>
            </a:ext>
          </a:extLst>
        </xdr:cNvPr>
        <xdr:cNvSpPr txBox="1"/>
      </xdr:nvSpPr>
      <xdr:spPr>
        <a:xfrm>
          <a:off x="4773706" y="38555798"/>
          <a:ext cx="783208" cy="377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ysClr val="windowText" lastClr="000000"/>
              </a:solidFill>
            </a:rPr>
            <a:t>Part 1</a:t>
          </a:r>
          <a:endParaRPr lang="en-IN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634253</xdr:colOff>
      <xdr:row>214</xdr:row>
      <xdr:rowOff>103933</xdr:rowOff>
    </xdr:from>
    <xdr:to>
      <xdr:col>7</xdr:col>
      <xdr:colOff>633049</xdr:colOff>
      <xdr:row>216</xdr:row>
      <xdr:rowOff>77659</xdr:rowOff>
    </xdr:to>
    <xdr:sp macro="" textlink="">
      <xdr:nvSpPr>
        <xdr:cNvPr id="70" name="TextBox 266">
          <a:extLst>
            <a:ext uri="{FF2B5EF4-FFF2-40B4-BE49-F238E27FC236}">
              <a16:creationId xmlns:a16="http://schemas.microsoft.com/office/drawing/2014/main" xmlns="" id="{C27DCFFC-1560-4AF3-AC24-E696D4A6117D}"/>
            </a:ext>
          </a:extLst>
        </xdr:cNvPr>
        <xdr:cNvSpPr txBox="1"/>
      </xdr:nvSpPr>
      <xdr:spPr>
        <a:xfrm>
          <a:off x="5553635" y="38584933"/>
          <a:ext cx="783208" cy="37713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ysClr val="windowText" lastClr="000000"/>
              </a:solidFill>
            </a:rPr>
            <a:t>Part 2</a:t>
          </a:r>
          <a:endParaRPr lang="en-IN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123265</xdr:colOff>
      <xdr:row>215</xdr:row>
      <xdr:rowOff>186856</xdr:rowOff>
    </xdr:from>
    <xdr:to>
      <xdr:col>6</xdr:col>
      <xdr:colOff>201706</xdr:colOff>
      <xdr:row>217</xdr:row>
      <xdr:rowOff>89647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C0D2B56B-4AB3-441D-AC7A-7635F464BC7B}"/>
            </a:ext>
          </a:extLst>
        </xdr:cNvPr>
        <xdr:cNvCxnSpPr/>
      </xdr:nvCxnSpPr>
      <xdr:spPr>
        <a:xfrm>
          <a:off x="5042647" y="38869562"/>
          <a:ext cx="78441" cy="294997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212912</xdr:colOff>
      <xdr:row>216</xdr:row>
      <xdr:rowOff>25491</xdr:rowOff>
    </xdr:from>
    <xdr:to>
      <xdr:col>7</xdr:col>
      <xdr:colOff>230842</xdr:colOff>
      <xdr:row>217</xdr:row>
      <xdr:rowOff>134470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C0D2B56B-4AB3-441D-AC7A-7635F464BC7B}"/>
            </a:ext>
          </a:extLst>
        </xdr:cNvPr>
        <xdr:cNvCxnSpPr/>
      </xdr:nvCxnSpPr>
      <xdr:spPr>
        <a:xfrm flipH="1">
          <a:off x="5916706" y="38909903"/>
          <a:ext cx="17930" cy="299479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xRp2SVE9wkCSPz4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92"/>
  <sheetViews>
    <sheetView tabSelected="1" view="pageBreakPreview" zoomScale="85" zoomScaleNormal="100" zoomScaleSheetLayoutView="85" workbookViewId="0">
      <selection activeCell="I15" sqref="I15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35" t="s">
        <v>172</v>
      </c>
      <c r="B1" s="135"/>
      <c r="C1" s="135"/>
      <c r="D1" s="135"/>
      <c r="E1" s="135"/>
      <c r="F1" s="135"/>
      <c r="G1" s="135"/>
      <c r="H1" s="135"/>
    </row>
    <row r="2" spans="1:8" ht="16.5" customHeight="1" x14ac:dyDescent="0.25">
      <c r="A2" s="73" t="s">
        <v>0</v>
      </c>
      <c r="B2" s="73"/>
      <c r="C2" s="73"/>
      <c r="D2" s="73"/>
      <c r="E2" s="73"/>
      <c r="F2" s="73"/>
      <c r="G2" s="73"/>
      <c r="H2" s="73"/>
    </row>
    <row r="3" spans="1:8" x14ac:dyDescent="0.25">
      <c r="A3" s="77" t="s">
        <v>1</v>
      </c>
      <c r="B3" s="77"/>
      <c r="C3" s="77"/>
      <c r="D3" s="77"/>
      <c r="E3" s="77" t="str">
        <f ca="1">TEXT(TODAY(),"DD/MM/YYYY")</f>
        <v>15/07/2025</v>
      </c>
      <c r="F3" s="77"/>
      <c r="G3" s="77"/>
      <c r="H3" s="77"/>
    </row>
    <row r="4" spans="1:8" ht="15" customHeight="1" x14ac:dyDescent="0.25">
      <c r="A4" s="77" t="s">
        <v>2</v>
      </c>
      <c r="B4" s="77"/>
      <c r="C4" s="77"/>
      <c r="D4" s="77"/>
      <c r="E4" s="77" t="s">
        <v>177</v>
      </c>
      <c r="F4" s="77"/>
      <c r="G4" s="77"/>
      <c r="H4" s="77"/>
    </row>
    <row r="5" spans="1:8" x14ac:dyDescent="0.25">
      <c r="A5" s="77" t="s">
        <v>3</v>
      </c>
      <c r="B5" s="77"/>
      <c r="C5" s="77"/>
      <c r="D5" s="77"/>
      <c r="E5" s="133">
        <v>45847</v>
      </c>
      <c r="F5" s="77"/>
      <c r="G5" s="77"/>
      <c r="H5" s="77"/>
    </row>
    <row r="6" spans="1:8" ht="16.5" customHeight="1" x14ac:dyDescent="0.25">
      <c r="A6" s="77" t="s">
        <v>4</v>
      </c>
      <c r="B6" s="77"/>
      <c r="C6" s="77"/>
      <c r="D6" s="77"/>
      <c r="E6" s="77" t="s">
        <v>178</v>
      </c>
      <c r="F6" s="77"/>
      <c r="G6" s="77"/>
      <c r="H6" s="77"/>
    </row>
    <row r="7" spans="1:8" ht="15" customHeight="1" x14ac:dyDescent="0.25">
      <c r="A7" s="77" t="s">
        <v>5</v>
      </c>
      <c r="B7" s="77"/>
      <c r="C7" s="77"/>
      <c r="D7" s="77"/>
      <c r="E7" s="77" t="str">
        <f>E6</f>
        <v>Rifaa Structural Solutions Private Limited</v>
      </c>
      <c r="F7" s="77"/>
      <c r="G7" s="77"/>
      <c r="H7" s="77"/>
    </row>
    <row r="8" spans="1:8" x14ac:dyDescent="0.25">
      <c r="A8" s="77" t="s">
        <v>230</v>
      </c>
      <c r="B8" s="77"/>
      <c r="C8" s="77"/>
      <c r="D8" s="77"/>
      <c r="E8" s="136" t="s">
        <v>224</v>
      </c>
      <c r="F8" s="136"/>
      <c r="G8" s="136"/>
      <c r="H8" s="136"/>
    </row>
    <row r="9" spans="1:8" x14ac:dyDescent="0.25">
      <c r="A9" s="77" t="s">
        <v>229</v>
      </c>
      <c r="B9" s="77"/>
      <c r="C9" s="77"/>
      <c r="D9" s="77"/>
      <c r="E9" s="136" t="s">
        <v>231</v>
      </c>
      <c r="F9" s="136"/>
      <c r="G9" s="136"/>
      <c r="H9" s="136"/>
    </row>
    <row r="10" spans="1:8" x14ac:dyDescent="0.25">
      <c r="A10" s="77" t="s">
        <v>175</v>
      </c>
      <c r="B10" s="77"/>
      <c r="C10" s="77"/>
      <c r="D10" s="77"/>
      <c r="E10" s="77" t="s">
        <v>179</v>
      </c>
      <c r="F10" s="77"/>
      <c r="G10" s="77"/>
      <c r="H10" s="77"/>
    </row>
    <row r="11" spans="1:8" x14ac:dyDescent="0.25">
      <c r="A11" s="77" t="s">
        <v>176</v>
      </c>
      <c r="B11" s="77"/>
      <c r="C11" s="77"/>
      <c r="D11" s="77"/>
      <c r="E11" s="77" t="s">
        <v>180</v>
      </c>
      <c r="F11" s="77"/>
      <c r="G11" s="77"/>
      <c r="H11" s="77"/>
    </row>
    <row r="12" spans="1:8" x14ac:dyDescent="0.25">
      <c r="A12" s="77" t="s">
        <v>6</v>
      </c>
      <c r="B12" s="77"/>
      <c r="C12" s="77"/>
      <c r="D12" s="77"/>
      <c r="E12" s="77" t="s">
        <v>223</v>
      </c>
      <c r="F12" s="77"/>
      <c r="G12" s="77"/>
      <c r="H12" s="77"/>
    </row>
    <row r="13" spans="1:8" x14ac:dyDescent="0.25">
      <c r="A13" s="77" t="s">
        <v>7</v>
      </c>
      <c r="B13" s="77"/>
      <c r="C13" s="77"/>
      <c r="D13" s="77"/>
      <c r="E13" s="134" t="s">
        <v>214</v>
      </c>
      <c r="F13" s="134"/>
      <c r="G13" s="134"/>
      <c r="H13" s="134"/>
    </row>
    <row r="14" spans="1:8" x14ac:dyDescent="0.25">
      <c r="A14" s="77" t="s">
        <v>8</v>
      </c>
      <c r="B14" s="77"/>
      <c r="C14" s="77"/>
      <c r="D14" s="77"/>
      <c r="E14" s="134" t="s">
        <v>181</v>
      </c>
      <c r="F14" s="77"/>
      <c r="G14" s="77"/>
      <c r="H14" s="77"/>
    </row>
    <row r="15" spans="1:8" ht="33" customHeight="1" x14ac:dyDescent="0.25">
      <c r="A15" s="134" t="s">
        <v>9</v>
      </c>
      <c r="B15" s="134"/>
      <c r="C15" s="13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Sukoon Residency Type B, Survey No.72, Hissa No. 2, near Deccan Homes &amp; City Enterprises, Internal Rd, Mamdapur, Mamdapur, Neral, Karjat, Raigad - 410101.</v>
      </c>
      <c r="D15" s="134"/>
      <c r="E15" s="134"/>
      <c r="F15" s="134"/>
      <c r="G15" s="134"/>
      <c r="H15" s="134"/>
    </row>
    <row r="16" spans="1:8" x14ac:dyDescent="0.25">
      <c r="A16" s="134" t="s">
        <v>182</v>
      </c>
      <c r="B16" s="134"/>
      <c r="C16" s="134" t="s">
        <v>183</v>
      </c>
      <c r="D16" s="134"/>
      <c r="E16" s="134"/>
      <c r="F16" s="134"/>
      <c r="G16" s="134"/>
      <c r="H16" s="134"/>
    </row>
    <row r="17" spans="1:8" ht="15.75" customHeight="1" x14ac:dyDescent="0.25">
      <c r="A17" s="134" t="s">
        <v>170</v>
      </c>
      <c r="B17" s="134"/>
      <c r="C17" s="134" t="s">
        <v>185</v>
      </c>
      <c r="D17" s="134"/>
      <c r="E17" s="134"/>
      <c r="F17" s="134"/>
      <c r="G17" s="134"/>
      <c r="H17" s="134"/>
    </row>
    <row r="18" spans="1:8" ht="15.75" customHeight="1" x14ac:dyDescent="0.25">
      <c r="A18" s="134" t="s">
        <v>10</v>
      </c>
      <c r="B18" s="134"/>
      <c r="C18" s="77" t="s">
        <v>190</v>
      </c>
      <c r="D18" s="77"/>
      <c r="E18" s="134" t="s">
        <v>74</v>
      </c>
      <c r="F18" s="134"/>
      <c r="G18" s="134" t="s">
        <v>185</v>
      </c>
      <c r="H18" s="134"/>
    </row>
    <row r="19" spans="1:8" x14ac:dyDescent="0.25">
      <c r="A19" s="77" t="s">
        <v>12</v>
      </c>
      <c r="B19" s="77"/>
      <c r="C19" s="134" t="s">
        <v>184</v>
      </c>
      <c r="D19" s="134"/>
      <c r="E19" s="134" t="s">
        <v>11</v>
      </c>
      <c r="F19" s="134"/>
      <c r="G19" s="137" t="s">
        <v>187</v>
      </c>
      <c r="H19" s="137"/>
    </row>
    <row r="20" spans="1:8" x14ac:dyDescent="0.25">
      <c r="A20" s="77" t="s">
        <v>75</v>
      </c>
      <c r="B20" s="77"/>
      <c r="C20" s="134" t="s">
        <v>186</v>
      </c>
      <c r="D20" s="134"/>
      <c r="E20" s="134" t="s">
        <v>13</v>
      </c>
      <c r="F20" s="134"/>
      <c r="G20" s="134">
        <v>410101</v>
      </c>
      <c r="H20" s="134"/>
    </row>
    <row r="21" spans="1:8" ht="32.25" customHeight="1" x14ac:dyDescent="0.25">
      <c r="A21" s="77" t="s">
        <v>127</v>
      </c>
      <c r="B21" s="77"/>
      <c r="C21" s="134" t="s">
        <v>191</v>
      </c>
      <c r="D21" s="134"/>
      <c r="E21" s="134" t="s">
        <v>14</v>
      </c>
      <c r="F21" s="134"/>
      <c r="G21" s="134" t="s">
        <v>192</v>
      </c>
      <c r="H21" s="134"/>
    </row>
    <row r="22" spans="1:8" ht="15" customHeight="1" x14ac:dyDescent="0.25">
      <c r="A22" s="129" t="s">
        <v>78</v>
      </c>
      <c r="B22" s="129"/>
      <c r="C22" s="129"/>
      <c r="D22" s="129"/>
      <c r="E22" s="77" t="s">
        <v>15</v>
      </c>
      <c r="F22" s="77"/>
      <c r="G22" s="77"/>
      <c r="H22" s="77"/>
    </row>
    <row r="23" spans="1:8" ht="18.75" customHeight="1" x14ac:dyDescent="0.25">
      <c r="A23" s="129"/>
      <c r="B23" s="129"/>
      <c r="C23" s="129"/>
      <c r="D23" s="129"/>
      <c r="E23" s="77"/>
      <c r="F23" s="77"/>
      <c r="G23" s="77"/>
      <c r="H23" s="77"/>
    </row>
    <row r="24" spans="1:8" ht="15" customHeight="1" x14ac:dyDescent="0.25">
      <c r="A24" s="129" t="s">
        <v>16</v>
      </c>
      <c r="B24" s="129"/>
      <c r="C24" s="129"/>
      <c r="D24" s="129"/>
      <c r="E24" s="134" t="s">
        <v>17</v>
      </c>
      <c r="F24" s="134"/>
      <c r="G24" s="134"/>
      <c r="H24" s="134"/>
    </row>
    <row r="25" spans="1:8" ht="15" customHeight="1" x14ac:dyDescent="0.25">
      <c r="A25" s="75" t="s">
        <v>18</v>
      </c>
      <c r="B25" s="75"/>
      <c r="C25" s="75"/>
      <c r="D25" s="75"/>
      <c r="E25" s="134" t="str">
        <f>IF(AND(G19="Mumbai"),"Upper Class","Middle Class")</f>
        <v>Middle Class</v>
      </c>
      <c r="F25" s="134"/>
      <c r="G25" s="134"/>
      <c r="H25" s="134"/>
    </row>
    <row r="26" spans="1:8" x14ac:dyDescent="0.25">
      <c r="A26" s="75" t="s">
        <v>19</v>
      </c>
      <c r="B26" s="75"/>
      <c r="C26" s="75"/>
      <c r="D26" s="75"/>
      <c r="E26" s="134" t="s">
        <v>20</v>
      </c>
      <c r="F26" s="134"/>
      <c r="G26" s="134"/>
      <c r="H26" s="134"/>
    </row>
    <row r="27" spans="1:8" ht="15.75" customHeight="1" x14ac:dyDescent="0.25">
      <c r="A27" s="75" t="s">
        <v>21</v>
      </c>
      <c r="B27" s="75"/>
      <c r="C27" s="75"/>
      <c r="D27" s="75"/>
      <c r="E27" s="134" t="str">
        <f>IF(AND(G19="Mumbai"),"Developed","Developing")</f>
        <v>Developing</v>
      </c>
      <c r="F27" s="134"/>
      <c r="G27" s="134"/>
      <c r="H27" s="134"/>
    </row>
    <row r="28" spans="1:8" x14ac:dyDescent="0.25">
      <c r="A28" s="75" t="s">
        <v>22</v>
      </c>
      <c r="B28" s="75"/>
      <c r="C28" s="75"/>
      <c r="D28" s="75"/>
      <c r="E28" s="134" t="s">
        <v>23</v>
      </c>
      <c r="F28" s="134"/>
      <c r="G28" s="134"/>
      <c r="H28" s="134"/>
    </row>
    <row r="29" spans="1:8" ht="15.75" customHeight="1" x14ac:dyDescent="0.25">
      <c r="A29" s="75" t="s">
        <v>83</v>
      </c>
      <c r="B29" s="75"/>
      <c r="C29" s="75"/>
      <c r="D29" s="75"/>
      <c r="E29" s="134" t="s">
        <v>84</v>
      </c>
      <c r="F29" s="134"/>
      <c r="G29" s="134"/>
      <c r="H29" s="134"/>
    </row>
    <row r="30" spans="1:8" ht="15" customHeight="1" x14ac:dyDescent="0.25">
      <c r="A30" s="75" t="s">
        <v>32</v>
      </c>
      <c r="B30" s="75"/>
      <c r="C30" s="75"/>
      <c r="D30" s="75"/>
      <c r="E30" s="13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34"/>
      <c r="G30" s="134"/>
      <c r="H30" s="134"/>
    </row>
    <row r="31" spans="1:8" ht="15.75" customHeight="1" x14ac:dyDescent="0.25">
      <c r="A31" s="75" t="s">
        <v>95</v>
      </c>
      <c r="B31" s="75"/>
      <c r="C31" s="75"/>
      <c r="D31" s="75"/>
      <c r="E31" s="134" t="s">
        <v>33</v>
      </c>
      <c r="F31" s="134"/>
      <c r="G31" s="134"/>
      <c r="H31" s="134"/>
    </row>
    <row r="32" spans="1:8" s="19" customFormat="1" x14ac:dyDescent="0.25">
      <c r="A32" s="143" t="s">
        <v>96</v>
      </c>
      <c r="B32" s="143"/>
      <c r="C32" s="142" t="s">
        <v>28</v>
      </c>
      <c r="D32" s="142"/>
      <c r="E32" s="142"/>
      <c r="F32" s="142" t="s">
        <v>30</v>
      </c>
      <c r="G32" s="142"/>
      <c r="H32" s="142"/>
    </row>
    <row r="33" spans="1:8" s="19" customFormat="1" x14ac:dyDescent="0.25">
      <c r="A33" s="140" t="s">
        <v>24</v>
      </c>
      <c r="B33" s="140" t="s">
        <v>29</v>
      </c>
      <c r="C33" s="141" t="s">
        <v>29</v>
      </c>
      <c r="D33" s="141"/>
      <c r="E33" s="141"/>
      <c r="F33" s="139" t="s">
        <v>193</v>
      </c>
      <c r="G33" s="139"/>
      <c r="H33" s="139"/>
    </row>
    <row r="34" spans="1:8" x14ac:dyDescent="0.25">
      <c r="A34" s="140" t="s">
        <v>25</v>
      </c>
      <c r="B34" s="140" t="s">
        <v>29</v>
      </c>
      <c r="C34" s="141" t="s">
        <v>29</v>
      </c>
      <c r="D34" s="141"/>
      <c r="E34" s="141"/>
      <c r="F34" s="139" t="s">
        <v>213</v>
      </c>
      <c r="G34" s="139"/>
      <c r="H34" s="139"/>
    </row>
    <row r="35" spans="1:8" s="19" customFormat="1" x14ac:dyDescent="0.25">
      <c r="A35" s="140" t="s">
        <v>27</v>
      </c>
      <c r="B35" s="140" t="s">
        <v>29</v>
      </c>
      <c r="C35" s="141" t="s">
        <v>29</v>
      </c>
      <c r="D35" s="141"/>
      <c r="E35" s="141"/>
      <c r="F35" s="139" t="s">
        <v>193</v>
      </c>
      <c r="G35" s="139"/>
      <c r="H35" s="139"/>
    </row>
    <row r="36" spans="1:8" x14ac:dyDescent="0.25">
      <c r="A36" s="140" t="s">
        <v>26</v>
      </c>
      <c r="B36" s="140" t="s">
        <v>29</v>
      </c>
      <c r="C36" s="141" t="s">
        <v>29</v>
      </c>
      <c r="D36" s="141"/>
      <c r="E36" s="141"/>
      <c r="F36" s="139" t="s">
        <v>212</v>
      </c>
      <c r="G36" s="139"/>
      <c r="H36" s="139"/>
    </row>
    <row r="37" spans="1:8" x14ac:dyDescent="0.25">
      <c r="A37" s="75" t="s">
        <v>31</v>
      </c>
      <c r="B37" s="75"/>
      <c r="C37" s="75"/>
      <c r="D37" s="75"/>
      <c r="E37" s="75"/>
      <c r="F37" s="75"/>
      <c r="G37" s="75"/>
      <c r="H37" s="75"/>
    </row>
    <row r="38" spans="1:8" ht="15.75" customHeight="1" x14ac:dyDescent="0.25">
      <c r="A38" s="75" t="s">
        <v>173</v>
      </c>
      <c r="B38" s="75"/>
      <c r="C38" s="128" t="s">
        <v>189</v>
      </c>
      <c r="D38" s="128"/>
      <c r="E38" s="128"/>
      <c r="F38" s="128"/>
      <c r="G38" s="128"/>
      <c r="H38" s="128"/>
    </row>
    <row r="39" spans="1:8" x14ac:dyDescent="0.25">
      <c r="A39" s="75" t="s">
        <v>169</v>
      </c>
      <c r="B39" s="75"/>
      <c r="C39" s="181" t="s">
        <v>188</v>
      </c>
      <c r="D39" s="134"/>
      <c r="E39" s="134"/>
      <c r="F39" s="134"/>
      <c r="G39" s="134"/>
      <c r="H39" s="134"/>
    </row>
    <row r="40" spans="1:8" x14ac:dyDescent="0.25">
      <c r="A40" s="128" t="s">
        <v>34</v>
      </c>
      <c r="B40" s="128"/>
      <c r="C40" s="128"/>
      <c r="D40" s="128"/>
      <c r="E40" s="128"/>
      <c r="F40" s="128"/>
      <c r="G40" s="128"/>
      <c r="H40" s="128"/>
    </row>
    <row r="41" spans="1:8" x14ac:dyDescent="0.25">
      <c r="A41" s="77" t="s">
        <v>35</v>
      </c>
      <c r="B41" s="77"/>
      <c r="C41" s="77"/>
      <c r="D41" s="77"/>
      <c r="E41" s="138">
        <v>2721.75</v>
      </c>
      <c r="F41" s="138"/>
      <c r="G41" s="138"/>
      <c r="H41" s="138"/>
    </row>
    <row r="42" spans="1:8" x14ac:dyDescent="0.25">
      <c r="A42" s="77" t="s">
        <v>36</v>
      </c>
      <c r="B42" s="77"/>
      <c r="C42" s="77"/>
      <c r="D42" s="77"/>
      <c r="E42" s="81">
        <v>1.1000000000000001</v>
      </c>
      <c r="F42" s="81"/>
      <c r="G42" s="81"/>
      <c r="H42" s="81"/>
    </row>
    <row r="43" spans="1:8" x14ac:dyDescent="0.25">
      <c r="A43" s="77" t="s">
        <v>37</v>
      </c>
      <c r="B43" s="77"/>
      <c r="C43" s="77"/>
      <c r="D43" s="77"/>
      <c r="E43" s="81">
        <f>E45/E41-E42</f>
        <v>0.90760172683016416</v>
      </c>
      <c r="F43" s="81"/>
      <c r="G43" s="81"/>
      <c r="H43" s="81"/>
    </row>
    <row r="44" spans="1:8" x14ac:dyDescent="0.25">
      <c r="A44" s="77" t="s">
        <v>38</v>
      </c>
      <c r="B44" s="77"/>
      <c r="C44" s="77"/>
      <c r="D44" s="77"/>
      <c r="E44" s="81">
        <f>E42+E43</f>
        <v>2.0076017268301642</v>
      </c>
      <c r="F44" s="81"/>
      <c r="G44" s="81"/>
      <c r="H44" s="81"/>
    </row>
    <row r="45" spans="1:8" x14ac:dyDescent="0.25">
      <c r="A45" s="77" t="s">
        <v>94</v>
      </c>
      <c r="B45" s="77"/>
      <c r="C45" s="77"/>
      <c r="D45" s="77"/>
      <c r="E45" s="171">
        <v>5464.19</v>
      </c>
      <c r="F45" s="171"/>
      <c r="G45" s="171"/>
      <c r="H45" s="171"/>
    </row>
    <row r="46" spans="1:8" x14ac:dyDescent="0.25">
      <c r="A46" s="77" t="s">
        <v>39</v>
      </c>
      <c r="B46" s="77"/>
      <c r="C46" s="77"/>
      <c r="D46" s="77"/>
      <c r="E46" s="77" t="s">
        <v>194</v>
      </c>
      <c r="F46" s="77"/>
      <c r="G46" s="77"/>
      <c r="H46" s="77"/>
    </row>
    <row r="47" spans="1:8" x14ac:dyDescent="0.25">
      <c r="A47" s="128" t="s">
        <v>40</v>
      </c>
      <c r="B47" s="128"/>
      <c r="C47" s="128"/>
      <c r="D47" s="128"/>
      <c r="E47" s="128"/>
      <c r="F47" s="128"/>
      <c r="G47" s="128"/>
      <c r="H47" s="128"/>
    </row>
    <row r="48" spans="1:8" ht="33.75" customHeight="1" x14ac:dyDescent="0.25">
      <c r="A48" s="78" t="s">
        <v>156</v>
      </c>
      <c r="B48" s="80"/>
      <c r="C48" s="178" t="s">
        <v>195</v>
      </c>
      <c r="D48" s="191"/>
      <c r="E48" s="191"/>
      <c r="F48" s="191"/>
      <c r="G48" s="191"/>
      <c r="H48" s="179"/>
    </row>
    <row r="49" spans="1:14" ht="15.75" customHeight="1" x14ac:dyDescent="0.25">
      <c r="A49" s="78" t="s">
        <v>41</v>
      </c>
      <c r="B49" s="80"/>
      <c r="C49" s="78" t="s">
        <v>196</v>
      </c>
      <c r="D49" s="79"/>
      <c r="E49" s="80"/>
      <c r="F49" s="51" t="s">
        <v>42</v>
      </c>
      <c r="G49" s="174">
        <v>44679</v>
      </c>
      <c r="H49" s="80"/>
    </row>
    <row r="50" spans="1:14" x14ac:dyDescent="0.25">
      <c r="A50" s="78" t="s">
        <v>43</v>
      </c>
      <c r="B50" s="80"/>
      <c r="C50" s="78" t="str">
        <f>C49</f>
        <v>RJP/BP/NSVP/134/2022</v>
      </c>
      <c r="D50" s="79"/>
      <c r="E50" s="80"/>
      <c r="F50" s="51" t="s">
        <v>42</v>
      </c>
      <c r="G50" s="174">
        <v>44679</v>
      </c>
      <c r="H50" s="80"/>
    </row>
    <row r="51" spans="1:14" s="20" customFormat="1" ht="15.75" customHeight="1" x14ac:dyDescent="0.25">
      <c r="A51" s="144" t="s">
        <v>160</v>
      </c>
      <c r="B51" s="173"/>
      <c r="C51" s="78" t="str">
        <f>C50</f>
        <v>RJP/BP/NSVP/134/2022</v>
      </c>
      <c r="D51" s="79"/>
      <c r="E51" s="80"/>
      <c r="F51" s="51" t="s">
        <v>42</v>
      </c>
      <c r="G51" s="174">
        <v>44679</v>
      </c>
      <c r="H51" s="80"/>
    </row>
    <row r="52" spans="1:14" s="20" customFormat="1" x14ac:dyDescent="0.25">
      <c r="A52" s="148"/>
      <c r="B52" s="175"/>
      <c r="C52" s="78" t="s">
        <v>215</v>
      </c>
      <c r="D52" s="79"/>
      <c r="E52" s="79"/>
      <c r="F52" s="79"/>
      <c r="G52" s="79"/>
      <c r="H52" s="80"/>
    </row>
    <row r="53" spans="1:14" x14ac:dyDescent="0.25">
      <c r="A53" s="150" t="s">
        <v>44</v>
      </c>
      <c r="B53" s="151"/>
      <c r="C53" s="150" t="s">
        <v>108</v>
      </c>
      <c r="D53" s="176"/>
      <c r="E53" s="151"/>
      <c r="F53" s="52" t="s">
        <v>42</v>
      </c>
      <c r="G53" s="178" t="s">
        <v>29</v>
      </c>
      <c r="H53" s="179"/>
    </row>
    <row r="54" spans="1:14" x14ac:dyDescent="0.25">
      <c r="A54" s="177" t="s">
        <v>46</v>
      </c>
      <c r="B54" s="177"/>
      <c r="C54" s="177"/>
      <c r="D54" s="177"/>
      <c r="E54" s="177"/>
      <c r="F54" s="177"/>
      <c r="G54" s="177"/>
      <c r="H54" s="177"/>
    </row>
    <row r="55" spans="1:14" x14ac:dyDescent="0.25">
      <c r="A55" s="134" t="s">
        <v>93</v>
      </c>
      <c r="B55" s="134"/>
      <c r="C55" s="134"/>
      <c r="D55" s="77">
        <f>E45</f>
        <v>5464.19</v>
      </c>
      <c r="E55" s="77"/>
      <c r="F55" s="77"/>
      <c r="G55" s="77"/>
      <c r="H55" s="77"/>
    </row>
    <row r="56" spans="1:14" x14ac:dyDescent="0.25">
      <c r="A56" s="134" t="s">
        <v>47</v>
      </c>
      <c r="B56" s="77"/>
      <c r="C56" s="77"/>
      <c r="D56" s="77" t="s">
        <v>210</v>
      </c>
      <c r="E56" s="77"/>
      <c r="F56" s="77"/>
      <c r="G56" s="77"/>
      <c r="H56" s="77"/>
      <c r="I56" s="21"/>
    </row>
    <row r="57" spans="1:14" x14ac:dyDescent="0.25">
      <c r="A57" s="144" t="s">
        <v>48</v>
      </c>
      <c r="B57" s="145"/>
      <c r="C57" s="173"/>
      <c r="D57" s="124" t="s">
        <v>215</v>
      </c>
      <c r="E57" s="172"/>
      <c r="F57" s="172"/>
      <c r="G57" s="172"/>
      <c r="H57" s="172"/>
    </row>
    <row r="58" spans="1:14" ht="15.75" customHeight="1" x14ac:dyDescent="0.25">
      <c r="A58" s="144" t="s">
        <v>91</v>
      </c>
      <c r="B58" s="145"/>
      <c r="C58" s="145"/>
      <c r="D58" s="77" t="s">
        <v>216</v>
      </c>
      <c r="E58" s="77"/>
      <c r="F58" s="77"/>
      <c r="G58" s="77"/>
      <c r="H58" s="77"/>
    </row>
    <row r="59" spans="1:14" ht="15.75" customHeight="1" x14ac:dyDescent="0.25">
      <c r="A59" s="146"/>
      <c r="B59" s="147"/>
      <c r="C59" s="147"/>
      <c r="D59" s="77" t="s">
        <v>226</v>
      </c>
      <c r="E59" s="77"/>
      <c r="F59" s="77"/>
      <c r="G59" s="77"/>
      <c r="H59" s="77"/>
    </row>
    <row r="60" spans="1:14" ht="15.75" hidden="1" customHeight="1" x14ac:dyDescent="0.25">
      <c r="A60" s="148"/>
      <c r="B60" s="149"/>
      <c r="C60" s="149"/>
      <c r="D60" s="77" t="s">
        <v>217</v>
      </c>
      <c r="E60" s="77"/>
      <c r="F60" s="77"/>
      <c r="G60" s="77"/>
      <c r="H60" s="77"/>
    </row>
    <row r="61" spans="1:14" ht="15.75" customHeight="1" x14ac:dyDescent="0.25">
      <c r="A61" s="75" t="s">
        <v>45</v>
      </c>
      <c r="B61" s="75"/>
      <c r="C61" s="75"/>
      <c r="D61" s="129" t="s">
        <v>197</v>
      </c>
      <c r="E61" s="129"/>
      <c r="F61" s="129"/>
      <c r="G61" s="129"/>
      <c r="H61" s="129"/>
      <c r="J61" s="22"/>
      <c r="K61" s="21"/>
      <c r="N61" s="21"/>
    </row>
    <row r="62" spans="1:14" ht="15.75" customHeight="1" x14ac:dyDescent="0.25">
      <c r="A62" s="75" t="s">
        <v>89</v>
      </c>
      <c r="B62" s="75"/>
      <c r="C62" s="75"/>
      <c r="D62" s="161" t="str">
        <f>(IF(G53="NA","60 Years After Completion",IF(G53&lt;&gt;"NA",""&amp;60-ROUNDDOWN((E3-G53)/360,0)&amp;" Years"," ")))</f>
        <v>60 Years After Completion</v>
      </c>
      <c r="E62" s="161"/>
      <c r="F62" s="161"/>
      <c r="G62" s="161"/>
      <c r="H62" s="161"/>
      <c r="N62" s="21"/>
    </row>
    <row r="63" spans="1:14" ht="15.75" customHeight="1" x14ac:dyDescent="0.25">
      <c r="A63" s="75" t="s">
        <v>90</v>
      </c>
      <c r="B63" s="75"/>
      <c r="C63" s="75"/>
      <c r="D63" s="129" t="s">
        <v>23</v>
      </c>
      <c r="E63" s="129"/>
      <c r="F63" s="129"/>
      <c r="G63" s="129"/>
      <c r="H63" s="129"/>
      <c r="J63" s="23"/>
      <c r="K63" s="23"/>
    </row>
    <row r="64" spans="1:14" ht="34.5" customHeight="1" x14ac:dyDescent="0.25">
      <c r="A64" s="75" t="s">
        <v>76</v>
      </c>
      <c r="B64" s="75"/>
      <c r="C64" s="75"/>
      <c r="D64" s="134" t="s">
        <v>209</v>
      </c>
      <c r="E64" s="129"/>
      <c r="F64" s="129"/>
      <c r="G64" s="129"/>
      <c r="H64" s="129"/>
    </row>
    <row r="65" spans="1:14" x14ac:dyDescent="0.25">
      <c r="A65" s="129" t="s">
        <v>153</v>
      </c>
      <c r="B65" s="129"/>
      <c r="C65" s="129"/>
      <c r="D65" s="129" t="s">
        <v>29</v>
      </c>
      <c r="E65" s="129"/>
      <c r="F65" s="129"/>
      <c r="G65" s="129"/>
      <c r="H65" s="129"/>
      <c r="I65" s="24"/>
      <c r="J65" s="24"/>
      <c r="K65" s="24"/>
      <c r="L65" s="24"/>
      <c r="M65" s="24"/>
      <c r="N65" s="24"/>
    </row>
    <row r="66" spans="1:14" ht="15.75" customHeight="1" x14ac:dyDescent="0.25">
      <c r="A66" s="123" t="s">
        <v>88</v>
      </c>
      <c r="B66" s="123"/>
      <c r="C66" s="123"/>
      <c r="D66" s="124" t="str">
        <f ca="1">(IF(G72&gt;95%,"Nothing",IF(G72&gt;0%,"Cement, Aggregate, Steel, etc",IF(G72=0%,"Work not yet Started"))))</f>
        <v>Cement, Aggregate, Steel, etc</v>
      </c>
      <c r="E66" s="124"/>
      <c r="F66" s="124"/>
      <c r="G66" s="124"/>
      <c r="H66" s="124"/>
      <c r="J66" s="23"/>
    </row>
    <row r="67" spans="1:14" ht="33.75" customHeight="1" thickBot="1" x14ac:dyDescent="0.3">
      <c r="A67" s="170" t="s">
        <v>121</v>
      </c>
      <c r="B67" s="170"/>
      <c r="C67" s="170"/>
      <c r="D67" s="124" t="str">
        <f ca="1">(IF(D66="Nothing","Yes",IF(D66="Cement, Aggregate, Steel, etc","Under Construction",IF(D66="Work not yet Started","Work not yet Started"))))</f>
        <v>Under Construction</v>
      </c>
      <c r="E67" s="124"/>
      <c r="F67" s="124" t="str">
        <f ca="1">(IF(D66="Nothing","Yes",IF(D66="Cement, Aggregate, Steel, etc","Under Construction",IF(D66="Work not yet Started","Work not yet Started"))))</f>
        <v>Under Construction</v>
      </c>
      <c r="G67" s="124"/>
      <c r="H67" s="124"/>
    </row>
    <row r="68" spans="1:14" ht="15.75" customHeight="1" x14ac:dyDescent="0.25">
      <c r="A68" s="163" t="s">
        <v>145</v>
      </c>
      <c r="B68" s="164"/>
      <c r="C68" s="165" t="s">
        <v>228</v>
      </c>
      <c r="D68" s="166"/>
      <c r="E68" s="166"/>
      <c r="F68" s="166"/>
      <c r="G68" s="166"/>
      <c r="H68" s="167"/>
      <c r="I68" s="42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4 Floor Completed</v>
      </c>
      <c r="J68" s="43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4 Floor</v>
      </c>
    </row>
    <row r="69" spans="1:14" x14ac:dyDescent="0.25">
      <c r="A69" s="16" t="s">
        <v>147</v>
      </c>
      <c r="B69" s="50">
        <f>IF(AND(ISNUMBER(SEARCH("1B",C68))),1,IF(AND(ISNUMBER(SEARCH("2B",C68))),2,IF(AND(ISNUMBER(SEARCH("3B",C68))),3,IF(AND(ISNUMBER(SEARCH("4B",C68))),4,IF(ISNUMBER(SEARCH("5B",C68)),5,0)))))</f>
        <v>0</v>
      </c>
      <c r="C69" s="50" t="s">
        <v>73</v>
      </c>
      <c r="D69" s="50">
        <v>1</v>
      </c>
      <c r="E69" s="50" t="s">
        <v>72</v>
      </c>
      <c r="F69" s="50">
        <v>0</v>
      </c>
      <c r="G69" s="50" t="s">
        <v>82</v>
      </c>
      <c r="H69" s="17">
        <f ca="1">--TRIM(RIGHT(SUBSTITUTE(LEFT(C68,_xlfn.AGGREGATE(16,6,FIND({0,1,2,3,4,5,6,7,8,9},C68,ROW(INDIRECT("1:"&amp;LEN(C68)))),1))," ",REPT(" ",LEN(C68))),LEN(C68)))</f>
        <v>7</v>
      </c>
      <c r="I69" s="44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45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0.75" customHeight="1" x14ac:dyDescent="0.25">
      <c r="A70" s="162" t="s">
        <v>92</v>
      </c>
      <c r="B70" s="136"/>
      <c r="C70" s="168" t="str">
        <f ca="1">I68</f>
        <v>Excavation, Plinth, RCC Slab, Brickwork Completed, Internal Plaster upto 4 Floor Completed</v>
      </c>
      <c r="D70" s="168"/>
      <c r="E70" s="168"/>
      <c r="F70" s="168"/>
      <c r="G70" s="168"/>
      <c r="H70" s="169"/>
      <c r="I70" s="44" t="str">
        <f ca="1">IF(I69&lt;&gt;""," Completed","")</f>
        <v xml:space="preserve"> Completed</v>
      </c>
      <c r="J70" s="45" t="str">
        <f ca="1">IF(J68&lt;&gt;"","Completed","")</f>
        <v>Completed</v>
      </c>
    </row>
    <row r="71" spans="1:14" ht="15.75" customHeight="1" x14ac:dyDescent="0.25">
      <c r="A71" s="91" t="s">
        <v>49</v>
      </c>
      <c r="B71" s="92"/>
      <c r="C71" s="53" t="s">
        <v>144</v>
      </c>
      <c r="D71" s="53" t="s">
        <v>85</v>
      </c>
      <c r="E71" s="92" t="s">
        <v>87</v>
      </c>
      <c r="F71" s="92"/>
      <c r="G71" s="92" t="s">
        <v>86</v>
      </c>
      <c r="H71" s="125"/>
      <c r="I71" s="14" t="s">
        <v>146</v>
      </c>
      <c r="J71" s="25">
        <f ca="1">H69*25%</f>
        <v>1.75</v>
      </c>
    </row>
    <row r="72" spans="1:14" x14ac:dyDescent="0.25">
      <c r="A72" s="91" t="s">
        <v>133</v>
      </c>
      <c r="B72" s="92"/>
      <c r="C72" s="53">
        <f ca="1">J73</f>
        <v>7</v>
      </c>
      <c r="D72" s="54">
        <f ca="1">((100/H69)*C72)/100</f>
        <v>1</v>
      </c>
      <c r="E72" s="152">
        <f ca="1">(((C73/H69*10)+(40/(D69+F69+H69)*C74)+(7.5/(H69)*C75)+(7.5/(H69)*C76)+(10/H69*C77)+(10/H69*C78)+(5/H69*C79)+(5/H69*C80)+(5/H69*C81))/100)</f>
        <v>0.61785714285714288</v>
      </c>
      <c r="F72" s="153"/>
      <c r="G72" s="152">
        <f ca="1">((((C72/H69)*20)+((C73/H69)*25)+(30/(H69+F69+D69)*C74)+(5/H69*C75)+(5/H69*C76)+(5/H69*C77)+(5/H69*C78)+(0/H69*C79)+(0/H69*C80)+(5/H69*C81))/100)</f>
        <v>0.82857142857142863</v>
      </c>
      <c r="H72" s="158"/>
      <c r="I72" s="14" t="s">
        <v>103</v>
      </c>
      <c r="J72" s="26">
        <f ca="1">H69*50%</f>
        <v>3.5</v>
      </c>
    </row>
    <row r="73" spans="1:14" x14ac:dyDescent="0.25">
      <c r="A73" s="91" t="s">
        <v>50</v>
      </c>
      <c r="B73" s="92"/>
      <c r="C73" s="53">
        <f ca="1">J81</f>
        <v>7</v>
      </c>
      <c r="D73" s="54">
        <f ca="1">((100/H69)*C73)/100</f>
        <v>1</v>
      </c>
      <c r="E73" s="154"/>
      <c r="F73" s="155"/>
      <c r="G73" s="154"/>
      <c r="H73" s="159"/>
      <c r="I73" s="14" t="s">
        <v>104</v>
      </c>
      <c r="J73" s="26">
        <f ca="1">H69</f>
        <v>7</v>
      </c>
    </row>
    <row r="74" spans="1:14" ht="15.75" customHeight="1" x14ac:dyDescent="0.25">
      <c r="A74" s="91" t="s">
        <v>134</v>
      </c>
      <c r="B74" s="92"/>
      <c r="C74" s="53">
        <v>8</v>
      </c>
      <c r="D74" s="54">
        <f ca="1">((100/(D69+F69+H69))*C74)/100</f>
        <v>1</v>
      </c>
      <c r="E74" s="154"/>
      <c r="F74" s="155"/>
      <c r="G74" s="154"/>
      <c r="H74" s="159"/>
      <c r="I74" s="14" t="s">
        <v>105</v>
      </c>
      <c r="J74" s="27">
        <f ca="1">(IF(B69&gt;1,(H69/(B69+2)),H69/4))</f>
        <v>1.75</v>
      </c>
    </row>
    <row r="75" spans="1:14" ht="15.75" customHeight="1" x14ac:dyDescent="0.25">
      <c r="A75" s="91" t="s">
        <v>141</v>
      </c>
      <c r="B75" s="92" t="s">
        <v>135</v>
      </c>
      <c r="C75" s="53">
        <v>7</v>
      </c>
      <c r="D75" s="54">
        <f ca="1">((100/H69)*C75)/100</f>
        <v>1</v>
      </c>
      <c r="E75" s="154"/>
      <c r="F75" s="155"/>
      <c r="G75" s="154"/>
      <c r="H75" s="159"/>
      <c r="I75" s="14" t="s">
        <v>106</v>
      </c>
      <c r="J75" s="27">
        <f ca="1">(IF(B69&gt;1,(H69/(B69+2)+J74),H69/4+J74))</f>
        <v>3.5</v>
      </c>
    </row>
    <row r="76" spans="1:14" ht="15.75" customHeight="1" x14ac:dyDescent="0.25">
      <c r="A76" s="91" t="s">
        <v>142</v>
      </c>
      <c r="B76" s="92" t="s">
        <v>135</v>
      </c>
      <c r="C76" s="53">
        <v>4</v>
      </c>
      <c r="D76" s="54">
        <f ca="1">((100/H69)*C76)/100</f>
        <v>0.57142857142857151</v>
      </c>
      <c r="E76" s="154"/>
      <c r="F76" s="155"/>
      <c r="G76" s="154"/>
      <c r="H76" s="159"/>
      <c r="I76" s="14" t="s">
        <v>151</v>
      </c>
      <c r="J76" s="27">
        <f>(IF(B69&gt;1,(H69/(B69+2)+J75),0))</f>
        <v>0</v>
      </c>
    </row>
    <row r="77" spans="1:14" ht="15" customHeight="1" x14ac:dyDescent="0.25">
      <c r="A77" s="91" t="s">
        <v>140</v>
      </c>
      <c r="B77" s="92" t="s">
        <v>137</v>
      </c>
      <c r="C77" s="53">
        <v>0</v>
      </c>
      <c r="D77" s="54">
        <f ca="1">((100/(H69))*C77)/100</f>
        <v>0</v>
      </c>
      <c r="E77" s="154"/>
      <c r="F77" s="155"/>
      <c r="G77" s="154"/>
      <c r="H77" s="159"/>
      <c r="I77" s="14" t="s">
        <v>148</v>
      </c>
      <c r="J77" s="27">
        <f>(IF(B69&gt;2,(H69/(B69+2)+J76),0))</f>
        <v>0</v>
      </c>
      <c r="M77" s="18" t="s">
        <v>227</v>
      </c>
    </row>
    <row r="78" spans="1:14" ht="15.75" customHeight="1" x14ac:dyDescent="0.25">
      <c r="A78" s="91" t="s">
        <v>136</v>
      </c>
      <c r="B78" s="92" t="s">
        <v>136</v>
      </c>
      <c r="C78" s="53">
        <v>0</v>
      </c>
      <c r="D78" s="54">
        <f ca="1">((100/H69)*C78)/100</f>
        <v>0</v>
      </c>
      <c r="E78" s="154"/>
      <c r="F78" s="155"/>
      <c r="G78" s="154"/>
      <c r="H78" s="159"/>
      <c r="I78" s="14" t="s">
        <v>149</v>
      </c>
      <c r="J78" s="28">
        <f>(IF(B69&gt;3,(H69/(B69+2)+J77),0))</f>
        <v>0</v>
      </c>
    </row>
    <row r="79" spans="1:14" ht="15.75" customHeight="1" x14ac:dyDescent="0.25">
      <c r="A79" s="91" t="s">
        <v>143</v>
      </c>
      <c r="B79" s="92"/>
      <c r="C79" s="53">
        <v>0</v>
      </c>
      <c r="D79" s="54">
        <f ca="1">((100/H69)*C79)/100</f>
        <v>0</v>
      </c>
      <c r="E79" s="154"/>
      <c r="F79" s="155"/>
      <c r="G79" s="154"/>
      <c r="H79" s="159"/>
      <c r="I79" s="14" t="s">
        <v>150</v>
      </c>
      <c r="J79" s="27">
        <f>(IF(B69&gt;4,(H69/(B69+2)+J78),0))</f>
        <v>0</v>
      </c>
    </row>
    <row r="80" spans="1:14" ht="15.75" customHeight="1" x14ac:dyDescent="0.25">
      <c r="A80" s="91" t="s">
        <v>138</v>
      </c>
      <c r="B80" s="92" t="s">
        <v>138</v>
      </c>
      <c r="C80" s="53">
        <v>0</v>
      </c>
      <c r="D80" s="54">
        <f ca="1">((100/(H69))*C80)/100</f>
        <v>0</v>
      </c>
      <c r="E80" s="154"/>
      <c r="F80" s="155"/>
      <c r="G80" s="154"/>
      <c r="H80" s="159"/>
      <c r="I80" s="14" t="s">
        <v>152</v>
      </c>
      <c r="J80" s="27">
        <f ca="1">(IF(B69=1,(H69/(B69+3)+J75),IF(B69=0,(H69/4+J75),IF(B69&gt;1,0))))</f>
        <v>5.25</v>
      </c>
    </row>
    <row r="81" spans="1:13" ht="16.5" thickBot="1" x14ac:dyDescent="0.3">
      <c r="A81" s="131" t="s">
        <v>139</v>
      </c>
      <c r="B81" s="132"/>
      <c r="C81" s="58">
        <v>0</v>
      </c>
      <c r="D81" s="59">
        <f ca="1">((100/(H69))*C81)/100</f>
        <v>0</v>
      </c>
      <c r="E81" s="156"/>
      <c r="F81" s="157"/>
      <c r="G81" s="156"/>
      <c r="H81" s="160"/>
      <c r="I81" s="15" t="s">
        <v>107</v>
      </c>
      <c r="J81" s="29">
        <f ca="1">(IF(B69&gt;1.5,(H69/(B69+2)+J75+MAX(0,J76-J75)+MAX(0,J77-J76)+MAX(0,J78-J77)+MAX(0,J79-J78)+MAX(0,J80-J79)),IF(B69=1,(H69/(B69+3)+J80),IF(B69=0,H69/4+J80))))</f>
        <v>7</v>
      </c>
    </row>
    <row r="82" spans="1:13" ht="15.75" customHeight="1" x14ac:dyDescent="0.25">
      <c r="A82" s="163" t="s">
        <v>145</v>
      </c>
      <c r="B82" s="164"/>
      <c r="C82" s="165" t="s">
        <v>236</v>
      </c>
      <c r="D82" s="166"/>
      <c r="E82" s="166"/>
      <c r="F82" s="166"/>
      <c r="G82" s="166"/>
      <c r="H82" s="167"/>
      <c r="I82" s="42" t="str">
        <f ca="1">IF(D95=100%,"All work Completed. Possession granted to the Building.",IF(D94=100%,"All work Completed, Waiting for OC",I83&amp;""&amp;I84&amp;""&amp;J83&amp;""&amp;J82&amp;" "&amp;J84))</f>
        <v>Excavation, Plinth, RCC Slab, Brickwork Completed, Internal Plaster upto 5 Floor, External Plaster upto 4 Floor Completed</v>
      </c>
      <c r="J82" s="43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Internal Plaster upto 5 Floor, External Plaster upto 4 Floor</v>
      </c>
    </row>
    <row r="83" spans="1:13" x14ac:dyDescent="0.25">
      <c r="A83" s="16" t="s">
        <v>147</v>
      </c>
      <c r="B83" s="61">
        <f>IF(AND(ISNUMBER(SEARCH("1B",C82))),1,IF(AND(ISNUMBER(SEARCH("2B",C82))),2,IF(AND(ISNUMBER(SEARCH("3B",C82))),3,IF(AND(ISNUMBER(SEARCH("4B",C82))),4,IF(ISNUMBER(SEARCH("5B",C82)),5,0)))))</f>
        <v>0</v>
      </c>
      <c r="C83" s="61" t="s">
        <v>73</v>
      </c>
      <c r="D83" s="61">
        <v>1</v>
      </c>
      <c r="E83" s="61" t="s">
        <v>72</v>
      </c>
      <c r="F83" s="61">
        <v>0</v>
      </c>
      <c r="G83" s="61" t="s">
        <v>82</v>
      </c>
      <c r="H83" s="17">
        <f ca="1">--TRIM(RIGHT(SUBSTITUTE(LEFT(C82,_xlfn.AGGREGATE(16,6,FIND({0,1,2,3,4,5,6,7,8,9},C82,ROW(INDIRECT("1:"&amp;LEN(C82)))),1))," ",REPT(" ",LEN(C82))),LEN(C82)))</f>
        <v>7</v>
      </c>
      <c r="I83" s="44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</v>
      </c>
      <c r="J83" s="45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3" ht="30.75" customHeight="1" x14ac:dyDescent="0.25">
      <c r="A84" s="162" t="s">
        <v>92</v>
      </c>
      <c r="B84" s="136"/>
      <c r="C84" s="168" t="str">
        <f ca="1">I82</f>
        <v>Excavation, Plinth, RCC Slab, Brickwork Completed, Internal Plaster upto 5 Floor, External Plaster upto 4 Floor Completed</v>
      </c>
      <c r="D84" s="168"/>
      <c r="E84" s="168"/>
      <c r="F84" s="168"/>
      <c r="G84" s="168"/>
      <c r="H84" s="169"/>
      <c r="I84" s="44" t="str">
        <f ca="1">IF(I83&lt;&gt;""," Completed","")</f>
        <v xml:space="preserve"> Completed</v>
      </c>
      <c r="J84" s="45" t="str">
        <f ca="1">IF(J82&lt;&gt;"","Completed","")</f>
        <v>Completed</v>
      </c>
    </row>
    <row r="85" spans="1:13" ht="15.75" customHeight="1" x14ac:dyDescent="0.25">
      <c r="A85" s="91" t="s">
        <v>49</v>
      </c>
      <c r="B85" s="92"/>
      <c r="C85" s="60" t="s">
        <v>144</v>
      </c>
      <c r="D85" s="60" t="s">
        <v>85</v>
      </c>
      <c r="E85" s="92" t="s">
        <v>87</v>
      </c>
      <c r="F85" s="92"/>
      <c r="G85" s="92" t="s">
        <v>86</v>
      </c>
      <c r="H85" s="125"/>
      <c r="I85" s="14" t="s">
        <v>146</v>
      </c>
      <c r="J85" s="25">
        <f ca="1">H83*25%</f>
        <v>1.75</v>
      </c>
    </row>
    <row r="86" spans="1:13" x14ac:dyDescent="0.25">
      <c r="A86" s="91" t="s">
        <v>133</v>
      </c>
      <c r="B86" s="92"/>
      <c r="C86" s="62">
        <f ca="1">J87</f>
        <v>7</v>
      </c>
      <c r="D86" s="54">
        <f ca="1">((100/H83)*C86)/100</f>
        <v>1</v>
      </c>
      <c r="E86" s="152">
        <f ca="1">(((C87/H83*10)+(40/(D83+F83+H83)*C88)+(7.5/(H83)*C89)+(7.5/(H83)*C90)+(10/H83*C91)+(10/H83*C92)+(5/H83*C93)+(5/H83*C94)+(5/H83*C95))/100)</f>
        <v>0.68571428571428572</v>
      </c>
      <c r="F86" s="153"/>
      <c r="G86" s="152">
        <f ca="1">((((C86/H83)*20)+((C87/H83)*25)+(30/(H83+F83+D83)*C88)+(5/H83*C89)+(5/H83*C90)+(5/H83*C91)+(5/H83*C92)+(0/H83*C93)+(0/H83*C94)+(5/H83*C95))/100)</f>
        <v>0.86428571428571432</v>
      </c>
      <c r="H86" s="158"/>
      <c r="I86" s="14" t="s">
        <v>103</v>
      </c>
      <c r="J86" s="26">
        <f ca="1">H83*50%</f>
        <v>3.5</v>
      </c>
    </row>
    <row r="87" spans="1:13" x14ac:dyDescent="0.25">
      <c r="A87" s="91" t="s">
        <v>50</v>
      </c>
      <c r="B87" s="92"/>
      <c r="C87" s="62">
        <f ca="1">J95</f>
        <v>7</v>
      </c>
      <c r="D87" s="54">
        <f ca="1">((100/H83)*C87)/100</f>
        <v>1</v>
      </c>
      <c r="E87" s="154"/>
      <c r="F87" s="155"/>
      <c r="G87" s="154"/>
      <c r="H87" s="159"/>
      <c r="I87" s="14" t="s">
        <v>104</v>
      </c>
      <c r="J87" s="26">
        <f ca="1">H83</f>
        <v>7</v>
      </c>
    </row>
    <row r="88" spans="1:13" ht="15.75" customHeight="1" x14ac:dyDescent="0.25">
      <c r="A88" s="91" t="s">
        <v>134</v>
      </c>
      <c r="B88" s="92"/>
      <c r="C88" s="62">
        <v>8</v>
      </c>
      <c r="D88" s="54">
        <f ca="1">((100/(D83+F83+H83))*C88)/100</f>
        <v>1</v>
      </c>
      <c r="E88" s="154"/>
      <c r="F88" s="155"/>
      <c r="G88" s="154"/>
      <c r="H88" s="159"/>
      <c r="I88" s="14" t="s">
        <v>105</v>
      </c>
      <c r="J88" s="27">
        <f ca="1">(IF(B83&gt;1,(H83/(B83+2)),H83/4))</f>
        <v>1.75</v>
      </c>
    </row>
    <row r="89" spans="1:13" ht="15.75" customHeight="1" x14ac:dyDescent="0.25">
      <c r="A89" s="91" t="s">
        <v>141</v>
      </c>
      <c r="B89" s="92" t="s">
        <v>135</v>
      </c>
      <c r="C89" s="62">
        <v>7</v>
      </c>
      <c r="D89" s="54">
        <f ca="1">((100/H83)*C89)/100</f>
        <v>1</v>
      </c>
      <c r="E89" s="154"/>
      <c r="F89" s="155"/>
      <c r="G89" s="154"/>
      <c r="H89" s="159"/>
      <c r="I89" s="14" t="s">
        <v>106</v>
      </c>
      <c r="J89" s="27">
        <f ca="1">(IF(B83&gt;1,(H83/(B83+2)+J88),H83/4+J88))</f>
        <v>3.5</v>
      </c>
    </row>
    <row r="90" spans="1:13" ht="15.75" customHeight="1" x14ac:dyDescent="0.25">
      <c r="A90" s="91" t="s">
        <v>142</v>
      </c>
      <c r="B90" s="92" t="s">
        <v>135</v>
      </c>
      <c r="C90" s="62">
        <v>5</v>
      </c>
      <c r="D90" s="54">
        <f ca="1">((100/H83)*C90)/100</f>
        <v>0.7142857142857143</v>
      </c>
      <c r="E90" s="154"/>
      <c r="F90" s="155"/>
      <c r="G90" s="154"/>
      <c r="H90" s="159"/>
      <c r="I90" s="14" t="s">
        <v>151</v>
      </c>
      <c r="J90" s="27">
        <f>(IF(B83&gt;1,(H83/(B83+2)+J89),0))</f>
        <v>0</v>
      </c>
    </row>
    <row r="91" spans="1:13" ht="15" customHeight="1" x14ac:dyDescent="0.25">
      <c r="A91" s="91" t="s">
        <v>140</v>
      </c>
      <c r="B91" s="92" t="s">
        <v>137</v>
      </c>
      <c r="C91" s="62">
        <v>4</v>
      </c>
      <c r="D91" s="54">
        <f ca="1">((100/(H83))*C91)/100</f>
        <v>0.57142857142857151</v>
      </c>
      <c r="E91" s="154"/>
      <c r="F91" s="155"/>
      <c r="G91" s="154"/>
      <c r="H91" s="159"/>
      <c r="I91" s="14" t="s">
        <v>148</v>
      </c>
      <c r="J91" s="27">
        <f>(IF(B83&gt;2,(H83/(B83+2)+J90),0))</f>
        <v>0</v>
      </c>
      <c r="M91" s="18" t="s">
        <v>227</v>
      </c>
    </row>
    <row r="92" spans="1:13" ht="15.75" customHeight="1" x14ac:dyDescent="0.25">
      <c r="A92" s="91" t="s">
        <v>136</v>
      </c>
      <c r="B92" s="92" t="s">
        <v>136</v>
      </c>
      <c r="C92" s="62">
        <v>0</v>
      </c>
      <c r="D92" s="54">
        <f ca="1">((100/H83)*C92)/100</f>
        <v>0</v>
      </c>
      <c r="E92" s="154"/>
      <c r="F92" s="155"/>
      <c r="G92" s="154"/>
      <c r="H92" s="159"/>
      <c r="I92" s="14" t="s">
        <v>149</v>
      </c>
      <c r="J92" s="28">
        <f>(IF(B83&gt;3,(H83/(B83+2)+J91),0))</f>
        <v>0</v>
      </c>
    </row>
    <row r="93" spans="1:13" ht="15.75" customHeight="1" x14ac:dyDescent="0.25">
      <c r="A93" s="91" t="s">
        <v>143</v>
      </c>
      <c r="B93" s="92"/>
      <c r="C93" s="62">
        <v>0</v>
      </c>
      <c r="D93" s="54">
        <f ca="1">((100/H83)*C93)/100</f>
        <v>0</v>
      </c>
      <c r="E93" s="154"/>
      <c r="F93" s="155"/>
      <c r="G93" s="154"/>
      <c r="H93" s="159"/>
      <c r="I93" s="14" t="s">
        <v>150</v>
      </c>
      <c r="J93" s="27">
        <f>(IF(B83&gt;4,(H83/(B83+2)+J92),0))</f>
        <v>0</v>
      </c>
    </row>
    <row r="94" spans="1:13" ht="15.75" customHeight="1" x14ac:dyDescent="0.25">
      <c r="A94" s="91" t="s">
        <v>138</v>
      </c>
      <c r="B94" s="92" t="s">
        <v>138</v>
      </c>
      <c r="C94" s="62">
        <v>0</v>
      </c>
      <c r="D94" s="54">
        <f ca="1">((100/(H83))*C94)/100</f>
        <v>0</v>
      </c>
      <c r="E94" s="154"/>
      <c r="F94" s="155"/>
      <c r="G94" s="154"/>
      <c r="H94" s="159"/>
      <c r="I94" s="14" t="s">
        <v>152</v>
      </c>
      <c r="J94" s="27">
        <f ca="1">(IF(B83=1,(H83/(B83+3)+J89),IF(B83=0,(H83/4+J89),IF(B83&gt;1,0))))</f>
        <v>5.25</v>
      </c>
    </row>
    <row r="95" spans="1:13" ht="16.5" thickBot="1" x14ac:dyDescent="0.3">
      <c r="A95" s="91" t="s">
        <v>139</v>
      </c>
      <c r="B95" s="92"/>
      <c r="C95" s="62">
        <v>0</v>
      </c>
      <c r="D95" s="54">
        <f ca="1">((100/(H83))*C95)/100</f>
        <v>0</v>
      </c>
      <c r="E95" s="200"/>
      <c r="F95" s="201"/>
      <c r="G95" s="200"/>
      <c r="H95" s="202"/>
      <c r="I95" s="15" t="s">
        <v>107</v>
      </c>
      <c r="J95" s="29">
        <f ca="1">(IF(B83&gt;1.5,(H83/(B83+2)+J89+MAX(0,J90-J89)+MAX(0,J91-J90)+MAX(0,J92-J91)+MAX(0,J93-J92)+MAX(0,J94-J93)),IF(B83=1,(H83/(B83+3)+J94),IF(B83=0,H83/4+J94))))</f>
        <v>7</v>
      </c>
    </row>
    <row r="96" spans="1:13" ht="31.5" customHeight="1" thickBot="1" x14ac:dyDescent="0.3">
      <c r="A96" s="209" t="s">
        <v>234</v>
      </c>
      <c r="B96" s="210"/>
      <c r="C96" s="206">
        <f ca="1">AVERAGE(E72,E86)</f>
        <v>0.6517857142857143</v>
      </c>
      <c r="D96" s="207"/>
      <c r="E96" s="205" t="s">
        <v>235</v>
      </c>
      <c r="F96" s="205"/>
      <c r="G96" s="205">
        <f ca="1">AVERAGE(G72,G86)</f>
        <v>0.84642857142857153</v>
      </c>
      <c r="H96" s="208"/>
      <c r="I96" s="204"/>
      <c r="J96" s="27"/>
    </row>
    <row r="97" spans="1:10" ht="15.75" customHeight="1" x14ac:dyDescent="0.25">
      <c r="A97" s="93" t="s">
        <v>145</v>
      </c>
      <c r="B97" s="94"/>
      <c r="C97" s="95" t="str">
        <f>D59</f>
        <v>B Type (Wing B) = Gr + 1st to 7th Floor</v>
      </c>
      <c r="D97" s="96"/>
      <c r="E97" s="96"/>
      <c r="F97" s="96"/>
      <c r="G97" s="96"/>
      <c r="H97" s="97"/>
      <c r="I97" s="42" t="str">
        <f ca="1">IF(D110=100%,"All work Completed. Possession granted to the Building.",IF(D109=100%,"All work Completed, Waiting for OC",I98&amp;""&amp;I99&amp;""&amp;J98&amp;""&amp;J97&amp;" "&amp;J99))</f>
        <v>Excavation, Plinth, RCC Slab, Brickwork, Internal Plaster Completed, External Plaster upto 6 Floor Completed</v>
      </c>
      <c r="J97" s="43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External Plaster upto 6 Floor</v>
      </c>
    </row>
    <row r="98" spans="1:10" x14ac:dyDescent="0.25">
      <c r="A98" s="16" t="s">
        <v>147</v>
      </c>
      <c r="B98" s="50">
        <f>IF(AND(ISNUMBER(SEARCH("1B",C97))),1,IF(AND(ISNUMBER(SEARCH("2B",C97))),2,IF(AND(ISNUMBER(SEARCH("3B",C97))),3,IF(AND(ISNUMBER(SEARCH("4B",C97))),4,IF(ISNUMBER(SEARCH("5B",C97)),5,0)))))</f>
        <v>0</v>
      </c>
      <c r="C98" s="50" t="s">
        <v>73</v>
      </c>
      <c r="D98" s="50">
        <v>1</v>
      </c>
      <c r="E98" s="50" t="s">
        <v>72</v>
      </c>
      <c r="F98" s="50">
        <v>0</v>
      </c>
      <c r="G98" s="50" t="s">
        <v>82</v>
      </c>
      <c r="H98" s="17">
        <f ca="1">--TRIM(RIGHT(SUBSTITUTE(LEFT(C97,_xlfn.AGGREGATE(16,6,FIND({0,1,2,3,4,5,6,7,8,9},C97,ROW(INDIRECT("1:"&amp;LEN(C97)))),1))," ",REPT(" ",LEN(C97))),LEN(C97)))</f>
        <v>7</v>
      </c>
      <c r="I98" s="44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Brickwork, Internal Plaster</v>
      </c>
      <c r="J98" s="45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2.1" customHeight="1" x14ac:dyDescent="0.25">
      <c r="A99" s="162" t="s">
        <v>92</v>
      </c>
      <c r="B99" s="136"/>
      <c r="C99" s="168" t="str">
        <f ca="1">(IF($G$53="NA",I97,"All work Completed. OC Received."))</f>
        <v>Excavation, Plinth, RCC Slab, Brickwork, Internal Plaster Completed, External Plaster upto 6 Floor Completed</v>
      </c>
      <c r="D99" s="168"/>
      <c r="E99" s="168"/>
      <c r="F99" s="168"/>
      <c r="G99" s="168"/>
      <c r="H99" s="169"/>
      <c r="I99" s="44" t="str">
        <f ca="1">IF(I98&lt;&gt;""," Completed","")</f>
        <v xml:space="preserve"> Completed</v>
      </c>
      <c r="J99" s="45" t="str">
        <f ca="1">IF(J97&lt;&gt;"","Completed","")</f>
        <v>Completed</v>
      </c>
    </row>
    <row r="100" spans="1:10" ht="15.75" customHeight="1" x14ac:dyDescent="0.25">
      <c r="A100" s="91" t="s">
        <v>49</v>
      </c>
      <c r="B100" s="92"/>
      <c r="C100" s="53" t="s">
        <v>144</v>
      </c>
      <c r="D100" s="53" t="s">
        <v>85</v>
      </c>
      <c r="E100" s="92" t="s">
        <v>87</v>
      </c>
      <c r="F100" s="92"/>
      <c r="G100" s="92" t="s">
        <v>86</v>
      </c>
      <c r="H100" s="125"/>
      <c r="I100" s="14" t="s">
        <v>146</v>
      </c>
      <c r="J100" s="25">
        <f ca="1">H98*25%</f>
        <v>1.75</v>
      </c>
    </row>
    <row r="101" spans="1:10" x14ac:dyDescent="0.25">
      <c r="A101" s="91" t="s">
        <v>133</v>
      </c>
      <c r="B101" s="92"/>
      <c r="C101" s="53">
        <f ca="1">J102</f>
        <v>7</v>
      </c>
      <c r="D101" s="54">
        <f ca="1">((100/H98)*C101)/100</f>
        <v>1</v>
      </c>
      <c r="E101" s="152">
        <f ca="1">(((C102/H98*10)+(40/(D98+F98+H98)*C103)+(7.5/(H98)*C104)+(7.5/(H98)*C105)+(10/H98*C106)+(10/H98*C107)+(5/H98*C108)+(5/H98*C109)+(5/H98*C110))/100)</f>
        <v>0.73571428571428565</v>
      </c>
      <c r="F101" s="153"/>
      <c r="G101" s="152">
        <f ca="1">((((C101/H98)*20)+((C102/H98)*25)+(30/(H98+F98+D98)*C103)+(5/H98*C104)+(5/H98*C105)+(5/H98*C106)+(5/H98*C107)+(0/H98*C108)+(0/H98*C109)+(5/H98*C110))/100)</f>
        <v>0.8928571428571429</v>
      </c>
      <c r="H101" s="158"/>
      <c r="I101" s="14" t="s">
        <v>103</v>
      </c>
      <c r="J101" s="26">
        <f ca="1">H98*50%</f>
        <v>3.5</v>
      </c>
    </row>
    <row r="102" spans="1:10" x14ac:dyDescent="0.25">
      <c r="A102" s="91" t="s">
        <v>50</v>
      </c>
      <c r="B102" s="92"/>
      <c r="C102" s="55">
        <f ca="1">J110</f>
        <v>7</v>
      </c>
      <c r="D102" s="54">
        <f ca="1">((100/H98)*C102)/100</f>
        <v>1</v>
      </c>
      <c r="E102" s="154"/>
      <c r="F102" s="155"/>
      <c r="G102" s="154"/>
      <c r="H102" s="159"/>
      <c r="I102" s="14" t="s">
        <v>104</v>
      </c>
      <c r="J102" s="26">
        <f ca="1">H98</f>
        <v>7</v>
      </c>
    </row>
    <row r="103" spans="1:10" ht="15.75" customHeight="1" x14ac:dyDescent="0.25">
      <c r="A103" s="91" t="s">
        <v>134</v>
      </c>
      <c r="B103" s="92"/>
      <c r="C103" s="53">
        <v>8</v>
      </c>
      <c r="D103" s="54">
        <f ca="1">((100/(D98+F98+H98))*C103)/100</f>
        <v>1</v>
      </c>
      <c r="E103" s="154"/>
      <c r="F103" s="155"/>
      <c r="G103" s="154"/>
      <c r="H103" s="159"/>
      <c r="I103" s="14" t="s">
        <v>105</v>
      </c>
      <c r="J103" s="27">
        <f ca="1">(IF(B98&gt;1,(H98/(B98+2)),H98/4))</f>
        <v>1.75</v>
      </c>
    </row>
    <row r="104" spans="1:10" ht="15.75" customHeight="1" x14ac:dyDescent="0.25">
      <c r="A104" s="91" t="s">
        <v>141</v>
      </c>
      <c r="B104" s="92" t="s">
        <v>135</v>
      </c>
      <c r="C104" s="53">
        <v>7</v>
      </c>
      <c r="D104" s="54">
        <f ca="1">((100/H98)*C104)/100</f>
        <v>1</v>
      </c>
      <c r="E104" s="154"/>
      <c r="F104" s="155"/>
      <c r="G104" s="154"/>
      <c r="H104" s="159"/>
      <c r="I104" s="14" t="s">
        <v>106</v>
      </c>
      <c r="J104" s="27">
        <f ca="1">(IF(B98&gt;1,(H98/(B98+2)+J103),H98/4+J103))</f>
        <v>3.5</v>
      </c>
    </row>
    <row r="105" spans="1:10" ht="15.75" customHeight="1" x14ac:dyDescent="0.25">
      <c r="A105" s="91" t="s">
        <v>142</v>
      </c>
      <c r="B105" s="92" t="s">
        <v>135</v>
      </c>
      <c r="C105" s="53">
        <v>7</v>
      </c>
      <c r="D105" s="54">
        <f ca="1">((100/H98)*C105)/100</f>
        <v>1</v>
      </c>
      <c r="E105" s="154"/>
      <c r="F105" s="155"/>
      <c r="G105" s="154"/>
      <c r="H105" s="159"/>
      <c r="I105" s="14" t="s">
        <v>151</v>
      </c>
      <c r="J105" s="27">
        <f>(IF(B98&gt;1,(H98/(B98+2)+J104),0))</f>
        <v>0</v>
      </c>
    </row>
    <row r="106" spans="1:10" ht="15" customHeight="1" x14ac:dyDescent="0.25">
      <c r="A106" s="91" t="s">
        <v>140</v>
      </c>
      <c r="B106" s="92" t="s">
        <v>137</v>
      </c>
      <c r="C106" s="53">
        <v>6</v>
      </c>
      <c r="D106" s="54">
        <f ca="1">((100/(H98))*C106)/100</f>
        <v>0.85714285714285721</v>
      </c>
      <c r="E106" s="154"/>
      <c r="F106" s="155"/>
      <c r="G106" s="154"/>
      <c r="H106" s="159"/>
      <c r="I106" s="14" t="s">
        <v>148</v>
      </c>
      <c r="J106" s="27">
        <f>(IF(B98&gt;2,(H98/(B98+2)+J105),0))</f>
        <v>0</v>
      </c>
    </row>
    <row r="107" spans="1:10" ht="15.75" customHeight="1" x14ac:dyDescent="0.25">
      <c r="A107" s="91" t="s">
        <v>136</v>
      </c>
      <c r="B107" s="92" t="s">
        <v>136</v>
      </c>
      <c r="C107" s="53">
        <v>0</v>
      </c>
      <c r="D107" s="54">
        <f ca="1">((100/H98)*C107)/100</f>
        <v>0</v>
      </c>
      <c r="E107" s="154"/>
      <c r="F107" s="155"/>
      <c r="G107" s="154"/>
      <c r="H107" s="159"/>
      <c r="I107" s="14" t="s">
        <v>149</v>
      </c>
      <c r="J107" s="28">
        <f>(IF(B98&gt;3,(H98/(B98+2)+J106),0))</f>
        <v>0</v>
      </c>
    </row>
    <row r="108" spans="1:10" ht="15.75" customHeight="1" x14ac:dyDescent="0.25">
      <c r="A108" s="91" t="s">
        <v>143</v>
      </c>
      <c r="B108" s="92"/>
      <c r="C108" s="53">
        <v>0</v>
      </c>
      <c r="D108" s="54">
        <f ca="1">((100/H98)*C108)/100</f>
        <v>0</v>
      </c>
      <c r="E108" s="154"/>
      <c r="F108" s="155"/>
      <c r="G108" s="154"/>
      <c r="H108" s="159"/>
      <c r="I108" s="14" t="s">
        <v>150</v>
      </c>
      <c r="J108" s="27">
        <f>(IF(B98&gt;4,(H98/(B98+2)+J107),0))</f>
        <v>0</v>
      </c>
    </row>
    <row r="109" spans="1:10" ht="15.75" customHeight="1" x14ac:dyDescent="0.25">
      <c r="A109" s="91" t="s">
        <v>138</v>
      </c>
      <c r="B109" s="92" t="s">
        <v>138</v>
      </c>
      <c r="C109" s="53">
        <v>0</v>
      </c>
      <c r="D109" s="54">
        <f ca="1">((100/(H98))*C109)/100</f>
        <v>0</v>
      </c>
      <c r="E109" s="154"/>
      <c r="F109" s="155"/>
      <c r="G109" s="154"/>
      <c r="H109" s="159"/>
      <c r="I109" s="14" t="s">
        <v>152</v>
      </c>
      <c r="J109" s="27">
        <f ca="1">(IF(B98=1,(H98/(B98+3)+J104),IF(B98=0,(H98/4+J104),IF(B98&gt;1,0))))</f>
        <v>5.25</v>
      </c>
    </row>
    <row r="110" spans="1:10" ht="16.5" thickBot="1" x14ac:dyDescent="0.3">
      <c r="A110" s="131" t="s">
        <v>139</v>
      </c>
      <c r="B110" s="132"/>
      <c r="C110" s="58">
        <v>0</v>
      </c>
      <c r="D110" s="59">
        <f ca="1">((100/(H98))*C110)/100</f>
        <v>0</v>
      </c>
      <c r="E110" s="156"/>
      <c r="F110" s="157"/>
      <c r="G110" s="156"/>
      <c r="H110" s="160"/>
      <c r="I110" s="15" t="s">
        <v>107</v>
      </c>
      <c r="J110" s="29">
        <f ca="1">(IF(B98&gt;1.5,(H98/(B98+2)+J104+MAX(0,J105-J104)+MAX(0,J106-J105)+MAX(0,J107-J106)+MAX(0,J108-J107)+MAX(0,J109-J108)),IF(B98=1,(H98/(B98+3)+J109),IF(B98=0,H98/4+J109))))</f>
        <v>7</v>
      </c>
    </row>
    <row r="111" spans="1:10" ht="15.75" hidden="1" customHeight="1" x14ac:dyDescent="0.25">
      <c r="A111" s="163" t="s">
        <v>145</v>
      </c>
      <c r="B111" s="164"/>
      <c r="C111" s="165" t="str">
        <f>D60</f>
        <v>B Type (Wing B) Part II = Gr + 1st to 7th Floor</v>
      </c>
      <c r="D111" s="166"/>
      <c r="E111" s="166"/>
      <c r="F111" s="166"/>
      <c r="G111" s="166"/>
      <c r="H111" s="167"/>
      <c r="I111" s="42" t="str">
        <f ca="1">IF(D124=100%,"All work Completed. Possession granted to the Building.",IF(D123=100%,"All work Completed, Waiting for OC",I112&amp;""&amp;I113&amp;""&amp;J112&amp;""&amp;J111&amp;" "&amp;J113))</f>
        <v xml:space="preserve">Excavation Completed, Plinth work is process </v>
      </c>
      <c r="J111" s="43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/>
      </c>
    </row>
    <row r="112" spans="1:10" hidden="1" x14ac:dyDescent="0.25">
      <c r="A112" s="16" t="s">
        <v>147</v>
      </c>
      <c r="B112" s="50">
        <f>IF(AND(ISNUMBER(SEARCH("1B",C111))),1,IF(AND(ISNUMBER(SEARCH("2B",C111))),2,IF(AND(ISNUMBER(SEARCH("3B",C111))),3,IF(AND(ISNUMBER(SEARCH("4B",C111))),4,IF(ISNUMBER(SEARCH("5B",C111)),5,0)))))</f>
        <v>0</v>
      </c>
      <c r="C112" s="50" t="s">
        <v>73</v>
      </c>
      <c r="D112" s="50">
        <v>1</v>
      </c>
      <c r="E112" s="50" t="s">
        <v>72</v>
      </c>
      <c r="F112" s="50">
        <v>0</v>
      </c>
      <c r="G112" s="50" t="s">
        <v>82</v>
      </c>
      <c r="H112" s="17">
        <f ca="1">--TRIM(RIGHT(SUBSTITUTE(LEFT(C111,_xlfn.AGGREGATE(16,6,FIND({0,1,2,3,4,5,6,7,8,9},C111,ROW(INDIRECT("1:"&amp;LEN(C111)))),1))," ",REPT(" ",LEN(C111))),LEN(C111)))</f>
        <v>7</v>
      </c>
      <c r="I112" s="44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</v>
      </c>
      <c r="J112" s="45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>, Plinth work is process</v>
      </c>
    </row>
    <row r="113" spans="1:10" hidden="1" x14ac:dyDescent="0.25">
      <c r="A113" s="162" t="s">
        <v>92</v>
      </c>
      <c r="B113" s="136"/>
      <c r="C113" s="168" t="str">
        <f ca="1">(IF($G$53="NA",I111,"All work Completed. OC Received."))</f>
        <v xml:space="preserve">Excavation Completed, Plinth work is process </v>
      </c>
      <c r="D113" s="168"/>
      <c r="E113" s="168"/>
      <c r="F113" s="168"/>
      <c r="G113" s="168"/>
      <c r="H113" s="169"/>
      <c r="I113" s="44" t="str">
        <f ca="1">IF(I112&lt;&gt;""," Completed","")</f>
        <v xml:space="preserve"> Completed</v>
      </c>
      <c r="J113" s="45" t="str">
        <f ca="1">IF(J111&lt;&gt;"","Completed","")</f>
        <v/>
      </c>
    </row>
    <row r="114" spans="1:10" ht="15.75" hidden="1" customHeight="1" x14ac:dyDescent="0.25">
      <c r="A114" s="91" t="s">
        <v>49</v>
      </c>
      <c r="B114" s="92"/>
      <c r="C114" s="53" t="s">
        <v>144</v>
      </c>
      <c r="D114" s="53" t="s">
        <v>85</v>
      </c>
      <c r="E114" s="92" t="s">
        <v>87</v>
      </c>
      <c r="F114" s="92"/>
      <c r="G114" s="92" t="s">
        <v>86</v>
      </c>
      <c r="H114" s="125"/>
      <c r="I114" s="14" t="s">
        <v>146</v>
      </c>
      <c r="J114" s="25">
        <f ca="1">H112*25%</f>
        <v>1.75</v>
      </c>
    </row>
    <row r="115" spans="1:10" hidden="1" x14ac:dyDescent="0.25">
      <c r="A115" s="91" t="s">
        <v>133</v>
      </c>
      <c r="B115" s="92"/>
      <c r="C115" s="53">
        <f ca="1">J116</f>
        <v>7</v>
      </c>
      <c r="D115" s="54">
        <f ca="1">((100/H112)*C115)/100</f>
        <v>1</v>
      </c>
      <c r="E115" s="152">
        <f ca="1">(((C116/H112*10)+(40/(D112+F112+H112)*C117)+(7.5/(H112)*C118)+(7.5/(H112)*C119)+(10/H112*C120)+(10/H112*C121)+(5/H112*C122)+(5/H112*C123)+(5/H112*C124))/100)</f>
        <v>7.4999999999999997E-2</v>
      </c>
      <c r="F115" s="153"/>
      <c r="G115" s="152">
        <f ca="1">((((C115/H112)*20)+((C116/H112)*25)+(30/(H112+F112+D112)*C117)+(5/H112*C118)+(5/H112*C119)+(5/H112*C120)+(5/H112*C121)+(0/H112*C122)+(0/H112*C123)+(5/H112*C124))/100)</f>
        <v>0.38750000000000001</v>
      </c>
      <c r="H115" s="158"/>
      <c r="I115" s="14" t="s">
        <v>103</v>
      </c>
      <c r="J115" s="26">
        <f ca="1">H112*50%</f>
        <v>3.5</v>
      </c>
    </row>
    <row r="116" spans="1:10" hidden="1" x14ac:dyDescent="0.25">
      <c r="A116" s="91" t="s">
        <v>50</v>
      </c>
      <c r="B116" s="92"/>
      <c r="C116" s="55">
        <f ca="1">J123</f>
        <v>5.25</v>
      </c>
      <c r="D116" s="54">
        <f ca="1">((100/H112)*C116)/100</f>
        <v>0.75</v>
      </c>
      <c r="E116" s="154"/>
      <c r="F116" s="155"/>
      <c r="G116" s="154"/>
      <c r="H116" s="159"/>
      <c r="I116" s="14" t="s">
        <v>104</v>
      </c>
      <c r="J116" s="26">
        <f ca="1">H112</f>
        <v>7</v>
      </c>
    </row>
    <row r="117" spans="1:10" ht="15.75" hidden="1" customHeight="1" x14ac:dyDescent="0.25">
      <c r="A117" s="91" t="s">
        <v>134</v>
      </c>
      <c r="B117" s="92"/>
      <c r="C117" s="53">
        <v>0</v>
      </c>
      <c r="D117" s="54">
        <f ca="1">((100/(D112+F112+H112))*C117)/100</f>
        <v>0</v>
      </c>
      <c r="E117" s="154"/>
      <c r="F117" s="155"/>
      <c r="G117" s="154"/>
      <c r="H117" s="159"/>
      <c r="I117" s="14" t="s">
        <v>105</v>
      </c>
      <c r="J117" s="27">
        <f ca="1">(IF(B112&gt;1,(H112/(B112+2)),H112/4))</f>
        <v>1.75</v>
      </c>
    </row>
    <row r="118" spans="1:10" ht="15.75" hidden="1" customHeight="1" x14ac:dyDescent="0.25">
      <c r="A118" s="91" t="s">
        <v>141</v>
      </c>
      <c r="B118" s="92" t="s">
        <v>135</v>
      </c>
      <c r="C118" s="53">
        <v>0</v>
      </c>
      <c r="D118" s="54">
        <f ca="1">((100/H112)*C118)/100</f>
        <v>0</v>
      </c>
      <c r="E118" s="154"/>
      <c r="F118" s="155"/>
      <c r="G118" s="154"/>
      <c r="H118" s="159"/>
      <c r="I118" s="14" t="s">
        <v>106</v>
      </c>
      <c r="J118" s="27">
        <f ca="1">(IF(B112&gt;1,(H112/(B112+2)+J117),H112/4+J117))</f>
        <v>3.5</v>
      </c>
    </row>
    <row r="119" spans="1:10" ht="15.75" hidden="1" customHeight="1" x14ac:dyDescent="0.25">
      <c r="A119" s="91" t="s">
        <v>142</v>
      </c>
      <c r="B119" s="92" t="s">
        <v>135</v>
      </c>
      <c r="C119" s="53">
        <v>0</v>
      </c>
      <c r="D119" s="54">
        <f ca="1">((100/H112)*C119)/100</f>
        <v>0</v>
      </c>
      <c r="E119" s="154"/>
      <c r="F119" s="155"/>
      <c r="G119" s="154"/>
      <c r="H119" s="159"/>
      <c r="I119" s="14" t="s">
        <v>151</v>
      </c>
      <c r="J119" s="27">
        <f>(IF(B112&gt;1,(H112/(B112+2)+J118),0))</f>
        <v>0</v>
      </c>
    </row>
    <row r="120" spans="1:10" ht="15" hidden="1" customHeight="1" x14ac:dyDescent="0.25">
      <c r="A120" s="91" t="s">
        <v>140</v>
      </c>
      <c r="B120" s="92" t="s">
        <v>137</v>
      </c>
      <c r="C120" s="53">
        <v>0</v>
      </c>
      <c r="D120" s="54">
        <f ca="1">((100/(H112))*C120)/100</f>
        <v>0</v>
      </c>
      <c r="E120" s="154"/>
      <c r="F120" s="155"/>
      <c r="G120" s="154"/>
      <c r="H120" s="159"/>
      <c r="I120" s="14" t="s">
        <v>148</v>
      </c>
      <c r="J120" s="27">
        <f>(IF(B112&gt;2,(H112/(B112+2)+J119),0))</f>
        <v>0</v>
      </c>
    </row>
    <row r="121" spans="1:10" ht="15.75" hidden="1" customHeight="1" x14ac:dyDescent="0.25">
      <c r="A121" s="91" t="s">
        <v>136</v>
      </c>
      <c r="B121" s="92" t="s">
        <v>136</v>
      </c>
      <c r="C121" s="53">
        <v>0</v>
      </c>
      <c r="D121" s="54">
        <f ca="1">((100/H112)*C121)/100</f>
        <v>0</v>
      </c>
      <c r="E121" s="154"/>
      <c r="F121" s="155"/>
      <c r="G121" s="154"/>
      <c r="H121" s="159"/>
      <c r="I121" s="14" t="s">
        <v>149</v>
      </c>
      <c r="J121" s="28">
        <f>(IF(B112&gt;3,(H112/(B112+2)+J120),0))</f>
        <v>0</v>
      </c>
    </row>
    <row r="122" spans="1:10" ht="15.75" hidden="1" customHeight="1" x14ac:dyDescent="0.25">
      <c r="A122" s="91" t="s">
        <v>143</v>
      </c>
      <c r="B122" s="92"/>
      <c r="C122" s="53">
        <v>0</v>
      </c>
      <c r="D122" s="54">
        <f ca="1">((100/H112)*C122)/100</f>
        <v>0</v>
      </c>
      <c r="E122" s="154"/>
      <c r="F122" s="155"/>
      <c r="G122" s="154"/>
      <c r="H122" s="159"/>
      <c r="I122" s="14" t="s">
        <v>150</v>
      </c>
      <c r="J122" s="27">
        <f>(IF(B112&gt;4,(H112/(B112+2)+J121),0))</f>
        <v>0</v>
      </c>
    </row>
    <row r="123" spans="1:10" ht="15.75" hidden="1" customHeight="1" x14ac:dyDescent="0.25">
      <c r="A123" s="91" t="s">
        <v>138</v>
      </c>
      <c r="B123" s="92" t="s">
        <v>138</v>
      </c>
      <c r="C123" s="53">
        <v>0</v>
      </c>
      <c r="D123" s="54">
        <f ca="1">((100/(H112))*C123)/100</f>
        <v>0</v>
      </c>
      <c r="E123" s="154"/>
      <c r="F123" s="155"/>
      <c r="G123" s="154"/>
      <c r="H123" s="159"/>
      <c r="I123" s="14" t="s">
        <v>152</v>
      </c>
      <c r="J123" s="27">
        <f ca="1">(IF(B112=1,(H112/(B112+3)+J118),IF(B112=0,(H112/4+J118),IF(B112&gt;1,0))))</f>
        <v>5.25</v>
      </c>
    </row>
    <row r="124" spans="1:10" ht="16.5" hidden="1" thickBot="1" x14ac:dyDescent="0.3">
      <c r="A124" s="99" t="s">
        <v>139</v>
      </c>
      <c r="B124" s="100"/>
      <c r="C124" s="56">
        <v>0</v>
      </c>
      <c r="D124" s="57">
        <f ca="1">((100/(H112))*C124)/100</f>
        <v>0</v>
      </c>
      <c r="E124" s="154"/>
      <c r="F124" s="155"/>
      <c r="G124" s="154"/>
      <c r="H124" s="159"/>
      <c r="I124" s="15" t="s">
        <v>107</v>
      </c>
      <c r="J124" s="29">
        <f ca="1">(IF(B112&gt;1.5,(H112/(B112+2)+J118+MAX(0,J119-J118)+MAX(0,J120-J119)+MAX(0,J121-J120)+MAX(0,J122-J121)+MAX(0,J123-J122)),IF(B112=1,(H112/(B112+3)+J123),IF(B112=0,H112/4+J123))))</f>
        <v>7</v>
      </c>
    </row>
    <row r="125" spans="1:10" ht="16.5" hidden="1" customHeight="1" thickBot="1" x14ac:dyDescent="0.3">
      <c r="A125" s="192" t="s">
        <v>211</v>
      </c>
      <c r="B125" s="193"/>
      <c r="C125" s="196" t="s">
        <v>87</v>
      </c>
      <c r="D125" s="197"/>
      <c r="E125" s="183">
        <f ca="1">AVERAGE(E115,E101)</f>
        <v>0.4053571428571428</v>
      </c>
      <c r="F125" s="185" t="s">
        <v>86</v>
      </c>
      <c r="G125" s="186"/>
      <c r="H125" s="189">
        <f ca="1">AVERAGE(G101,G115)</f>
        <v>0.64017857142857149</v>
      </c>
      <c r="I125" s="15" t="s">
        <v>107</v>
      </c>
      <c r="J125" s="29">
        <f ca="1">(IF(B112&gt;1.5,(H112/(B112+2)+J118+MAX(0,J119-J118)+MAX(0,J120-J119)+MAX(0,J121-J120)+MAX(0,J122-J121)+MAX(0,J123-J122)),IF(B112=1,(H112/(B112+3)+J123),IF(B112=0,H112/4+J123))))</f>
        <v>7</v>
      </c>
    </row>
    <row r="126" spans="1:10" ht="16.5" hidden="1" customHeight="1" thickBot="1" x14ac:dyDescent="0.3">
      <c r="A126" s="194"/>
      <c r="B126" s="195"/>
      <c r="C126" s="198"/>
      <c r="D126" s="199"/>
      <c r="E126" s="184"/>
      <c r="F126" s="187"/>
      <c r="G126" s="188"/>
      <c r="H126" s="190"/>
      <c r="I126" s="15" t="s">
        <v>107</v>
      </c>
      <c r="J126" s="29">
        <f ca="1">(IF(B113&gt;1.5,(H113/(B113+2)+J119+MAX(0,J120-J119)+MAX(0,J121-J120)+MAX(0,J122-J121)+MAX(0,J123-J122)+MAX(0,J124-J123)),IF(B113=1,(H113/(B113+3)+J124),IF(B113=0,H113/4+J124))))</f>
        <v>7</v>
      </c>
    </row>
    <row r="127" spans="1:10" x14ac:dyDescent="0.25">
      <c r="A127" s="182" t="s">
        <v>162</v>
      </c>
      <c r="B127" s="182"/>
      <c r="C127" s="182"/>
      <c r="D127" s="182"/>
      <c r="E127" s="182"/>
      <c r="F127" s="119" t="s">
        <v>167</v>
      </c>
      <c r="G127" s="119"/>
      <c r="H127" s="119"/>
    </row>
    <row r="128" spans="1:10" x14ac:dyDescent="0.25">
      <c r="A128" s="75" t="s">
        <v>165</v>
      </c>
      <c r="B128" s="75"/>
      <c r="C128" s="75"/>
      <c r="D128" s="75"/>
      <c r="E128" s="75"/>
      <c r="F128" s="72">
        <v>3500</v>
      </c>
      <c r="G128" s="72"/>
      <c r="H128" s="72"/>
    </row>
    <row r="129" spans="1:8" hidden="1" x14ac:dyDescent="0.25">
      <c r="A129" s="75" t="s">
        <v>164</v>
      </c>
      <c r="B129" s="75"/>
      <c r="C129" s="75"/>
      <c r="D129" s="75"/>
      <c r="E129" s="75"/>
      <c r="F129" s="72"/>
      <c r="G129" s="72"/>
      <c r="H129" s="72"/>
    </row>
    <row r="130" spans="1:8" hidden="1" x14ac:dyDescent="0.25">
      <c r="A130" s="75" t="s">
        <v>166</v>
      </c>
      <c r="B130" s="75"/>
      <c r="C130" s="75"/>
      <c r="D130" s="75"/>
      <c r="E130" s="75"/>
      <c r="F130" s="72"/>
      <c r="G130" s="72"/>
      <c r="H130" s="72"/>
    </row>
    <row r="131" spans="1:8" s="30" customFormat="1" hidden="1" x14ac:dyDescent="0.25">
      <c r="A131" s="75" t="s">
        <v>163</v>
      </c>
      <c r="B131" s="75"/>
      <c r="C131" s="75"/>
      <c r="D131" s="75"/>
      <c r="E131" s="75"/>
      <c r="F131" s="72"/>
      <c r="G131" s="72"/>
      <c r="H131" s="72"/>
    </row>
    <row r="132" spans="1:8" s="30" customFormat="1" hidden="1" x14ac:dyDescent="0.25">
      <c r="A132" s="75" t="s">
        <v>97</v>
      </c>
      <c r="B132" s="75"/>
      <c r="C132" s="75"/>
      <c r="D132" s="75"/>
      <c r="E132" s="75"/>
      <c r="F132" s="72"/>
      <c r="G132" s="72"/>
      <c r="H132" s="72"/>
    </row>
    <row r="133" spans="1:8" s="30" customFormat="1" hidden="1" x14ac:dyDescent="0.25">
      <c r="A133" s="75" t="s">
        <v>98</v>
      </c>
      <c r="B133" s="75"/>
      <c r="C133" s="75"/>
      <c r="D133" s="75"/>
      <c r="E133" s="75"/>
      <c r="F133" s="72"/>
      <c r="G133" s="72"/>
      <c r="H133" s="72"/>
    </row>
    <row r="134" spans="1:8" s="30" customFormat="1" hidden="1" x14ac:dyDescent="0.25">
      <c r="A134" s="75" t="s">
        <v>168</v>
      </c>
      <c r="B134" s="75"/>
      <c r="C134" s="75"/>
      <c r="D134" s="75"/>
      <c r="E134" s="75"/>
      <c r="F134" s="72"/>
      <c r="G134" s="72"/>
      <c r="H134" s="72"/>
    </row>
    <row r="135" spans="1:8" s="30" customFormat="1" hidden="1" x14ac:dyDescent="0.25">
      <c r="A135" s="75" t="s">
        <v>99</v>
      </c>
      <c r="B135" s="75"/>
      <c r="C135" s="75"/>
      <c r="D135" s="75"/>
      <c r="E135" s="75"/>
      <c r="F135" s="72"/>
      <c r="G135" s="72"/>
      <c r="H135" s="72"/>
    </row>
    <row r="136" spans="1:8" s="30" customFormat="1" hidden="1" x14ac:dyDescent="0.25">
      <c r="A136" s="75" t="s">
        <v>100</v>
      </c>
      <c r="B136" s="75"/>
      <c r="C136" s="75"/>
      <c r="D136" s="75"/>
      <c r="E136" s="75"/>
      <c r="F136" s="72"/>
      <c r="G136" s="72"/>
      <c r="H136" s="72"/>
    </row>
    <row r="137" spans="1:8" s="30" customFormat="1" hidden="1" x14ac:dyDescent="0.25">
      <c r="A137" s="75" t="s">
        <v>101</v>
      </c>
      <c r="B137" s="75"/>
      <c r="C137" s="75"/>
      <c r="D137" s="75"/>
      <c r="E137" s="75"/>
      <c r="F137" s="72"/>
      <c r="G137" s="72"/>
      <c r="H137" s="72"/>
    </row>
    <row r="138" spans="1:8" s="30" customFormat="1" hidden="1" x14ac:dyDescent="0.25">
      <c r="A138" s="75" t="s">
        <v>102</v>
      </c>
      <c r="B138" s="75"/>
      <c r="C138" s="75"/>
      <c r="D138" s="75"/>
      <c r="E138" s="75"/>
      <c r="F138" s="72"/>
      <c r="G138" s="72"/>
      <c r="H138" s="72"/>
    </row>
    <row r="139" spans="1:8" x14ac:dyDescent="0.25">
      <c r="A139" s="75" t="s">
        <v>51</v>
      </c>
      <c r="B139" s="75"/>
      <c r="C139" s="75"/>
      <c r="D139" s="75"/>
      <c r="E139" s="75"/>
      <c r="F139" s="72">
        <v>150000</v>
      </c>
      <c r="G139" s="72"/>
      <c r="H139" s="72"/>
    </row>
    <row r="140" spans="1:8" s="31" customFormat="1" x14ac:dyDescent="0.25">
      <c r="A140" s="128" t="s">
        <v>52</v>
      </c>
      <c r="B140" s="128"/>
      <c r="C140" s="128"/>
      <c r="D140" s="128"/>
      <c r="E140" s="128"/>
      <c r="F140" s="72">
        <f>F128*0.8</f>
        <v>2800</v>
      </c>
      <c r="G140" s="72"/>
      <c r="H140" s="72"/>
    </row>
    <row r="141" spans="1:8" s="32" customFormat="1" ht="15.75" hidden="1" customHeight="1" x14ac:dyDescent="0.25">
      <c r="A141" s="112" t="s">
        <v>77</v>
      </c>
      <c r="B141" s="112"/>
      <c r="C141" s="112"/>
      <c r="D141" s="112"/>
      <c r="E141" s="112"/>
      <c r="F141" s="112"/>
      <c r="G141" s="112"/>
      <c r="H141" s="112"/>
    </row>
    <row r="142" spans="1:8" s="32" customFormat="1" ht="15.75" hidden="1" customHeight="1" x14ac:dyDescent="0.25">
      <c r="A142" s="74" t="s">
        <v>53</v>
      </c>
      <c r="B142" s="74"/>
      <c r="C142" s="109" t="s">
        <v>80</v>
      </c>
      <c r="D142" s="109"/>
      <c r="E142" s="110" t="s">
        <v>54</v>
      </c>
      <c r="F142" s="110"/>
      <c r="G142" s="74" t="s">
        <v>55</v>
      </c>
      <c r="H142" s="74"/>
    </row>
    <row r="143" spans="1:8" s="32" customFormat="1" hidden="1" x14ac:dyDescent="0.25">
      <c r="A143" s="111"/>
      <c r="B143" s="111"/>
      <c r="C143" s="76"/>
      <c r="D143" s="76"/>
      <c r="E143" s="101"/>
      <c r="F143" s="101"/>
      <c r="G143" s="98"/>
      <c r="H143" s="98"/>
    </row>
    <row r="144" spans="1:8" s="32" customFormat="1" hidden="1" x14ac:dyDescent="0.25">
      <c r="A144" s="111"/>
      <c r="B144" s="111"/>
      <c r="C144" s="76"/>
      <c r="D144" s="76"/>
      <c r="E144" s="101"/>
      <c r="F144" s="101"/>
      <c r="G144" s="98"/>
      <c r="H144" s="98"/>
    </row>
    <row r="145" spans="1:14" s="32" customFormat="1" hidden="1" x14ac:dyDescent="0.25">
      <c r="A145" s="112" t="s">
        <v>155</v>
      </c>
      <c r="B145" s="112"/>
      <c r="C145" s="109"/>
      <c r="D145" s="109"/>
      <c r="E145" s="110"/>
      <c r="F145" s="110"/>
      <c r="G145" s="74"/>
      <c r="H145" s="74"/>
    </row>
    <row r="146" spans="1:14" s="32" customFormat="1" x14ac:dyDescent="0.25">
      <c r="A146" s="112" t="s">
        <v>71</v>
      </c>
      <c r="B146" s="112"/>
      <c r="C146" s="112"/>
      <c r="D146" s="112"/>
      <c r="E146" s="112"/>
      <c r="F146" s="112"/>
      <c r="G146" s="112"/>
      <c r="H146" s="112"/>
    </row>
    <row r="147" spans="1:14" s="32" customFormat="1" ht="15.75" customHeight="1" x14ac:dyDescent="0.25">
      <c r="A147" s="74" t="s">
        <v>53</v>
      </c>
      <c r="B147" s="74"/>
      <c r="C147" s="109" t="s">
        <v>80</v>
      </c>
      <c r="D147" s="109"/>
      <c r="E147" s="110" t="s">
        <v>54</v>
      </c>
      <c r="F147" s="110"/>
      <c r="G147" s="74" t="s">
        <v>55</v>
      </c>
      <c r="H147" s="74"/>
    </row>
    <row r="148" spans="1:14" s="32" customFormat="1" x14ac:dyDescent="0.25">
      <c r="A148" s="111" t="s">
        <v>200</v>
      </c>
      <c r="B148" s="111"/>
      <c r="C148" s="76">
        <f>COUNT(D168:D173)*6+COUNT(D175:D176)</f>
        <v>38</v>
      </c>
      <c r="D148" s="76"/>
      <c r="E148" s="122">
        <f>SUM(D168:D173)*6+SUM(D175:D176)</f>
        <v>15992.243794799999</v>
      </c>
      <c r="F148" s="122"/>
      <c r="G148" s="122">
        <f>SUM(F168:F173)*6+SUM(F175:F176)</f>
        <v>24083.6270922</v>
      </c>
      <c r="H148" s="122"/>
    </row>
    <row r="149" spans="1:14" s="32" customFormat="1" x14ac:dyDescent="0.25">
      <c r="A149" s="111" t="s">
        <v>203</v>
      </c>
      <c r="B149" s="111"/>
      <c r="C149" s="76">
        <f>COUNT(D180:D185)*6+COUNT(D187,D189:D191)</f>
        <v>40</v>
      </c>
      <c r="D149" s="76"/>
      <c r="E149" s="122">
        <f>SUM(D180:D185)*6+SUM(D187,D189:D191)</f>
        <v>17002.283734799999</v>
      </c>
      <c r="F149" s="122"/>
      <c r="G149" s="122">
        <f>SUM(F180:F185)*6+SUM(F187,F189:F191)</f>
        <v>25503.425602200005</v>
      </c>
      <c r="H149" s="122"/>
    </row>
    <row r="150" spans="1:14" s="32" customFormat="1" ht="16.5" thickBot="1" x14ac:dyDescent="0.3">
      <c r="A150" s="69" t="s">
        <v>155</v>
      </c>
      <c r="B150" s="69"/>
      <c r="C150" s="108">
        <f>SUM(C148:C149)</f>
        <v>78</v>
      </c>
      <c r="D150" s="108"/>
      <c r="E150" s="70">
        <f>SUM(E148:E149)</f>
        <v>32994.527529599996</v>
      </c>
      <c r="F150" s="71"/>
      <c r="G150" s="121">
        <f>SUM(G148:G149)</f>
        <v>49587.052694400001</v>
      </c>
      <c r="H150" s="121"/>
    </row>
    <row r="151" spans="1:14" s="32" customFormat="1" ht="16.5" thickBot="1" x14ac:dyDescent="0.3">
      <c r="A151" s="102" t="s">
        <v>174</v>
      </c>
      <c r="B151" s="103"/>
      <c r="C151" s="104">
        <f>C145+C150</f>
        <v>78</v>
      </c>
      <c r="D151" s="104"/>
      <c r="E151" s="105">
        <f>E145+E150</f>
        <v>32994.527529599996</v>
      </c>
      <c r="F151" s="105"/>
      <c r="G151" s="106">
        <f>G145+G150</f>
        <v>49587.052694400001</v>
      </c>
      <c r="H151" s="107"/>
    </row>
    <row r="152" spans="1:14" s="31" customFormat="1" x14ac:dyDescent="0.25">
      <c r="A152" s="119" t="s">
        <v>56</v>
      </c>
      <c r="B152" s="119"/>
      <c r="C152" s="119"/>
      <c r="D152" s="119"/>
      <c r="E152" s="119"/>
      <c r="F152" s="119"/>
      <c r="G152" s="119"/>
      <c r="H152" s="119"/>
    </row>
    <row r="153" spans="1:14" x14ac:dyDescent="0.25">
      <c r="A153" s="73" t="s">
        <v>57</v>
      </c>
      <c r="B153" s="73"/>
      <c r="C153" s="73"/>
      <c r="D153" s="73"/>
      <c r="E153" s="73"/>
      <c r="F153" s="73"/>
      <c r="G153" s="73"/>
      <c r="H153" s="73"/>
    </row>
    <row r="154" spans="1:14" ht="47.25" hidden="1" customHeight="1" x14ac:dyDescent="0.25">
      <c r="A154" s="83" t="s">
        <v>124</v>
      </c>
      <c r="B154" s="83" t="s">
        <v>123</v>
      </c>
      <c r="C154" s="83" t="s">
        <v>58</v>
      </c>
      <c r="D154" s="83" t="s">
        <v>59</v>
      </c>
      <c r="E154" s="85" t="s">
        <v>161</v>
      </c>
      <c r="F154" s="40" t="s">
        <v>154</v>
      </c>
      <c r="G154" s="87" t="s">
        <v>61</v>
      </c>
      <c r="H154" s="88"/>
    </row>
    <row r="155" spans="1:14" s="34" customFormat="1" hidden="1" x14ac:dyDescent="0.25">
      <c r="A155" s="84"/>
      <c r="B155" s="84"/>
      <c r="C155" s="84"/>
      <c r="D155" s="84"/>
      <c r="E155" s="86"/>
      <c r="F155" s="13">
        <v>0.6</v>
      </c>
      <c r="G155" s="89"/>
      <c r="H155" s="90"/>
    </row>
    <row r="156" spans="1:14" s="34" customFormat="1" hidden="1" x14ac:dyDescent="0.25">
      <c r="A156" s="63" t="s">
        <v>122</v>
      </c>
      <c r="B156" s="64"/>
      <c r="C156" s="64"/>
      <c r="D156" s="64"/>
      <c r="E156" s="64"/>
      <c r="F156" s="64"/>
      <c r="G156" s="64"/>
      <c r="H156" s="65"/>
      <c r="J156" s="33"/>
    </row>
    <row r="157" spans="1:14" s="34" customFormat="1" hidden="1" x14ac:dyDescent="0.25">
      <c r="A157" s="67">
        <v>1</v>
      </c>
      <c r="B157" s="68"/>
      <c r="C157" s="39"/>
      <c r="D157" s="39"/>
      <c r="E157" s="39">
        <v>0</v>
      </c>
      <c r="F157" s="39">
        <f>(D157+E157)*(($F$155)+1)</f>
        <v>0</v>
      </c>
      <c r="G157" s="67" t="str">
        <f>A156</f>
        <v>Ground Floor</v>
      </c>
      <c r="H157" s="68"/>
      <c r="I157" s="33"/>
      <c r="L157" s="66"/>
      <c r="M157" s="66"/>
      <c r="N157" s="33"/>
    </row>
    <row r="158" spans="1:14" s="34" customFormat="1" hidden="1" x14ac:dyDescent="0.25">
      <c r="A158" s="67">
        <f>A157+1</f>
        <v>2</v>
      </c>
      <c r="B158" s="68"/>
      <c r="C158" s="39"/>
      <c r="D158" s="39"/>
      <c r="E158" s="39">
        <v>0</v>
      </c>
      <c r="F158" s="39">
        <f>(D158+E158)*(($F$155)+1)</f>
        <v>0</v>
      </c>
      <c r="G158" s="67" t="str">
        <f>G157</f>
        <v>Ground Floor</v>
      </c>
      <c r="H158" s="68"/>
      <c r="I158" s="33"/>
      <c r="L158" s="66"/>
      <c r="M158" s="66"/>
      <c r="N158" s="33"/>
    </row>
    <row r="159" spans="1:14" s="34" customFormat="1" hidden="1" x14ac:dyDescent="0.25">
      <c r="A159" s="67">
        <f>A158+1</f>
        <v>3</v>
      </c>
      <c r="B159" s="68"/>
      <c r="C159" s="39"/>
      <c r="D159" s="39"/>
      <c r="E159" s="39">
        <v>0</v>
      </c>
      <c r="F159" s="39">
        <f>(D159+E159)*(($F$155)+1)</f>
        <v>0</v>
      </c>
      <c r="G159" s="67" t="str">
        <f>G158</f>
        <v>Ground Floor</v>
      </c>
      <c r="H159" s="68"/>
      <c r="I159" s="33"/>
      <c r="L159" s="66"/>
      <c r="M159" s="66"/>
      <c r="N159" s="33"/>
    </row>
    <row r="160" spans="1:14" s="34" customFormat="1" hidden="1" x14ac:dyDescent="0.25">
      <c r="A160" s="67">
        <f>A159+1</f>
        <v>4</v>
      </c>
      <c r="B160" s="68"/>
      <c r="C160" s="39"/>
      <c r="D160" s="39"/>
      <c r="E160" s="39">
        <v>0</v>
      </c>
      <c r="F160" s="39">
        <f>(D160+E160)*(($F$155)+1)</f>
        <v>0</v>
      </c>
      <c r="G160" s="67" t="str">
        <f>G159</f>
        <v>Ground Floor</v>
      </c>
      <c r="H160" s="68"/>
      <c r="I160" s="33"/>
      <c r="L160" s="66"/>
      <c r="M160" s="66"/>
      <c r="N160" s="33"/>
    </row>
    <row r="161" spans="1:14" s="34" customFormat="1" hidden="1" x14ac:dyDescent="0.25">
      <c r="A161" s="67"/>
      <c r="B161" s="120"/>
      <c r="C161" s="120"/>
      <c r="D161" s="120"/>
      <c r="E161" s="120"/>
      <c r="F161" s="120"/>
      <c r="G161" s="120"/>
      <c r="H161" s="68"/>
      <c r="I161" s="33"/>
      <c r="N161" s="33"/>
    </row>
    <row r="162" spans="1:14" ht="47.25" customHeight="1" x14ac:dyDescent="0.25">
      <c r="A162" s="87" t="s">
        <v>125</v>
      </c>
      <c r="B162" s="87" t="s">
        <v>126</v>
      </c>
      <c r="C162" s="83" t="s">
        <v>58</v>
      </c>
      <c r="D162" s="83" t="s">
        <v>59</v>
      </c>
      <c r="E162" s="85" t="s">
        <v>60</v>
      </c>
      <c r="F162" s="40" t="s">
        <v>154</v>
      </c>
      <c r="G162" s="87" t="s">
        <v>61</v>
      </c>
      <c r="H162" s="88"/>
      <c r="I162" s="33"/>
    </row>
    <row r="163" spans="1:14" s="34" customFormat="1" x14ac:dyDescent="0.25">
      <c r="A163" s="89"/>
      <c r="B163" s="89"/>
      <c r="C163" s="84"/>
      <c r="D163" s="84"/>
      <c r="E163" s="86"/>
      <c r="F163" s="13">
        <v>0.5</v>
      </c>
      <c r="G163" s="89"/>
      <c r="H163" s="90"/>
      <c r="I163" s="33"/>
    </row>
    <row r="164" spans="1:14" s="49" customFormat="1" x14ac:dyDescent="0.25">
      <c r="A164" s="63" t="s">
        <v>218</v>
      </c>
      <c r="B164" s="64"/>
      <c r="C164" s="64"/>
      <c r="D164" s="64"/>
      <c r="E164" s="64"/>
      <c r="F164" s="64"/>
      <c r="G164" s="64"/>
      <c r="H164" s="65"/>
      <c r="J164" s="33"/>
    </row>
    <row r="165" spans="1:14" s="47" customFormat="1" x14ac:dyDescent="0.25">
      <c r="A165" s="63" t="s">
        <v>200</v>
      </c>
      <c r="B165" s="64"/>
      <c r="C165" s="64"/>
      <c r="D165" s="64"/>
      <c r="E165" s="64"/>
      <c r="F165" s="64"/>
      <c r="G165" s="64"/>
      <c r="H165" s="65"/>
      <c r="J165" s="33"/>
    </row>
    <row r="166" spans="1:14" s="47" customFormat="1" x14ac:dyDescent="0.25">
      <c r="A166" s="63" t="s">
        <v>198</v>
      </c>
      <c r="B166" s="64"/>
      <c r="C166" s="64"/>
      <c r="D166" s="64"/>
      <c r="E166" s="64"/>
      <c r="F166" s="64"/>
      <c r="G166" s="64"/>
      <c r="H166" s="65"/>
      <c r="J166" s="33"/>
    </row>
    <row r="167" spans="1:14" s="34" customFormat="1" x14ac:dyDescent="0.25">
      <c r="A167" s="63" t="s">
        <v>199</v>
      </c>
      <c r="B167" s="64"/>
      <c r="C167" s="64"/>
      <c r="D167" s="64"/>
      <c r="E167" s="64"/>
      <c r="F167" s="64"/>
      <c r="G167" s="64"/>
      <c r="H167" s="65"/>
      <c r="J167" s="33" t="s">
        <v>219</v>
      </c>
      <c r="K167" s="34" t="s">
        <v>220</v>
      </c>
      <c r="L167" s="66" t="s">
        <v>221</v>
      </c>
      <c r="M167" s="66"/>
      <c r="N167" s="34" t="s">
        <v>222</v>
      </c>
    </row>
    <row r="168" spans="1:14" s="34" customFormat="1" x14ac:dyDescent="0.25">
      <c r="A168" s="67">
        <v>1</v>
      </c>
      <c r="B168" s="68"/>
      <c r="C168" s="39" t="s">
        <v>201</v>
      </c>
      <c r="D168" s="48">
        <f>((2.9*4.55+2.48*2.14+2.45*2.75+1.05*1+1.73*1.2+2.4*0.9+0.5*1)+(2.75*1.05))*10.764</f>
        <v>365.04168480000004</v>
      </c>
      <c r="E168" s="39">
        <v>0</v>
      </c>
      <c r="F168" s="39">
        <f t="shared" ref="F168:F173" si="0">D168*(($F$163)+1)+(IF(E168&lt;101,E168,IF(E168&lt;201,E168/2,IF(E168&lt;=301,E168/3,E168/4))))</f>
        <v>547.56252720000009</v>
      </c>
      <c r="G168" s="67" t="str">
        <f>A167</f>
        <v>1st to 6th Floor</v>
      </c>
      <c r="H168" s="68"/>
      <c r="I168" s="33">
        <f>29.15+6.75</f>
        <v>35.9</v>
      </c>
      <c r="J168" s="33"/>
      <c r="K168" s="34">
        <f>1900000/F168</f>
        <v>3469.9233523444072</v>
      </c>
      <c r="L168" s="66">
        <v>3600</v>
      </c>
      <c r="M168" s="66"/>
      <c r="N168" s="33">
        <f>2700000/F168</f>
        <v>4930.9437112262631</v>
      </c>
    </row>
    <row r="169" spans="1:14" s="34" customFormat="1" x14ac:dyDescent="0.25">
      <c r="A169" s="67">
        <f>A168+1</f>
        <v>2</v>
      </c>
      <c r="B169" s="68"/>
      <c r="C169" s="39" t="s">
        <v>201</v>
      </c>
      <c r="D169" s="48">
        <f>((2.9*4.55+2.48*2.14+2.45*2.75+1.05*1+1.73*1.2+2.4*0.9+0.5*1)+(2.75*1.05))*10.764</f>
        <v>365.04168480000004</v>
      </c>
      <c r="E169" s="39">
        <v>0</v>
      </c>
      <c r="F169" s="39">
        <f t="shared" si="0"/>
        <v>547.56252720000009</v>
      </c>
      <c r="G169" s="67" t="str">
        <f>G168</f>
        <v>1st to 6th Floor</v>
      </c>
      <c r="H169" s="68"/>
      <c r="I169" s="33">
        <f>+(2.9*1.2+2.75*1.05)</f>
        <v>6.3674999999999997</v>
      </c>
      <c r="J169" s="33"/>
      <c r="L169" s="66">
        <v>3650</v>
      </c>
      <c r="M169" s="66"/>
      <c r="N169" s="33">
        <f t="shared" ref="N169:N170" si="1">2700000/F169</f>
        <v>4930.9437112262631</v>
      </c>
    </row>
    <row r="170" spans="1:14" s="34" customFormat="1" x14ac:dyDescent="0.25">
      <c r="A170" s="67">
        <f>A169+1</f>
        <v>3</v>
      </c>
      <c r="B170" s="68"/>
      <c r="C170" s="39" t="s">
        <v>201</v>
      </c>
      <c r="D170" s="48">
        <f>((3.43*2.85+2.46*2.15+2.51*2.75+2.01*1.2+1.2*1+0.9*4.7)+(2.85*1.05+2.89*1.05))*10.764</f>
        <v>385.73870399999998</v>
      </c>
      <c r="E170" s="39">
        <v>0</v>
      </c>
      <c r="F170" s="39">
        <f t="shared" si="0"/>
        <v>578.60805600000003</v>
      </c>
      <c r="G170" s="67" t="str">
        <f>G169</f>
        <v>1st to 6th Floor</v>
      </c>
      <c r="H170" s="68"/>
      <c r="I170" s="33"/>
      <c r="J170" s="33">
        <f>1970000/F170</f>
        <v>3404.7227299579804</v>
      </c>
      <c r="L170" s="66">
        <v>4100</v>
      </c>
      <c r="M170" s="66"/>
      <c r="N170" s="33">
        <f t="shared" si="1"/>
        <v>4666.3712542571302</v>
      </c>
    </row>
    <row r="171" spans="1:14" s="34" customFormat="1" x14ac:dyDescent="0.25">
      <c r="A171" s="67">
        <f>A170+1</f>
        <v>4</v>
      </c>
      <c r="B171" s="68"/>
      <c r="C171" s="39" t="s">
        <v>202</v>
      </c>
      <c r="D171" s="48">
        <f>((3.53*2.9+2.1*2.75+2.75*2.75+2.61*2.75+2.05*1.2+1.5*1.2+1*1.2+0.9*5.3)+(3.53*1.35+2.82*1.05))*10.764</f>
        <v>524.29829399999994</v>
      </c>
      <c r="E171" s="39">
        <v>0</v>
      </c>
      <c r="F171" s="39">
        <f t="shared" si="0"/>
        <v>786.44744099999991</v>
      </c>
      <c r="G171" s="67" t="str">
        <f>G170</f>
        <v>1st to 6th Floor</v>
      </c>
      <c r="H171" s="68"/>
      <c r="I171" s="33">
        <f>3.53*2.9+2.1*2.75+2.75*2.75+2.61*2.75+2.05*1.2+1.5*1.2+1*1.2+0.9*5.2</f>
        <v>40.891999999999996</v>
      </c>
      <c r="J171" s="33"/>
      <c r="L171" s="66"/>
      <c r="M171" s="66"/>
      <c r="N171" s="33">
        <f>3900000/F171</f>
        <v>4959.0090789042324</v>
      </c>
    </row>
    <row r="172" spans="1:14" s="47" customFormat="1" x14ac:dyDescent="0.25">
      <c r="A172" s="67">
        <f>A171+1</f>
        <v>5</v>
      </c>
      <c r="B172" s="68"/>
      <c r="C172" s="46" t="s">
        <v>201</v>
      </c>
      <c r="D172" s="48">
        <f>((2.9*4.73+2.29*2.75+2.89*2.62+2.1*1.2+1.85*1.2+1.08*1.2+0.9*2.29)+(2.89*1.05))*10.764</f>
        <v>416.75839920000004</v>
      </c>
      <c r="E172" s="46">
        <v>0</v>
      </c>
      <c r="F172" s="46">
        <f t="shared" si="0"/>
        <v>625.13759880000009</v>
      </c>
      <c r="G172" s="67" t="str">
        <f>G171</f>
        <v>1st to 6th Floor</v>
      </c>
      <c r="H172" s="68"/>
      <c r="I172" s="33"/>
      <c r="J172" s="33">
        <f>2095000/F172</f>
        <v>3351.2621925501112</v>
      </c>
      <c r="L172" s="66"/>
      <c r="M172" s="66"/>
      <c r="N172" s="33">
        <f t="shared" ref="N172:N173" si="2">2700000/F172</f>
        <v>4319.0491264368975</v>
      </c>
    </row>
    <row r="173" spans="1:14" s="47" customFormat="1" x14ac:dyDescent="0.25">
      <c r="A173" s="67">
        <f>A172+1</f>
        <v>6</v>
      </c>
      <c r="B173" s="68"/>
      <c r="C173" s="46" t="s">
        <v>201</v>
      </c>
      <c r="D173" s="48">
        <f>((2.9*4.73+2.29*2.75+2.89*2.62+2.1*1.2+1.85*1.2+1.08*1.2+0.9*2.29)+(2.89*1.05))*10.764</f>
        <v>416.75839920000004</v>
      </c>
      <c r="E173" s="46">
        <v>0</v>
      </c>
      <c r="F173" s="46">
        <f t="shared" si="0"/>
        <v>625.13759880000009</v>
      </c>
      <c r="G173" s="67" t="str">
        <f>G172</f>
        <v>1st to 6th Floor</v>
      </c>
      <c r="H173" s="68"/>
      <c r="I173" s="33">
        <f>3.53*2.9+2.1*2.75+2.75*2.75+2.61*2.75+2.05*1.2+1.5*1.2+1*1.2+0.9*5.2</f>
        <v>40.891999999999996</v>
      </c>
      <c r="J173" s="33"/>
      <c r="L173" s="66"/>
      <c r="M173" s="66"/>
      <c r="N173" s="33">
        <f t="shared" si="2"/>
        <v>4319.0491264368975</v>
      </c>
    </row>
    <row r="174" spans="1:14" s="47" customFormat="1" x14ac:dyDescent="0.25">
      <c r="A174" s="63" t="s">
        <v>205</v>
      </c>
      <c r="B174" s="64"/>
      <c r="C174" s="64"/>
      <c r="D174" s="64"/>
      <c r="E174" s="64"/>
      <c r="F174" s="64"/>
      <c r="G174" s="64"/>
      <c r="H174" s="65"/>
      <c r="J174" s="33"/>
    </row>
    <row r="175" spans="1:14" s="47" customFormat="1" x14ac:dyDescent="0.25">
      <c r="A175" s="67">
        <v>1</v>
      </c>
      <c r="B175" s="68"/>
      <c r="C175" s="46" t="s">
        <v>201</v>
      </c>
      <c r="D175" s="48">
        <f>((2.9*4.73+2.29*2.75+2.89*2.62+2.1*1.2+1.85*1.2+1.08*1.2+0.9*2.29)+(2.89*1.05))*10.764</f>
        <v>416.75839920000004</v>
      </c>
      <c r="E175" s="46">
        <v>0</v>
      </c>
      <c r="F175" s="46">
        <f>D175*(($F$163)+1)+(IF(E175&lt;101,E175,IF(E175&lt;201,E175/2,IF(E175&lt;=301,E175/3,E175/4))))</f>
        <v>625.13759880000009</v>
      </c>
      <c r="G175" s="67" t="str">
        <f>A174</f>
        <v>7th Floor For Residential, Amenities &amp; (Part Terrace Area)</v>
      </c>
      <c r="H175" s="68"/>
      <c r="I175" s="33"/>
      <c r="J175" s="33">
        <f>2154000/F175</f>
        <v>3445.6414142018803</v>
      </c>
      <c r="L175" s="66"/>
      <c r="M175" s="66"/>
      <c r="N175" s="33"/>
    </row>
    <row r="176" spans="1:14" s="47" customFormat="1" x14ac:dyDescent="0.25">
      <c r="A176" s="67">
        <f>A175+1</f>
        <v>2</v>
      </c>
      <c r="B176" s="68"/>
      <c r="C176" s="46" t="s">
        <v>206</v>
      </c>
      <c r="D176" s="48">
        <f>((5.95*4.55+2.48*2.14+2.48*2.14+2.45*2.75+2.45*2.75+1.43*1+1.73*1.2+1.05*1+1.73*1.2+0.9*2.3+0.9*2.3+0.45*1)+(2.75*1.05+2.75*1.05))*10.764</f>
        <v>733.66239959999996</v>
      </c>
      <c r="E176" s="46">
        <f>(3*5.9)*10.764</f>
        <v>190.52280000000002</v>
      </c>
      <c r="F176" s="46">
        <f>D176*(($F$163)+1)+(IF(E176&lt;101,E176,IF(E176&lt;201,E176/2,IF(E176&lt;=301,E176/3,E176/4))))</f>
        <v>1195.7549994000001</v>
      </c>
      <c r="G176" s="67" t="str">
        <f>G175</f>
        <v>7th Floor For Residential, Amenities &amp; (Part Terrace Area)</v>
      </c>
      <c r="H176" s="68"/>
      <c r="I176" s="33"/>
      <c r="J176" s="33"/>
      <c r="L176" s="66"/>
      <c r="M176" s="66"/>
      <c r="N176" s="33">
        <f>3900000/F176</f>
        <v>3261.5376912134361</v>
      </c>
    </row>
    <row r="177" spans="1:14" s="47" customFormat="1" x14ac:dyDescent="0.25">
      <c r="A177" s="63" t="s">
        <v>203</v>
      </c>
      <c r="B177" s="64"/>
      <c r="C177" s="64"/>
      <c r="D177" s="64"/>
      <c r="E177" s="64"/>
      <c r="F177" s="64"/>
      <c r="G177" s="64"/>
      <c r="H177" s="65"/>
      <c r="J177" s="33"/>
    </row>
    <row r="178" spans="1:14" s="47" customFormat="1" x14ac:dyDescent="0.25">
      <c r="A178" s="63" t="s">
        <v>204</v>
      </c>
      <c r="B178" s="64"/>
      <c r="C178" s="64"/>
      <c r="D178" s="64"/>
      <c r="E178" s="64"/>
      <c r="F178" s="64"/>
      <c r="G178" s="64"/>
      <c r="H178" s="65"/>
      <c r="J178" s="33"/>
    </row>
    <row r="179" spans="1:14" s="47" customFormat="1" x14ac:dyDescent="0.25">
      <c r="A179" s="63" t="s">
        <v>199</v>
      </c>
      <c r="B179" s="64"/>
      <c r="C179" s="64"/>
      <c r="D179" s="64"/>
      <c r="E179" s="64"/>
      <c r="F179" s="64"/>
      <c r="G179" s="64"/>
      <c r="H179" s="65"/>
      <c r="J179" s="33"/>
    </row>
    <row r="180" spans="1:14" s="47" customFormat="1" x14ac:dyDescent="0.25">
      <c r="A180" s="67">
        <v>1</v>
      </c>
      <c r="B180" s="68"/>
      <c r="C180" s="46" t="s">
        <v>201</v>
      </c>
      <c r="D180" s="48">
        <f>((2.9*4.73+2.29*2.75+2.89*2.62+2.1*1.2+1.85*1.2+1.08*1.2+0.9*2.29)+(2.89*1.05))*10.764</f>
        <v>416.75839920000004</v>
      </c>
      <c r="E180" s="46">
        <v>0</v>
      </c>
      <c r="F180" s="46">
        <f t="shared" ref="F180:F185" si="3">D180*(($F$163)+1)+(IF(E180&lt;101,E180,IF(E180&lt;201,E180/2,IF(E180&lt;=301,E180/3,E180/4))))</f>
        <v>625.13759880000009</v>
      </c>
      <c r="G180" s="67" t="str">
        <f>A179</f>
        <v>1st to 6th Floor</v>
      </c>
      <c r="H180" s="68"/>
      <c r="I180" s="33"/>
      <c r="J180" s="33">
        <f>3600*F180</f>
        <v>2250495.3556800005</v>
      </c>
      <c r="L180" s="66"/>
      <c r="M180" s="66"/>
      <c r="N180" s="33"/>
    </row>
    <row r="181" spans="1:14" s="47" customFormat="1" x14ac:dyDescent="0.25">
      <c r="A181" s="67">
        <f>A180+1</f>
        <v>2</v>
      </c>
      <c r="B181" s="68"/>
      <c r="C181" s="46" t="s">
        <v>201</v>
      </c>
      <c r="D181" s="48">
        <f>((2.9*4.73+2.29*2.75+2.89*2.62+2.1*1.2+1.85*1.2+1.08*1.2+0.9*2.29)+(2.89*1.05))*10.764</f>
        <v>416.75839920000004</v>
      </c>
      <c r="E181" s="46">
        <v>0</v>
      </c>
      <c r="F181" s="46">
        <f t="shared" si="3"/>
        <v>625.13759880000009</v>
      </c>
      <c r="G181" s="67" t="str">
        <f>G180</f>
        <v>1st to 6th Floor</v>
      </c>
      <c r="H181" s="68"/>
      <c r="I181" s="33"/>
      <c r="J181" s="33">
        <f t="shared" ref="J181:J185" si="4">3600*F181</f>
        <v>2250495.3556800005</v>
      </c>
      <c r="L181" s="66"/>
      <c r="M181" s="66"/>
      <c r="N181" s="33"/>
    </row>
    <row r="182" spans="1:14" s="47" customFormat="1" x14ac:dyDescent="0.25">
      <c r="A182" s="67">
        <f>A181+1</f>
        <v>3</v>
      </c>
      <c r="B182" s="68"/>
      <c r="C182" s="46" t="s">
        <v>201</v>
      </c>
      <c r="D182" s="48">
        <f>((2.9*3.38+2.29*1.56+2.89*2.61+1.2*1.8+1.15*1.2+1*1.2+0.9*2.29)+(2.9*1.05+2.82*1.05+2.82*1.05))*10.764</f>
        <v>394.88056919999997</v>
      </c>
      <c r="E182" s="46">
        <v>0</v>
      </c>
      <c r="F182" s="46">
        <f t="shared" si="3"/>
        <v>592.3208537999999</v>
      </c>
      <c r="G182" s="67" t="str">
        <f>G181</f>
        <v>1st to 6th Floor</v>
      </c>
      <c r="H182" s="68"/>
      <c r="I182" s="33"/>
      <c r="J182" s="33">
        <f t="shared" si="4"/>
        <v>2132355.0736799994</v>
      </c>
      <c r="L182" s="66"/>
      <c r="M182" s="66"/>
      <c r="N182" s="33"/>
    </row>
    <row r="183" spans="1:14" s="47" customFormat="1" x14ac:dyDescent="0.25">
      <c r="A183" s="67">
        <f>A182+1</f>
        <v>4</v>
      </c>
      <c r="B183" s="68"/>
      <c r="C183" s="46" t="s">
        <v>201</v>
      </c>
      <c r="D183" s="48">
        <f>((4.58*2.9+3.02*2.17+2.75*3.6+1.2*2.1+1.2*1.67+1.2*1+0.9*2.17))*10.764</f>
        <v>402.70707360000006</v>
      </c>
      <c r="E183" s="46">
        <v>0</v>
      </c>
      <c r="F183" s="46">
        <f t="shared" si="3"/>
        <v>604.06061040000009</v>
      </c>
      <c r="G183" s="67" t="str">
        <f>G182</f>
        <v>1st to 6th Floor</v>
      </c>
      <c r="H183" s="68"/>
      <c r="I183" s="33"/>
      <c r="J183" s="33">
        <f t="shared" si="4"/>
        <v>2174618.1974400003</v>
      </c>
      <c r="L183" s="66"/>
      <c r="M183" s="66"/>
      <c r="N183" s="33"/>
    </row>
    <row r="184" spans="1:14" s="47" customFormat="1" x14ac:dyDescent="0.25">
      <c r="A184" s="67">
        <f>A183+1</f>
        <v>5</v>
      </c>
      <c r="B184" s="68"/>
      <c r="C184" s="46" t="s">
        <v>201</v>
      </c>
      <c r="D184" s="48">
        <f>((4.58*2.9+2.45*2.15+3.35*2.75+1.2*1.5+1.2*1+0.9*2.75))*10.764</f>
        <v>357.76306799999998</v>
      </c>
      <c r="E184" s="46">
        <v>0</v>
      </c>
      <c r="F184" s="46">
        <f t="shared" si="3"/>
        <v>536.64460199999996</v>
      </c>
      <c r="G184" s="67" t="str">
        <f>G183</f>
        <v>1st to 6th Floor</v>
      </c>
      <c r="H184" s="68"/>
      <c r="I184" s="33"/>
      <c r="J184" s="33">
        <f t="shared" si="4"/>
        <v>1931920.5671999999</v>
      </c>
      <c r="L184" s="66"/>
      <c r="M184" s="66"/>
      <c r="N184" s="33"/>
    </row>
    <row r="185" spans="1:14" s="47" customFormat="1" x14ac:dyDescent="0.25">
      <c r="A185" s="67">
        <f>A184+1</f>
        <v>6</v>
      </c>
      <c r="B185" s="68"/>
      <c r="C185" s="46" t="s">
        <v>202</v>
      </c>
      <c r="D185" s="48">
        <f>((4.87*2.9+2.75*2.15+2.75*2.74+3.81*2.89+1.2*1+1.2*1.73+1.2*2.15+0.9*5.2))*10.764</f>
        <v>528.69969360000005</v>
      </c>
      <c r="E185" s="46">
        <v>0</v>
      </c>
      <c r="F185" s="46">
        <f t="shared" si="3"/>
        <v>793.04954040000007</v>
      </c>
      <c r="G185" s="67" t="str">
        <f>G184</f>
        <v>1st to 6th Floor</v>
      </c>
      <c r="H185" s="68"/>
      <c r="I185" s="33"/>
      <c r="J185" s="33">
        <f t="shared" si="4"/>
        <v>2854978.3454400003</v>
      </c>
      <c r="L185" s="66"/>
      <c r="M185" s="66"/>
      <c r="N185" s="33"/>
    </row>
    <row r="186" spans="1:14" s="47" customFormat="1" ht="15.75" customHeight="1" x14ac:dyDescent="0.25">
      <c r="A186" s="63" t="s">
        <v>207</v>
      </c>
      <c r="B186" s="64"/>
      <c r="C186" s="64"/>
      <c r="D186" s="64"/>
      <c r="E186" s="64"/>
      <c r="F186" s="64"/>
      <c r="G186" s="64"/>
      <c r="H186" s="65"/>
      <c r="J186" s="48">
        <v>10.763999999999999</v>
      </c>
    </row>
    <row r="187" spans="1:14" s="47" customFormat="1" x14ac:dyDescent="0.25">
      <c r="A187" s="67">
        <v>1</v>
      </c>
      <c r="B187" s="68"/>
      <c r="C187" s="46" t="s">
        <v>201</v>
      </c>
      <c r="D187" s="48">
        <f>((2.9*4.73+2.29*2.75+2.89*2.62+2.1*1.2+1.85*1.2+1.08*1.2+0.9*2.29)+(2.89*1.05))*10.764</f>
        <v>416.75839920000004</v>
      </c>
      <c r="E187" s="46">
        <v>0</v>
      </c>
      <c r="F187" s="46">
        <f>D187*(($F$163)+1)+(IF(E187&lt;101,E187,IF(E187&lt;201,E187/2,IF(E187&lt;=301,E187/3,E187/4))))</f>
        <v>625.13759880000009</v>
      </c>
      <c r="G187" s="67" t="str">
        <f>A186</f>
        <v>7th Floor For Residential &amp; Amenities</v>
      </c>
      <c r="H187" s="68"/>
      <c r="I187" s="33"/>
      <c r="J187" s="47">
        <f>2.75*1.05+2.9*1.2</f>
        <v>6.3674999999999997</v>
      </c>
      <c r="L187" s="66"/>
      <c r="M187" s="66"/>
      <c r="N187" s="33"/>
    </row>
    <row r="188" spans="1:14" s="47" customFormat="1" x14ac:dyDescent="0.25">
      <c r="A188" s="67">
        <v>2</v>
      </c>
      <c r="B188" s="68"/>
      <c r="C188" s="67" t="s">
        <v>225</v>
      </c>
      <c r="D188" s="120"/>
      <c r="E188" s="120"/>
      <c r="F188" s="68"/>
      <c r="G188" s="67" t="str">
        <f>G187</f>
        <v>7th Floor For Residential &amp; Amenities</v>
      </c>
      <c r="H188" s="68"/>
      <c r="I188" s="33"/>
      <c r="L188" s="66"/>
      <c r="M188" s="66"/>
      <c r="N188" s="33"/>
    </row>
    <row r="189" spans="1:14" s="47" customFormat="1" x14ac:dyDescent="0.25">
      <c r="A189" s="67">
        <v>3</v>
      </c>
      <c r="B189" s="68"/>
      <c r="C189" s="46" t="s">
        <v>202</v>
      </c>
      <c r="D189" s="48">
        <f>((4.58*2.9+3.02*2.17+2.75*3.6+2.89*2.61+1.2*2.1+1.2*1+2.2*1.2+1.2*1+0.9*3.6+2.4*0.9+0.9*2.17)+(2.82*1.05))*10.764</f>
        <v>593.65935720000004</v>
      </c>
      <c r="E189" s="46">
        <v>0</v>
      </c>
      <c r="F189" s="46">
        <f>D189*(($F$163)+1)+(IF(E189&lt;101,E189,IF(E189&lt;201,E189/2,IF(E189&lt;=301,E189/3,E189/4))))</f>
        <v>890.48903580000001</v>
      </c>
      <c r="G189" s="67" t="str">
        <f>G188</f>
        <v>7th Floor For Residential &amp; Amenities</v>
      </c>
      <c r="H189" s="68"/>
      <c r="I189" s="33"/>
      <c r="L189" s="66"/>
      <c r="M189" s="66"/>
      <c r="N189" s="33"/>
    </row>
    <row r="190" spans="1:14" s="47" customFormat="1" x14ac:dyDescent="0.25">
      <c r="A190" s="67">
        <v>4</v>
      </c>
      <c r="B190" s="68"/>
      <c r="C190" s="46" t="s">
        <v>201</v>
      </c>
      <c r="D190" s="48">
        <f>((4.58*2.9+2.45*2.15+3.35*2.75+1.2*1.5+1.2*1+0.9*2.75))*10.764</f>
        <v>357.76306799999998</v>
      </c>
      <c r="E190" s="46">
        <v>0</v>
      </c>
      <c r="F190" s="46">
        <f>D190*(($F$163)+1)+(IF(E190&lt;101,E190,IF(E190&lt;201,E190/2,IF(E190&lt;=301,E190/3,E190/4))))</f>
        <v>536.64460199999996</v>
      </c>
      <c r="G190" s="67" t="str">
        <f>G189</f>
        <v>7th Floor For Residential &amp; Amenities</v>
      </c>
      <c r="H190" s="68"/>
      <c r="I190" s="33"/>
      <c r="L190" s="66"/>
      <c r="M190" s="66"/>
      <c r="N190" s="33"/>
    </row>
    <row r="191" spans="1:14" s="47" customFormat="1" x14ac:dyDescent="0.25">
      <c r="A191" s="67">
        <v>5</v>
      </c>
      <c r="B191" s="68"/>
      <c r="C191" s="46" t="s">
        <v>202</v>
      </c>
      <c r="D191" s="48">
        <f>((4.87*2.9+2.75*2.15+2.75*2.74+3.81*2.89+1.2*1+1.2*1.73+1.2*2.15+0.9*5.2))*10.764</f>
        <v>528.69969360000005</v>
      </c>
      <c r="E191" s="46">
        <v>0</v>
      </c>
      <c r="F191" s="46">
        <f>D191*(($F$163)+1)+(IF(E191&lt;101,E191,IF(E191&lt;201,E191/2,IF(E191&lt;=301,E191/3,E191/4))))</f>
        <v>793.04954040000007</v>
      </c>
      <c r="G191" s="67" t="str">
        <f>G190</f>
        <v>7th Floor For Residential &amp; Amenities</v>
      </c>
      <c r="H191" s="68"/>
      <c r="I191" s="33"/>
      <c r="L191" s="66"/>
      <c r="M191" s="66"/>
      <c r="N191" s="33"/>
    </row>
    <row r="192" spans="1:14" s="32" customFormat="1" x14ac:dyDescent="0.25">
      <c r="A192" s="180" t="s">
        <v>69</v>
      </c>
      <c r="B192" s="180"/>
      <c r="C192" s="180"/>
      <c r="D192" s="180"/>
      <c r="E192" s="180"/>
      <c r="F192" s="180"/>
      <c r="G192" s="180"/>
      <c r="H192" s="180"/>
    </row>
    <row r="193" spans="1:8" s="32" customFormat="1" ht="51" customHeight="1" x14ac:dyDescent="0.25">
      <c r="A193" s="41" t="s">
        <v>158</v>
      </c>
      <c r="B193" s="116" t="s">
        <v>237</v>
      </c>
      <c r="C193" s="117"/>
      <c r="D193" s="117"/>
      <c r="E193" s="117"/>
      <c r="F193" s="117"/>
      <c r="G193" s="117"/>
      <c r="H193" s="118"/>
    </row>
    <row r="194" spans="1:8" s="32" customFormat="1" x14ac:dyDescent="0.25">
      <c r="A194" s="41" t="s">
        <v>158</v>
      </c>
      <c r="B194" s="116" t="str">
        <f>(IF(F162="Saleable area Loading :","We have considered Saleable area of Flats as per our Calculation.","We considered Saleable area of Flat as per Builder area Sheet."))</f>
        <v>We have considered Saleable area of Flats as per our Calculation.</v>
      </c>
      <c r="C194" s="117"/>
      <c r="D194" s="117"/>
      <c r="E194" s="117"/>
      <c r="F194" s="117"/>
      <c r="G194" s="117"/>
      <c r="H194" s="118"/>
    </row>
    <row r="195" spans="1:8" s="32" customFormat="1" x14ac:dyDescent="0.25">
      <c r="A195" s="41" t="s">
        <v>158</v>
      </c>
      <c r="B195" s="116" t="str">
        <f>(IF(F154="Saleable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117"/>
      <c r="D195" s="117"/>
      <c r="E195" s="117"/>
      <c r="F195" s="117"/>
      <c r="G195" s="117"/>
      <c r="H195" s="118"/>
    </row>
    <row r="196" spans="1:8" s="32" customFormat="1" x14ac:dyDescent="0.25">
      <c r="A196" s="41" t="s">
        <v>158</v>
      </c>
      <c r="B196" s="113" t="s">
        <v>128</v>
      </c>
      <c r="C196" s="114"/>
      <c r="D196" s="114"/>
      <c r="E196" s="114"/>
      <c r="F196" s="114"/>
      <c r="G196" s="114"/>
      <c r="H196" s="115"/>
    </row>
    <row r="197" spans="1:8" s="32" customFormat="1" x14ac:dyDescent="0.25">
      <c r="A197" s="41" t="s">
        <v>158</v>
      </c>
      <c r="B197" s="113" t="s">
        <v>208</v>
      </c>
      <c r="C197" s="114"/>
      <c r="D197" s="114"/>
      <c r="E197" s="114"/>
      <c r="F197" s="114"/>
      <c r="G197" s="114"/>
      <c r="H197" s="115"/>
    </row>
    <row r="198" spans="1:8" s="32" customFormat="1" x14ac:dyDescent="0.25">
      <c r="A198" s="41" t="s">
        <v>158</v>
      </c>
      <c r="B198" s="113" t="s">
        <v>157</v>
      </c>
      <c r="C198" s="114"/>
      <c r="D198" s="114"/>
      <c r="E198" s="114"/>
      <c r="F198" s="114"/>
      <c r="G198" s="114"/>
      <c r="H198" s="115"/>
    </row>
    <row r="199" spans="1:8" s="32" customFormat="1" x14ac:dyDescent="0.25">
      <c r="A199" s="41" t="s">
        <v>158</v>
      </c>
      <c r="B199" s="113" t="s">
        <v>129</v>
      </c>
      <c r="C199" s="114"/>
      <c r="D199" s="114"/>
      <c r="E199" s="114"/>
      <c r="F199" s="114"/>
      <c r="G199" s="114"/>
      <c r="H199" s="115"/>
    </row>
    <row r="200" spans="1:8" s="32" customFormat="1" ht="34.5" customHeight="1" x14ac:dyDescent="0.25">
      <c r="A200" s="41" t="s">
        <v>158</v>
      </c>
      <c r="B200" s="113" t="s">
        <v>159</v>
      </c>
      <c r="C200" s="114"/>
      <c r="D200" s="114"/>
      <c r="E200" s="114"/>
      <c r="F200" s="114"/>
      <c r="G200" s="114"/>
      <c r="H200" s="115"/>
    </row>
    <row r="201" spans="1:8" s="32" customFormat="1" x14ac:dyDescent="0.25">
      <c r="A201" s="41" t="s">
        <v>158</v>
      </c>
      <c r="B201" s="113" t="s">
        <v>130</v>
      </c>
      <c r="C201" s="114"/>
      <c r="D201" s="114"/>
      <c r="E201" s="114"/>
      <c r="F201" s="114"/>
      <c r="G201" s="114"/>
      <c r="H201" s="115"/>
    </row>
    <row r="202" spans="1:8" x14ac:dyDescent="0.25">
      <c r="A202" s="130" t="s">
        <v>62</v>
      </c>
      <c r="B202" s="130"/>
      <c r="C202" s="130"/>
      <c r="D202" s="130"/>
      <c r="E202" s="130"/>
      <c r="F202" s="130"/>
      <c r="G202" s="130"/>
      <c r="H202" s="130"/>
    </row>
    <row r="203" spans="1:8" x14ac:dyDescent="0.25">
      <c r="A203" s="75" t="s">
        <v>63</v>
      </c>
      <c r="B203" s="75"/>
      <c r="C203" s="75"/>
      <c r="D203" s="75"/>
      <c r="E203" s="75"/>
      <c r="F203" s="75"/>
      <c r="G203" s="75"/>
      <c r="H203" s="75"/>
    </row>
    <row r="204" spans="1:8" ht="15.75" customHeight="1" x14ac:dyDescent="0.25">
      <c r="A204" s="82" t="s">
        <v>64</v>
      </c>
      <c r="B204" s="82"/>
      <c r="C204" s="82"/>
      <c r="D204" s="82"/>
      <c r="E204" s="82"/>
      <c r="F204" s="82"/>
      <c r="G204" s="82"/>
      <c r="H204" s="82"/>
    </row>
    <row r="205" spans="1:8" x14ac:dyDescent="0.25">
      <c r="A205" s="75" t="s">
        <v>65</v>
      </c>
      <c r="B205" s="75"/>
      <c r="C205" s="75"/>
      <c r="D205" s="75"/>
      <c r="E205" s="75"/>
      <c r="F205" s="75"/>
      <c r="G205" s="75"/>
      <c r="H205" s="75"/>
    </row>
    <row r="206" spans="1:8" x14ac:dyDescent="0.25">
      <c r="A206" s="75" t="s">
        <v>66</v>
      </c>
      <c r="B206" s="75"/>
      <c r="C206" s="75"/>
      <c r="D206" s="75"/>
      <c r="E206" s="75"/>
      <c r="F206" s="75"/>
      <c r="G206" s="75"/>
      <c r="H206" s="75"/>
    </row>
    <row r="207" spans="1:8" x14ac:dyDescent="0.25">
      <c r="A207" s="75" t="s">
        <v>131</v>
      </c>
      <c r="B207" s="75"/>
      <c r="C207" s="75"/>
      <c r="D207" s="75"/>
      <c r="E207" s="75"/>
      <c r="F207" s="75"/>
      <c r="G207" s="75"/>
      <c r="H207" s="75"/>
    </row>
    <row r="208" spans="1:8" x14ac:dyDescent="0.25">
      <c r="A208" s="129" t="s">
        <v>132</v>
      </c>
      <c r="B208" s="129"/>
      <c r="C208" s="129"/>
      <c r="D208" s="129"/>
      <c r="E208" s="129"/>
      <c r="F208" s="129"/>
      <c r="G208" s="129"/>
      <c r="H208" s="129"/>
    </row>
    <row r="209" spans="1:8" x14ac:dyDescent="0.25">
      <c r="A209" s="127" t="s">
        <v>79</v>
      </c>
      <c r="B209" s="127"/>
      <c r="C209" s="127" t="s">
        <v>233</v>
      </c>
      <c r="D209" s="127"/>
      <c r="E209" s="127" t="s">
        <v>109</v>
      </c>
      <c r="F209" s="127"/>
      <c r="G209" s="127" t="s">
        <v>232</v>
      </c>
      <c r="H209" s="127"/>
    </row>
    <row r="210" spans="1:8" x14ac:dyDescent="0.25">
      <c r="A210" s="126" t="s">
        <v>81</v>
      </c>
      <c r="B210" s="126"/>
      <c r="C210" s="126"/>
      <c r="D210" s="126"/>
      <c r="E210" s="126"/>
      <c r="F210" s="126"/>
      <c r="G210" s="126"/>
      <c r="H210" s="126"/>
    </row>
    <row r="211" spans="1:8" x14ac:dyDescent="0.25">
      <c r="A211" s="126"/>
      <c r="B211" s="126"/>
      <c r="C211" s="126"/>
      <c r="D211" s="126"/>
      <c r="E211" s="126"/>
      <c r="F211" s="126"/>
      <c r="G211" s="126"/>
      <c r="H211" s="126"/>
    </row>
    <row r="212" spans="1:8" x14ac:dyDescent="0.25">
      <c r="A212" s="126"/>
      <c r="B212" s="126"/>
      <c r="C212" s="126"/>
      <c r="D212" s="126"/>
      <c r="E212" s="126"/>
      <c r="F212" s="126"/>
      <c r="G212" s="126"/>
      <c r="H212" s="126"/>
    </row>
    <row r="213" spans="1:8" x14ac:dyDescent="0.25">
      <c r="A213" s="126"/>
      <c r="B213" s="126"/>
      <c r="C213" s="126"/>
      <c r="D213" s="126"/>
      <c r="E213" s="126"/>
      <c r="F213" s="126"/>
      <c r="G213" s="126"/>
      <c r="H213" s="126"/>
    </row>
    <row r="214" spans="1:8" x14ac:dyDescent="0.25">
      <c r="A214" s="35" t="s">
        <v>67</v>
      </c>
      <c r="B214" s="36"/>
      <c r="C214" s="36"/>
      <c r="D214" s="35" t="str">
        <f>E8</f>
        <v>Sukoon Residency Type B</v>
      </c>
      <c r="F214" s="36"/>
      <c r="G214" s="36"/>
      <c r="H214" s="36"/>
    </row>
    <row r="215" spans="1:8" x14ac:dyDescent="0.25">
      <c r="A215" s="36"/>
      <c r="B215" s="36"/>
      <c r="C215" s="36"/>
      <c r="D215" s="36"/>
      <c r="E215" s="36"/>
      <c r="F215" s="36"/>
      <c r="G215" s="36"/>
      <c r="H215" s="36"/>
    </row>
    <row r="216" spans="1:8" x14ac:dyDescent="0.25">
      <c r="A216" s="36"/>
      <c r="B216" s="36"/>
      <c r="C216" s="36"/>
      <c r="D216" s="36"/>
      <c r="E216" s="36"/>
      <c r="F216" s="36"/>
      <c r="G216" s="36"/>
      <c r="H216" s="36"/>
    </row>
    <row r="217" spans="1:8" ht="15" customHeight="1" x14ac:dyDescent="0.25"/>
    <row r="257" spans="1:1" x14ac:dyDescent="0.25">
      <c r="A257" s="38" t="s">
        <v>171</v>
      </c>
    </row>
    <row r="292" spans="1:1" x14ac:dyDescent="0.25">
      <c r="A292" s="38" t="s">
        <v>68</v>
      </c>
    </row>
  </sheetData>
  <mergeCells count="409">
    <mergeCell ref="A96:B96"/>
    <mergeCell ref="C96:D96"/>
    <mergeCell ref="E96:F96"/>
    <mergeCell ref="G96:H96"/>
    <mergeCell ref="A82:B82"/>
    <mergeCell ref="C82:H82"/>
    <mergeCell ref="A84:B84"/>
    <mergeCell ref="C84:H84"/>
    <mergeCell ref="A85:B85"/>
    <mergeCell ref="E85:F85"/>
    <mergeCell ref="G85:H85"/>
    <mergeCell ref="A86:B86"/>
    <mergeCell ref="E86:F95"/>
    <mergeCell ref="G86:H95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B200:H200"/>
    <mergeCell ref="A48:B48"/>
    <mergeCell ref="C48:H48"/>
    <mergeCell ref="B198:H198"/>
    <mergeCell ref="A116:B116"/>
    <mergeCell ref="A117:B117"/>
    <mergeCell ref="G101:H110"/>
    <mergeCell ref="A102:B102"/>
    <mergeCell ref="A103:B103"/>
    <mergeCell ref="A104:B104"/>
    <mergeCell ref="F129:H129"/>
    <mergeCell ref="A129:E129"/>
    <mergeCell ref="D154:D155"/>
    <mergeCell ref="A131:E131"/>
    <mergeCell ref="A157:B157"/>
    <mergeCell ref="A158:B158"/>
    <mergeCell ref="A125:B126"/>
    <mergeCell ref="C125:D126"/>
    <mergeCell ref="A99:B99"/>
    <mergeCell ref="C99:H99"/>
    <mergeCell ref="A100:B100"/>
    <mergeCell ref="E100:F100"/>
    <mergeCell ref="A113:B113"/>
    <mergeCell ref="C113:H113"/>
    <mergeCell ref="A114:B114"/>
    <mergeCell ref="A132:E132"/>
    <mergeCell ref="E114:F114"/>
    <mergeCell ref="A109:B109"/>
    <mergeCell ref="E115:F124"/>
    <mergeCell ref="F127:H127"/>
    <mergeCell ref="A39:B39"/>
    <mergeCell ref="C39:H39"/>
    <mergeCell ref="A136:E136"/>
    <mergeCell ref="F130:H130"/>
    <mergeCell ref="A135:E135"/>
    <mergeCell ref="A118:B118"/>
    <mergeCell ref="A119:B119"/>
    <mergeCell ref="A120:B120"/>
    <mergeCell ref="A122:B122"/>
    <mergeCell ref="A123:B123"/>
    <mergeCell ref="A130:E130"/>
    <mergeCell ref="A127:E127"/>
    <mergeCell ref="F131:H131"/>
    <mergeCell ref="E125:E126"/>
    <mergeCell ref="F125:G126"/>
    <mergeCell ref="H125:H126"/>
    <mergeCell ref="F135:H135"/>
    <mergeCell ref="G115:H124"/>
    <mergeCell ref="C38:H38"/>
    <mergeCell ref="A45:D45"/>
    <mergeCell ref="A46:D46"/>
    <mergeCell ref="D56:H56"/>
    <mergeCell ref="G53:H53"/>
    <mergeCell ref="L160:M160"/>
    <mergeCell ref="L159:M159"/>
    <mergeCell ref="L158:M158"/>
    <mergeCell ref="L157:M157"/>
    <mergeCell ref="A79:B79"/>
    <mergeCell ref="C148:D148"/>
    <mergeCell ref="E148:F148"/>
    <mergeCell ref="G148:H148"/>
    <mergeCell ref="F134:H134"/>
    <mergeCell ref="A128:E128"/>
    <mergeCell ref="A111:B111"/>
    <mergeCell ref="C111:H111"/>
    <mergeCell ref="A156:H156"/>
    <mergeCell ref="E154:E155"/>
    <mergeCell ref="G154:H155"/>
    <mergeCell ref="A101:B101"/>
    <mergeCell ref="E101:F110"/>
    <mergeCell ref="A108:B108"/>
    <mergeCell ref="G100:H100"/>
    <mergeCell ref="A43:D43"/>
    <mergeCell ref="E43:H43"/>
    <mergeCell ref="E44:H44"/>
    <mergeCell ref="E45:H45"/>
    <mergeCell ref="E46:H46"/>
    <mergeCell ref="A44:D44"/>
    <mergeCell ref="A47:H47"/>
    <mergeCell ref="D57:H57"/>
    <mergeCell ref="A57:C57"/>
    <mergeCell ref="G50:H50"/>
    <mergeCell ref="A51:B52"/>
    <mergeCell ref="C53:E53"/>
    <mergeCell ref="A50:B50"/>
    <mergeCell ref="A54:H54"/>
    <mergeCell ref="A55:C55"/>
    <mergeCell ref="A56:C56"/>
    <mergeCell ref="G49:H49"/>
    <mergeCell ref="G51:H51"/>
    <mergeCell ref="D61:H61"/>
    <mergeCell ref="E72:F81"/>
    <mergeCell ref="G72:H81"/>
    <mergeCell ref="A80:B80"/>
    <mergeCell ref="A81:B81"/>
    <mergeCell ref="D62:H62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67:C67"/>
    <mergeCell ref="D67:H67"/>
    <mergeCell ref="A61:C61"/>
    <mergeCell ref="E30:H30"/>
    <mergeCell ref="A31:D31"/>
    <mergeCell ref="E31:H31"/>
    <mergeCell ref="A27:D27"/>
    <mergeCell ref="E27:H27"/>
    <mergeCell ref="G114:H114"/>
    <mergeCell ref="C32:E32"/>
    <mergeCell ref="F35:H35"/>
    <mergeCell ref="F32:H32"/>
    <mergeCell ref="A33:B33"/>
    <mergeCell ref="A32:B32"/>
    <mergeCell ref="C33:E33"/>
    <mergeCell ref="A37:H37"/>
    <mergeCell ref="A36:B36"/>
    <mergeCell ref="C36:E36"/>
    <mergeCell ref="A65:C65"/>
    <mergeCell ref="D65:H65"/>
    <mergeCell ref="D55:H55"/>
    <mergeCell ref="C51:E51"/>
    <mergeCell ref="A58:C60"/>
    <mergeCell ref="D58:H58"/>
    <mergeCell ref="D59:H59"/>
    <mergeCell ref="C50:E50"/>
    <mergeCell ref="A53:B53"/>
    <mergeCell ref="A17:B17"/>
    <mergeCell ref="C17:H17"/>
    <mergeCell ref="A41:D41"/>
    <mergeCell ref="E41:H41"/>
    <mergeCell ref="F33:H33"/>
    <mergeCell ref="F34:H34"/>
    <mergeCell ref="A40:H40"/>
    <mergeCell ref="A38:B38"/>
    <mergeCell ref="A34:B34"/>
    <mergeCell ref="C34:E34"/>
    <mergeCell ref="A22:D23"/>
    <mergeCell ref="E22:H23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1:D11"/>
    <mergeCell ref="E11:H11"/>
    <mergeCell ref="E14:H14"/>
    <mergeCell ref="A15:B15"/>
    <mergeCell ref="C15:H15"/>
    <mergeCell ref="C16:H16"/>
    <mergeCell ref="A210:H213"/>
    <mergeCell ref="A209:B209"/>
    <mergeCell ref="E209:F209"/>
    <mergeCell ref="C209:D209"/>
    <mergeCell ref="G209:H209"/>
    <mergeCell ref="A141:H141"/>
    <mergeCell ref="A139:E139"/>
    <mergeCell ref="F139:H139"/>
    <mergeCell ref="A140:E140"/>
    <mergeCell ref="F140:H140"/>
    <mergeCell ref="A148:B148"/>
    <mergeCell ref="A143:B143"/>
    <mergeCell ref="A205:H205"/>
    <mergeCell ref="A146:H146"/>
    <mergeCell ref="A208:H208"/>
    <mergeCell ref="A206:H206"/>
    <mergeCell ref="A202:H202"/>
    <mergeCell ref="B196:H196"/>
    <mergeCell ref="B197:H197"/>
    <mergeCell ref="A192:H192"/>
    <mergeCell ref="C154:C155"/>
    <mergeCell ref="B162:B163"/>
    <mergeCell ref="A171:B171"/>
    <mergeCell ref="A168:B168"/>
    <mergeCell ref="A162:A163"/>
    <mergeCell ref="G150:H150"/>
    <mergeCell ref="A149:B149"/>
    <mergeCell ref="C149:D149"/>
    <mergeCell ref="E149:F149"/>
    <mergeCell ref="G149:H149"/>
    <mergeCell ref="G168:H168"/>
    <mergeCell ref="A62:C62"/>
    <mergeCell ref="A66:C66"/>
    <mergeCell ref="D66:H66"/>
    <mergeCell ref="A72:B72"/>
    <mergeCell ref="G71:H71"/>
    <mergeCell ref="A110:B110"/>
    <mergeCell ref="A115:B115"/>
    <mergeCell ref="A133:E133"/>
    <mergeCell ref="F132:H132"/>
    <mergeCell ref="A138:E138"/>
    <mergeCell ref="F133:H133"/>
    <mergeCell ref="A134:E134"/>
    <mergeCell ref="A160:B160"/>
    <mergeCell ref="A159:B159"/>
    <mergeCell ref="B154:B155"/>
    <mergeCell ref="A154:A155"/>
    <mergeCell ref="C162:C163"/>
    <mergeCell ref="A142:B142"/>
    <mergeCell ref="A144:B144"/>
    <mergeCell ref="C144:D144"/>
    <mergeCell ref="E144:F144"/>
    <mergeCell ref="G144:H144"/>
    <mergeCell ref="A145:B145"/>
    <mergeCell ref="C145:D145"/>
    <mergeCell ref="A203:H203"/>
    <mergeCell ref="E145:F145"/>
    <mergeCell ref="G145:H145"/>
    <mergeCell ref="E147:F147"/>
    <mergeCell ref="B201:H201"/>
    <mergeCell ref="G159:H159"/>
    <mergeCell ref="G157:H157"/>
    <mergeCell ref="G158:H158"/>
    <mergeCell ref="G160:H160"/>
    <mergeCell ref="B199:H199"/>
    <mergeCell ref="B195:H195"/>
    <mergeCell ref="A152:H152"/>
    <mergeCell ref="B193:H193"/>
    <mergeCell ref="B194:H194"/>
    <mergeCell ref="C147:D147"/>
    <mergeCell ref="G147:H147"/>
    <mergeCell ref="A161:H161"/>
    <mergeCell ref="D60:H60"/>
    <mergeCell ref="C52:H52"/>
    <mergeCell ref="E42:H42"/>
    <mergeCell ref="A42:D42"/>
    <mergeCell ref="A207:H207"/>
    <mergeCell ref="A204:H204"/>
    <mergeCell ref="A147:B147"/>
    <mergeCell ref="D162:D163"/>
    <mergeCell ref="E162:E163"/>
    <mergeCell ref="G162:H163"/>
    <mergeCell ref="A105:B105"/>
    <mergeCell ref="A106:B106"/>
    <mergeCell ref="A107:B107"/>
    <mergeCell ref="A97:B97"/>
    <mergeCell ref="C97:H97"/>
    <mergeCell ref="A121:B121"/>
    <mergeCell ref="A77:B77"/>
    <mergeCell ref="F128:H128"/>
    <mergeCell ref="G143:H143"/>
    <mergeCell ref="A124:B124"/>
    <mergeCell ref="A49:B49"/>
    <mergeCell ref="C49:E49"/>
    <mergeCell ref="A166:H166"/>
    <mergeCell ref="A169:B169"/>
    <mergeCell ref="L191:M191"/>
    <mergeCell ref="A189:B189"/>
    <mergeCell ref="G189:H189"/>
    <mergeCell ref="L189:M189"/>
    <mergeCell ref="A190:B190"/>
    <mergeCell ref="G190:H190"/>
    <mergeCell ref="L190:M190"/>
    <mergeCell ref="A188:B188"/>
    <mergeCell ref="G188:H188"/>
    <mergeCell ref="L188:M188"/>
    <mergeCell ref="A191:B191"/>
    <mergeCell ref="G191:H191"/>
    <mergeCell ref="C188:F188"/>
    <mergeCell ref="L187:M187"/>
    <mergeCell ref="A183:B183"/>
    <mergeCell ref="G183:H183"/>
    <mergeCell ref="L183:M183"/>
    <mergeCell ref="G184:H184"/>
    <mergeCell ref="G176:H176"/>
    <mergeCell ref="L176:M176"/>
    <mergeCell ref="A176:B176"/>
    <mergeCell ref="A184:B184"/>
    <mergeCell ref="L184:M184"/>
    <mergeCell ref="A185:B185"/>
    <mergeCell ref="G185:H185"/>
    <mergeCell ref="L185:M185"/>
    <mergeCell ref="A178:H178"/>
    <mergeCell ref="A179:H179"/>
    <mergeCell ref="A180:B180"/>
    <mergeCell ref="G180:H180"/>
    <mergeCell ref="L180:M180"/>
    <mergeCell ref="A177:H177"/>
    <mergeCell ref="A181:B181"/>
    <mergeCell ref="G181:H181"/>
    <mergeCell ref="A150:B150"/>
    <mergeCell ref="E150:F150"/>
    <mergeCell ref="F136:H136"/>
    <mergeCell ref="A153:H153"/>
    <mergeCell ref="G142:H142"/>
    <mergeCell ref="A137:E137"/>
    <mergeCell ref="C143:D143"/>
    <mergeCell ref="A186:H186"/>
    <mergeCell ref="A187:B187"/>
    <mergeCell ref="G187:H187"/>
    <mergeCell ref="A173:B173"/>
    <mergeCell ref="G173:H173"/>
    <mergeCell ref="A174:H174"/>
    <mergeCell ref="A175:B175"/>
    <mergeCell ref="E143:F143"/>
    <mergeCell ref="A151:B151"/>
    <mergeCell ref="C151:D151"/>
    <mergeCell ref="E151:F151"/>
    <mergeCell ref="G151:H151"/>
    <mergeCell ref="C150:D150"/>
    <mergeCell ref="C142:D142"/>
    <mergeCell ref="F138:H138"/>
    <mergeCell ref="F137:H137"/>
    <mergeCell ref="E142:F142"/>
    <mergeCell ref="A164:H164"/>
    <mergeCell ref="L167:M167"/>
    <mergeCell ref="L181:M181"/>
    <mergeCell ref="A182:B182"/>
    <mergeCell ref="G182:H182"/>
    <mergeCell ref="L182:M182"/>
    <mergeCell ref="G169:H169"/>
    <mergeCell ref="A167:H167"/>
    <mergeCell ref="G170:H170"/>
    <mergeCell ref="A165:H165"/>
    <mergeCell ref="A172:B172"/>
    <mergeCell ref="G172:H172"/>
    <mergeCell ref="G175:H175"/>
    <mergeCell ref="L171:M171"/>
    <mergeCell ref="L168:M168"/>
    <mergeCell ref="L169:M169"/>
    <mergeCell ref="L170:M170"/>
    <mergeCell ref="L172:M172"/>
    <mergeCell ref="L173:M173"/>
    <mergeCell ref="L175:M175"/>
    <mergeCell ref="G171:H171"/>
    <mergeCell ref="A170:B170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3" max="16383" man="1"/>
    <brk id="256" max="16383" man="1"/>
    <brk id="29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3" t="s">
        <v>110</v>
      </c>
      <c r="C3" s="203"/>
      <c r="D3" s="203"/>
      <c r="E3" s="203"/>
      <c r="F3" s="203"/>
      <c r="G3" s="203"/>
      <c r="H3" s="203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2025-07-15T10:43:13Z</cp:lastPrinted>
  <dcterms:created xsi:type="dcterms:W3CDTF">2019-07-16T09:29:46Z</dcterms:created>
  <dcterms:modified xsi:type="dcterms:W3CDTF">2025-07-15T10:43:17Z</dcterms:modified>
</cp:coreProperties>
</file>