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73" i="1"/>
  <c r="C80" i="1" l="1"/>
  <c r="J91" i="1"/>
  <c r="J90" i="1"/>
  <c r="J89" i="1"/>
  <c r="J88" i="1"/>
  <c r="C89" i="1"/>
  <c r="D151" i="1" l="1"/>
  <c r="F151" i="1" s="1"/>
  <c r="D150" i="1"/>
  <c r="F150" i="1" s="1"/>
  <c r="D149" i="1"/>
  <c r="D148" i="1"/>
  <c r="D147" i="1"/>
  <c r="F147" i="1" s="1"/>
  <c r="D165" i="1"/>
  <c r="F165" i="1" s="1"/>
  <c r="D164" i="1"/>
  <c r="F164" i="1" s="1"/>
  <c r="D163" i="1"/>
  <c r="F163" i="1" s="1"/>
  <c r="D162" i="1"/>
  <c r="F162" i="1" s="1"/>
  <c r="D161" i="1"/>
  <c r="F161" i="1" s="1"/>
  <c r="D179" i="1"/>
  <c r="F179" i="1" s="1"/>
  <c r="D178" i="1"/>
  <c r="F178" i="1" s="1"/>
  <c r="D177" i="1"/>
  <c r="F177" i="1" s="1"/>
  <c r="D176" i="1"/>
  <c r="F176" i="1" s="1"/>
  <c r="D175" i="1"/>
  <c r="F175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44" i="1"/>
  <c r="D143" i="1"/>
  <c r="F143" i="1" s="1"/>
  <c r="D142" i="1"/>
  <c r="D141" i="1"/>
  <c r="F141" i="1" s="1"/>
  <c r="D140" i="1"/>
  <c r="F140" i="1" s="1"/>
  <c r="D139" i="1"/>
  <c r="F139" i="1" s="1"/>
  <c r="D137" i="1"/>
  <c r="D136" i="1"/>
  <c r="D135" i="1"/>
  <c r="D134" i="1"/>
  <c r="D133" i="1"/>
  <c r="D132" i="1"/>
  <c r="F132" i="1" s="1"/>
  <c r="A175" i="1"/>
  <c r="A176" i="1" s="1"/>
  <c r="A177" i="1" s="1"/>
  <c r="A178" i="1" s="1"/>
  <c r="A179" i="1" s="1"/>
  <c r="G174" i="1"/>
  <c r="A161" i="1"/>
  <c r="A162" i="1" s="1"/>
  <c r="A163" i="1" s="1"/>
  <c r="A164" i="1" s="1"/>
  <c r="A165" i="1" s="1"/>
  <c r="G160" i="1"/>
  <c r="A168" i="1"/>
  <c r="A169" i="1" s="1"/>
  <c r="A170" i="1" s="1"/>
  <c r="A171" i="1" s="1"/>
  <c r="A172" i="1" s="1"/>
  <c r="G167" i="1"/>
  <c r="A154" i="1"/>
  <c r="A155" i="1" s="1"/>
  <c r="A156" i="1" s="1"/>
  <c r="A157" i="1" s="1"/>
  <c r="A158" i="1" s="1"/>
  <c r="G153" i="1"/>
  <c r="F149" i="1"/>
  <c r="F148" i="1"/>
  <c r="A147" i="1"/>
  <c r="A148" i="1" s="1"/>
  <c r="A149" i="1" s="1"/>
  <c r="A150" i="1" s="1"/>
  <c r="A151" i="1" s="1"/>
  <c r="G146" i="1"/>
  <c r="F144" i="1"/>
  <c r="F142" i="1"/>
  <c r="A140" i="1"/>
  <c r="A141" i="1" s="1"/>
  <c r="A142" i="1" s="1"/>
  <c r="A143" i="1" s="1"/>
  <c r="A144" i="1" s="1"/>
  <c r="G139" i="1"/>
  <c r="C102" i="1" l="1"/>
  <c r="E102" i="1"/>
  <c r="F137" i="1"/>
  <c r="F136" i="1"/>
  <c r="F135" i="1"/>
  <c r="F134" i="1"/>
  <c r="F133" i="1"/>
  <c r="G102" i="1" s="1"/>
  <c r="A133" i="1"/>
  <c r="A134" i="1" s="1"/>
  <c r="A135" i="1" s="1"/>
  <c r="A136" i="1" s="1"/>
  <c r="A137" i="1" s="1"/>
  <c r="L132" i="1"/>
  <c r="G132" i="1"/>
  <c r="K131" i="1"/>
  <c r="D128" i="1" l="1"/>
  <c r="D127" i="1"/>
  <c r="D126" i="1"/>
  <c r="D125" i="1"/>
  <c r="D123" i="1"/>
  <c r="D122" i="1"/>
  <c r="D121" i="1"/>
  <c r="D118" i="1"/>
  <c r="D117" i="1"/>
  <c r="D116" i="1"/>
  <c r="D115" i="1"/>
  <c r="D114" i="1"/>
  <c r="D113" i="1"/>
  <c r="D112" i="1"/>
  <c r="D111" i="1"/>
  <c r="K110" i="1"/>
  <c r="K122" i="1"/>
  <c r="K111" i="1"/>
  <c r="L111" i="1"/>
  <c r="E101" i="1" l="1"/>
  <c r="E103" i="1" s="1"/>
  <c r="C101" i="1"/>
  <c r="C103" i="1" s="1"/>
  <c r="C75" i="1"/>
  <c r="E3" i="1"/>
  <c r="F127" i="1" l="1"/>
  <c r="F126" i="1"/>
  <c r="F128" i="1"/>
  <c r="F118" i="1"/>
  <c r="F117" i="1"/>
  <c r="F116" i="1"/>
  <c r="C13" i="1" l="1"/>
  <c r="E28" i="1" l="1"/>
  <c r="F98" i="1" l="1"/>
  <c r="B182" i="1" l="1"/>
  <c r="F125" i="1" l="1"/>
  <c r="F123" i="1"/>
  <c r="F122" i="1"/>
  <c r="F121" i="1"/>
  <c r="F115" i="1"/>
  <c r="F114" i="1"/>
  <c r="F112" i="1"/>
  <c r="F111" i="1"/>
  <c r="F113" i="1"/>
  <c r="G101" i="1" l="1"/>
  <c r="G10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3" i="1"/>
  <c r="G121" i="1"/>
  <c r="G111" i="1"/>
  <c r="A112" i="1"/>
  <c r="A113" i="1" s="1"/>
  <c r="A114" i="1" s="1"/>
  <c r="A115" i="1" s="1"/>
  <c r="A116" i="1" s="1"/>
  <c r="A117" i="1" s="1"/>
  <c r="A118" i="1" s="1"/>
  <c r="J77" i="1"/>
  <c r="J76" i="1"/>
  <c r="J75" i="1"/>
  <c r="J74" i="1"/>
  <c r="D54" i="1"/>
  <c r="E41" i="1"/>
  <c r="E42" i="1" s="1"/>
  <c r="E25" i="1"/>
  <c r="E23" i="1"/>
  <c r="E7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D72" i="1" l="1"/>
  <c r="J68" i="1"/>
  <c r="E70" i="1"/>
  <c r="D71" i="1"/>
  <c r="G70" i="1"/>
  <c r="D64" i="1" s="1"/>
  <c r="D70" i="1"/>
  <c r="J67" i="1" s="1"/>
  <c r="I67" i="1" l="1"/>
  <c r="F65" i="1"/>
  <c r="D65" i="1"/>
  <c r="H81" i="1"/>
  <c r="D93" i="1" l="1"/>
  <c r="D89" i="1"/>
  <c r="J86" i="1"/>
  <c r="J87" i="1" s="1"/>
  <c r="J92" i="1" s="1"/>
  <c r="J93" i="1" s="1"/>
  <c r="C85" i="1" s="1"/>
  <c r="J80" i="1"/>
  <c r="J82" i="1" s="1"/>
  <c r="D86" i="1"/>
  <c r="J85" i="1"/>
  <c r="C84" i="1" s="1"/>
  <c r="D84" i="1" s="1"/>
  <c r="J83" i="1"/>
  <c r="D92" i="1"/>
  <c r="J84" i="1"/>
  <c r="D88" i="1"/>
  <c r="D90" i="1"/>
  <c r="D87" i="1"/>
  <c r="D91" i="1"/>
  <c r="I68" i="1"/>
  <c r="I66" i="1" s="1"/>
  <c r="C68" i="1" s="1"/>
  <c r="E84" i="1" l="1"/>
  <c r="D85" i="1"/>
  <c r="I81" i="1" s="1"/>
  <c r="I82" i="1" s="1"/>
  <c r="G84" i="1"/>
  <c r="J81" i="1"/>
  <c r="I80" i="1" l="1"/>
  <c r="C82" i="1" s="1"/>
</calcChain>
</file>

<file path=xl/sharedStrings.xml><?xml version="1.0" encoding="utf-8"?>
<sst xmlns="http://schemas.openxmlformats.org/spreadsheetml/2006/main" count="294" uniqueCount="215">
  <si>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</si>
  <si>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</si>
  <si>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</si>
  <si>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</si>
  <si>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</si>
  <si>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</si>
  <si>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</si>
  <si>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</si>
  <si>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</si>
  <si>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</si>
  <si>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</si>
  <si>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</si>
  <si>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</si>
  <si>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</si>
  <si>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</si>
  <si>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</si>
  <si>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</si>
  <si>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</si>
  <si>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</si>
  <si>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</si>
  <si>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</si>
  <si>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</si>
  <si>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</si>
  <si>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</si>
  <si>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</si>
  <si>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</si>
  <si>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</si>
  <si>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</si>
  <si>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</si>
  <si>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</si>
  <si>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</si>
  <si>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</si>
  <si>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</si>
  <si>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</si>
  <si>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</si>
  <si>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</si>
  <si>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</si>
  <si>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</si>
  <si>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</si>
  <si>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</si>
  <si>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</si>
  <si>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</si>
  <si>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</si>
  <si>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</si>
  <si>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</si>
  <si>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</si>
  <si>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</si>
  <si>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</si>
  <si>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</si>
  <si>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</si>
  <si>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</si>
  <si>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</si>
  <si>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</si>
  <si>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</si>
  <si>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</si>
  <si>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</si>
  <si>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</si>
  <si>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</si>
  <si>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</si>
  <si>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</si>
  <si>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</si>
  <si>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</si>
  <si>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</si>
  <si>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</si>
  <si>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</si>
  <si>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</si>
  <si>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</si>
  <si>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</si>
  <si>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</si>
  <si>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</si>
  <si>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</si>
  <si>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</si>
  <si>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</si>
  <si>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</si>
  <si>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</si>
  <si>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</si>
  <si>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</si>
  <si>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</si>
  <si>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</si>
  <si>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</si>
  <si>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</si>
  <si>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</si>
  <si>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</si>
  <si>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</si>
  <si>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</si>
  <si>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</si>
  <si>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</si>
  <si>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</si>
  <si>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</si>
  <si>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</si>
  <si>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</si>
  <si>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</si>
  <si>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</si>
  <si>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</si>
  <si>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</si>
  <si>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</si>
  <si>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</si>
  <si>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</si>
  <si>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</si>
  <si>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</si>
  <si>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</si>
  <si>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</si>
  <si>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</si>
  <si>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</si>
  <si>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</si>
  <si>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</si>
  <si>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</si>
  <si>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</si>
  <si>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</si>
  <si>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</si>
  <si>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</si>
  <si>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</si>
  <si>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</si>
  <si>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</si>
  <si>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</si>
  <si>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</si>
  <si>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</si>
  <si>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</si>
  <si>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</si>
  <si>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</si>
  <si>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</si>
  <si>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</si>
  <si>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</si>
  <si>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</si>
  <si>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</si>
  <si>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</si>
  <si>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</si>
  <si>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</si>
  <si>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</si>
  <si>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</si>
  <si>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</si>
  <si>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</si>
  <si>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</si>
  <si>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</si>
  <si>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</si>
  <si>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</si>
  <si>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</si>
  <si>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</si>
  <si>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</si>
  <si>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</si>
  <si>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</si>
  <si>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</si>
  <si>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</si>
  <si>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</si>
  <si>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</si>
  <si>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</si>
  <si>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</si>
  <si>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</si>
  <si>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</si>
  <si>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</si>
  <si>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</si>
  <si>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</si>
  <si>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</si>
  <si>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</si>
  <si>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</si>
  <si>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</si>
  <si>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 xml:space="preserve">Thane Municipal Corporation (TMC)
</t>
  </si>
  <si>
    <t>Axis Thane</t>
  </si>
  <si>
    <t>M/s. Raymond Limited</t>
  </si>
  <si>
    <t>Tower F</t>
  </si>
  <si>
    <t>As per RERA - 31/03/2026</t>
  </si>
  <si>
    <t>Thane</t>
  </si>
  <si>
    <t>https://goo.gl/maps/Po4QyeAiBMXsz4y17</t>
  </si>
  <si>
    <t>S04/0161/19TMC/TD-DP/TPS/4089/22</t>
  </si>
  <si>
    <t>Pokharan Road Number 2</t>
  </si>
  <si>
    <t>Survey No</t>
  </si>
  <si>
    <t>Panchpakhadi</t>
  </si>
  <si>
    <t>4.5 KM from Thane Railway Station</t>
  </si>
  <si>
    <t>Thane West</t>
  </si>
  <si>
    <t>Approved Plans, CC</t>
  </si>
  <si>
    <t>Smt. Sunitidevi Singhania school</t>
  </si>
  <si>
    <t>Open Plot</t>
  </si>
  <si>
    <t>Internal Road</t>
  </si>
  <si>
    <t>Ground Floor For Parking &amp; Library</t>
  </si>
  <si>
    <t>Refuge Area</t>
  </si>
  <si>
    <t>Other Charges</t>
  </si>
  <si>
    <t>Residential Area Details : Flats</t>
  </si>
  <si>
    <t>122, 126B1/1, 126B/2, 126B1/3, 127, 128/B, 129/1, 129/3</t>
  </si>
  <si>
    <t>15000 to 16600</t>
  </si>
  <si>
    <t>Sanket</t>
  </si>
  <si>
    <t>Cost sheet</t>
  </si>
  <si>
    <t>7th, 12th, 17th, 22nd, 27th, 32nd, 37th, 42nd &amp; 47th Floor (Part Refuge Area)</t>
  </si>
  <si>
    <t>Service Floor Inbetween 26th &amp; 27th Floor</t>
  </si>
  <si>
    <t>We considered Gross carpet area = Net carpet + Chajja + Balcony</t>
  </si>
  <si>
    <t>Ten X Habitat Raymond Realty Tower F &amp; G</t>
  </si>
  <si>
    <t>Tower F &amp; G</t>
  </si>
  <si>
    <t>Tower F - P51700034190
Tower G - P51700047152</t>
  </si>
  <si>
    <t>TMCB/TDD/0001/[P/C]/2022/AutoDCR</t>
  </si>
  <si>
    <t>Tower F &amp; G = G + 1st to 50th Floor</t>
  </si>
  <si>
    <t>Wing F &amp; G = G + 1st to 50th Floor</t>
  </si>
  <si>
    <t>Tower G</t>
  </si>
  <si>
    <t>1st Floor For Residential</t>
  </si>
  <si>
    <t>2nd to 6th, 8th to 11th, 13th to 15th Floor For Residential</t>
  </si>
  <si>
    <t>7th &amp; 12th Floor (Part Refuge Area)</t>
  </si>
  <si>
    <t>16th, 18th to 21st, 23rd to 26th, 28th to 30th Floor</t>
  </si>
  <si>
    <t>17th, 22nd &amp; 27th Floor (Part Refuge Area)</t>
  </si>
  <si>
    <t>31st, 33rd to 36th, 38th to 41st, 43rd to 46th, 48th to 50th Floor</t>
  </si>
  <si>
    <t>32nd, 37th, 42nd &amp; 47th Floor (Part Refuge Area)</t>
  </si>
  <si>
    <t>Total</t>
  </si>
  <si>
    <t>Flats - 682</t>
  </si>
  <si>
    <t>We have updated Approved Floor Plan of Tower F  (on 25/01/2023).</t>
  </si>
  <si>
    <t>We have updated Approved Floor Plan of Tower G  (on 08/02/2023).</t>
  </si>
  <si>
    <t>1st to 6th, 8th to 11th, 13th to 16th, 18th to 21st, 23rd to 26th, 28 to 31st, 33rd to 36th, 38th to 41st, 43rd to 46th &amp; 48th to 50th Floor For Residential</t>
  </si>
  <si>
    <t>TMC/TDD/4089/22/1 (V.P.No TMCB/TDD/0001/[P/C]/2022/AutoDCR)</t>
  </si>
  <si>
    <t>Office No. 1031, Wing J, Akshar Business Park, Plot No. 03 Sector 25, Near APMC Market, 
Vashi, Navi Mumbai, Maharashtra 400703 TEL: 022-46090378/79/80
E mail : vsjcapf@gmail.com. Web site : www.vsjadon.com</t>
  </si>
  <si>
    <t xml:space="preserve">1.Vitrified tiles flooring 2.Granite Kitchen Platform  3.Decorative Enternace  etc. 
</t>
  </si>
  <si>
    <t>Wing F = G + 1st to 50th Floor</t>
  </si>
  <si>
    <t>Wing G = G + 1st to 50th Floor</t>
  </si>
  <si>
    <t>Construction work is in process at the time of Visit. (Internal photographs not allowed)</t>
  </si>
  <si>
    <t>Latitude,Longitude</t>
  </si>
  <si>
    <t>19.213424,72.96819</t>
  </si>
  <si>
    <t>Ajay Songare</t>
  </si>
  <si>
    <t>P51700047152</t>
  </si>
  <si>
    <t xml:space="preserve">Mayur Parte 7700023042 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</si>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</sst>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24" fillId="0" borderId="1" xfId="0" applyFont="1" applyBorder="1"/>
    <xf numFmtId="0" fontId="24" fillId="0" borderId="4" xfId="0" applyFont="1" applyBorder="1"/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264</xdr:row>
      <xdr:rowOff>199569</xdr:rowOff>
    </xdr:from>
    <xdr:to>
      <xdr:col>6</xdr:col>
      <xdr:colOff>295341</xdr:colOff>
      <xdr:row>283</xdr:row>
      <xdr:rowOff>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50577294"/>
          <a:ext cx="421964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533401</xdr:colOff>
      <xdr:row>245</xdr:row>
      <xdr:rowOff>200024</xdr:rowOff>
    </xdr:from>
    <xdr:to>
      <xdr:col>6</xdr:col>
      <xdr:colOff>291579</xdr:colOff>
      <xdr:row>264</xdr:row>
      <xdr:rowOff>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1" y="46777274"/>
          <a:ext cx="421587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638735</xdr:colOff>
      <xdr:row>61</xdr:row>
      <xdr:rowOff>336176</xdr:rowOff>
    </xdr:from>
    <xdr:to>
      <xdr:col>18</xdr:col>
      <xdr:colOff>370242</xdr:colOff>
      <xdr:row>97</xdr:row>
      <xdr:rowOff>112395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00764" y="13895294"/>
          <a:ext cx="4023360" cy="4846320"/>
        </a:xfrm>
        <a:prstGeom prst="rect">
          <a:avLst/>
        </a:prstGeom>
      </xdr:spPr>
    </xdr:pic>
    <xdr:clientData/>
  </xdr:twoCellAnchor>
  <xdr:twoCellAnchor editAs="oneCell">
    <xdr:from>
      <xdr:col>12</xdr:col>
      <xdr:colOff>639856</xdr:colOff>
      <xdr:row>76</xdr:row>
      <xdr:rowOff>47625</xdr:rowOff>
    </xdr:from>
    <xdr:to>
      <xdr:col>18</xdr:col>
      <xdr:colOff>306974</xdr:colOff>
      <xdr:row>112</xdr:row>
      <xdr:rowOff>11766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83956" y="17164050"/>
          <a:ext cx="3953368" cy="499334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203</xdr:row>
      <xdr:rowOff>90486</xdr:rowOff>
    </xdr:from>
    <xdr:to>
      <xdr:col>7</xdr:col>
      <xdr:colOff>740688</xdr:colOff>
      <xdr:row>237</xdr:row>
      <xdr:rowOff>157162</xdr:rowOff>
    </xdr:to>
    <xdr:grpSp>
      <xdr:nvGrpSpPr>
        <xdr:cNvPr id="6" name="Group 5"/>
        <xdr:cNvGrpSpPr/>
      </xdr:nvGrpSpPr>
      <xdr:grpSpPr>
        <a:xfrm>
          <a:off x="323850" y="40924161"/>
          <a:ext cx="6112788" cy="6858001"/>
          <a:chOff x="295275" y="40838436"/>
          <a:chExt cx="6112788" cy="6858001"/>
        </a:xfrm>
      </xdr:grpSpPr>
      <xdr:grpSp>
        <xdr:nvGrpSpPr>
          <xdr:cNvPr id="5" name="Group 4"/>
          <xdr:cNvGrpSpPr/>
        </xdr:nvGrpSpPr>
        <xdr:grpSpPr>
          <a:xfrm>
            <a:off x="295275" y="40924161"/>
            <a:ext cx="6112788" cy="6772276"/>
            <a:chOff x="295275" y="43934061"/>
            <a:chExt cx="6112788" cy="6772276"/>
          </a:xfrm>
        </xdr:grpSpPr>
        <xdr:pic>
          <xdr:nvPicPr>
            <xdr:cNvPr id="52" name="Picture 51" descr="https://vsjcllp.vsjadon.com/upload/insp-239306-1525.jpg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b="6579"/>
            <a:stretch/>
          </xdr:blipFill>
          <xdr:spPr bwMode="auto">
            <a:xfrm>
              <a:off x="4238625" y="47805974"/>
              <a:ext cx="2169438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39306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9150" y="43934061"/>
              <a:ext cx="5029200" cy="37753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39306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275" y="47810737"/>
              <a:ext cx="3857225" cy="2895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6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1952625" y="40838436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K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7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2952750" y="41086086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I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8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3533775" y="41171811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H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4152900" y="41095611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G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0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4752975" y="41286111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F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1" name="TextBox 20">
            <a:extLst>
              <a:ext uri="{FF2B5EF4-FFF2-40B4-BE49-F238E27FC236}">
                <a16:creationId xmlns:a16="http://schemas.microsoft.com/office/drawing/2014/main" xmlns="" id="{E13EDF12-AE81-4C1A-9EB3-D8C38D596DFA}"/>
              </a:ext>
            </a:extLst>
          </xdr:cNvPr>
          <xdr:cNvSpPr txBox="1"/>
        </xdr:nvSpPr>
        <xdr:spPr>
          <a:xfrm>
            <a:off x="2371725" y="40924161"/>
            <a:ext cx="444415" cy="45572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J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o4QyeAiBMXsz4y1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6"/>
  <sheetViews>
    <sheetView tabSelected="1" view="pageBreakPreview" topLeftCell="A218" zoomScaleNormal="100" zoomScaleSheetLayoutView="100" zoomScalePageLayoutView="85" workbookViewId="0">
      <selection activeCell="K236" sqref="K23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1.85546875" style="21" bestFit="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9" ht="46.5" customHeight="1" x14ac:dyDescent="0.25">
      <c r="A1" s="178" t="s">
        <v>204</v>
      </c>
      <c r="B1" s="178"/>
      <c r="C1" s="178"/>
      <c r="D1" s="178"/>
      <c r="E1" s="178"/>
      <c r="F1" s="178"/>
      <c r="G1" s="178"/>
      <c r="H1" s="178"/>
    </row>
    <row r="2" spans="1:9" ht="16.5" customHeight="1" x14ac:dyDescent="0.25">
      <c r="A2" s="179" t="s">
        <v>0</v>
      </c>
      <c r="B2" s="179"/>
      <c r="C2" s="179"/>
      <c r="D2" s="179"/>
      <c r="E2" s="179"/>
      <c r="F2" s="179"/>
      <c r="G2" s="179"/>
      <c r="H2" s="179"/>
    </row>
    <row r="3" spans="1:9" x14ac:dyDescent="0.25">
      <c r="A3" s="153" t="s">
        <v>1</v>
      </c>
      <c r="B3" s="153"/>
      <c r="C3" s="153"/>
      <c r="D3" s="153"/>
      <c r="E3" s="177" t="str">
        <f ca="1">TEXT(TODAY(),"DD/MM/YYYY")</f>
        <v>15/07/2025</v>
      </c>
      <c r="F3" s="153"/>
      <c r="G3" s="153"/>
      <c r="H3" s="153"/>
    </row>
    <row r="4" spans="1:9" ht="15" customHeight="1" x14ac:dyDescent="0.25">
      <c r="A4" s="153" t="s">
        <v>2</v>
      </c>
      <c r="B4" s="153"/>
      <c r="C4" s="153"/>
      <c r="D4" s="153"/>
      <c r="E4" s="153" t="s">
        <v>157</v>
      </c>
      <c r="F4" s="153"/>
      <c r="G4" s="153"/>
      <c r="H4" s="153"/>
    </row>
    <row r="5" spans="1:9" x14ac:dyDescent="0.25">
      <c r="A5" s="153" t="s">
        <v>3</v>
      </c>
      <c r="B5" s="153"/>
      <c r="C5" s="153"/>
      <c r="D5" s="153"/>
      <c r="E5" s="177">
        <v>45847</v>
      </c>
      <c r="F5" s="153"/>
      <c r="G5" s="153"/>
      <c r="H5" s="153"/>
    </row>
    <row r="6" spans="1:9" ht="16.5" customHeight="1" x14ac:dyDescent="0.25">
      <c r="A6" s="153" t="s">
        <v>4</v>
      </c>
      <c r="B6" s="153"/>
      <c r="C6" s="153"/>
      <c r="D6" s="153"/>
      <c r="E6" s="153" t="s">
        <v>158</v>
      </c>
      <c r="F6" s="153"/>
      <c r="G6" s="153"/>
      <c r="H6" s="153"/>
    </row>
    <row r="7" spans="1:9" ht="15" customHeight="1" x14ac:dyDescent="0.25">
      <c r="A7" s="153" t="s">
        <v>5</v>
      </c>
      <c r="B7" s="153"/>
      <c r="C7" s="153"/>
      <c r="D7" s="153"/>
      <c r="E7" s="153" t="str">
        <f>E6</f>
        <v>M/s. Raymond Limited</v>
      </c>
      <c r="F7" s="153"/>
      <c r="G7" s="153"/>
      <c r="H7" s="153"/>
    </row>
    <row r="8" spans="1:9" x14ac:dyDescent="0.25">
      <c r="A8" s="153" t="s">
        <v>6</v>
      </c>
      <c r="B8" s="153"/>
      <c r="C8" s="153"/>
      <c r="D8" s="153"/>
      <c r="E8" s="84" t="s">
        <v>184</v>
      </c>
      <c r="F8" s="84"/>
      <c r="G8" s="84"/>
      <c r="H8" s="84"/>
    </row>
    <row r="9" spans="1:9" x14ac:dyDescent="0.25">
      <c r="A9" s="153" t="s">
        <v>114</v>
      </c>
      <c r="B9" s="153"/>
      <c r="C9" s="153"/>
      <c r="D9" s="153"/>
      <c r="E9" s="153" t="s">
        <v>213</v>
      </c>
      <c r="F9" s="153"/>
      <c r="G9" s="153"/>
      <c r="H9" s="153"/>
    </row>
    <row r="10" spans="1:9" x14ac:dyDescent="0.25">
      <c r="A10" s="153" t="s">
        <v>7</v>
      </c>
      <c r="B10" s="153"/>
      <c r="C10" s="153"/>
      <c r="D10" s="153"/>
      <c r="E10" s="153" t="s">
        <v>185</v>
      </c>
      <c r="F10" s="153"/>
      <c r="G10" s="153"/>
      <c r="H10" s="153"/>
    </row>
    <row r="11" spans="1:9" x14ac:dyDescent="0.25">
      <c r="A11" s="105" t="s">
        <v>8</v>
      </c>
      <c r="B11" s="105"/>
      <c r="C11" s="105"/>
      <c r="D11" s="105"/>
      <c r="E11" s="106" t="s">
        <v>169</v>
      </c>
      <c r="F11" s="106"/>
      <c r="G11" s="106"/>
      <c r="H11" s="106"/>
    </row>
    <row r="12" spans="1:9" ht="33.75" customHeight="1" x14ac:dyDescent="0.25">
      <c r="A12" s="105" t="s">
        <v>9</v>
      </c>
      <c r="B12" s="105"/>
      <c r="C12" s="105"/>
      <c r="D12" s="105"/>
      <c r="E12" s="106" t="s">
        <v>186</v>
      </c>
      <c r="F12" s="153"/>
      <c r="G12" s="153"/>
      <c r="H12" s="153"/>
      <c r="I12" s="21" t="s">
        <v>212</v>
      </c>
    </row>
    <row r="13" spans="1:9" ht="48.75" customHeight="1" x14ac:dyDescent="0.25">
      <c r="A13" s="90" t="s">
        <v>10</v>
      </c>
      <c r="B13" s="90"/>
      <c r="C13" s="90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Ten X Habitat Raymond Realty Tower F &amp; G, Survey No.122, 126B1/1, 126B/2, 126B1/3, 127, 128/B, 129/1, 129/3, near Smt. Sunitidevi Singhania school, Pokharan Road Number 2, , Panchpakhadi, Thane West, Thane, Thane - 400606.</v>
      </c>
      <c r="D13" s="90"/>
      <c r="E13" s="90"/>
      <c r="F13" s="90"/>
      <c r="G13" s="90"/>
      <c r="H13" s="90"/>
    </row>
    <row r="14" spans="1:9" x14ac:dyDescent="0.25">
      <c r="A14" s="106" t="s">
        <v>165</v>
      </c>
      <c r="B14" s="106"/>
      <c r="C14" s="106" t="s">
        <v>177</v>
      </c>
      <c r="D14" s="106"/>
      <c r="E14" s="106"/>
      <c r="F14" s="106"/>
      <c r="G14" s="106"/>
      <c r="H14" s="106"/>
    </row>
    <row r="15" spans="1:9" ht="15.75" hidden="1" customHeight="1" x14ac:dyDescent="0.25">
      <c r="A15" s="120" t="s">
        <v>153</v>
      </c>
      <c r="B15" s="121"/>
      <c r="C15" s="120"/>
      <c r="D15" s="122"/>
      <c r="E15" s="122"/>
      <c r="F15" s="122"/>
      <c r="G15" s="122"/>
      <c r="H15" s="121"/>
    </row>
    <row r="16" spans="1:9" ht="15.75" customHeight="1" x14ac:dyDescent="0.25">
      <c r="A16" s="90" t="s">
        <v>11</v>
      </c>
      <c r="B16" s="90"/>
      <c r="C16" s="153" t="s">
        <v>164</v>
      </c>
      <c r="D16" s="153"/>
      <c r="E16" s="90" t="s">
        <v>154</v>
      </c>
      <c r="F16" s="90"/>
      <c r="G16" s="106" t="s">
        <v>166</v>
      </c>
      <c r="H16" s="106"/>
    </row>
    <row r="17" spans="1:8" x14ac:dyDescent="0.25">
      <c r="A17" s="105" t="s">
        <v>13</v>
      </c>
      <c r="B17" s="105"/>
      <c r="C17" s="106" t="s">
        <v>168</v>
      </c>
      <c r="D17" s="106"/>
      <c r="E17" s="90" t="s">
        <v>12</v>
      </c>
      <c r="F17" s="90"/>
      <c r="G17" s="176" t="s">
        <v>161</v>
      </c>
      <c r="H17" s="176"/>
    </row>
    <row r="18" spans="1:8" x14ac:dyDescent="0.25">
      <c r="A18" s="105" t="s">
        <v>73</v>
      </c>
      <c r="B18" s="105"/>
      <c r="C18" s="106" t="s">
        <v>161</v>
      </c>
      <c r="D18" s="106"/>
      <c r="E18" s="90" t="s">
        <v>14</v>
      </c>
      <c r="F18" s="90"/>
      <c r="G18" s="106">
        <v>400606</v>
      </c>
      <c r="H18" s="106"/>
    </row>
    <row r="19" spans="1:8" ht="32.25" customHeight="1" x14ac:dyDescent="0.25">
      <c r="A19" s="105" t="s">
        <v>116</v>
      </c>
      <c r="B19" s="105"/>
      <c r="C19" s="106" t="s">
        <v>170</v>
      </c>
      <c r="D19" s="106"/>
      <c r="E19" s="90" t="s">
        <v>15</v>
      </c>
      <c r="F19" s="90"/>
      <c r="G19" s="106" t="s">
        <v>167</v>
      </c>
      <c r="H19" s="106"/>
    </row>
    <row r="20" spans="1:8" ht="15" customHeight="1" x14ac:dyDescent="0.25">
      <c r="A20" s="90" t="s">
        <v>75</v>
      </c>
      <c r="B20" s="90"/>
      <c r="C20" s="90"/>
      <c r="D20" s="90"/>
      <c r="E20" s="153" t="s">
        <v>16</v>
      </c>
      <c r="F20" s="153"/>
      <c r="G20" s="153"/>
      <c r="H20" s="153"/>
    </row>
    <row r="21" spans="1:8" ht="18.75" customHeight="1" x14ac:dyDescent="0.25">
      <c r="A21" s="90"/>
      <c r="B21" s="90"/>
      <c r="C21" s="90"/>
      <c r="D21" s="90"/>
      <c r="E21" s="153"/>
      <c r="F21" s="153"/>
      <c r="G21" s="153"/>
      <c r="H21" s="153"/>
    </row>
    <row r="22" spans="1:8" ht="15" customHeight="1" x14ac:dyDescent="0.25">
      <c r="A22" s="90" t="s">
        <v>17</v>
      </c>
      <c r="B22" s="90"/>
      <c r="C22" s="90"/>
      <c r="D22" s="90"/>
      <c r="E22" s="106" t="s">
        <v>18</v>
      </c>
      <c r="F22" s="106"/>
      <c r="G22" s="106"/>
      <c r="H22" s="106"/>
    </row>
    <row r="23" spans="1:8" ht="15" customHeight="1" x14ac:dyDescent="0.25">
      <c r="A23" s="105" t="s">
        <v>19</v>
      </c>
      <c r="B23" s="105"/>
      <c r="C23" s="105"/>
      <c r="D23" s="105"/>
      <c r="E23" s="106" t="str">
        <f>IF(AND(G17="Mumbai"),"Upper Class","Middle Class")</f>
        <v>Middle Class</v>
      </c>
      <c r="F23" s="106"/>
      <c r="G23" s="106"/>
      <c r="H23" s="106"/>
    </row>
    <row r="24" spans="1:8" x14ac:dyDescent="0.25">
      <c r="A24" s="105" t="s">
        <v>20</v>
      </c>
      <c r="B24" s="105"/>
      <c r="C24" s="105"/>
      <c r="D24" s="105"/>
      <c r="E24" s="106" t="s">
        <v>21</v>
      </c>
      <c r="F24" s="106"/>
      <c r="G24" s="106"/>
      <c r="H24" s="106"/>
    </row>
    <row r="25" spans="1:8" ht="15.75" customHeight="1" x14ac:dyDescent="0.25">
      <c r="A25" s="105" t="s">
        <v>22</v>
      </c>
      <c r="B25" s="105"/>
      <c r="C25" s="105"/>
      <c r="D25" s="105"/>
      <c r="E25" s="106" t="str">
        <f>IF(AND(G17="Mumbai"),"Developed","Developing")</f>
        <v>Developing</v>
      </c>
      <c r="F25" s="106"/>
      <c r="G25" s="106"/>
      <c r="H25" s="106"/>
    </row>
    <row r="26" spans="1:8" x14ac:dyDescent="0.25">
      <c r="A26" s="105" t="s">
        <v>23</v>
      </c>
      <c r="B26" s="105"/>
      <c r="C26" s="105"/>
      <c r="D26" s="105"/>
      <c r="E26" s="106" t="s">
        <v>24</v>
      </c>
      <c r="F26" s="106"/>
      <c r="G26" s="106"/>
      <c r="H26" s="106"/>
    </row>
    <row r="27" spans="1:8" ht="15.75" customHeight="1" x14ac:dyDescent="0.25">
      <c r="A27" s="105" t="s">
        <v>80</v>
      </c>
      <c r="B27" s="105"/>
      <c r="C27" s="105"/>
      <c r="D27" s="105"/>
      <c r="E27" s="106" t="s">
        <v>81</v>
      </c>
      <c r="F27" s="106"/>
      <c r="G27" s="106"/>
      <c r="H27" s="106"/>
    </row>
    <row r="28" spans="1:8" ht="15" customHeight="1" x14ac:dyDescent="0.25">
      <c r="A28" s="105" t="s">
        <v>33</v>
      </c>
      <c r="B28" s="105"/>
      <c r="C28" s="105"/>
      <c r="D28" s="105"/>
      <c r="E28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8" s="106"/>
      <c r="G28" s="106"/>
      <c r="H28" s="106"/>
    </row>
    <row r="29" spans="1:8" ht="15.75" customHeight="1" x14ac:dyDescent="0.25">
      <c r="A29" s="105" t="s">
        <v>92</v>
      </c>
      <c r="B29" s="105"/>
      <c r="C29" s="105"/>
      <c r="D29" s="105"/>
      <c r="E29" s="106" t="s">
        <v>34</v>
      </c>
      <c r="F29" s="106"/>
      <c r="G29" s="106"/>
      <c r="H29" s="106"/>
    </row>
    <row r="30" spans="1:8" s="22" customFormat="1" x14ac:dyDescent="0.25">
      <c r="A30" s="175" t="s">
        <v>93</v>
      </c>
      <c r="B30" s="175"/>
      <c r="C30" s="174" t="s">
        <v>29</v>
      </c>
      <c r="D30" s="174"/>
      <c r="E30" s="174"/>
      <c r="F30" s="174" t="s">
        <v>31</v>
      </c>
      <c r="G30" s="174"/>
      <c r="H30" s="174"/>
    </row>
    <row r="31" spans="1:8" s="22" customFormat="1" x14ac:dyDescent="0.25">
      <c r="A31" s="164" t="s">
        <v>25</v>
      </c>
      <c r="B31" s="164" t="s">
        <v>30</v>
      </c>
      <c r="C31" s="165" t="s">
        <v>30</v>
      </c>
      <c r="D31" s="165"/>
      <c r="E31" s="165"/>
      <c r="F31" s="165" t="s">
        <v>172</v>
      </c>
      <c r="G31" s="165"/>
      <c r="H31" s="165"/>
    </row>
    <row r="32" spans="1:8" x14ac:dyDescent="0.25">
      <c r="A32" s="164" t="s">
        <v>26</v>
      </c>
      <c r="B32" s="164" t="s">
        <v>30</v>
      </c>
      <c r="C32" s="165" t="s">
        <v>30</v>
      </c>
      <c r="D32" s="165"/>
      <c r="E32" s="165"/>
      <c r="F32" s="165" t="s">
        <v>171</v>
      </c>
      <c r="G32" s="165"/>
      <c r="H32" s="165"/>
    </row>
    <row r="33" spans="1:8" s="22" customFormat="1" x14ac:dyDescent="0.25">
      <c r="A33" s="164" t="s">
        <v>28</v>
      </c>
      <c r="B33" s="164" t="s">
        <v>30</v>
      </c>
      <c r="C33" s="165" t="s">
        <v>30</v>
      </c>
      <c r="D33" s="165"/>
      <c r="E33" s="165"/>
      <c r="F33" s="165" t="s">
        <v>170</v>
      </c>
      <c r="G33" s="165"/>
      <c r="H33" s="165"/>
    </row>
    <row r="34" spans="1:8" x14ac:dyDescent="0.25">
      <c r="A34" s="164" t="s">
        <v>27</v>
      </c>
      <c r="B34" s="164" t="s">
        <v>30</v>
      </c>
      <c r="C34" s="165" t="s">
        <v>30</v>
      </c>
      <c r="D34" s="165"/>
      <c r="E34" s="165"/>
      <c r="F34" s="165" t="s">
        <v>171</v>
      </c>
      <c r="G34" s="165"/>
      <c r="H34" s="165"/>
    </row>
    <row r="35" spans="1:8" x14ac:dyDescent="0.25">
      <c r="A35" s="105" t="s">
        <v>32</v>
      </c>
      <c r="B35" s="105"/>
      <c r="C35" s="105"/>
      <c r="D35" s="105"/>
      <c r="E35" s="105"/>
      <c r="F35" s="105"/>
      <c r="G35" s="105"/>
      <c r="H35" s="105"/>
    </row>
    <row r="36" spans="1:8" ht="15.75" customHeight="1" x14ac:dyDescent="0.25">
      <c r="A36" s="105" t="s">
        <v>209</v>
      </c>
      <c r="B36" s="105"/>
      <c r="C36" s="66" t="s">
        <v>210</v>
      </c>
      <c r="D36" s="67"/>
      <c r="E36" s="67"/>
      <c r="F36" s="67"/>
      <c r="G36" s="67"/>
      <c r="H36" s="68"/>
    </row>
    <row r="37" spans="1:8" x14ac:dyDescent="0.25">
      <c r="A37" s="105" t="s">
        <v>152</v>
      </c>
      <c r="B37" s="105"/>
      <c r="C37" s="123" t="s">
        <v>162</v>
      </c>
      <c r="D37" s="106"/>
      <c r="E37" s="106"/>
      <c r="F37" s="106"/>
      <c r="G37" s="106"/>
      <c r="H37" s="106"/>
    </row>
    <row r="38" spans="1:8" x14ac:dyDescent="0.25">
      <c r="A38" s="167" t="s">
        <v>35</v>
      </c>
      <c r="B38" s="167"/>
      <c r="C38" s="167"/>
      <c r="D38" s="167"/>
      <c r="E38" s="167"/>
      <c r="F38" s="167"/>
      <c r="G38" s="167"/>
      <c r="H38" s="167"/>
    </row>
    <row r="39" spans="1:8" x14ac:dyDescent="0.25">
      <c r="A39" s="105" t="s">
        <v>36</v>
      </c>
      <c r="B39" s="105"/>
      <c r="C39" s="105"/>
      <c r="D39" s="105"/>
      <c r="E39" s="166">
        <v>62497.59</v>
      </c>
      <c r="F39" s="166"/>
      <c r="G39" s="166"/>
      <c r="H39" s="166"/>
    </row>
    <row r="40" spans="1:8" x14ac:dyDescent="0.25">
      <c r="A40" s="105" t="s">
        <v>37</v>
      </c>
      <c r="B40" s="105"/>
      <c r="C40" s="105"/>
      <c r="D40" s="105"/>
      <c r="E40" s="151">
        <v>1</v>
      </c>
      <c r="F40" s="151"/>
      <c r="G40" s="151"/>
      <c r="H40" s="151"/>
    </row>
    <row r="41" spans="1:8" x14ac:dyDescent="0.25">
      <c r="A41" s="105" t="s">
        <v>38</v>
      </c>
      <c r="B41" s="105"/>
      <c r="C41" s="105"/>
      <c r="D41" s="105"/>
      <c r="E41" s="151">
        <f>E43/E39-E40</f>
        <v>0.86648381161577603</v>
      </c>
      <c r="F41" s="151"/>
      <c r="G41" s="151"/>
      <c r="H41" s="151"/>
    </row>
    <row r="42" spans="1:8" x14ac:dyDescent="0.25">
      <c r="A42" s="105" t="s">
        <v>39</v>
      </c>
      <c r="B42" s="105"/>
      <c r="C42" s="105"/>
      <c r="D42" s="105"/>
      <c r="E42" s="151">
        <f>E40+E41</f>
        <v>1.866483811615776</v>
      </c>
      <c r="F42" s="151"/>
      <c r="G42" s="151"/>
      <c r="H42" s="151"/>
    </row>
    <row r="43" spans="1:8" x14ac:dyDescent="0.25">
      <c r="A43" s="105" t="s">
        <v>91</v>
      </c>
      <c r="B43" s="105"/>
      <c r="C43" s="105"/>
      <c r="D43" s="105"/>
      <c r="E43" s="152">
        <v>116650.74</v>
      </c>
      <c r="F43" s="152"/>
      <c r="G43" s="152"/>
      <c r="H43" s="152"/>
    </row>
    <row r="44" spans="1:8" x14ac:dyDescent="0.25">
      <c r="A44" s="153" t="s">
        <v>40</v>
      </c>
      <c r="B44" s="153"/>
      <c r="C44" s="153"/>
      <c r="D44" s="153"/>
      <c r="E44" s="153" t="s">
        <v>115</v>
      </c>
      <c r="F44" s="153"/>
      <c r="G44" s="153"/>
      <c r="H44" s="153"/>
    </row>
    <row r="45" spans="1:8" x14ac:dyDescent="0.25">
      <c r="A45" s="167" t="s">
        <v>41</v>
      </c>
      <c r="B45" s="167"/>
      <c r="C45" s="167"/>
      <c r="D45" s="167"/>
      <c r="E45" s="167"/>
      <c r="F45" s="167"/>
      <c r="G45" s="167"/>
      <c r="H45" s="167"/>
    </row>
    <row r="46" spans="1:8" ht="33.75" customHeight="1" x14ac:dyDescent="0.25">
      <c r="A46" s="127" t="s">
        <v>144</v>
      </c>
      <c r="B46" s="128"/>
      <c r="C46" s="129" t="s">
        <v>156</v>
      </c>
      <c r="D46" s="130"/>
      <c r="E46" s="130"/>
      <c r="F46" s="130"/>
      <c r="G46" s="130"/>
      <c r="H46" s="131"/>
    </row>
    <row r="47" spans="1:8" ht="15.75" customHeight="1" x14ac:dyDescent="0.25">
      <c r="A47" s="127" t="s">
        <v>42</v>
      </c>
      <c r="B47" s="128"/>
      <c r="C47" s="127" t="s">
        <v>163</v>
      </c>
      <c r="D47" s="163"/>
      <c r="E47" s="128"/>
      <c r="F47" s="18" t="s">
        <v>43</v>
      </c>
      <c r="G47" s="169">
        <v>44733</v>
      </c>
      <c r="H47" s="128"/>
    </row>
    <row r="48" spans="1:8" ht="30" customHeight="1" x14ac:dyDescent="0.25">
      <c r="A48" s="127" t="s">
        <v>44</v>
      </c>
      <c r="B48" s="128"/>
      <c r="C48" s="127" t="s">
        <v>203</v>
      </c>
      <c r="D48" s="163"/>
      <c r="E48" s="128"/>
      <c r="F48" s="18" t="s">
        <v>43</v>
      </c>
      <c r="G48" s="169">
        <v>44921</v>
      </c>
      <c r="H48" s="128"/>
    </row>
    <row r="49" spans="1:14" s="23" customFormat="1" ht="18" customHeight="1" x14ac:dyDescent="0.25">
      <c r="A49" s="170" t="s">
        <v>148</v>
      </c>
      <c r="B49" s="171"/>
      <c r="C49" s="127" t="s">
        <v>187</v>
      </c>
      <c r="D49" s="163"/>
      <c r="E49" s="128"/>
      <c r="F49" s="18" t="s">
        <v>43</v>
      </c>
      <c r="G49" s="169">
        <v>44921</v>
      </c>
      <c r="H49" s="128"/>
    </row>
    <row r="50" spans="1:14" s="23" customFormat="1" x14ac:dyDescent="0.25">
      <c r="A50" s="172"/>
      <c r="B50" s="173"/>
      <c r="C50" s="127" t="s">
        <v>188</v>
      </c>
      <c r="D50" s="163"/>
      <c r="E50" s="163"/>
      <c r="F50" s="163"/>
      <c r="G50" s="163"/>
      <c r="H50" s="128"/>
    </row>
    <row r="51" spans="1:14" x14ac:dyDescent="0.25">
      <c r="A51" s="156" t="s">
        <v>155</v>
      </c>
      <c r="B51" s="157"/>
      <c r="C51" s="160" t="s">
        <v>30</v>
      </c>
      <c r="D51" s="161"/>
      <c r="E51" s="162"/>
      <c r="F51" s="49" t="s">
        <v>43</v>
      </c>
      <c r="G51" s="154" t="s">
        <v>30</v>
      </c>
      <c r="H51" s="155"/>
    </row>
    <row r="52" spans="1:14" hidden="1" x14ac:dyDescent="0.25">
      <c r="A52" s="158"/>
      <c r="B52" s="159"/>
      <c r="C52" s="160" t="s">
        <v>30</v>
      </c>
      <c r="D52" s="161"/>
      <c r="E52" s="161"/>
      <c r="F52" s="161"/>
      <c r="G52" s="161"/>
      <c r="H52" s="162"/>
    </row>
    <row r="53" spans="1:14" x14ac:dyDescent="0.25">
      <c r="A53" s="192" t="s">
        <v>46</v>
      </c>
      <c r="B53" s="192"/>
      <c r="C53" s="192"/>
      <c r="D53" s="192"/>
      <c r="E53" s="192"/>
      <c r="F53" s="192"/>
      <c r="G53" s="192"/>
      <c r="H53" s="192"/>
    </row>
    <row r="54" spans="1:14" x14ac:dyDescent="0.25">
      <c r="A54" s="90" t="s">
        <v>90</v>
      </c>
      <c r="B54" s="90"/>
      <c r="C54" s="90"/>
      <c r="D54" s="105">
        <f>E43</f>
        <v>116650.74</v>
      </c>
      <c r="E54" s="105"/>
      <c r="F54" s="105"/>
      <c r="G54" s="105"/>
      <c r="H54" s="105"/>
    </row>
    <row r="55" spans="1:14" x14ac:dyDescent="0.25">
      <c r="A55" s="106" t="s">
        <v>47</v>
      </c>
      <c r="B55" s="153"/>
      <c r="C55" s="153"/>
      <c r="D55" s="153" t="s">
        <v>199</v>
      </c>
      <c r="E55" s="153"/>
      <c r="F55" s="153"/>
      <c r="G55" s="153"/>
      <c r="H55" s="153"/>
      <c r="I55" s="24"/>
    </row>
    <row r="56" spans="1:14" x14ac:dyDescent="0.25">
      <c r="A56" s="72" t="s">
        <v>48</v>
      </c>
      <c r="B56" s="73"/>
      <c r="C56" s="74"/>
      <c r="D56" s="104" t="s">
        <v>189</v>
      </c>
      <c r="E56" s="168"/>
      <c r="F56" s="168"/>
      <c r="G56" s="168"/>
      <c r="H56" s="168"/>
    </row>
    <row r="57" spans="1:14" ht="15.75" customHeight="1" x14ac:dyDescent="0.25">
      <c r="A57" s="72" t="s">
        <v>88</v>
      </c>
      <c r="B57" s="73"/>
      <c r="C57" s="74"/>
      <c r="D57" s="69" t="s">
        <v>206</v>
      </c>
      <c r="E57" s="70"/>
      <c r="F57" s="70"/>
      <c r="G57" s="70"/>
      <c r="H57" s="71"/>
    </row>
    <row r="58" spans="1:14" ht="15.75" customHeight="1" x14ac:dyDescent="0.25">
      <c r="A58" s="75"/>
      <c r="B58" s="76"/>
      <c r="C58" s="77"/>
      <c r="D58" s="69" t="s">
        <v>207</v>
      </c>
      <c r="E58" s="70"/>
      <c r="F58" s="70"/>
      <c r="G58" s="70"/>
      <c r="H58" s="71"/>
    </row>
    <row r="59" spans="1:14" ht="15.75" customHeight="1" x14ac:dyDescent="0.25">
      <c r="A59" s="105" t="s">
        <v>45</v>
      </c>
      <c r="B59" s="105"/>
      <c r="C59" s="105"/>
      <c r="D59" s="90" t="s">
        <v>160</v>
      </c>
      <c r="E59" s="90"/>
      <c r="F59" s="90"/>
      <c r="G59" s="90"/>
      <c r="H59" s="90"/>
      <c r="J59" s="25"/>
      <c r="K59" s="24"/>
      <c r="N59" s="24"/>
    </row>
    <row r="60" spans="1:14" ht="15.75" customHeight="1" x14ac:dyDescent="0.25">
      <c r="A60" s="105" t="s">
        <v>86</v>
      </c>
      <c r="B60" s="105"/>
      <c r="C60" s="105"/>
      <c r="D60" s="102" t="str">
        <f>(IF(G51="NA","60 Years After Completion",IF(G51&lt;&gt;"NA",""&amp;60-ROUNDDOWN((E3-G51)/360,0)&amp;" Years"," ")))</f>
        <v>60 Years After Completion</v>
      </c>
      <c r="E60" s="102"/>
      <c r="F60" s="102"/>
      <c r="G60" s="102"/>
      <c r="H60" s="102"/>
      <c r="N60" s="24"/>
    </row>
    <row r="61" spans="1:14" ht="15.75" customHeight="1" x14ac:dyDescent="0.25">
      <c r="A61" s="105" t="s">
        <v>87</v>
      </c>
      <c r="B61" s="105"/>
      <c r="C61" s="105"/>
      <c r="D61" s="90" t="s">
        <v>24</v>
      </c>
      <c r="E61" s="90"/>
      <c r="F61" s="90"/>
      <c r="G61" s="90"/>
      <c r="H61" s="90"/>
      <c r="J61" s="26"/>
      <c r="K61" s="26"/>
    </row>
    <row r="62" spans="1:14" ht="31.5" customHeight="1" x14ac:dyDescent="0.25">
      <c r="A62" s="105" t="s">
        <v>74</v>
      </c>
      <c r="B62" s="105"/>
      <c r="C62" s="105"/>
      <c r="D62" s="106" t="s">
        <v>205</v>
      </c>
      <c r="E62" s="90"/>
      <c r="F62" s="90"/>
      <c r="G62" s="90"/>
      <c r="H62" s="90"/>
    </row>
    <row r="63" spans="1:14" x14ac:dyDescent="0.25">
      <c r="A63" s="90" t="s">
        <v>142</v>
      </c>
      <c r="B63" s="90"/>
      <c r="C63" s="90"/>
      <c r="D63" s="90" t="s">
        <v>30</v>
      </c>
      <c r="E63" s="90"/>
      <c r="F63" s="90"/>
      <c r="G63" s="90"/>
      <c r="H63" s="90"/>
      <c r="I63" s="27"/>
      <c r="J63" s="27"/>
      <c r="K63" s="27"/>
      <c r="L63" s="27"/>
      <c r="M63" s="27"/>
      <c r="N63" s="27"/>
    </row>
    <row r="64" spans="1:14" ht="15.75" customHeight="1" x14ac:dyDescent="0.25">
      <c r="A64" s="103" t="s">
        <v>85</v>
      </c>
      <c r="B64" s="103"/>
      <c r="C64" s="103"/>
      <c r="D64" s="104" t="str">
        <f ca="1">(IF(G70&gt;95%,"Nothing",IF(G70&gt;0%,"Cement, Aggregate, Steel, etc",IF(G70=0%,"Work not yet Started"))))</f>
        <v>Cement, Aggregate, Steel, etc</v>
      </c>
      <c r="E64" s="104"/>
      <c r="F64" s="104"/>
      <c r="G64" s="104"/>
      <c r="H64" s="104"/>
      <c r="J64" s="26"/>
    </row>
    <row r="65" spans="1:10" ht="33.75" customHeight="1" thickBot="1" x14ac:dyDescent="0.3">
      <c r="A65" s="107" t="s">
        <v>111</v>
      </c>
      <c r="B65" s="107"/>
      <c r="C65" s="107"/>
      <c r="D65" s="104" t="str">
        <f ca="1">(IF(D64="Nothing","Yes",IF(D64="Cement, Aggregate, Steel, etc","Under Construction",IF(D64="Work not yet Started","Work not yet Started"))))</f>
        <v>Under Construction</v>
      </c>
      <c r="E65" s="104"/>
      <c r="F65" s="104" t="str">
        <f ca="1">(IF(D64="Nothing","Yes",IF(D64="Cement, Aggregate, Steel, etc","Under Construction",IF(D64="Work not yet Started","Work not yet Started"))))</f>
        <v>Under Construction</v>
      </c>
      <c r="G65" s="104"/>
      <c r="H65" s="104"/>
    </row>
    <row r="66" spans="1:10" ht="15.75" customHeight="1" x14ac:dyDescent="0.25">
      <c r="A66" s="78" t="s">
        <v>134</v>
      </c>
      <c r="B66" s="79"/>
      <c r="C66" s="80" t="s">
        <v>189</v>
      </c>
      <c r="D66" s="81"/>
      <c r="E66" s="81"/>
      <c r="F66" s="81"/>
      <c r="G66" s="81"/>
      <c r="H66" s="82"/>
      <c r="I66" s="4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35 Floor, Painting upto 25 Floor Completed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35 Floor, Painting upto 25 Floor</v>
      </c>
    </row>
    <row r="67" spans="1:10" s="23" customFormat="1" x14ac:dyDescent="0.25">
      <c r="A67" s="16" t="s">
        <v>136</v>
      </c>
      <c r="B67" s="65">
        <v>0</v>
      </c>
      <c r="C67" s="65" t="s">
        <v>72</v>
      </c>
      <c r="D67" s="65">
        <v>1</v>
      </c>
      <c r="E67" s="65" t="s">
        <v>71</v>
      </c>
      <c r="F67" s="65">
        <v>0</v>
      </c>
      <c r="G67" s="65" t="s">
        <v>79</v>
      </c>
      <c r="H67" s="17">
        <f ca="1">--TRIM(RIGHT(SUBSTITUTE(LEFT(C66,_xlfn.AGGREGATE(16,6,FIND({0,1,2,3,4,5,6,7,8,9},C66,ROW(INDIRECT("1:"&amp;LEN(C66)))),1))," ",REPT(" ",LEN(C66))),LEN(C66)))</f>
        <v>50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.25" customHeight="1" x14ac:dyDescent="0.25">
      <c r="A68" s="83" t="s">
        <v>89</v>
      </c>
      <c r="B68" s="84"/>
      <c r="C68" s="85" t="str">
        <f ca="1">(IF($C$52=C66,"All work Completed. OC Received.",I66))</f>
        <v>Excavation, Plinth, RCC Slab, Brickwork, Internal Plaster, External Plaster Completed, Flooring upto 35 Floor, Painting upto 25 Floor Completed</v>
      </c>
      <c r="D68" s="85"/>
      <c r="E68" s="85"/>
      <c r="F68" s="85"/>
      <c r="G68" s="85"/>
      <c r="H68" s="86"/>
      <c r="I68" s="47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25">
      <c r="A69" s="87" t="s">
        <v>49</v>
      </c>
      <c r="B69" s="88"/>
      <c r="C69" s="63" t="s">
        <v>133</v>
      </c>
      <c r="D69" s="63" t="s">
        <v>82</v>
      </c>
      <c r="E69" s="88" t="s">
        <v>84</v>
      </c>
      <c r="F69" s="88"/>
      <c r="G69" s="88" t="s">
        <v>83</v>
      </c>
      <c r="H69" s="89"/>
      <c r="I69" s="14" t="s">
        <v>135</v>
      </c>
      <c r="J69" s="28">
        <f ca="1">H67*25%</f>
        <v>12.5</v>
      </c>
    </row>
    <row r="70" spans="1:10" x14ac:dyDescent="0.25">
      <c r="A70" s="87" t="s">
        <v>122</v>
      </c>
      <c r="B70" s="88"/>
      <c r="C70" s="63">
        <f ca="1">J71</f>
        <v>50</v>
      </c>
      <c r="D70" s="19">
        <f ca="1">((100/H67)*C70)/100</f>
        <v>1</v>
      </c>
      <c r="E70" s="91">
        <f ca="1">(((C71/H67*10)+(40/(D67+F67+H67)*C72)+(7.5/(H67)*C73)+(7.5/(H67)*C74)+(10/H67*C75)+(10/H67*C76)+(5/H67*C77)+(5/H67*C78)+(5/H67*C79))/100)</f>
        <v>0.84499999999999997</v>
      </c>
      <c r="F70" s="92"/>
      <c r="G70" s="91">
        <f ca="1">((((C70/H67)*20)+((C71/H67)*25)+(30/(H67+F67+D67)*C72)+(5/H67*C73)+(5/H67*C74)+(5/H67*C75)+(5/H67*C76)+(0/H67*C77)+(0/H67*C78)+(5/H67*C79))/100)</f>
        <v>0.93500000000000005</v>
      </c>
      <c r="H70" s="97"/>
      <c r="I70" s="14" t="s">
        <v>94</v>
      </c>
      <c r="J70" s="29">
        <f ca="1">H67*50%</f>
        <v>25</v>
      </c>
    </row>
    <row r="71" spans="1:10" x14ac:dyDescent="0.25">
      <c r="A71" s="87" t="s">
        <v>50</v>
      </c>
      <c r="B71" s="88"/>
      <c r="C71" s="63">
        <f ca="1">J79</f>
        <v>50</v>
      </c>
      <c r="D71" s="19">
        <f ca="1">((100/H67)*C71)/100</f>
        <v>1</v>
      </c>
      <c r="E71" s="93"/>
      <c r="F71" s="94"/>
      <c r="G71" s="93"/>
      <c r="H71" s="98"/>
      <c r="I71" s="14" t="s">
        <v>95</v>
      </c>
      <c r="J71" s="29">
        <f ca="1">H67</f>
        <v>50</v>
      </c>
    </row>
    <row r="72" spans="1:10" ht="15.75" customHeight="1" x14ac:dyDescent="0.25">
      <c r="A72" s="87" t="s">
        <v>123</v>
      </c>
      <c r="B72" s="88"/>
      <c r="C72" s="63">
        <v>51</v>
      </c>
      <c r="D72" s="19">
        <f ca="1">((100/(D67+F67+H67))*C72)/100</f>
        <v>1</v>
      </c>
      <c r="E72" s="93"/>
      <c r="F72" s="94"/>
      <c r="G72" s="93"/>
      <c r="H72" s="98"/>
      <c r="I72" s="14" t="s">
        <v>96</v>
      </c>
      <c r="J72" s="30">
        <f ca="1">(IF(B67&gt;1,(H67/(B67+2)),H67/4))</f>
        <v>12.5</v>
      </c>
    </row>
    <row r="73" spans="1:10" ht="15.75" customHeight="1" x14ac:dyDescent="0.25">
      <c r="A73" s="87" t="s">
        <v>130</v>
      </c>
      <c r="B73" s="88" t="s">
        <v>124</v>
      </c>
      <c r="C73" s="63">
        <f>C72-1</f>
        <v>50</v>
      </c>
      <c r="D73" s="19">
        <f ca="1">((100/H67)*C73)/100</f>
        <v>1</v>
      </c>
      <c r="E73" s="93"/>
      <c r="F73" s="94"/>
      <c r="G73" s="93"/>
      <c r="H73" s="98"/>
      <c r="I73" s="14" t="s">
        <v>97</v>
      </c>
      <c r="J73" s="30">
        <f ca="1">(IF(B67&gt;1,(H67/(B67+2)+J72),H67/4+J72))</f>
        <v>25</v>
      </c>
    </row>
    <row r="74" spans="1:10" ht="15.75" customHeight="1" x14ac:dyDescent="0.25">
      <c r="A74" s="87" t="s">
        <v>131</v>
      </c>
      <c r="B74" s="88" t="s">
        <v>124</v>
      </c>
      <c r="C74" s="58">
        <v>50</v>
      </c>
      <c r="D74" s="19">
        <f ca="1">((100/H67)*C74)/100</f>
        <v>1</v>
      </c>
      <c r="E74" s="93"/>
      <c r="F74" s="94"/>
      <c r="G74" s="93"/>
      <c r="H74" s="98"/>
      <c r="I74" s="14" t="s">
        <v>140</v>
      </c>
      <c r="J74" s="30">
        <f>(IF(B67&gt;1,(H67/(B67+2)+J73),0))</f>
        <v>0</v>
      </c>
    </row>
    <row r="75" spans="1:10" ht="15" customHeight="1" x14ac:dyDescent="0.25">
      <c r="A75" s="87" t="s">
        <v>129</v>
      </c>
      <c r="B75" s="88" t="s">
        <v>126</v>
      </c>
      <c r="C75" s="58">
        <f>C74</f>
        <v>50</v>
      </c>
      <c r="D75" s="19">
        <f ca="1">((100/(H67))*C75)/100</f>
        <v>1</v>
      </c>
      <c r="E75" s="93"/>
      <c r="F75" s="94"/>
      <c r="G75" s="93"/>
      <c r="H75" s="98"/>
      <c r="I75" s="14" t="s">
        <v>137</v>
      </c>
      <c r="J75" s="30">
        <f>(IF(B67&gt;2,(H67/(B67+2)+J74),0))</f>
        <v>0</v>
      </c>
    </row>
    <row r="76" spans="1:10" ht="15.75" customHeight="1" x14ac:dyDescent="0.25">
      <c r="A76" s="87" t="s">
        <v>125</v>
      </c>
      <c r="B76" s="88" t="s">
        <v>125</v>
      </c>
      <c r="C76" s="63">
        <v>35</v>
      </c>
      <c r="D76" s="19">
        <f ca="1">((100/H67)*C76)/100</f>
        <v>0.7</v>
      </c>
      <c r="E76" s="93"/>
      <c r="F76" s="94"/>
      <c r="G76" s="93"/>
      <c r="H76" s="98"/>
      <c r="I76" s="14" t="s">
        <v>138</v>
      </c>
      <c r="J76" s="31">
        <f>(IF(B67&gt;3,(H67/(B67+2)+J75),0))</f>
        <v>0</v>
      </c>
    </row>
    <row r="77" spans="1:10" ht="15.75" customHeight="1" x14ac:dyDescent="0.25">
      <c r="A77" s="87" t="s">
        <v>132</v>
      </c>
      <c r="B77" s="88"/>
      <c r="C77" s="63">
        <v>25</v>
      </c>
      <c r="D77" s="19">
        <f ca="1">((100/H67)*C77)/100</f>
        <v>0.5</v>
      </c>
      <c r="E77" s="93"/>
      <c r="F77" s="94"/>
      <c r="G77" s="93"/>
      <c r="H77" s="98"/>
      <c r="I77" s="14" t="s">
        <v>139</v>
      </c>
      <c r="J77" s="30">
        <f>(IF(B67&gt;4,(H67/(B67+2)+J76),0))</f>
        <v>0</v>
      </c>
    </row>
    <row r="78" spans="1:10" ht="15.75" customHeight="1" x14ac:dyDescent="0.25">
      <c r="A78" s="87" t="s">
        <v>127</v>
      </c>
      <c r="B78" s="88" t="s">
        <v>127</v>
      </c>
      <c r="C78" s="63">
        <v>0</v>
      </c>
      <c r="D78" s="19">
        <f ca="1">((100/(H67))*C78)/100</f>
        <v>0</v>
      </c>
      <c r="E78" s="93"/>
      <c r="F78" s="94"/>
      <c r="G78" s="93"/>
      <c r="H78" s="98"/>
      <c r="I78" s="14" t="s">
        <v>141</v>
      </c>
      <c r="J78" s="30">
        <f ca="1">(IF(B67=1,(H67/(B67+3)+J73),IF(B67=0,(H67/4+J73),IF(B67&gt;1,0))))</f>
        <v>37.5</v>
      </c>
    </row>
    <row r="79" spans="1:10" ht="16.5" thickBot="1" x14ac:dyDescent="0.3">
      <c r="A79" s="100" t="s">
        <v>128</v>
      </c>
      <c r="B79" s="101"/>
      <c r="C79" s="64">
        <v>0</v>
      </c>
      <c r="D79" s="20">
        <f ca="1">((100/(H67))*C79)/100</f>
        <v>0</v>
      </c>
      <c r="E79" s="95"/>
      <c r="F79" s="96"/>
      <c r="G79" s="95"/>
      <c r="H79" s="99"/>
      <c r="I79" s="15" t="s">
        <v>98</v>
      </c>
      <c r="J79" s="32">
        <f ca="1">(IF(B67&gt;1.5,(H67/(B67+2)+J73+MAX(0,J74-J73)+MAX(0,J75-J74)+MAX(0,J76-J75)+MAX(0,J77-J76)+MAX(0,J78-J77)),IF(B67=1,(H67/(B67+3)+J78),IF(B67=0,H67/4+J78))))</f>
        <v>50</v>
      </c>
    </row>
    <row r="80" spans="1:10" ht="15.75" hidden="1" customHeight="1" x14ac:dyDescent="0.25">
      <c r="A80" s="78" t="s">
        <v>134</v>
      </c>
      <c r="B80" s="79"/>
      <c r="C80" s="80" t="str">
        <f>D58</f>
        <v>Wing G = G + 1st to 50th Floor</v>
      </c>
      <c r="D80" s="81"/>
      <c r="E80" s="81"/>
      <c r="F80" s="81"/>
      <c r="G80" s="81"/>
      <c r="H80" s="82"/>
      <c r="I80" s="45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 Completed, Flooring upto 36 Floor, Painting upto 23 Floor Completed</v>
      </c>
      <c r="J80" s="46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36 Floor, Painting upto 23 Floor</v>
      </c>
    </row>
    <row r="81" spans="1:12" s="23" customFormat="1" hidden="1" x14ac:dyDescent="0.25">
      <c r="A81" s="16" t="s">
        <v>136</v>
      </c>
      <c r="B81" s="65">
        <v>0</v>
      </c>
      <c r="C81" s="65" t="s">
        <v>72</v>
      </c>
      <c r="D81" s="65">
        <v>1</v>
      </c>
      <c r="E81" s="65" t="s">
        <v>71</v>
      </c>
      <c r="F81" s="65">
        <v>0</v>
      </c>
      <c r="G81" s="65" t="s">
        <v>79</v>
      </c>
      <c r="H81" s="17">
        <f ca="1">--TRIM(RIGHT(SUBSTITUTE(LEFT(C80,_xlfn.AGGREGATE(16,6,FIND({0,1,2,3,4,5,6,7,8,9},C80,ROW(INDIRECT("1:"&amp;LEN(C80)))),1))," ",REPT(" ",LEN(C80))),LEN(C80)))</f>
        <v>50</v>
      </c>
      <c r="I81" s="52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81" s="5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t="32.25" hidden="1" customHeight="1" x14ac:dyDescent="0.25">
      <c r="A82" s="83" t="s">
        <v>89</v>
      </c>
      <c r="B82" s="84"/>
      <c r="C82" s="85" t="str">
        <f ca="1">(IF($C$52=C80,"All work Completed. OC Received.",I80))</f>
        <v>Excavation, Plinth, RCC Slab, Brickwork, Internal Plaster, External Plaster Completed, Flooring upto 36 Floor, Painting upto 23 Floor Completed</v>
      </c>
      <c r="D82" s="85"/>
      <c r="E82" s="85"/>
      <c r="F82" s="85"/>
      <c r="G82" s="85"/>
      <c r="H82" s="86"/>
      <c r="I82" s="47" t="str">
        <f ca="1">IF(I81&lt;&gt;""," Completed","")</f>
        <v xml:space="preserve"> Completed</v>
      </c>
      <c r="J82" s="48" t="str">
        <f ca="1">IF(J80&lt;&gt;"","Completed","")</f>
        <v>Completed</v>
      </c>
    </row>
    <row r="83" spans="1:12" ht="15.75" hidden="1" customHeight="1" x14ac:dyDescent="0.25">
      <c r="A83" s="87" t="s">
        <v>49</v>
      </c>
      <c r="B83" s="88"/>
      <c r="C83" s="63" t="s">
        <v>133</v>
      </c>
      <c r="D83" s="63" t="s">
        <v>82</v>
      </c>
      <c r="E83" s="88" t="s">
        <v>84</v>
      </c>
      <c r="F83" s="88"/>
      <c r="G83" s="88" t="s">
        <v>83</v>
      </c>
      <c r="H83" s="89"/>
      <c r="I83" s="14" t="s">
        <v>135</v>
      </c>
      <c r="J83" s="28">
        <f ca="1">H81*25%</f>
        <v>12.5</v>
      </c>
    </row>
    <row r="84" spans="1:12" hidden="1" x14ac:dyDescent="0.25">
      <c r="A84" s="87" t="s">
        <v>122</v>
      </c>
      <c r="B84" s="88"/>
      <c r="C84" s="63">
        <f ca="1">J85</f>
        <v>50</v>
      </c>
      <c r="D84" s="19">
        <f ca="1">((100/H81)*C84)/100</f>
        <v>1</v>
      </c>
      <c r="E84" s="91">
        <f ca="1">(((C85/H81*10)+(40/(D81+F81+H81)*C86)+(7.5/(H81)*C87)+(7.5/(H81)*C88)+(10/H81*C89)+(10/H81*C90)+(5/H81*C91)+(5/H81*C92)+(5/H81*C93))/100)</f>
        <v>0.84499999999999997</v>
      </c>
      <c r="F84" s="92"/>
      <c r="G84" s="91">
        <f ca="1">((((C84/H81)*20)+((C85/H81)*25)+(30/(H81+F81+D81)*C86)+(5/H81*C87)+(5/H81*C88)+(5/H81*C89)+(5/H81*C90)+(0/H81*C91)+(0/H81*C92)+(5/H81*C93))/100)</f>
        <v>0.93599999999999994</v>
      </c>
      <c r="H84" s="97"/>
      <c r="I84" s="14" t="s">
        <v>94</v>
      </c>
      <c r="J84" s="29">
        <f ca="1">H81*50%</f>
        <v>25</v>
      </c>
    </row>
    <row r="85" spans="1:12" hidden="1" x14ac:dyDescent="0.25">
      <c r="A85" s="87" t="s">
        <v>50</v>
      </c>
      <c r="B85" s="88"/>
      <c r="C85" s="63">
        <f ca="1">J93</f>
        <v>50</v>
      </c>
      <c r="D85" s="19">
        <f ca="1">((100/H81)*C85)/100</f>
        <v>1</v>
      </c>
      <c r="E85" s="93"/>
      <c r="F85" s="94"/>
      <c r="G85" s="93"/>
      <c r="H85" s="98"/>
      <c r="I85" s="14" t="s">
        <v>95</v>
      </c>
      <c r="J85" s="29">
        <f ca="1">H81</f>
        <v>50</v>
      </c>
    </row>
    <row r="86" spans="1:12" ht="15.75" hidden="1" customHeight="1" x14ac:dyDescent="0.25">
      <c r="A86" s="87" t="s">
        <v>123</v>
      </c>
      <c r="B86" s="88"/>
      <c r="C86" s="63">
        <v>51</v>
      </c>
      <c r="D86" s="19">
        <f ca="1">((100/(D81+F81+H81))*C86)/100</f>
        <v>1</v>
      </c>
      <c r="E86" s="93"/>
      <c r="F86" s="94"/>
      <c r="G86" s="93"/>
      <c r="H86" s="98"/>
      <c r="I86" s="14" t="s">
        <v>96</v>
      </c>
      <c r="J86" s="30">
        <f ca="1">(IF(B81&gt;1,(H81/(B81+2)),H81/4))</f>
        <v>12.5</v>
      </c>
    </row>
    <row r="87" spans="1:12" ht="15.75" hidden="1" customHeight="1" x14ac:dyDescent="0.25">
      <c r="A87" s="87" t="s">
        <v>130</v>
      </c>
      <c r="B87" s="88" t="s">
        <v>124</v>
      </c>
      <c r="C87" s="63">
        <f>C86-1</f>
        <v>50</v>
      </c>
      <c r="D87" s="19">
        <f ca="1">((100/H81)*C87)/100</f>
        <v>1</v>
      </c>
      <c r="E87" s="93"/>
      <c r="F87" s="94"/>
      <c r="G87" s="93"/>
      <c r="H87" s="98"/>
      <c r="I87" s="14" t="s">
        <v>97</v>
      </c>
      <c r="J87" s="30">
        <f ca="1">(IF(B81&gt;1,(H81/(B81+2)+J86),H81/4+J86))</f>
        <v>25</v>
      </c>
    </row>
    <row r="88" spans="1:12" ht="15.75" hidden="1" customHeight="1" x14ac:dyDescent="0.25">
      <c r="A88" s="87" t="s">
        <v>131</v>
      </c>
      <c r="B88" s="88" t="s">
        <v>124</v>
      </c>
      <c r="C88" s="58">
        <v>50</v>
      </c>
      <c r="D88" s="19">
        <f ca="1">((100/H81)*C88)/100</f>
        <v>1</v>
      </c>
      <c r="E88" s="93"/>
      <c r="F88" s="94"/>
      <c r="G88" s="93"/>
      <c r="H88" s="98"/>
      <c r="I88" s="14" t="s">
        <v>140</v>
      </c>
      <c r="J88" s="30">
        <f>(IF(B81&gt;1,(H81/(B81+2)+J87),0))</f>
        <v>0</v>
      </c>
    </row>
    <row r="89" spans="1:12" ht="15" hidden="1" customHeight="1" x14ac:dyDescent="0.25">
      <c r="A89" s="87" t="s">
        <v>129</v>
      </c>
      <c r="B89" s="88" t="s">
        <v>126</v>
      </c>
      <c r="C89" s="58">
        <f>C88</f>
        <v>50</v>
      </c>
      <c r="D89" s="19">
        <f ca="1">((100/(H81))*C89)/100</f>
        <v>1</v>
      </c>
      <c r="E89" s="93"/>
      <c r="F89" s="94"/>
      <c r="G89" s="93"/>
      <c r="H89" s="98"/>
      <c r="I89" s="14" t="s">
        <v>137</v>
      </c>
      <c r="J89" s="30">
        <f>(IF(B81&gt;2,(H81/(B81+2)+J88),0))</f>
        <v>0</v>
      </c>
    </row>
    <row r="90" spans="1:12" ht="15.75" hidden="1" customHeight="1" x14ac:dyDescent="0.25">
      <c r="A90" s="87" t="s">
        <v>125</v>
      </c>
      <c r="B90" s="88" t="s">
        <v>125</v>
      </c>
      <c r="C90" s="63">
        <v>36</v>
      </c>
      <c r="D90" s="19">
        <f ca="1">((100/H81)*C90)/100</f>
        <v>0.72</v>
      </c>
      <c r="E90" s="93"/>
      <c r="F90" s="94"/>
      <c r="G90" s="93"/>
      <c r="H90" s="98"/>
      <c r="I90" s="14" t="s">
        <v>138</v>
      </c>
      <c r="J90" s="31">
        <f>(IF(B81&gt;3,(H81/(B81+2)+J89),0))</f>
        <v>0</v>
      </c>
    </row>
    <row r="91" spans="1:12" ht="15.75" hidden="1" customHeight="1" x14ac:dyDescent="0.25">
      <c r="A91" s="87" t="s">
        <v>132</v>
      </c>
      <c r="B91" s="88"/>
      <c r="C91" s="63">
        <v>23</v>
      </c>
      <c r="D91" s="19">
        <f ca="1">((100/H81)*C91)/100</f>
        <v>0.46</v>
      </c>
      <c r="E91" s="93"/>
      <c r="F91" s="94"/>
      <c r="G91" s="93"/>
      <c r="H91" s="98"/>
      <c r="I91" s="14" t="s">
        <v>139</v>
      </c>
      <c r="J91" s="30">
        <f>(IF(B81&gt;4,(H81/(B81+2)+J90),0))</f>
        <v>0</v>
      </c>
    </row>
    <row r="92" spans="1:12" ht="15.75" hidden="1" customHeight="1" x14ac:dyDescent="0.25">
      <c r="A92" s="87" t="s">
        <v>127</v>
      </c>
      <c r="B92" s="88" t="s">
        <v>127</v>
      </c>
      <c r="C92" s="63">
        <v>0</v>
      </c>
      <c r="D92" s="19">
        <f ca="1">((100/(H81))*C92)/100</f>
        <v>0</v>
      </c>
      <c r="E92" s="93"/>
      <c r="F92" s="94"/>
      <c r="G92" s="93"/>
      <c r="H92" s="98"/>
      <c r="I92" s="14" t="s">
        <v>141</v>
      </c>
      <c r="J92" s="30">
        <f ca="1">(IF(B81=1,(H81/(B81+3)+J87),IF(B81=0,(H81/4+J87),IF(B81&gt;1,0))))</f>
        <v>37.5</v>
      </c>
    </row>
    <row r="93" spans="1:12" ht="16.5" hidden="1" thickBot="1" x14ac:dyDescent="0.3">
      <c r="A93" s="100" t="s">
        <v>128</v>
      </c>
      <c r="B93" s="101"/>
      <c r="C93" s="64">
        <v>0</v>
      </c>
      <c r="D93" s="20">
        <f ca="1">((100/(H81))*C93)/100</f>
        <v>0</v>
      </c>
      <c r="E93" s="95"/>
      <c r="F93" s="96"/>
      <c r="G93" s="95"/>
      <c r="H93" s="99"/>
      <c r="I93" s="15" t="s">
        <v>98</v>
      </c>
      <c r="J93" s="32">
        <f ca="1">(IF(B81&gt;1.5,(H81/(B81+2)+J87+MAX(0,J88-J87)+MAX(0,J89-J88)+MAX(0,J90-J89)+MAX(0,J91-J90)+MAX(0,J92-J91)),IF(B81=1,(H81/(B81+3)+J92),IF(B81=0,H81/4+J92))))</f>
        <v>50</v>
      </c>
    </row>
    <row r="94" spans="1:12" x14ac:dyDescent="0.25">
      <c r="A94" s="143" t="s">
        <v>149</v>
      </c>
      <c r="B94" s="143"/>
      <c r="C94" s="143"/>
      <c r="D94" s="143"/>
      <c r="E94" s="143"/>
      <c r="F94" s="132" t="s">
        <v>151</v>
      </c>
      <c r="G94" s="132"/>
      <c r="H94" s="132"/>
    </row>
    <row r="95" spans="1:12" x14ac:dyDescent="0.25">
      <c r="A95" s="105" t="s">
        <v>150</v>
      </c>
      <c r="B95" s="105"/>
      <c r="C95" s="105"/>
      <c r="D95" s="105"/>
      <c r="E95" s="105"/>
      <c r="F95" s="191">
        <v>16600</v>
      </c>
      <c r="G95" s="191"/>
      <c r="H95" s="191"/>
      <c r="I95" s="54" t="s">
        <v>178</v>
      </c>
      <c r="J95" s="54" t="s">
        <v>179</v>
      </c>
      <c r="K95" s="54" t="s">
        <v>180</v>
      </c>
      <c r="L95" s="55">
        <v>44887</v>
      </c>
    </row>
    <row r="96" spans="1:12" s="33" customFormat="1" x14ac:dyDescent="0.25">
      <c r="A96" s="105" t="s">
        <v>175</v>
      </c>
      <c r="B96" s="105"/>
      <c r="C96" s="105"/>
      <c r="D96" s="105"/>
      <c r="E96" s="105"/>
      <c r="F96" s="140">
        <v>300000</v>
      </c>
      <c r="G96" s="140"/>
      <c r="H96" s="140"/>
    </row>
    <row r="97" spans="1:14" x14ac:dyDescent="0.25">
      <c r="A97" s="105" t="s">
        <v>51</v>
      </c>
      <c r="B97" s="105"/>
      <c r="C97" s="105"/>
      <c r="D97" s="105"/>
      <c r="E97" s="105"/>
      <c r="F97" s="140">
        <v>800000</v>
      </c>
      <c r="G97" s="140"/>
      <c r="H97" s="140"/>
    </row>
    <row r="98" spans="1:14" s="34" customFormat="1" x14ac:dyDescent="0.25">
      <c r="A98" s="167" t="s">
        <v>52</v>
      </c>
      <c r="B98" s="167"/>
      <c r="C98" s="167"/>
      <c r="D98" s="167"/>
      <c r="E98" s="167"/>
      <c r="F98" s="140">
        <f>F95*0.8</f>
        <v>13280</v>
      </c>
      <c r="G98" s="140"/>
      <c r="H98" s="140"/>
    </row>
    <row r="99" spans="1:14" s="35" customFormat="1" x14ac:dyDescent="0.25">
      <c r="A99" s="149" t="s">
        <v>176</v>
      </c>
      <c r="B99" s="149"/>
      <c r="C99" s="149"/>
      <c r="D99" s="149"/>
      <c r="E99" s="149"/>
      <c r="F99" s="149"/>
      <c r="G99" s="149"/>
      <c r="H99" s="149"/>
    </row>
    <row r="100" spans="1:14" s="35" customFormat="1" ht="15.75" customHeight="1" x14ac:dyDescent="0.25">
      <c r="A100" s="145" t="s">
        <v>53</v>
      </c>
      <c r="B100" s="145"/>
      <c r="C100" s="144" t="s">
        <v>77</v>
      </c>
      <c r="D100" s="144"/>
      <c r="E100" s="193" t="s">
        <v>54</v>
      </c>
      <c r="F100" s="193"/>
      <c r="G100" s="145" t="s">
        <v>55</v>
      </c>
      <c r="H100" s="145"/>
    </row>
    <row r="101" spans="1:14" s="35" customFormat="1" x14ac:dyDescent="0.25">
      <c r="A101" s="148" t="s">
        <v>159</v>
      </c>
      <c r="B101" s="148"/>
      <c r="C101" s="146">
        <f>COUNT(D111:D118)*41+COUNT(D121:D123,D125:D128)*9</f>
        <v>391</v>
      </c>
      <c r="D101" s="146"/>
      <c r="E101" s="147">
        <f>SUM(D111:D118)*41+SUM(D121:D123,D125:D128)*9</f>
        <v>250359.21831959995</v>
      </c>
      <c r="F101" s="147"/>
      <c r="G101" s="147">
        <f>SUM(F111:F118)*41+SUM(F121:F123,F125:F128)*9</f>
        <v>375538.82747939997</v>
      </c>
      <c r="H101" s="147"/>
    </row>
    <row r="102" spans="1:14" s="35" customFormat="1" x14ac:dyDescent="0.25">
      <c r="A102" s="148" t="s">
        <v>190</v>
      </c>
      <c r="B102" s="148"/>
      <c r="C102" s="146">
        <f>COUNT(D132:D137)+COUNT(D139:D144)*12+COUNT(D147:D151)*2+COUNT(D153:D158)*12+COUNT(D161:D165)*3+COUNT(D167:D172)*16+COUNT(D175:D179)*4</f>
        <v>291</v>
      </c>
      <c r="D102" s="146"/>
      <c r="E102" s="147">
        <f>SUM(D132:D137)+SUM(D139:D144)*12+SUM(D147:D151)*2+SUM(D153:D158)*12+SUM(D161:D165)*3+SUM(D167:D172)*16+SUM(D175:D179)*4</f>
        <v>189804.59039879995</v>
      </c>
      <c r="F102" s="147"/>
      <c r="G102" s="147">
        <f>SUM(F132:F137)+SUM(F139:F144)*12+SUM(F147:F151)*2+SUM(F153:F158)*12+SUM(F161:F165)*3+SUM(F167:F172)*16+SUM(F175:F179)*4</f>
        <v>284706.88559819997</v>
      </c>
      <c r="H102" s="147"/>
    </row>
    <row r="103" spans="1:14" s="62" customFormat="1" x14ac:dyDescent="0.25">
      <c r="A103" s="149" t="s">
        <v>198</v>
      </c>
      <c r="B103" s="149"/>
      <c r="C103" s="144">
        <f>SUM(C101:D102)</f>
        <v>682</v>
      </c>
      <c r="D103" s="144"/>
      <c r="E103" s="150">
        <f>SUM(E101:F102)</f>
        <v>440163.8087183999</v>
      </c>
      <c r="F103" s="150"/>
      <c r="G103" s="150">
        <f>SUM(G101:H102)</f>
        <v>660245.71307759988</v>
      </c>
      <c r="H103" s="150"/>
    </row>
    <row r="104" spans="1:14" s="34" customFormat="1" x14ac:dyDescent="0.25">
      <c r="A104" s="179" t="s">
        <v>56</v>
      </c>
      <c r="B104" s="179"/>
      <c r="C104" s="179"/>
      <c r="D104" s="179"/>
      <c r="E104" s="179"/>
      <c r="F104" s="179"/>
      <c r="G104" s="179"/>
      <c r="H104" s="179"/>
    </row>
    <row r="105" spans="1:14" x14ac:dyDescent="0.25">
      <c r="A105" s="179" t="s">
        <v>57</v>
      </c>
      <c r="B105" s="179"/>
      <c r="C105" s="179"/>
      <c r="D105" s="179"/>
      <c r="E105" s="179"/>
      <c r="F105" s="179"/>
      <c r="G105" s="179"/>
      <c r="H105" s="179"/>
    </row>
    <row r="106" spans="1:14" ht="47.25" customHeight="1" x14ac:dyDescent="0.25">
      <c r="A106" s="134" t="s">
        <v>112</v>
      </c>
      <c r="B106" s="134" t="s">
        <v>113</v>
      </c>
      <c r="C106" s="136" t="s">
        <v>58</v>
      </c>
      <c r="D106" s="136" t="s">
        <v>59</v>
      </c>
      <c r="E106" s="187" t="s">
        <v>60</v>
      </c>
      <c r="F106" s="43" t="s">
        <v>143</v>
      </c>
      <c r="G106" s="134" t="s">
        <v>61</v>
      </c>
      <c r="H106" s="189"/>
      <c r="I106" s="36"/>
    </row>
    <row r="107" spans="1:14" s="37" customFormat="1" x14ac:dyDescent="0.25">
      <c r="A107" s="135"/>
      <c r="B107" s="135"/>
      <c r="C107" s="137"/>
      <c r="D107" s="137"/>
      <c r="E107" s="188"/>
      <c r="F107" s="13">
        <v>0.5</v>
      </c>
      <c r="G107" s="135"/>
      <c r="H107" s="190"/>
      <c r="I107" s="36"/>
    </row>
    <row r="108" spans="1:14" s="37" customFormat="1" ht="15.75" customHeight="1" x14ac:dyDescent="0.25">
      <c r="A108" s="109" t="s">
        <v>159</v>
      </c>
      <c r="B108" s="110"/>
      <c r="C108" s="110"/>
      <c r="D108" s="110"/>
      <c r="E108" s="110"/>
      <c r="F108" s="110"/>
      <c r="G108" s="110"/>
      <c r="H108" s="111"/>
      <c r="J108" s="36"/>
    </row>
    <row r="109" spans="1:14" s="37" customFormat="1" ht="15.75" customHeight="1" x14ac:dyDescent="0.25">
      <c r="A109" s="109" t="s">
        <v>173</v>
      </c>
      <c r="B109" s="110"/>
      <c r="C109" s="110"/>
      <c r="D109" s="110"/>
      <c r="E109" s="110"/>
      <c r="F109" s="110"/>
      <c r="G109" s="110"/>
      <c r="H109" s="111"/>
      <c r="J109" s="36"/>
    </row>
    <row r="110" spans="1:14" s="37" customFormat="1" ht="33" customHeight="1" x14ac:dyDescent="0.25">
      <c r="A110" s="180" t="s">
        <v>202</v>
      </c>
      <c r="B110" s="180"/>
      <c r="C110" s="180"/>
      <c r="D110" s="180"/>
      <c r="E110" s="180"/>
      <c r="F110" s="180"/>
      <c r="G110" s="180"/>
      <c r="H110" s="180"/>
      <c r="I110" s="36"/>
      <c r="K110" s="59">
        <f>10.764</f>
        <v>10.763999999999999</v>
      </c>
      <c r="L110" s="119"/>
      <c r="M110" s="119"/>
    </row>
    <row r="111" spans="1:14" s="37" customFormat="1" ht="15.75" customHeight="1" x14ac:dyDescent="0.25">
      <c r="A111" s="108">
        <v>1</v>
      </c>
      <c r="B111" s="108"/>
      <c r="C111" s="50">
        <v>2</v>
      </c>
      <c r="D111" s="59">
        <f>(5.25*3.36+2.15*3.05+3.28*3.05+3.98*3.36+1.52*2.43+1.73*1.07+1.38*2.13+2.39*1.3+0.75*(2.15+3.28))*(10.764)</f>
        <v>680.69275559999994</v>
      </c>
      <c r="E111" s="42">
        <v>0</v>
      </c>
      <c r="F111" s="42">
        <f t="shared" ref="F111:F112" si="0">D111*(($F$107)+1)+(IF(E111&lt;101,E111,IF(E111&lt;201,E111/2,IF(E111&lt;=301,E111/3,E111/4))))</f>
        <v>1021.0391333999999</v>
      </c>
      <c r="G111" s="115" t="str">
        <f>A110</f>
        <v>1st to 6th, 8th to 11th, 13th to 16th, 18th to 21st, 23rd to 26th, 28 to 31st, 33rd to 36th, 38th to 41st, 43rd to 46th &amp; 48th to 50th Floor For Residential</v>
      </c>
      <c r="H111" s="116"/>
      <c r="I111" s="36"/>
      <c r="K111" s="37">
        <f>5.25*3.36+2.15*3.05+3.28*3.05+3.98*3.36+1.52*2.43+1.73*1.07+1.38*2.13</f>
        <v>56.058399999999999</v>
      </c>
      <c r="L111" s="37">
        <f>2.39*1.3</f>
        <v>3.1070000000000002</v>
      </c>
      <c r="M111" s="37">
        <v>649.82375639999998</v>
      </c>
      <c r="N111" s="36"/>
    </row>
    <row r="112" spans="1:14" s="37" customFormat="1" ht="15.75" customHeight="1" x14ac:dyDescent="0.25">
      <c r="A112" s="108">
        <f t="shared" ref="A112:A118" si="1">A111+1</f>
        <v>2</v>
      </c>
      <c r="B112" s="108"/>
      <c r="C112" s="50">
        <v>2</v>
      </c>
      <c r="D112" s="59">
        <f>(4.7*3.05+2.14*2.75+2.75*2.75+3.44*3.05+1.38*2.13+1.58*1.07+1.37*1.84+0.75*(2.14+2.75))*(10.764)</f>
        <v>528.4348991999999</v>
      </c>
      <c r="E112" s="42">
        <v>0</v>
      </c>
      <c r="F112" s="42">
        <f t="shared" si="0"/>
        <v>792.6523487999998</v>
      </c>
      <c r="G112" s="117"/>
      <c r="H112" s="118"/>
      <c r="I112" s="36"/>
      <c r="L112" s="51"/>
      <c r="M112" s="37">
        <v>503.83592999999996</v>
      </c>
      <c r="N112" s="36"/>
    </row>
    <row r="113" spans="1:14" s="37" customFormat="1" ht="15.75" customHeight="1" x14ac:dyDescent="0.25">
      <c r="A113" s="108">
        <f t="shared" si="1"/>
        <v>3</v>
      </c>
      <c r="B113" s="108"/>
      <c r="C113" s="50">
        <v>2</v>
      </c>
      <c r="D113" s="59">
        <f>(4.7*3.05+2.14*2.75+2.75*2.75+3.44*3.05+1.38*2.13+1.58*1.07+1.37*1.84+0.75*(2.14+2.75))*(10.764)</f>
        <v>528.4348991999999</v>
      </c>
      <c r="E113" s="42">
        <v>0</v>
      </c>
      <c r="F113" s="42">
        <f t="shared" ref="F113:F118" si="2">D113*(($F$107)+1)+(IF(E113&lt;101,E113,IF(E113&lt;201,E113/2,IF(E113&lt;=301,E113/3,E113/4))))</f>
        <v>792.6523487999998</v>
      </c>
      <c r="G113" s="117"/>
      <c r="H113" s="118"/>
      <c r="I113" s="36"/>
      <c r="M113" s="37">
        <v>503.83592999999996</v>
      </c>
      <c r="N113" s="36"/>
    </row>
    <row r="114" spans="1:14" s="37" customFormat="1" ht="15.75" customHeight="1" x14ac:dyDescent="0.25">
      <c r="A114" s="108">
        <f t="shared" si="1"/>
        <v>4</v>
      </c>
      <c r="B114" s="108"/>
      <c r="C114" s="50">
        <v>2</v>
      </c>
      <c r="D114" s="59">
        <f>(5.25*3.36+2.15*3.05+3.28*3.05+3.98*3.36+1.52*2.43+1.73*1.07+1.38*2.13+2.39*1.3+0.75*(2.15+3.28))*(10.764)</f>
        <v>680.69275559999994</v>
      </c>
      <c r="E114" s="42">
        <v>0</v>
      </c>
      <c r="F114" s="42">
        <f t="shared" si="2"/>
        <v>1021.0391333999999</v>
      </c>
      <c r="G114" s="117"/>
      <c r="H114" s="118"/>
      <c r="I114" s="36"/>
      <c r="M114" s="37">
        <v>649.462086</v>
      </c>
      <c r="N114" s="36"/>
    </row>
    <row r="115" spans="1:14" s="37" customFormat="1" ht="15.75" customHeight="1" x14ac:dyDescent="0.25">
      <c r="A115" s="108">
        <f t="shared" si="1"/>
        <v>5</v>
      </c>
      <c r="B115" s="108"/>
      <c r="C115" s="50">
        <v>2</v>
      </c>
      <c r="D115" s="59">
        <f>(5.18*3.36+2.15*3.05+3.05*3.28+3.97*3.36+2.43*1.53+1.73*1.07+1.38*2.14+2.39*1.29+0.75*(2.15+3.05))*(10.764)</f>
        <v>676.09545119999996</v>
      </c>
      <c r="E115" s="42">
        <v>0</v>
      </c>
      <c r="F115" s="42">
        <f t="shared" si="2"/>
        <v>1014.1431768</v>
      </c>
      <c r="G115" s="117"/>
      <c r="H115" s="118"/>
      <c r="I115" s="36"/>
      <c r="M115" s="37">
        <v>649.462086</v>
      </c>
      <c r="N115" s="36"/>
    </row>
    <row r="116" spans="1:14" s="37" customFormat="1" ht="15.75" customHeight="1" x14ac:dyDescent="0.25">
      <c r="A116" s="108">
        <f t="shared" si="1"/>
        <v>6</v>
      </c>
      <c r="B116" s="108"/>
      <c r="C116" s="50">
        <v>2</v>
      </c>
      <c r="D116" s="59">
        <f>(5.18*3.36+2.15*3+3*3.28+3.36*4.05+2.65*1.53+1.76*1.07+1.38*2.14+2.39*1.29+0.75*(2.15+3))*(10.764)</f>
        <v>679.63142519999997</v>
      </c>
      <c r="E116" s="42">
        <v>0</v>
      </c>
      <c r="F116" s="42">
        <f t="shared" si="2"/>
        <v>1019.4471378</v>
      </c>
      <c r="G116" s="117"/>
      <c r="H116" s="118"/>
      <c r="I116" s="36"/>
      <c r="M116" s="37">
        <v>646.39649880000002</v>
      </c>
      <c r="N116" s="36"/>
    </row>
    <row r="117" spans="1:14" s="37" customFormat="1" ht="15.75" customHeight="1" x14ac:dyDescent="0.25">
      <c r="A117" s="108">
        <f t="shared" si="1"/>
        <v>7</v>
      </c>
      <c r="B117" s="108"/>
      <c r="C117" s="50">
        <v>2</v>
      </c>
      <c r="D117" s="59">
        <f>(5.18*3.36+2.15*3+3*3.28+3.36*4.05+2.65*1.53+1.76*1.07+1.38*2.14+2.39*1.29+0.75*(2.15+3))*(10.764)</f>
        <v>679.63142519999997</v>
      </c>
      <c r="E117" s="42">
        <v>0</v>
      </c>
      <c r="F117" s="42">
        <f t="shared" si="2"/>
        <v>1019.4471378</v>
      </c>
      <c r="G117" s="117"/>
      <c r="H117" s="118"/>
      <c r="I117" s="36"/>
      <c r="M117" s="37">
        <v>646.39649880000002</v>
      </c>
      <c r="N117" s="36"/>
    </row>
    <row r="118" spans="1:14" s="37" customFormat="1" ht="15.75" customHeight="1" x14ac:dyDescent="0.25">
      <c r="A118" s="108">
        <f t="shared" si="1"/>
        <v>8</v>
      </c>
      <c r="B118" s="108"/>
      <c r="C118" s="50">
        <v>2</v>
      </c>
      <c r="D118" s="59">
        <f>(5.18*3.36+2.15*3.05+3.05*3.28+3.97*3.36+2.43*1.53+1.73*1.07+1.38*2.14+2.39*1.29+0.75*(2.15+3.05))*(10.764)</f>
        <v>676.09545119999996</v>
      </c>
      <c r="E118" s="42">
        <v>0</v>
      </c>
      <c r="F118" s="42">
        <f t="shared" si="2"/>
        <v>1014.1431768</v>
      </c>
      <c r="G118" s="141"/>
      <c r="H118" s="142"/>
      <c r="I118" s="36"/>
      <c r="M118" s="37">
        <v>649.82375639999998</v>
      </c>
      <c r="N118" s="36"/>
    </row>
    <row r="119" spans="1:14" s="56" customFormat="1" ht="15.75" customHeight="1" x14ac:dyDescent="0.25">
      <c r="A119" s="109" t="s">
        <v>182</v>
      </c>
      <c r="B119" s="110"/>
      <c r="C119" s="110"/>
      <c r="D119" s="110"/>
      <c r="E119" s="110"/>
      <c r="F119" s="110"/>
      <c r="G119" s="110"/>
      <c r="H119" s="111"/>
      <c r="I119" s="36"/>
    </row>
    <row r="120" spans="1:14" s="37" customFormat="1" ht="15.75" customHeight="1" x14ac:dyDescent="0.25">
      <c r="A120" s="109" t="s">
        <v>181</v>
      </c>
      <c r="B120" s="110"/>
      <c r="C120" s="110"/>
      <c r="D120" s="110"/>
      <c r="E120" s="110"/>
      <c r="F120" s="110"/>
      <c r="G120" s="110"/>
      <c r="H120" s="111"/>
      <c r="I120" s="36"/>
    </row>
    <row r="121" spans="1:14" s="37" customFormat="1" ht="15.75" customHeight="1" x14ac:dyDescent="0.25">
      <c r="A121" s="138">
        <v>1</v>
      </c>
      <c r="B121" s="139"/>
      <c r="C121" s="50">
        <v>2</v>
      </c>
      <c r="D121" s="59">
        <f>(5.25*3.36+2.15*3.05+3.28*3.05+3.98*3.36+1.52*2.43+1.73*1.07+1.38*2.13+2.39*1.3+0.75*(2.15+3.28))*(10.764)</f>
        <v>680.69275559999994</v>
      </c>
      <c r="E121" s="42">
        <v>0</v>
      </c>
      <c r="F121" s="42">
        <f>D121*(($F$107)+1)+(IF(E121&lt;101,E121,IF(E121&lt;201,E121/2,IF(E121&lt;=301,E121/3,E121/4))))</f>
        <v>1021.0391333999999</v>
      </c>
      <c r="G121" s="115" t="str">
        <f>A120</f>
        <v>7th, 12th, 17th, 22nd, 27th, 32nd, 37th, 42nd &amp; 47th Floor (Part Refuge Area)</v>
      </c>
      <c r="H121" s="116"/>
      <c r="I121" s="36"/>
    </row>
    <row r="122" spans="1:14" s="37" customFormat="1" ht="15.75" customHeight="1" x14ac:dyDescent="0.25">
      <c r="A122" s="138">
        <v>2</v>
      </c>
      <c r="B122" s="139"/>
      <c r="C122" s="50">
        <v>2</v>
      </c>
      <c r="D122" s="59">
        <f>(4.7*3.05+2.14*2.75+2.75*2.75+3.44*3.05+1.38*2.13+1.58*1.07+1.37*1.84+0.75*(2.14+2.75))*(10.764)</f>
        <v>528.4348991999999</v>
      </c>
      <c r="E122" s="42">
        <v>0</v>
      </c>
      <c r="F122" s="42">
        <f>D122*(($F$107)+1)+(IF(E122&lt;101,E122,IF(E122&lt;201,E122/2,IF(E122&lt;=301,E122/3,E122/4))))</f>
        <v>792.6523487999998</v>
      </c>
      <c r="G122" s="117"/>
      <c r="H122" s="118"/>
      <c r="I122" s="36"/>
      <c r="K122" s="37">
        <f>4.7/2.25</f>
        <v>2.088888888888889</v>
      </c>
    </row>
    <row r="123" spans="1:14" s="37" customFormat="1" ht="15.75" customHeight="1" x14ac:dyDescent="0.25">
      <c r="A123" s="138">
        <v>3</v>
      </c>
      <c r="B123" s="139"/>
      <c r="C123" s="50">
        <v>2</v>
      </c>
      <c r="D123" s="59">
        <f>(4.7*3.05+2.14*2.75+2.75*2.75+3.44*3.05+1.38*2.13+1.58*1.07+1.37*1.84+0.75*(2.14+2.75))*(10.764)</f>
        <v>528.4348991999999</v>
      </c>
      <c r="E123" s="42">
        <v>0</v>
      </c>
      <c r="F123" s="42">
        <f>D123*(($F$107)+1)+(IF(E123&lt;101,E123,IF(E123&lt;201,E123/2,IF(E123&lt;=301,E123/3,E123/4))))</f>
        <v>792.6523487999998</v>
      </c>
      <c r="G123" s="117"/>
      <c r="H123" s="118"/>
      <c r="I123" s="36"/>
    </row>
    <row r="124" spans="1:14" s="37" customFormat="1" ht="15.75" customHeight="1" x14ac:dyDescent="0.25">
      <c r="A124" s="138">
        <v>4</v>
      </c>
      <c r="B124" s="139"/>
      <c r="C124" s="112" t="s">
        <v>174</v>
      </c>
      <c r="D124" s="113"/>
      <c r="E124" s="113"/>
      <c r="F124" s="114"/>
      <c r="G124" s="117"/>
      <c r="H124" s="118"/>
      <c r="I124" s="36"/>
    </row>
    <row r="125" spans="1:14" s="37" customFormat="1" ht="15.75" customHeight="1" x14ac:dyDescent="0.25">
      <c r="A125" s="138">
        <v>5</v>
      </c>
      <c r="B125" s="139"/>
      <c r="C125" s="50">
        <v>2</v>
      </c>
      <c r="D125" s="59">
        <f>(5.18*3.36+2.15*3.05+3.05*3.28+3.97*3.36+2.43*1.53+1.73*1.07+1.38*2.14+2.39*1.29+0.75*(2.15+3.05))*(10.764)</f>
        <v>676.09545119999996</v>
      </c>
      <c r="E125" s="42">
        <v>0</v>
      </c>
      <c r="F125" s="42">
        <f>D125*(($F$107)+1)+(IF(E125&lt;101,E125,IF(E125&lt;201,E125/2,IF(E125&lt;=301,E125/3,E125/4))))</f>
        <v>1014.1431768</v>
      </c>
      <c r="G125" s="117"/>
      <c r="H125" s="118"/>
      <c r="I125" s="36"/>
    </row>
    <row r="126" spans="1:14" s="37" customFormat="1" ht="15.75" customHeight="1" x14ac:dyDescent="0.25">
      <c r="A126" s="138">
        <v>6</v>
      </c>
      <c r="B126" s="139"/>
      <c r="C126" s="50">
        <v>2</v>
      </c>
      <c r="D126" s="59">
        <f>(5.18*3.36+2.15*3+3*3.28+3.36*4.05+2.65*1.53+1.76*1.07+1.38*2.14+2.39*1.29+0.75*(2.15+3))*(10.764)</f>
        <v>679.63142519999997</v>
      </c>
      <c r="E126" s="42">
        <v>0</v>
      </c>
      <c r="F126" s="42">
        <f>D126*(($F$107)+1)+(IF(E126&lt;101,E126,IF(E126&lt;201,E126/2,IF(E126&lt;=301,E126/3,E126/4))))</f>
        <v>1019.4471378</v>
      </c>
      <c r="G126" s="117"/>
      <c r="H126" s="118"/>
      <c r="I126" s="36"/>
    </row>
    <row r="127" spans="1:14" s="37" customFormat="1" ht="15.75" customHeight="1" x14ac:dyDescent="0.25">
      <c r="A127" s="138">
        <v>7</v>
      </c>
      <c r="B127" s="139"/>
      <c r="C127" s="50">
        <v>2</v>
      </c>
      <c r="D127" s="59">
        <f>(5.18*3.36+2.15*3+3*3.28+3.36*4.05+2.65*1.53+1.76*1.07+1.38*2.14+2.39*1.29+0.75*(2.15+3))*(10.764)</f>
        <v>679.63142519999997</v>
      </c>
      <c r="E127" s="42">
        <v>0</v>
      </c>
      <c r="F127" s="42">
        <f>D127*(($F$107)+1)+(IF(E127&lt;101,E127,IF(E127&lt;201,E127/2,IF(E127&lt;=301,E127/3,E127/4))))</f>
        <v>1019.4471378</v>
      </c>
      <c r="G127" s="117"/>
      <c r="H127" s="118"/>
      <c r="I127" s="36"/>
    </row>
    <row r="128" spans="1:14" s="37" customFormat="1" ht="15.75" customHeight="1" x14ac:dyDescent="0.25">
      <c r="A128" s="138">
        <v>8</v>
      </c>
      <c r="B128" s="139"/>
      <c r="C128" s="50">
        <v>2</v>
      </c>
      <c r="D128" s="59">
        <f>(5.18*3.36+2.15*3.05+3.05*3.28+3.97*3.36+2.43*1.53+1.73*1.07+1.38*2.14+2.39*1.29+0.75*(2.15+3.05))*(10.764)</f>
        <v>676.09545119999996</v>
      </c>
      <c r="E128" s="42">
        <v>0</v>
      </c>
      <c r="F128" s="42">
        <f>D128*(($F$107)+1)+(IF(E128&lt;101,E128,IF(E128&lt;201,E128/2,IF(E128&lt;=301,E128/3,E128/4))))</f>
        <v>1014.1431768</v>
      </c>
      <c r="G128" s="141"/>
      <c r="H128" s="142"/>
      <c r="I128" s="36"/>
    </row>
    <row r="129" spans="1:14" s="61" customFormat="1" ht="15.75" customHeight="1" x14ac:dyDescent="0.25">
      <c r="A129" s="109" t="s">
        <v>190</v>
      </c>
      <c r="B129" s="110"/>
      <c r="C129" s="110"/>
      <c r="D129" s="110"/>
      <c r="E129" s="110"/>
      <c r="F129" s="110"/>
      <c r="G129" s="110"/>
      <c r="H129" s="111"/>
      <c r="J129" s="36"/>
    </row>
    <row r="130" spans="1:14" s="61" customFormat="1" ht="15.75" customHeight="1" x14ac:dyDescent="0.25">
      <c r="A130" s="109" t="s">
        <v>173</v>
      </c>
      <c r="B130" s="110"/>
      <c r="C130" s="110"/>
      <c r="D130" s="110"/>
      <c r="E130" s="110"/>
      <c r="F130" s="110"/>
      <c r="G130" s="110"/>
      <c r="H130" s="111"/>
      <c r="J130" s="36"/>
    </row>
    <row r="131" spans="1:14" s="61" customFormat="1" x14ac:dyDescent="0.25">
      <c r="A131" s="180" t="s">
        <v>191</v>
      </c>
      <c r="B131" s="180"/>
      <c r="C131" s="180"/>
      <c r="D131" s="180"/>
      <c r="E131" s="180"/>
      <c r="F131" s="180"/>
      <c r="G131" s="180"/>
      <c r="H131" s="180"/>
      <c r="I131" s="36"/>
      <c r="K131" s="59">
        <f>10.764</f>
        <v>10.763999999999999</v>
      </c>
      <c r="L131" s="119"/>
      <c r="M131" s="119"/>
    </row>
    <row r="132" spans="1:14" s="61" customFormat="1" ht="15.75" customHeight="1" x14ac:dyDescent="0.25">
      <c r="A132" s="108">
        <v>1</v>
      </c>
      <c r="B132" s="108"/>
      <c r="C132" s="50">
        <v>2</v>
      </c>
      <c r="D132" s="59">
        <f>(3.05*5.03+1.25*2.47+1.28*1+4.1*3.5+2.9*3.05+2.13*3.05+1.38*1.89+2*1.38+0.75*(2.13+2.9+2.35))*(10.764)</f>
        <v>649.10902679999981</v>
      </c>
      <c r="E132" s="60">
        <v>0</v>
      </c>
      <c r="F132" s="60">
        <f t="shared" ref="F132:F137" si="3">D132*(($F$107)+1)+(IF(E132&lt;101,E132,IF(E132&lt;201,E132/2,IF(E132&lt;=301,E132/3,E132/4))))</f>
        <v>973.66354019999972</v>
      </c>
      <c r="G132" s="115" t="str">
        <f>A131</f>
        <v>1st Floor For Residential</v>
      </c>
      <c r="H132" s="116"/>
      <c r="I132" s="36"/>
      <c r="J132" s="61">
        <v>649.10902679999981</v>
      </c>
      <c r="L132" s="61">
        <f>2.39*1.3</f>
        <v>3.1070000000000002</v>
      </c>
      <c r="M132" s="61">
        <v>649.82375639999998</v>
      </c>
      <c r="N132" s="36"/>
    </row>
    <row r="133" spans="1:14" s="61" customFormat="1" ht="15.75" customHeight="1" x14ac:dyDescent="0.25">
      <c r="A133" s="108">
        <f t="shared" ref="A133:A137" si="4">A132+1</f>
        <v>2</v>
      </c>
      <c r="B133" s="108"/>
      <c r="C133" s="50">
        <v>2</v>
      </c>
      <c r="D133" s="59">
        <f>(3.05*5.03+1.25*2.47+1.28*1+4.1*3.5+2.9*3.05+2.13*3.05+1.38*1.89+2*1.38+0.75*(2.13+2.9+2.35))*(10.764)</f>
        <v>649.10902679999981</v>
      </c>
      <c r="E133" s="60">
        <v>0</v>
      </c>
      <c r="F133" s="60">
        <f t="shared" si="3"/>
        <v>973.66354019999972</v>
      </c>
      <c r="G133" s="117"/>
      <c r="H133" s="118"/>
      <c r="I133" s="36"/>
      <c r="J133" s="61">
        <v>649.10902679999981</v>
      </c>
      <c r="L133" s="51"/>
      <c r="M133" s="61">
        <v>503.83592999999996</v>
      </c>
      <c r="N133" s="36"/>
    </row>
    <row r="134" spans="1:14" s="61" customFormat="1" ht="15.75" customHeight="1" x14ac:dyDescent="0.25">
      <c r="A134" s="108">
        <f t="shared" si="4"/>
        <v>3</v>
      </c>
      <c r="B134" s="108"/>
      <c r="C134" s="50">
        <v>2</v>
      </c>
      <c r="D134" s="59">
        <f>(3.05*4.99+1.24*2.47+1.28*1+4.1*3.5+2.9*3.05+2.13*3.05+1.38*1.89+2*1.38+0.75*(2.13+2.9+2.35))*(10.764)</f>
        <v>647.52994799999988</v>
      </c>
      <c r="E134" s="60">
        <v>0</v>
      </c>
      <c r="F134" s="60">
        <f t="shared" si="3"/>
        <v>971.29492199999981</v>
      </c>
      <c r="G134" s="117"/>
      <c r="H134" s="118"/>
      <c r="I134" s="36"/>
      <c r="J134" s="61">
        <v>647.52994799999988</v>
      </c>
      <c r="M134" s="61">
        <v>503.83592999999996</v>
      </c>
      <c r="N134" s="36"/>
    </row>
    <row r="135" spans="1:14" s="61" customFormat="1" ht="15.75" customHeight="1" x14ac:dyDescent="0.25">
      <c r="A135" s="108">
        <f t="shared" si="4"/>
        <v>4</v>
      </c>
      <c r="B135" s="108"/>
      <c r="C135" s="50">
        <v>2</v>
      </c>
      <c r="D135" s="59">
        <f>(3.22*4.88+1.25*2.55+1.33*1+4.1*3.5+2.9*3.05+2.13*3.05+1.38*1.89+2*1.38+0.75*(2.13+2.9+2.35))*(10.764)</f>
        <v>654.72891119999974</v>
      </c>
      <c r="E135" s="60">
        <v>0</v>
      </c>
      <c r="F135" s="60">
        <f t="shared" si="3"/>
        <v>982.09336679999956</v>
      </c>
      <c r="G135" s="117"/>
      <c r="H135" s="118"/>
      <c r="I135" s="36"/>
      <c r="J135" s="61">
        <v>654.72891119999974</v>
      </c>
      <c r="M135" s="61">
        <v>649.462086</v>
      </c>
      <c r="N135" s="36"/>
    </row>
    <row r="136" spans="1:14" s="61" customFormat="1" ht="15.75" customHeight="1" x14ac:dyDescent="0.25">
      <c r="A136" s="108">
        <f t="shared" si="4"/>
        <v>5</v>
      </c>
      <c r="B136" s="108"/>
      <c r="C136" s="50">
        <v>2</v>
      </c>
      <c r="D136" s="59">
        <f>(3.22*4.88+1.25*2.55+1.33*1+4.1*3.5+2.9*3.05+2.13*3.05+1.38*1.89+2.2*1.38+0.75*(2.13+2.9+2.35))*(10.764)</f>
        <v>657.69977519999975</v>
      </c>
      <c r="E136" s="60">
        <v>0</v>
      </c>
      <c r="F136" s="60">
        <f t="shared" si="3"/>
        <v>986.54966279999962</v>
      </c>
      <c r="G136" s="117"/>
      <c r="H136" s="118"/>
      <c r="I136" s="36"/>
      <c r="J136" s="61">
        <v>657.69977519999975</v>
      </c>
      <c r="M136" s="61">
        <v>649.462086</v>
      </c>
      <c r="N136" s="36"/>
    </row>
    <row r="137" spans="1:14" s="61" customFormat="1" ht="15.75" customHeight="1" x14ac:dyDescent="0.25">
      <c r="A137" s="108">
        <f t="shared" si="4"/>
        <v>6</v>
      </c>
      <c r="B137" s="108"/>
      <c r="C137" s="50">
        <v>2</v>
      </c>
      <c r="D137" s="59">
        <f>(3.2*4.88+1.25*2.63+1.33*1+4.1*3.5+2.9*3.05+2.13*3.05+1.38*1.89+2*1.38+0.75*(2.13+2.9+2.35))*(10.764)</f>
        <v>654.7547447999998</v>
      </c>
      <c r="E137" s="60">
        <v>0</v>
      </c>
      <c r="F137" s="60">
        <f t="shared" si="3"/>
        <v>982.1321171999997</v>
      </c>
      <c r="G137" s="117"/>
      <c r="H137" s="118"/>
      <c r="I137" s="36"/>
      <c r="J137" s="61">
        <v>654.7547447999998</v>
      </c>
      <c r="M137" s="61">
        <v>646.39649880000002</v>
      </c>
      <c r="N137" s="36"/>
    </row>
    <row r="138" spans="1:14" s="61" customFormat="1" ht="15.75" customHeight="1" x14ac:dyDescent="0.25">
      <c r="A138" s="109" t="s">
        <v>192</v>
      </c>
      <c r="B138" s="110"/>
      <c r="C138" s="110"/>
      <c r="D138" s="110"/>
      <c r="E138" s="110"/>
      <c r="F138" s="110"/>
      <c r="G138" s="110"/>
      <c r="H138" s="111"/>
      <c r="I138" s="36"/>
    </row>
    <row r="139" spans="1:14" s="61" customFormat="1" ht="15.75" customHeight="1" x14ac:dyDescent="0.25">
      <c r="A139" s="108">
        <v>1</v>
      </c>
      <c r="B139" s="108"/>
      <c r="C139" s="50">
        <v>2</v>
      </c>
      <c r="D139" s="59">
        <f>(3.05*5.03+1.25*2.47+1.28*1+4.1*3.5+2.9*3.05+2.13*3.05+1.38*1.89+2*1.38+0.75*(2.13+2.9+2.35))*(10.764)</f>
        <v>649.10902679999981</v>
      </c>
      <c r="E139" s="60">
        <v>0</v>
      </c>
      <c r="F139" s="60">
        <f>D139*(($F$107)+1)+(IF(E139&lt;101,E139,IF(E139&lt;201,E139/2,IF(E139&lt;=301,E139/3,E139/4))))</f>
        <v>973.66354019999972</v>
      </c>
      <c r="G139" s="115" t="str">
        <f>A138</f>
        <v>2nd to 6th, 8th to 11th, 13th to 15th Floor For Residential</v>
      </c>
      <c r="H139" s="116"/>
      <c r="I139" s="36"/>
      <c r="N139" s="36"/>
    </row>
    <row r="140" spans="1:14" s="61" customFormat="1" ht="15.75" customHeight="1" x14ac:dyDescent="0.25">
      <c r="A140" s="108">
        <f t="shared" ref="A140:A144" si="5">A139+1</f>
        <v>2</v>
      </c>
      <c r="B140" s="108"/>
      <c r="C140" s="50">
        <v>2</v>
      </c>
      <c r="D140" s="59">
        <f>(3.05*5.03+1.25*2.47+1.28*1+4.1*3.5+2.9*3.05+2.13*3.05+1.38*1.89+2*1.38+0.75*(2.13+2.9+2.35))*(10.764)</f>
        <v>649.10902679999981</v>
      </c>
      <c r="E140" s="60">
        <v>0</v>
      </c>
      <c r="F140" s="60">
        <f t="shared" ref="F140:F144" si="6">D140*(($F$107)+1)+(IF(E140&lt;101,E140,IF(E140&lt;201,E140/2,IF(E140&lt;=301,E140/3,E140/4))))</f>
        <v>973.66354019999972</v>
      </c>
      <c r="G140" s="117"/>
      <c r="H140" s="118"/>
      <c r="I140" s="36"/>
      <c r="L140" s="51"/>
      <c r="N140" s="36"/>
    </row>
    <row r="141" spans="1:14" s="61" customFormat="1" ht="15.75" customHeight="1" x14ac:dyDescent="0.25">
      <c r="A141" s="108">
        <f t="shared" si="5"/>
        <v>3</v>
      </c>
      <c r="B141" s="108"/>
      <c r="C141" s="50">
        <v>2</v>
      </c>
      <c r="D141" s="59">
        <f>(3.05*4.99+1.24*2.47+1.28*1+4.1*3.5+2.9*3.05+2.13*3.05+1.38*1.89+2*1.38+0.75*(2.13+2.9+2.35))*(10.764)</f>
        <v>647.52994799999988</v>
      </c>
      <c r="E141" s="60">
        <v>0</v>
      </c>
      <c r="F141" s="60">
        <f t="shared" si="6"/>
        <v>971.29492199999981</v>
      </c>
      <c r="G141" s="117"/>
      <c r="H141" s="118"/>
      <c r="I141" s="36"/>
      <c r="N141" s="36"/>
    </row>
    <row r="142" spans="1:14" s="61" customFormat="1" ht="15.75" customHeight="1" x14ac:dyDescent="0.25">
      <c r="A142" s="108">
        <f t="shared" si="5"/>
        <v>4</v>
      </c>
      <c r="B142" s="108"/>
      <c r="C142" s="50">
        <v>2</v>
      </c>
      <c r="D142" s="59">
        <f>(3.22*4.88+1.25*2.55+1.33*1+4.1*3.5+2.9*3.05+2.13*3.05+1.38*1.89+2*1.38+0.75*(2.13+2.9+2.35))*(10.764)</f>
        <v>654.72891119999974</v>
      </c>
      <c r="E142" s="60">
        <v>0</v>
      </c>
      <c r="F142" s="60">
        <f t="shared" si="6"/>
        <v>982.09336679999956</v>
      </c>
      <c r="G142" s="117"/>
      <c r="H142" s="118"/>
      <c r="I142" s="36"/>
      <c r="N142" s="36"/>
    </row>
    <row r="143" spans="1:14" s="61" customFormat="1" ht="15.75" customHeight="1" x14ac:dyDescent="0.25">
      <c r="A143" s="108">
        <f t="shared" si="5"/>
        <v>5</v>
      </c>
      <c r="B143" s="108"/>
      <c r="C143" s="50">
        <v>2</v>
      </c>
      <c r="D143" s="59">
        <f>(3.22*4.88+1.25*2.55+1.33*1+4.1*3.5+2.9*3.05+2.13*3.05+1.38*1.89+2.2*1.38+0.75*(2.13+2.9+2.35))*(10.764)</f>
        <v>657.69977519999975</v>
      </c>
      <c r="E143" s="60">
        <v>0</v>
      </c>
      <c r="F143" s="60">
        <f t="shared" si="6"/>
        <v>986.54966279999962</v>
      </c>
      <c r="G143" s="117"/>
      <c r="H143" s="118"/>
      <c r="I143" s="36"/>
      <c r="N143" s="36"/>
    </row>
    <row r="144" spans="1:14" s="61" customFormat="1" ht="15.75" customHeight="1" x14ac:dyDescent="0.25">
      <c r="A144" s="108">
        <f t="shared" si="5"/>
        <v>6</v>
      </c>
      <c r="B144" s="108"/>
      <c r="C144" s="50">
        <v>2</v>
      </c>
      <c r="D144" s="59">
        <f>(3.2*4.88+1.25*2.63+1.33*1+4.1*3.5+2.9*3.05+2.13*3.05+1.38*1.89+2*1.38+0.75*(2.13+2.9+2.35))*(10.764)</f>
        <v>654.7547447999998</v>
      </c>
      <c r="E144" s="60">
        <v>0</v>
      </c>
      <c r="F144" s="60">
        <f t="shared" si="6"/>
        <v>982.1321171999997</v>
      </c>
      <c r="G144" s="117"/>
      <c r="H144" s="118"/>
      <c r="I144" s="36"/>
      <c r="N144" s="36"/>
    </row>
    <row r="145" spans="1:14" s="61" customFormat="1" ht="15.75" customHeight="1" x14ac:dyDescent="0.25">
      <c r="A145" s="109" t="s">
        <v>193</v>
      </c>
      <c r="B145" s="110"/>
      <c r="C145" s="110"/>
      <c r="D145" s="110"/>
      <c r="E145" s="110"/>
      <c r="F145" s="110"/>
      <c r="G145" s="110"/>
      <c r="H145" s="111"/>
      <c r="I145" s="36"/>
    </row>
    <row r="146" spans="1:14" s="61" customFormat="1" ht="15.75" customHeight="1" x14ac:dyDescent="0.25">
      <c r="A146" s="108">
        <v>1</v>
      </c>
      <c r="B146" s="108"/>
      <c r="C146" s="112" t="s">
        <v>174</v>
      </c>
      <c r="D146" s="113"/>
      <c r="E146" s="113"/>
      <c r="F146" s="114"/>
      <c r="G146" s="115" t="str">
        <f>A145</f>
        <v>7th &amp; 12th Floor (Part Refuge Area)</v>
      </c>
      <c r="H146" s="116"/>
      <c r="I146" s="36"/>
      <c r="N146" s="36"/>
    </row>
    <row r="147" spans="1:14" s="61" customFormat="1" ht="15.75" customHeight="1" x14ac:dyDescent="0.25">
      <c r="A147" s="108">
        <f t="shared" ref="A147:A151" si="7">A146+1</f>
        <v>2</v>
      </c>
      <c r="B147" s="108"/>
      <c r="C147" s="50">
        <v>2</v>
      </c>
      <c r="D147" s="59">
        <f>(3.05*5.03+1.25*2.47+1.28*1+4.1*3.5+2.9*3.05+2.13*3.05+1.38*1.89+2*1.38+0.75*(2.13+2.9+2.35))*(10.764)</f>
        <v>649.10902679999981</v>
      </c>
      <c r="E147" s="60">
        <v>0</v>
      </c>
      <c r="F147" s="60">
        <f t="shared" ref="F147:F151" si="8">D147*(($F$107)+1)+(IF(E147&lt;101,E147,IF(E147&lt;201,E147/2,IF(E147&lt;=301,E147/3,E147/4))))</f>
        <v>973.66354019999972</v>
      </c>
      <c r="G147" s="117"/>
      <c r="H147" s="118"/>
      <c r="I147" s="36"/>
      <c r="L147" s="51"/>
      <c r="N147" s="36"/>
    </row>
    <row r="148" spans="1:14" s="61" customFormat="1" ht="15.75" customHeight="1" x14ac:dyDescent="0.25">
      <c r="A148" s="108">
        <f t="shared" si="7"/>
        <v>3</v>
      </c>
      <c r="B148" s="108"/>
      <c r="C148" s="50">
        <v>2</v>
      </c>
      <c r="D148" s="59">
        <f>(3.05*4.99+1.24*2.47+1.28*1+4.1*3.5+2.9*3.05+2.13*3.05+1.38*1.89+2*1.38+0.75*(2.13+2.9+2.35))*(10.764)</f>
        <v>647.52994799999988</v>
      </c>
      <c r="E148" s="60">
        <v>0</v>
      </c>
      <c r="F148" s="60">
        <f t="shared" si="8"/>
        <v>971.29492199999981</v>
      </c>
      <c r="G148" s="117"/>
      <c r="H148" s="118"/>
      <c r="I148" s="36"/>
      <c r="N148" s="36"/>
    </row>
    <row r="149" spans="1:14" s="61" customFormat="1" ht="15.75" customHeight="1" x14ac:dyDescent="0.25">
      <c r="A149" s="108">
        <f t="shared" si="7"/>
        <v>4</v>
      </c>
      <c r="B149" s="108"/>
      <c r="C149" s="50">
        <v>2</v>
      </c>
      <c r="D149" s="59">
        <f>(3.22*4.88+1.25*2.55+1.33*1+4.1*3.5+2.9*3.05+2.13*3.05+1.38*1.89+2*1.38+0.75*(2.13+2.9+2.35))*(10.764)</f>
        <v>654.72891119999974</v>
      </c>
      <c r="E149" s="60">
        <v>0</v>
      </c>
      <c r="F149" s="60">
        <f t="shared" si="8"/>
        <v>982.09336679999956</v>
      </c>
      <c r="G149" s="117"/>
      <c r="H149" s="118"/>
      <c r="I149" s="36"/>
      <c r="N149" s="36"/>
    </row>
    <row r="150" spans="1:14" s="61" customFormat="1" ht="15.75" customHeight="1" x14ac:dyDescent="0.25">
      <c r="A150" s="108">
        <f t="shared" si="7"/>
        <v>5</v>
      </c>
      <c r="B150" s="108"/>
      <c r="C150" s="50">
        <v>2</v>
      </c>
      <c r="D150" s="59">
        <f>(3.22*4.88+1.25*2.55+1.33*1+4.1*3.5+2.9*3.05+2.13*3.05+1.38*1.89+2.2*1.38+0.75*(2.13+2.9+2.35))*(10.764)</f>
        <v>657.69977519999975</v>
      </c>
      <c r="E150" s="60">
        <v>0</v>
      </c>
      <c r="F150" s="60">
        <f t="shared" si="8"/>
        <v>986.54966279999962</v>
      </c>
      <c r="G150" s="117"/>
      <c r="H150" s="118"/>
      <c r="I150" s="36"/>
      <c r="N150" s="36"/>
    </row>
    <row r="151" spans="1:14" s="61" customFormat="1" ht="15.75" customHeight="1" x14ac:dyDescent="0.25">
      <c r="A151" s="108">
        <f t="shared" si="7"/>
        <v>6</v>
      </c>
      <c r="B151" s="108"/>
      <c r="C151" s="50">
        <v>2</v>
      </c>
      <c r="D151" s="59">
        <f>(3.2*4.88+1.25*2.63+1.33*1+4.1*3.5+2.9*3.05+2.13*3.05+1.38*1.89+2*1.38+0.75*(2.13+2.9+2.35))*(10.764)</f>
        <v>654.7547447999998</v>
      </c>
      <c r="E151" s="60">
        <v>0</v>
      </c>
      <c r="F151" s="60">
        <f t="shared" si="8"/>
        <v>982.1321171999997</v>
      </c>
      <c r="G151" s="117"/>
      <c r="H151" s="118"/>
      <c r="I151" s="36"/>
      <c r="N151" s="36"/>
    </row>
    <row r="152" spans="1:14" s="61" customFormat="1" x14ac:dyDescent="0.25">
      <c r="A152" s="180" t="s">
        <v>194</v>
      </c>
      <c r="B152" s="180"/>
      <c r="C152" s="180"/>
      <c r="D152" s="180"/>
      <c r="E152" s="180"/>
      <c r="F152" s="180"/>
      <c r="G152" s="180"/>
      <c r="H152" s="180"/>
      <c r="I152" s="36"/>
      <c r="K152" s="59"/>
      <c r="L152" s="119"/>
      <c r="M152" s="119"/>
    </row>
    <row r="153" spans="1:14" s="61" customFormat="1" ht="15.75" customHeight="1" x14ac:dyDescent="0.25">
      <c r="A153" s="108">
        <v>1</v>
      </c>
      <c r="B153" s="108"/>
      <c r="C153" s="50">
        <v>2</v>
      </c>
      <c r="D153" s="59">
        <f>(3.05*5.03+1.25*2.47+1.28*1+4.1*3.5+2.9*3.05+2.13*3.05+1.38*1.89+2*1.38+0.75*(2.13+2.9+2.35))*(10.764)</f>
        <v>649.10902679999981</v>
      </c>
      <c r="E153" s="60">
        <v>0</v>
      </c>
      <c r="F153" s="60">
        <f>D153*(($F$107)+1)+(IF(E153&lt;101,E153,IF(E153&lt;201,E153/2,IF(E153&lt;=301,E153/3,E153/4))))</f>
        <v>973.66354019999972</v>
      </c>
      <c r="G153" s="115" t="str">
        <f>A152</f>
        <v>16th, 18th to 21st, 23rd to 26th, 28th to 30th Floor</v>
      </c>
      <c r="H153" s="116"/>
      <c r="I153" s="36"/>
      <c r="N153" s="36"/>
    </row>
    <row r="154" spans="1:14" s="61" customFormat="1" ht="15.75" customHeight="1" x14ac:dyDescent="0.25">
      <c r="A154" s="108">
        <f t="shared" ref="A154:A158" si="9">A153+1</f>
        <v>2</v>
      </c>
      <c r="B154" s="108"/>
      <c r="C154" s="50">
        <v>2</v>
      </c>
      <c r="D154" s="59">
        <f>(3.05*5.03+1.25*2.47+1.28*1+4.1*3.5+2.9*3.05+2.13*3.05+1.38*1.89+2*1.38+0.75*(2.13+2.9+2.35))*(10.764)</f>
        <v>649.10902679999981</v>
      </c>
      <c r="E154" s="60">
        <v>0</v>
      </c>
      <c r="F154" s="60">
        <f t="shared" ref="F154:F158" si="10">D154*(($F$107)+1)+(IF(E154&lt;101,E154,IF(E154&lt;201,E154/2,IF(E154&lt;=301,E154/3,E154/4))))</f>
        <v>973.66354019999972</v>
      </c>
      <c r="G154" s="117"/>
      <c r="H154" s="118"/>
      <c r="I154" s="36"/>
      <c r="L154" s="51"/>
      <c r="N154" s="36"/>
    </row>
    <row r="155" spans="1:14" s="61" customFormat="1" ht="15.75" customHeight="1" x14ac:dyDescent="0.25">
      <c r="A155" s="108">
        <f t="shared" si="9"/>
        <v>3</v>
      </c>
      <c r="B155" s="108"/>
      <c r="C155" s="50">
        <v>2</v>
      </c>
      <c r="D155" s="59">
        <f>(3.05*4.99+1.24*2.47+1.28*1+4.1*3.5+2.9*3.05+2.13*3.05+1.38*1.89+2*1.38+0.75*(2.13+2.9+2.35))*(10.764)</f>
        <v>647.52994799999988</v>
      </c>
      <c r="E155" s="60">
        <v>0</v>
      </c>
      <c r="F155" s="60">
        <f t="shared" si="10"/>
        <v>971.29492199999981</v>
      </c>
      <c r="G155" s="117"/>
      <c r="H155" s="118"/>
      <c r="I155" s="36"/>
      <c r="N155" s="36"/>
    </row>
    <row r="156" spans="1:14" s="61" customFormat="1" ht="15.75" customHeight="1" x14ac:dyDescent="0.25">
      <c r="A156" s="108">
        <f t="shared" si="9"/>
        <v>4</v>
      </c>
      <c r="B156" s="108"/>
      <c r="C156" s="50">
        <v>2</v>
      </c>
      <c r="D156" s="59">
        <f>(3.22*4.88+1.25*2.55+1.33*1+4.1*3.5+2.9*3.05+2.13*3.05+1.38*1.89+2*1.38+0.75*(2.13+2.9+2.35))*(10.764)</f>
        <v>654.72891119999974</v>
      </c>
      <c r="E156" s="60">
        <v>0</v>
      </c>
      <c r="F156" s="60">
        <f t="shared" si="10"/>
        <v>982.09336679999956</v>
      </c>
      <c r="G156" s="117"/>
      <c r="H156" s="118"/>
      <c r="I156" s="36"/>
      <c r="N156" s="36"/>
    </row>
    <row r="157" spans="1:14" s="61" customFormat="1" ht="15.75" customHeight="1" x14ac:dyDescent="0.25">
      <c r="A157" s="108">
        <f t="shared" si="9"/>
        <v>5</v>
      </c>
      <c r="B157" s="108"/>
      <c r="C157" s="50">
        <v>2</v>
      </c>
      <c r="D157" s="59">
        <f>(3.22*4.88+1.25*2.55+1.33*1+4.1*3.5+2.9*3.05+2.13*3.05+1.38*1.89+2.2*1.38+0.75*(2.13+2.9+2.35))*(10.764)</f>
        <v>657.69977519999975</v>
      </c>
      <c r="E157" s="60">
        <v>0</v>
      </c>
      <c r="F157" s="60">
        <f t="shared" si="10"/>
        <v>986.54966279999962</v>
      </c>
      <c r="G157" s="117"/>
      <c r="H157" s="118"/>
      <c r="I157" s="36"/>
      <c r="N157" s="36"/>
    </row>
    <row r="158" spans="1:14" s="61" customFormat="1" ht="15.75" customHeight="1" x14ac:dyDescent="0.25">
      <c r="A158" s="108">
        <f t="shared" si="9"/>
        <v>6</v>
      </c>
      <c r="B158" s="108"/>
      <c r="C158" s="50">
        <v>2</v>
      </c>
      <c r="D158" s="59">
        <f>(3.2*4.88+1.25*2.63+1.33*1+4.1*3.5+2.9*3.05+2.13*3.05+1.38*1.89+2*1.38+0.75*(2.13+2.9+2.35))*(10.764)</f>
        <v>654.7547447999998</v>
      </c>
      <c r="E158" s="60">
        <v>0</v>
      </c>
      <c r="F158" s="60">
        <f t="shared" si="10"/>
        <v>982.1321171999997</v>
      </c>
      <c r="G158" s="117"/>
      <c r="H158" s="118"/>
      <c r="I158" s="36"/>
      <c r="N158" s="36"/>
    </row>
    <row r="159" spans="1:14" s="61" customFormat="1" ht="15.75" customHeight="1" x14ac:dyDescent="0.25">
      <c r="A159" s="109" t="s">
        <v>195</v>
      </c>
      <c r="B159" s="110"/>
      <c r="C159" s="110"/>
      <c r="D159" s="110"/>
      <c r="E159" s="110"/>
      <c r="F159" s="110"/>
      <c r="G159" s="110"/>
      <c r="H159" s="111"/>
      <c r="I159" s="36"/>
    </row>
    <row r="160" spans="1:14" s="61" customFormat="1" ht="15.75" customHeight="1" x14ac:dyDescent="0.25">
      <c r="A160" s="108">
        <v>1</v>
      </c>
      <c r="B160" s="108"/>
      <c r="C160" s="112" t="s">
        <v>174</v>
      </c>
      <c r="D160" s="113"/>
      <c r="E160" s="113"/>
      <c r="F160" s="114"/>
      <c r="G160" s="115" t="str">
        <f>A159</f>
        <v>17th, 22nd &amp; 27th Floor (Part Refuge Area)</v>
      </c>
      <c r="H160" s="116"/>
      <c r="I160" s="36"/>
      <c r="N160" s="36"/>
    </row>
    <row r="161" spans="1:14" s="61" customFormat="1" ht="15.75" customHeight="1" x14ac:dyDescent="0.25">
      <c r="A161" s="108">
        <f t="shared" ref="A161:A165" si="11">A160+1</f>
        <v>2</v>
      </c>
      <c r="B161" s="108"/>
      <c r="C161" s="50">
        <v>2</v>
      </c>
      <c r="D161" s="59">
        <f>(3.05*5.03+1.25*2.47+1.28*1+4.1*3.5+2.9*3.05+2.13*3.05+1.38*1.89+2*1.38+0.75*(2.13+2.9+2.35))*(10.764)</f>
        <v>649.10902679999981</v>
      </c>
      <c r="E161" s="60">
        <v>0</v>
      </c>
      <c r="F161" s="60">
        <f t="shared" ref="F161:F165" si="12">D161*(($F$107)+1)+(IF(E161&lt;101,E161,IF(E161&lt;201,E161/2,IF(E161&lt;=301,E161/3,E161/4))))</f>
        <v>973.66354019999972</v>
      </c>
      <c r="G161" s="117"/>
      <c r="H161" s="118"/>
      <c r="I161" s="36"/>
      <c r="L161" s="51"/>
      <c r="N161" s="36"/>
    </row>
    <row r="162" spans="1:14" s="61" customFormat="1" ht="15.75" customHeight="1" x14ac:dyDescent="0.25">
      <c r="A162" s="108">
        <f t="shared" si="11"/>
        <v>3</v>
      </c>
      <c r="B162" s="108"/>
      <c r="C162" s="50">
        <v>2</v>
      </c>
      <c r="D162" s="59">
        <f>(3.05*4.99+1.24*2.47+1.28*1+4.1*3.5+2.9*3.05+2.13*3.05+1.38*1.89+2*1.38+0.75*(2.13+2.9+2.35))*(10.764)</f>
        <v>647.52994799999988</v>
      </c>
      <c r="E162" s="60">
        <v>0</v>
      </c>
      <c r="F162" s="60">
        <f t="shared" si="12"/>
        <v>971.29492199999981</v>
      </c>
      <c r="G162" s="117"/>
      <c r="H162" s="118"/>
      <c r="I162" s="36"/>
      <c r="N162" s="36"/>
    </row>
    <row r="163" spans="1:14" s="61" customFormat="1" ht="15.75" customHeight="1" x14ac:dyDescent="0.25">
      <c r="A163" s="108">
        <f t="shared" si="11"/>
        <v>4</v>
      </c>
      <c r="B163" s="108"/>
      <c r="C163" s="50">
        <v>2</v>
      </c>
      <c r="D163" s="59">
        <f>(3.22*4.88+1.25*2.55+1.33*1+4.1*3.5+2.9*3.05+2.13*3.05+1.38*1.89+2*1.38+0.75*(2.13+2.9+2.35))*(10.764)</f>
        <v>654.72891119999974</v>
      </c>
      <c r="E163" s="60">
        <v>0</v>
      </c>
      <c r="F163" s="60">
        <f t="shared" si="12"/>
        <v>982.09336679999956</v>
      </c>
      <c r="G163" s="117"/>
      <c r="H163" s="118"/>
      <c r="I163" s="36"/>
      <c r="N163" s="36"/>
    </row>
    <row r="164" spans="1:14" s="61" customFormat="1" ht="15.75" customHeight="1" x14ac:dyDescent="0.25">
      <c r="A164" s="108">
        <f t="shared" si="11"/>
        <v>5</v>
      </c>
      <c r="B164" s="108"/>
      <c r="C164" s="50">
        <v>2</v>
      </c>
      <c r="D164" s="59">
        <f>(3.22*4.88+1.25*2.55+1.33*1+4.1*3.5+2.9*3.05+2.13*3.05+1.38*1.89+2.2*1.38+0.75*(2.13+2.9+2.35))*(10.764)</f>
        <v>657.69977519999975</v>
      </c>
      <c r="E164" s="60">
        <v>0</v>
      </c>
      <c r="F164" s="60">
        <f t="shared" si="12"/>
        <v>986.54966279999962</v>
      </c>
      <c r="G164" s="117"/>
      <c r="H164" s="118"/>
      <c r="I164" s="36"/>
      <c r="N164" s="36"/>
    </row>
    <row r="165" spans="1:14" s="61" customFormat="1" ht="15.75" customHeight="1" x14ac:dyDescent="0.25">
      <c r="A165" s="108">
        <f t="shared" si="11"/>
        <v>6</v>
      </c>
      <c r="B165" s="108"/>
      <c r="C165" s="50">
        <v>2</v>
      </c>
      <c r="D165" s="59">
        <f>(3.2*4.88+1.25*2.63+1.33*1+4.1*3.5+2.9*3.05+2.13*3.05+1.38*1.89+2*1.38+0.75*(2.13+2.9+2.35))*(10.764)</f>
        <v>654.7547447999998</v>
      </c>
      <c r="E165" s="60">
        <v>0</v>
      </c>
      <c r="F165" s="60">
        <f t="shared" si="12"/>
        <v>982.1321171999997</v>
      </c>
      <c r="G165" s="117"/>
      <c r="H165" s="118"/>
      <c r="I165" s="36"/>
      <c r="N165" s="36"/>
    </row>
    <row r="166" spans="1:14" s="61" customFormat="1" ht="15.75" customHeight="1" x14ac:dyDescent="0.25">
      <c r="A166" s="109" t="s">
        <v>196</v>
      </c>
      <c r="B166" s="110"/>
      <c r="C166" s="110"/>
      <c r="D166" s="110"/>
      <c r="E166" s="110"/>
      <c r="F166" s="110"/>
      <c r="G166" s="110"/>
      <c r="H166" s="111"/>
      <c r="I166" s="36"/>
    </row>
    <row r="167" spans="1:14" s="61" customFormat="1" ht="15.75" customHeight="1" x14ac:dyDescent="0.25">
      <c r="A167" s="108">
        <v>1</v>
      </c>
      <c r="B167" s="108"/>
      <c r="C167" s="50">
        <v>2</v>
      </c>
      <c r="D167" s="59">
        <f>(3.05*5.03+1.25*2.47+1.28*1+4.1*3.5+2.9*3.05+2.13*3.05+1.38*1.89+2*1.38+0.75*(2.13+2.9+2.35))*(10.764)</f>
        <v>649.10902679999981</v>
      </c>
      <c r="E167" s="60">
        <v>0</v>
      </c>
      <c r="F167" s="60">
        <f>D167*(($F$107)+1)+(IF(E167&lt;101,E167,IF(E167&lt;201,E167/2,IF(E167&lt;=301,E167/3,E167/4))))</f>
        <v>973.66354019999972</v>
      </c>
      <c r="G167" s="115" t="str">
        <f>A166</f>
        <v>31st, 33rd to 36th, 38th to 41st, 43rd to 46th, 48th to 50th Floor</v>
      </c>
      <c r="H167" s="116"/>
      <c r="I167" s="36"/>
      <c r="N167" s="36"/>
    </row>
    <row r="168" spans="1:14" s="61" customFormat="1" ht="15.75" customHeight="1" x14ac:dyDescent="0.25">
      <c r="A168" s="108">
        <f t="shared" ref="A168:A172" si="13">A167+1</f>
        <v>2</v>
      </c>
      <c r="B168" s="108"/>
      <c r="C168" s="50">
        <v>2</v>
      </c>
      <c r="D168" s="59">
        <f>(3.05*5.03+1.25*2.47+1.28*1+4.1*3.5+2.9*3.05+2.13*3.05+1.38*1.89+2*1.38+0.75*(2.13+2.9+2.35))*(10.764)</f>
        <v>649.10902679999981</v>
      </c>
      <c r="E168" s="60">
        <v>0</v>
      </c>
      <c r="F168" s="60">
        <f t="shared" ref="F168:F172" si="14">D168*(($F$107)+1)+(IF(E168&lt;101,E168,IF(E168&lt;201,E168/2,IF(E168&lt;=301,E168/3,E168/4))))</f>
        <v>973.66354019999972</v>
      </c>
      <c r="G168" s="117"/>
      <c r="H168" s="118"/>
      <c r="I168" s="36"/>
      <c r="L168" s="51"/>
      <c r="N168" s="36"/>
    </row>
    <row r="169" spans="1:14" s="61" customFormat="1" ht="15.75" customHeight="1" x14ac:dyDescent="0.25">
      <c r="A169" s="108">
        <f t="shared" si="13"/>
        <v>3</v>
      </c>
      <c r="B169" s="108"/>
      <c r="C169" s="50">
        <v>2</v>
      </c>
      <c r="D169" s="59">
        <f>(3.05*4.99+1.24*2.47+1.28*1+4.1*3.5+2.9*3.05+2.13*3.05+1.38*1.89+2*1.38+0.75*(2.13+2.9+2.35))*(10.764)</f>
        <v>647.52994799999988</v>
      </c>
      <c r="E169" s="60">
        <v>0</v>
      </c>
      <c r="F169" s="60">
        <f t="shared" si="14"/>
        <v>971.29492199999981</v>
      </c>
      <c r="G169" s="117"/>
      <c r="H169" s="118"/>
      <c r="I169" s="36"/>
      <c r="N169" s="36"/>
    </row>
    <row r="170" spans="1:14" s="61" customFormat="1" ht="15.75" customHeight="1" x14ac:dyDescent="0.25">
      <c r="A170" s="108">
        <f t="shared" si="13"/>
        <v>4</v>
      </c>
      <c r="B170" s="108"/>
      <c r="C170" s="50">
        <v>2</v>
      </c>
      <c r="D170" s="59">
        <f>(3.22*4.88+1.25*2.55+1.33*1+4.1*3.5+2.9*3.05+2.13*3.05+1.38*1.89+2*1.38+0.75*(2.13+2.9+2.35))*(10.764)</f>
        <v>654.72891119999974</v>
      </c>
      <c r="E170" s="60">
        <v>0</v>
      </c>
      <c r="F170" s="60">
        <f t="shared" si="14"/>
        <v>982.09336679999956</v>
      </c>
      <c r="G170" s="117"/>
      <c r="H170" s="118"/>
      <c r="I170" s="36"/>
      <c r="N170" s="36"/>
    </row>
    <row r="171" spans="1:14" s="61" customFormat="1" ht="15.75" customHeight="1" x14ac:dyDescent="0.25">
      <c r="A171" s="108">
        <f t="shared" si="13"/>
        <v>5</v>
      </c>
      <c r="B171" s="108"/>
      <c r="C171" s="50">
        <v>2</v>
      </c>
      <c r="D171" s="59">
        <f>(3.22*4.88+1.25*2.55+1.33*1+4.1*3.5+2.9*3.05+2.13*3.05+1.38*1.89+2.2*1.38+0.75*(2.13+2.9+2.35))*(10.764)</f>
        <v>657.69977519999975</v>
      </c>
      <c r="E171" s="60">
        <v>0</v>
      </c>
      <c r="F171" s="60">
        <f t="shared" si="14"/>
        <v>986.54966279999962</v>
      </c>
      <c r="G171" s="117"/>
      <c r="H171" s="118"/>
      <c r="I171" s="36"/>
      <c r="N171" s="36"/>
    </row>
    <row r="172" spans="1:14" s="61" customFormat="1" ht="15.75" customHeight="1" x14ac:dyDescent="0.25">
      <c r="A172" s="108">
        <f t="shared" si="13"/>
        <v>6</v>
      </c>
      <c r="B172" s="108"/>
      <c r="C172" s="50">
        <v>2</v>
      </c>
      <c r="D172" s="59">
        <f>(3.2*4.88+1.25*2.63+1.33*1+4.1*3.5+2.9*3.05+2.13*3.05+1.38*1.89+2*1.38+0.75*(2.13+2.9+2.35))*(10.764)</f>
        <v>654.7547447999998</v>
      </c>
      <c r="E172" s="60">
        <v>0</v>
      </c>
      <c r="F172" s="60">
        <f t="shared" si="14"/>
        <v>982.1321171999997</v>
      </c>
      <c r="G172" s="117"/>
      <c r="H172" s="118"/>
      <c r="I172" s="36"/>
      <c r="N172" s="36"/>
    </row>
    <row r="173" spans="1:14" s="61" customFormat="1" ht="15.75" customHeight="1" x14ac:dyDescent="0.25">
      <c r="A173" s="109" t="s">
        <v>197</v>
      </c>
      <c r="B173" s="110"/>
      <c r="C173" s="110"/>
      <c r="D173" s="110"/>
      <c r="E173" s="110"/>
      <c r="F173" s="110"/>
      <c r="G173" s="110"/>
      <c r="H173" s="111"/>
      <c r="I173" s="36"/>
    </row>
    <row r="174" spans="1:14" s="61" customFormat="1" ht="15.75" customHeight="1" x14ac:dyDescent="0.25">
      <c r="A174" s="108">
        <v>1</v>
      </c>
      <c r="B174" s="108"/>
      <c r="C174" s="112" t="s">
        <v>174</v>
      </c>
      <c r="D174" s="113"/>
      <c r="E174" s="113"/>
      <c r="F174" s="114"/>
      <c r="G174" s="115" t="str">
        <f>A173</f>
        <v>32nd, 37th, 42nd &amp; 47th Floor (Part Refuge Area)</v>
      </c>
      <c r="H174" s="116"/>
      <c r="I174" s="36"/>
      <c r="N174" s="36"/>
    </row>
    <row r="175" spans="1:14" s="61" customFormat="1" ht="15.75" customHeight="1" x14ac:dyDescent="0.25">
      <c r="A175" s="108">
        <f t="shared" ref="A175:A179" si="15">A174+1</f>
        <v>2</v>
      </c>
      <c r="B175" s="108"/>
      <c r="C175" s="50">
        <v>2</v>
      </c>
      <c r="D175" s="59">
        <f>(3.05*5.03+1.25*2.47+1.28*1+4.1*3.5+2.9*3.05+2.13*3.05+1.38*1.89+2*1.38+0.75*(2.13+2.9+2.35))*(10.764)</f>
        <v>649.10902679999981</v>
      </c>
      <c r="E175" s="60">
        <v>0</v>
      </c>
      <c r="F175" s="60">
        <f t="shared" ref="F175:F179" si="16">D175*(($F$107)+1)+(IF(E175&lt;101,E175,IF(E175&lt;201,E175/2,IF(E175&lt;=301,E175/3,E175/4))))</f>
        <v>973.66354019999972</v>
      </c>
      <c r="G175" s="117"/>
      <c r="H175" s="118"/>
      <c r="I175" s="36"/>
      <c r="L175" s="51"/>
      <c r="N175" s="36"/>
    </row>
    <row r="176" spans="1:14" s="61" customFormat="1" ht="15.75" customHeight="1" x14ac:dyDescent="0.25">
      <c r="A176" s="108">
        <f t="shared" si="15"/>
        <v>3</v>
      </c>
      <c r="B176" s="108"/>
      <c r="C176" s="50">
        <v>2</v>
      </c>
      <c r="D176" s="59">
        <f>(3.05*4.99+1.24*2.47+1.28*1+4.1*3.5+2.9*3.05+2.13*3.05+1.38*1.89+2*1.38+0.75*(2.13+2.9+2.35))*(10.764)</f>
        <v>647.52994799999988</v>
      </c>
      <c r="E176" s="60">
        <v>0</v>
      </c>
      <c r="F176" s="60">
        <f t="shared" si="16"/>
        <v>971.29492199999981</v>
      </c>
      <c r="G176" s="117"/>
      <c r="H176" s="118"/>
      <c r="I176" s="36"/>
      <c r="N176" s="36"/>
    </row>
    <row r="177" spans="1:14" s="61" customFormat="1" ht="15.75" customHeight="1" x14ac:dyDescent="0.25">
      <c r="A177" s="108">
        <f t="shared" si="15"/>
        <v>4</v>
      </c>
      <c r="B177" s="108"/>
      <c r="C177" s="50">
        <v>2</v>
      </c>
      <c r="D177" s="59">
        <f>(3.22*4.88+1.25*2.55+1.33*1+4.1*3.5+2.9*3.05+2.13*3.05+1.38*1.89+2*1.38+0.75*(2.13+2.9+2.35))*(10.764)</f>
        <v>654.72891119999974</v>
      </c>
      <c r="E177" s="60">
        <v>0</v>
      </c>
      <c r="F177" s="60">
        <f t="shared" si="16"/>
        <v>982.09336679999956</v>
      </c>
      <c r="G177" s="117"/>
      <c r="H177" s="118"/>
      <c r="I177" s="36"/>
      <c r="N177" s="36"/>
    </row>
    <row r="178" spans="1:14" s="61" customFormat="1" ht="15.75" customHeight="1" x14ac:dyDescent="0.25">
      <c r="A178" s="108">
        <f t="shared" si="15"/>
        <v>5</v>
      </c>
      <c r="B178" s="108"/>
      <c r="C178" s="50">
        <v>2</v>
      </c>
      <c r="D178" s="59">
        <f>(3.22*4.88+1.25*2.55+1.33*1+4.1*3.5+2.9*3.05+2.13*3.05+1.38*1.89+2.2*1.38+0.75*(2.13+2.9+2.35))*(10.764)</f>
        <v>657.69977519999975</v>
      </c>
      <c r="E178" s="60">
        <v>0</v>
      </c>
      <c r="F178" s="60">
        <f t="shared" si="16"/>
        <v>986.54966279999962</v>
      </c>
      <c r="G178" s="117"/>
      <c r="H178" s="118"/>
      <c r="I178" s="36"/>
      <c r="N178" s="36"/>
    </row>
    <row r="179" spans="1:14" s="61" customFormat="1" ht="15.75" customHeight="1" x14ac:dyDescent="0.25">
      <c r="A179" s="108">
        <f t="shared" si="15"/>
        <v>6</v>
      </c>
      <c r="B179" s="108"/>
      <c r="C179" s="50">
        <v>2</v>
      </c>
      <c r="D179" s="59">
        <f>(3.2*4.88+1.25*2.63+1.33*1+4.1*3.5+2.9*3.05+2.13*3.05+1.38*1.89+2*1.38+0.75*(2.13+2.9+2.35))*(10.764)</f>
        <v>654.7547447999998</v>
      </c>
      <c r="E179" s="60">
        <v>0</v>
      </c>
      <c r="F179" s="60">
        <f t="shared" si="16"/>
        <v>982.1321171999997</v>
      </c>
      <c r="G179" s="117"/>
      <c r="H179" s="118"/>
      <c r="I179" s="36"/>
      <c r="N179" s="36"/>
    </row>
    <row r="180" spans="1:14" s="35" customFormat="1" x14ac:dyDescent="0.25">
      <c r="A180" s="133" t="s">
        <v>69</v>
      </c>
      <c r="B180" s="133"/>
      <c r="C180" s="133"/>
      <c r="D180" s="133"/>
      <c r="E180" s="133"/>
      <c r="F180" s="133"/>
      <c r="G180" s="133"/>
      <c r="H180" s="133"/>
    </row>
    <row r="181" spans="1:14" s="35" customFormat="1" x14ac:dyDescent="0.25">
      <c r="A181" s="44" t="s">
        <v>146</v>
      </c>
      <c r="B181" s="181" t="s">
        <v>208</v>
      </c>
      <c r="C181" s="182"/>
      <c r="D181" s="182"/>
      <c r="E181" s="182"/>
      <c r="F181" s="182"/>
      <c r="G181" s="182"/>
      <c r="H181" s="183"/>
    </row>
    <row r="182" spans="1:14" s="35" customFormat="1" x14ac:dyDescent="0.25">
      <c r="A182" s="44" t="s">
        <v>146</v>
      </c>
      <c r="B182" s="181" t="str">
        <f>(IF(F106="Saleable area Loading :","We have considered Saleable area of Flats as per our Calculation.","We considered Saleable area of Flat as per Builder area Sheet."))</f>
        <v>We have considered Saleable area of Flats as per our Calculation.</v>
      </c>
      <c r="C182" s="182"/>
      <c r="D182" s="182"/>
      <c r="E182" s="182"/>
      <c r="F182" s="182"/>
      <c r="G182" s="182"/>
      <c r="H182" s="183"/>
    </row>
    <row r="183" spans="1:14" s="35" customFormat="1" x14ac:dyDescent="0.25">
      <c r="A183" s="44" t="s">
        <v>146</v>
      </c>
      <c r="B183" s="124" t="s">
        <v>117</v>
      </c>
      <c r="C183" s="125"/>
      <c r="D183" s="125"/>
      <c r="E183" s="125"/>
      <c r="F183" s="125"/>
      <c r="G183" s="125"/>
      <c r="H183" s="126"/>
    </row>
    <row r="184" spans="1:14" s="35" customFormat="1" x14ac:dyDescent="0.25">
      <c r="A184" s="44" t="s">
        <v>146</v>
      </c>
      <c r="B184" s="124" t="s">
        <v>183</v>
      </c>
      <c r="C184" s="125"/>
      <c r="D184" s="125"/>
      <c r="E184" s="125"/>
      <c r="F184" s="125"/>
      <c r="G184" s="125"/>
      <c r="H184" s="126"/>
    </row>
    <row r="185" spans="1:14" s="35" customFormat="1" x14ac:dyDescent="0.25">
      <c r="A185" s="44" t="s">
        <v>146</v>
      </c>
      <c r="B185" s="124" t="s">
        <v>145</v>
      </c>
      <c r="C185" s="125"/>
      <c r="D185" s="125"/>
      <c r="E185" s="125"/>
      <c r="F185" s="125"/>
      <c r="G185" s="125"/>
      <c r="H185" s="126"/>
    </row>
    <row r="186" spans="1:14" s="35" customFormat="1" x14ac:dyDescent="0.25">
      <c r="A186" s="44" t="s">
        <v>146</v>
      </c>
      <c r="B186" s="124" t="s">
        <v>118</v>
      </c>
      <c r="C186" s="125"/>
      <c r="D186" s="125"/>
      <c r="E186" s="125"/>
      <c r="F186" s="125"/>
      <c r="G186" s="125"/>
      <c r="H186" s="126"/>
    </row>
    <row r="187" spans="1:14" s="35" customFormat="1" ht="34.5" customHeight="1" x14ac:dyDescent="0.25">
      <c r="A187" s="44" t="s">
        <v>146</v>
      </c>
      <c r="B187" s="124" t="s">
        <v>147</v>
      </c>
      <c r="C187" s="125"/>
      <c r="D187" s="125"/>
      <c r="E187" s="125"/>
      <c r="F187" s="125"/>
      <c r="G187" s="125"/>
      <c r="H187" s="126"/>
    </row>
    <row r="188" spans="1:14" s="35" customFormat="1" x14ac:dyDescent="0.25">
      <c r="A188" s="44" t="s">
        <v>146</v>
      </c>
      <c r="B188" s="124" t="s">
        <v>119</v>
      </c>
      <c r="C188" s="125"/>
      <c r="D188" s="125"/>
      <c r="E188" s="125"/>
      <c r="F188" s="125"/>
      <c r="G188" s="125"/>
      <c r="H188" s="126"/>
    </row>
    <row r="189" spans="1:14" s="35" customFormat="1" x14ac:dyDescent="0.25">
      <c r="A189" s="44" t="s">
        <v>146</v>
      </c>
      <c r="B189" s="181" t="s">
        <v>200</v>
      </c>
      <c r="C189" s="182"/>
      <c r="D189" s="182"/>
      <c r="E189" s="182"/>
      <c r="F189" s="182"/>
      <c r="G189" s="182"/>
      <c r="H189" s="183"/>
    </row>
    <row r="190" spans="1:14" s="35" customFormat="1" x14ac:dyDescent="0.25">
      <c r="A190" s="57" t="s">
        <v>146</v>
      </c>
      <c r="B190" s="181" t="s">
        <v>201</v>
      </c>
      <c r="C190" s="182"/>
      <c r="D190" s="182"/>
      <c r="E190" s="182"/>
      <c r="F190" s="182"/>
      <c r="G190" s="182"/>
      <c r="H190" s="183"/>
    </row>
    <row r="191" spans="1:14" x14ac:dyDescent="0.25">
      <c r="A191" s="192" t="s">
        <v>62</v>
      </c>
      <c r="B191" s="192"/>
      <c r="C191" s="192"/>
      <c r="D191" s="192"/>
      <c r="E191" s="192"/>
      <c r="F191" s="192"/>
      <c r="G191" s="192"/>
      <c r="H191" s="192"/>
    </row>
    <row r="192" spans="1:14" x14ac:dyDescent="0.25">
      <c r="A192" s="105" t="s">
        <v>63</v>
      </c>
      <c r="B192" s="105"/>
      <c r="C192" s="105"/>
      <c r="D192" s="105"/>
      <c r="E192" s="105"/>
      <c r="F192" s="105"/>
      <c r="G192" s="105"/>
      <c r="H192" s="105"/>
    </row>
    <row r="193" spans="1:8" ht="15.75" customHeight="1" x14ac:dyDescent="0.25">
      <c r="A193" s="186" t="s">
        <v>64</v>
      </c>
      <c r="B193" s="186"/>
      <c r="C193" s="186"/>
      <c r="D193" s="186"/>
      <c r="E193" s="186"/>
      <c r="F193" s="186"/>
      <c r="G193" s="186"/>
      <c r="H193" s="186"/>
    </row>
    <row r="194" spans="1:8" x14ac:dyDescent="0.25">
      <c r="A194" s="105" t="s">
        <v>65</v>
      </c>
      <c r="B194" s="105"/>
      <c r="C194" s="105"/>
      <c r="D194" s="105"/>
      <c r="E194" s="105"/>
      <c r="F194" s="105"/>
      <c r="G194" s="105"/>
      <c r="H194" s="105"/>
    </row>
    <row r="195" spans="1:8" x14ac:dyDescent="0.25">
      <c r="A195" s="105" t="s">
        <v>66</v>
      </c>
      <c r="B195" s="105"/>
      <c r="C195" s="105"/>
      <c r="D195" s="105"/>
      <c r="E195" s="105"/>
      <c r="F195" s="105"/>
      <c r="G195" s="105"/>
      <c r="H195" s="105"/>
    </row>
    <row r="196" spans="1:8" x14ac:dyDescent="0.25">
      <c r="A196" s="105" t="s">
        <v>120</v>
      </c>
      <c r="B196" s="105"/>
      <c r="C196" s="105"/>
      <c r="D196" s="105"/>
      <c r="E196" s="105"/>
      <c r="F196" s="105"/>
      <c r="G196" s="105"/>
      <c r="H196" s="105"/>
    </row>
    <row r="197" spans="1:8" ht="35.25" customHeight="1" x14ac:dyDescent="0.25">
      <c r="A197" s="90" t="s">
        <v>121</v>
      </c>
      <c r="B197" s="90"/>
      <c r="C197" s="90"/>
      <c r="D197" s="90"/>
      <c r="E197" s="90"/>
      <c r="F197" s="90"/>
      <c r="G197" s="90"/>
      <c r="H197" s="90"/>
    </row>
    <row r="198" spans="1:8" x14ac:dyDescent="0.25">
      <c r="A198" s="185" t="s">
        <v>76</v>
      </c>
      <c r="B198" s="185"/>
      <c r="C198" s="185" t="s">
        <v>211</v>
      </c>
      <c r="D198" s="185"/>
      <c r="E198" s="185" t="s">
        <v>99</v>
      </c>
      <c r="F198" s="185"/>
      <c r="G198" s="185" t="s">
        <v>214</v>
      </c>
      <c r="H198" s="185"/>
    </row>
    <row r="199" spans="1:8" x14ac:dyDescent="0.25">
      <c r="A199" s="184" t="s">
        <v>78</v>
      </c>
      <c r="B199" s="184"/>
      <c r="C199" s="184"/>
      <c r="D199" s="184"/>
      <c r="E199" s="184"/>
      <c r="F199" s="184"/>
      <c r="G199" s="184"/>
      <c r="H199" s="184"/>
    </row>
    <row r="200" spans="1:8" x14ac:dyDescent="0.25">
      <c r="A200" s="184"/>
      <c r="B200" s="184"/>
      <c r="C200" s="184"/>
      <c r="D200" s="184"/>
      <c r="E200" s="184"/>
      <c r="F200" s="184"/>
      <c r="G200" s="184"/>
      <c r="H200" s="184"/>
    </row>
    <row r="201" spans="1:8" x14ac:dyDescent="0.25">
      <c r="A201" s="184"/>
      <c r="B201" s="184"/>
      <c r="C201" s="184"/>
      <c r="D201" s="184"/>
      <c r="E201" s="184"/>
      <c r="F201" s="184"/>
      <c r="G201" s="184"/>
      <c r="H201" s="184"/>
    </row>
    <row r="202" spans="1:8" x14ac:dyDescent="0.25">
      <c r="A202" s="184"/>
      <c r="B202" s="184"/>
      <c r="C202" s="184"/>
      <c r="D202" s="184"/>
      <c r="E202" s="184"/>
      <c r="F202" s="184"/>
      <c r="G202" s="184"/>
      <c r="H202" s="184"/>
    </row>
    <row r="203" spans="1:8" x14ac:dyDescent="0.25">
      <c r="A203" s="38" t="s">
        <v>67</v>
      </c>
      <c r="B203" s="39"/>
      <c r="C203" s="39"/>
      <c r="D203" s="38" t="str">
        <f>E8</f>
        <v>Ten X Habitat Raymond Realty Tower F &amp; G</v>
      </c>
      <c r="F203" s="39"/>
      <c r="G203" s="39"/>
      <c r="H203" s="39"/>
    </row>
    <row r="204" spans="1:8" x14ac:dyDescent="0.25">
      <c r="A204" s="39"/>
      <c r="B204" s="39"/>
      <c r="C204" s="39"/>
      <c r="D204" s="39"/>
      <c r="E204" s="39"/>
      <c r="F204" s="39"/>
      <c r="G204" s="39"/>
      <c r="H204" s="39"/>
    </row>
    <row r="205" spans="1:8" x14ac:dyDescent="0.25">
      <c r="A205" s="39"/>
      <c r="B205" s="39"/>
      <c r="C205" s="39"/>
      <c r="D205" s="39"/>
      <c r="E205" s="39"/>
      <c r="F205" s="39"/>
      <c r="G205" s="39"/>
      <c r="H205" s="39"/>
    </row>
    <row r="206" spans="1:8" ht="15" customHeight="1" x14ac:dyDescent="0.25"/>
    <row r="246" spans="1:1" x14ac:dyDescent="0.25">
      <c r="A246" s="41" t="s">
        <v>68</v>
      </c>
    </row>
  </sheetData>
  <mergeCells count="320">
    <mergeCell ref="C47:E47"/>
    <mergeCell ref="G47:H47"/>
    <mergeCell ref="G49:H49"/>
    <mergeCell ref="D54:H54"/>
    <mergeCell ref="C49:E49"/>
    <mergeCell ref="D57:H57"/>
    <mergeCell ref="C48:E48"/>
    <mergeCell ref="C51:E51"/>
    <mergeCell ref="A48:B48"/>
    <mergeCell ref="A53:H53"/>
    <mergeCell ref="A196:H196"/>
    <mergeCell ref="A193:H193"/>
    <mergeCell ref="A111:B111"/>
    <mergeCell ref="A100:B100"/>
    <mergeCell ref="D106:D107"/>
    <mergeCell ref="E106:E107"/>
    <mergeCell ref="G106:H107"/>
    <mergeCell ref="A75:B75"/>
    <mergeCell ref="F95:H95"/>
    <mergeCell ref="G101:H101"/>
    <mergeCell ref="A191:H191"/>
    <mergeCell ref="A192:H192"/>
    <mergeCell ref="E100:F100"/>
    <mergeCell ref="B188:H188"/>
    <mergeCell ref="B189:H189"/>
    <mergeCell ref="B186:H186"/>
    <mergeCell ref="A104:H104"/>
    <mergeCell ref="A122:B122"/>
    <mergeCell ref="A105:H105"/>
    <mergeCell ref="G103:H103"/>
    <mergeCell ref="A97:E97"/>
    <mergeCell ref="F97:H97"/>
    <mergeCell ref="A98:E98"/>
    <mergeCell ref="F98:H98"/>
    <mergeCell ref="A199:H202"/>
    <mergeCell ref="A198:B198"/>
    <mergeCell ref="E198:F198"/>
    <mergeCell ref="C198:D198"/>
    <mergeCell ref="G198:H198"/>
    <mergeCell ref="A197:H197"/>
    <mergeCell ref="A195:H195"/>
    <mergeCell ref="A131:H131"/>
    <mergeCell ref="A153:B153"/>
    <mergeCell ref="G153:H158"/>
    <mergeCell ref="A154:B154"/>
    <mergeCell ref="A155:B155"/>
    <mergeCell ref="A156:B156"/>
    <mergeCell ref="A157:B157"/>
    <mergeCell ref="A158:B158"/>
    <mergeCell ref="A175:B175"/>
    <mergeCell ref="A176:B176"/>
    <mergeCell ref="A177:B177"/>
    <mergeCell ref="A178:B178"/>
    <mergeCell ref="A179:B179"/>
    <mergeCell ref="A167:B167"/>
    <mergeCell ref="G167:H172"/>
    <mergeCell ref="A168:B168"/>
    <mergeCell ref="A169:B169"/>
    <mergeCell ref="A110:H110"/>
    <mergeCell ref="A101:B101"/>
    <mergeCell ref="A123:B123"/>
    <mergeCell ref="A194:H194"/>
    <mergeCell ref="A99:H99"/>
    <mergeCell ref="A121:B121"/>
    <mergeCell ref="A125:B125"/>
    <mergeCell ref="A124:B124"/>
    <mergeCell ref="B181:H181"/>
    <mergeCell ref="B182:H182"/>
    <mergeCell ref="A128:B128"/>
    <mergeCell ref="C124:F124"/>
    <mergeCell ref="G121:H128"/>
    <mergeCell ref="B190:H190"/>
    <mergeCell ref="C146:F146"/>
    <mergeCell ref="A152:H152"/>
    <mergeCell ref="A164:B164"/>
    <mergeCell ref="A165:B165"/>
    <mergeCell ref="A129:H129"/>
    <mergeCell ref="A130:H130"/>
    <mergeCell ref="A173:H173"/>
    <mergeCell ref="A174:B174"/>
    <mergeCell ref="C174:F174"/>
    <mergeCell ref="G174:H17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A59:C59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A54:C54"/>
    <mergeCell ref="A55:C55"/>
    <mergeCell ref="D55:H55"/>
    <mergeCell ref="E40:H40"/>
    <mergeCell ref="A40:D40"/>
    <mergeCell ref="A47:B47"/>
    <mergeCell ref="A41:D41"/>
    <mergeCell ref="E41:H41"/>
    <mergeCell ref="E42:H42"/>
    <mergeCell ref="E43:H43"/>
    <mergeCell ref="E44:H44"/>
    <mergeCell ref="A42:D42"/>
    <mergeCell ref="A77:B7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D65:H65"/>
    <mergeCell ref="G51:H51"/>
    <mergeCell ref="A51:B52"/>
    <mergeCell ref="C52:H52"/>
    <mergeCell ref="C50:H50"/>
    <mergeCell ref="A63:C63"/>
    <mergeCell ref="D63:H63"/>
    <mergeCell ref="F96:H96"/>
    <mergeCell ref="G111:H118"/>
    <mergeCell ref="L110:M110"/>
    <mergeCell ref="A106:A107"/>
    <mergeCell ref="A115:B115"/>
    <mergeCell ref="A112:B112"/>
    <mergeCell ref="A113:B113"/>
    <mergeCell ref="A114:B114"/>
    <mergeCell ref="A60:C60"/>
    <mergeCell ref="G69:H69"/>
    <mergeCell ref="A94:E94"/>
    <mergeCell ref="A96:E96"/>
    <mergeCell ref="C100:D100"/>
    <mergeCell ref="G100:H100"/>
    <mergeCell ref="A118:B118"/>
    <mergeCell ref="C101:D101"/>
    <mergeCell ref="E101:F101"/>
    <mergeCell ref="A102:B102"/>
    <mergeCell ref="C102:D102"/>
    <mergeCell ref="E102:F102"/>
    <mergeCell ref="G102:H102"/>
    <mergeCell ref="A103:B103"/>
    <mergeCell ref="C103:D103"/>
    <mergeCell ref="E103:F103"/>
    <mergeCell ref="A15:B15"/>
    <mergeCell ref="C15:H15"/>
    <mergeCell ref="A37:B37"/>
    <mergeCell ref="C37:H37"/>
    <mergeCell ref="B187:H187"/>
    <mergeCell ref="A46:B46"/>
    <mergeCell ref="C46:H46"/>
    <mergeCell ref="B185:H185"/>
    <mergeCell ref="A109:H109"/>
    <mergeCell ref="A108:H108"/>
    <mergeCell ref="A116:B116"/>
    <mergeCell ref="A95:E95"/>
    <mergeCell ref="F94:H94"/>
    <mergeCell ref="A117:B117"/>
    <mergeCell ref="A119:H119"/>
    <mergeCell ref="B183:H183"/>
    <mergeCell ref="B184:H184"/>
    <mergeCell ref="A180:H180"/>
    <mergeCell ref="B106:B107"/>
    <mergeCell ref="A120:H120"/>
    <mergeCell ref="C106:C107"/>
    <mergeCell ref="A126:B126"/>
    <mergeCell ref="A127:B127"/>
    <mergeCell ref="G146:H151"/>
    <mergeCell ref="L131:M131"/>
    <mergeCell ref="A132:B132"/>
    <mergeCell ref="G132:H137"/>
    <mergeCell ref="A133:B133"/>
    <mergeCell ref="A134:B134"/>
    <mergeCell ref="A135:B135"/>
    <mergeCell ref="A136:B136"/>
    <mergeCell ref="A137:B137"/>
    <mergeCell ref="L152:M152"/>
    <mergeCell ref="A138:H138"/>
    <mergeCell ref="A146:B146"/>
    <mergeCell ref="A147:B147"/>
    <mergeCell ref="A148:B148"/>
    <mergeCell ref="A149:B149"/>
    <mergeCell ref="A150:B150"/>
    <mergeCell ref="A151:B151"/>
    <mergeCell ref="A139:B139"/>
    <mergeCell ref="G139:H144"/>
    <mergeCell ref="A140:B140"/>
    <mergeCell ref="A141:B141"/>
    <mergeCell ref="A142:B142"/>
    <mergeCell ref="A143:B143"/>
    <mergeCell ref="A144:B144"/>
    <mergeCell ref="A145:H145"/>
    <mergeCell ref="A170:B170"/>
    <mergeCell ref="A171:B171"/>
    <mergeCell ref="A172:B172"/>
    <mergeCell ref="A159:H159"/>
    <mergeCell ref="A160:B160"/>
    <mergeCell ref="C160:F160"/>
    <mergeCell ref="G160:H165"/>
    <mergeCell ref="A161:B161"/>
    <mergeCell ref="A162:B162"/>
    <mergeCell ref="A163:B163"/>
    <mergeCell ref="A166:H166"/>
    <mergeCell ref="A65:C65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C36:H36"/>
    <mergeCell ref="D58:H58"/>
    <mergeCell ref="A57:C58"/>
    <mergeCell ref="A80:B80"/>
    <mergeCell ref="C80:H80"/>
    <mergeCell ref="A82:B82"/>
    <mergeCell ref="C82:H82"/>
    <mergeCell ref="A83:B83"/>
    <mergeCell ref="E83:F83"/>
    <mergeCell ref="G83:H83"/>
    <mergeCell ref="D59:H59"/>
    <mergeCell ref="E70:F79"/>
    <mergeCell ref="G70:H79"/>
    <mergeCell ref="A78:B78"/>
    <mergeCell ref="A79:B79"/>
    <mergeCell ref="D60:H60"/>
    <mergeCell ref="A64:C64"/>
    <mergeCell ref="D64:H64"/>
    <mergeCell ref="A70:B70"/>
    <mergeCell ref="A71:B71"/>
    <mergeCell ref="A73:B73"/>
    <mergeCell ref="E69:F69"/>
    <mergeCell ref="A62:C62"/>
    <mergeCell ref="D62:H62"/>
  </mergeCell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5" max="16383" man="1"/>
    <brk id="202" max="16383" man="1"/>
    <brk id="2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4" t="s">
        <v>100</v>
      </c>
      <c r="C3" s="194"/>
      <c r="D3" s="194"/>
      <c r="E3" s="194"/>
      <c r="F3" s="194"/>
      <c r="G3" s="194"/>
      <c r="H3" s="194"/>
    </row>
    <row r="4" spans="1:9" x14ac:dyDescent="0.25">
      <c r="A4" s="2"/>
      <c r="B4" s="3" t="s">
        <v>101</v>
      </c>
      <c r="C4" s="3" t="s">
        <v>102</v>
      </c>
      <c r="D4" s="3" t="s">
        <v>70</v>
      </c>
      <c r="E4" s="3" t="s">
        <v>103</v>
      </c>
      <c r="F4" s="3" t="s">
        <v>109</v>
      </c>
      <c r="G4" s="3" t="s">
        <v>110</v>
      </c>
      <c r="H4" s="3" t="s">
        <v>104</v>
      </c>
    </row>
    <row r="5" spans="1:9" ht="15" customHeight="1" x14ac:dyDescent="0.25">
      <c r="A5" s="2"/>
      <c r="B5" s="5" t="s">
        <v>105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2025-07-15T11:42:36Z</cp:lastPrinted>
  <dcterms:created xsi:type="dcterms:W3CDTF">2019-07-16T09:29:46Z</dcterms:created>
  <dcterms:modified xsi:type="dcterms:W3CDTF">2025-07-15T11:43:37Z</dcterms:modified>
</cp:coreProperties>
</file>