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09-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1" l="1"/>
  <c r="E182" i="1"/>
  <c r="I172" i="1"/>
  <c r="E212" i="1" l="1"/>
  <c r="D212" i="1"/>
  <c r="E211" i="1"/>
  <c r="D211" i="1"/>
  <c r="E210" i="1"/>
  <c r="D210" i="1"/>
  <c r="E209" i="1"/>
  <c r="D209" i="1"/>
  <c r="E200" i="1"/>
  <c r="E199" i="1"/>
  <c r="E198" i="1"/>
  <c r="E197" i="1"/>
  <c r="E196" i="1"/>
  <c r="E195" i="1"/>
  <c r="D200" i="1"/>
  <c r="D199" i="1"/>
  <c r="D198" i="1"/>
  <c r="D197" i="1"/>
  <c r="D196" i="1"/>
  <c r="D195" i="1"/>
  <c r="I190" i="1"/>
  <c r="E184" i="1"/>
  <c r="E181" i="1"/>
  <c r="E180" i="1"/>
  <c r="E175" i="1"/>
  <c r="J174" i="1"/>
  <c r="I174" i="1"/>
  <c r="E174" i="1"/>
  <c r="E173" i="1"/>
  <c r="I173" i="1"/>
  <c r="D176" i="1"/>
  <c r="D175" i="1"/>
  <c r="D173" i="1"/>
  <c r="C51" i="1" l="1"/>
  <c r="C52" i="1" s="1"/>
  <c r="G52" i="1"/>
  <c r="G51" i="1"/>
  <c r="E188" i="1" l="1"/>
  <c r="E207" i="1"/>
  <c r="E205" i="1"/>
  <c r="E204" i="1"/>
  <c r="E192" i="1"/>
  <c r="I211" i="1"/>
  <c r="I210" i="1"/>
  <c r="J210" i="1"/>
  <c r="J211" i="1"/>
  <c r="J212" i="1"/>
  <c r="J209" i="1"/>
  <c r="I209" i="1"/>
  <c r="J200" i="1"/>
  <c r="I200" i="1"/>
  <c r="I199" i="1"/>
  <c r="J198" i="1"/>
  <c r="I198" i="1"/>
  <c r="I197" i="1"/>
  <c r="J197" i="1"/>
  <c r="I196" i="1"/>
  <c r="J195" i="1"/>
  <c r="I195" i="1"/>
  <c r="J206" i="1"/>
  <c r="I206" i="1"/>
  <c r="I205" i="1"/>
  <c r="J205" i="1"/>
  <c r="I204" i="1"/>
  <c r="I193" i="1"/>
  <c r="J189" i="1"/>
  <c r="I189" i="1"/>
  <c r="J192" i="1"/>
  <c r="I192" i="1"/>
  <c r="J188" i="1"/>
  <c r="J183" i="1"/>
  <c r="I183" i="1"/>
  <c r="J181" i="1"/>
  <c r="I181" i="1"/>
  <c r="J176" i="1"/>
  <c r="I176" i="1"/>
  <c r="J175" i="1"/>
  <c r="J184" i="1"/>
  <c r="I184" i="1"/>
  <c r="J173" i="1"/>
  <c r="J191" i="1"/>
  <c r="I191" i="1"/>
  <c r="J182" i="1" l="1"/>
  <c r="J193" i="1"/>
  <c r="J190" i="1"/>
  <c r="J180" i="1" l="1"/>
  <c r="I182" i="1"/>
  <c r="J199" i="1"/>
  <c r="E190" i="1" l="1"/>
  <c r="E193" i="1"/>
  <c r="C118" i="1"/>
  <c r="C104" i="1"/>
  <c r="J196" i="1"/>
  <c r="F199" i="1"/>
  <c r="H199" i="1" s="1"/>
  <c r="F197" i="1"/>
  <c r="H197" i="1" s="1"/>
  <c r="F196" i="1"/>
  <c r="H196" i="1" s="1"/>
  <c r="F195" i="1"/>
  <c r="H195" i="1" s="1"/>
  <c r="F212" i="1"/>
  <c r="H212" i="1" s="1"/>
  <c r="F210" i="1"/>
  <c r="H210" i="1" s="1"/>
  <c r="I207" i="1"/>
  <c r="F198" i="1" l="1"/>
  <c r="H198" i="1" s="1"/>
  <c r="F200" i="1"/>
  <c r="H200" i="1" s="1"/>
  <c r="F211" i="1"/>
  <c r="H211" i="1" s="1"/>
  <c r="F209" i="1"/>
  <c r="H209" i="1" s="1"/>
  <c r="E191" i="1"/>
  <c r="E189" i="1"/>
  <c r="E206" i="1"/>
  <c r="J207" i="1"/>
  <c r="J204" i="1"/>
  <c r="D207" i="1"/>
  <c r="D206" i="1"/>
  <c r="D205" i="1"/>
  <c r="D204" i="1"/>
  <c r="D193" i="1"/>
  <c r="F193" i="1" s="1"/>
  <c r="H193" i="1" s="1"/>
  <c r="D192" i="1"/>
  <c r="D191" i="1"/>
  <c r="D190" i="1"/>
  <c r="D189" i="1"/>
  <c r="D188" i="1"/>
  <c r="I188" i="1"/>
  <c r="D184" i="1"/>
  <c r="D183" i="1"/>
  <c r="D182" i="1"/>
  <c r="D181" i="1"/>
  <c r="D180" i="1"/>
  <c r="I180" i="1"/>
  <c r="E176" i="1"/>
  <c r="D174" i="1"/>
  <c r="I175" i="1"/>
  <c r="F207" i="1" l="1"/>
  <c r="H207" i="1" s="1"/>
  <c r="F189" i="1"/>
  <c r="H189" i="1" s="1"/>
  <c r="F191" i="1"/>
  <c r="H191" i="1" s="1"/>
  <c r="F205" i="1"/>
  <c r="H205" i="1" s="1"/>
  <c r="F204" i="1"/>
  <c r="F206" i="1"/>
  <c r="H206" i="1" s="1"/>
  <c r="F188" i="1"/>
  <c r="F190" i="1"/>
  <c r="H190" i="1" s="1"/>
  <c r="F192" i="1"/>
  <c r="H192" i="1" s="1"/>
  <c r="F184" i="1"/>
  <c r="H184" i="1" s="1"/>
  <c r="F183" i="1"/>
  <c r="H183" i="1" s="1"/>
  <c r="F180" i="1"/>
  <c r="H180" i="1" s="1"/>
  <c r="F182" i="1"/>
  <c r="F181" i="1"/>
  <c r="H181" i="1" s="1"/>
  <c r="E43" i="1"/>
  <c r="H188" i="1" l="1"/>
  <c r="G154" i="1" s="1"/>
  <c r="C154" i="1"/>
  <c r="E154" i="1"/>
  <c r="H204" i="1"/>
  <c r="G155" i="1" s="1"/>
  <c r="C155" i="1"/>
  <c r="E155" i="1"/>
  <c r="H182" i="1"/>
  <c r="G153" i="1" s="1"/>
  <c r="C153" i="1"/>
  <c r="E153" i="1"/>
  <c r="I45" i="1"/>
  <c r="B215" i="1" l="1"/>
  <c r="F164" i="1" l="1"/>
  <c r="H164" i="1" s="1"/>
  <c r="F165" i="1"/>
  <c r="H165" i="1" s="1"/>
  <c r="F166" i="1"/>
  <c r="H166" i="1" s="1"/>
  <c r="F163" i="1"/>
  <c r="H163" i="1" s="1"/>
  <c r="G58" i="1" l="1"/>
  <c r="C58" i="1"/>
  <c r="G56" i="1"/>
  <c r="C56" i="1"/>
  <c r="C54" i="1"/>
  <c r="S33" i="1" l="1"/>
  <c r="F11" i="5" l="1"/>
  <c r="G11" i="5" s="1"/>
  <c r="F10" i="5"/>
  <c r="G10" i="5" s="1"/>
  <c r="F9" i="5"/>
  <c r="G9" i="5" s="1"/>
  <c r="F8" i="5"/>
  <c r="G8" i="5" s="1"/>
  <c r="F7" i="5"/>
  <c r="G7" i="5" s="1"/>
  <c r="F6" i="5"/>
  <c r="G6" i="5" s="1"/>
  <c r="F5" i="5"/>
  <c r="G5" i="5" s="1"/>
  <c r="G12" i="5" s="1"/>
  <c r="D239" i="1"/>
  <c r="B216" i="1"/>
  <c r="F176" i="1"/>
  <c r="H176" i="1" s="1"/>
  <c r="F175" i="1"/>
  <c r="H175" i="1" s="1"/>
  <c r="F174" i="1"/>
  <c r="H174" i="1" s="1"/>
  <c r="F173" i="1"/>
  <c r="A164" i="1"/>
  <c r="A165" i="1" s="1"/>
  <c r="A166" i="1" s="1"/>
  <c r="F144" i="1"/>
  <c r="C90" i="1"/>
  <c r="C76" i="1"/>
  <c r="D70" i="1"/>
  <c r="D62" i="1"/>
  <c r="E44" i="1"/>
  <c r="E45" i="1" s="1"/>
  <c r="E31" i="1"/>
  <c r="E28" i="1"/>
  <c r="E26" i="1"/>
  <c r="C16" i="1"/>
  <c r="I15" i="1"/>
  <c r="Z13" i="1"/>
  <c r="E8" i="1"/>
  <c r="E3" i="1"/>
  <c r="H105" i="1"/>
  <c r="H91" i="1"/>
  <c r="H77" i="1"/>
  <c r="C152" i="1" l="1"/>
  <c r="C156" i="1" s="1"/>
  <c r="C157" i="1" s="1"/>
  <c r="E152" i="1"/>
  <c r="E156" i="1" s="1"/>
  <c r="E157" i="1" s="1"/>
  <c r="H173" i="1"/>
  <c r="J76" i="1"/>
  <c r="J78" i="1" s="1"/>
  <c r="J79" i="1"/>
  <c r="J80" i="1"/>
  <c r="J81" i="1"/>
  <c r="J95" i="1"/>
  <c r="D99" i="1"/>
  <c r="D101" i="1"/>
  <c r="J94" i="1"/>
  <c r="D100" i="1"/>
  <c r="J90" i="1"/>
  <c r="J92" i="1" s="1"/>
  <c r="D98" i="1"/>
  <c r="J93" i="1"/>
  <c r="D97" i="1"/>
  <c r="D103" i="1"/>
  <c r="D102" i="1"/>
  <c r="D96" i="1"/>
  <c r="D84" i="1"/>
  <c r="D86" i="1"/>
  <c r="D85" i="1"/>
  <c r="D89" i="1"/>
  <c r="D83" i="1"/>
  <c r="D88" i="1"/>
  <c r="D82" i="1"/>
  <c r="D87" i="1"/>
  <c r="J104" i="1"/>
  <c r="J106" i="1" s="1"/>
  <c r="D113" i="1"/>
  <c r="D115" i="1"/>
  <c r="J109" i="1"/>
  <c r="C108" i="1" s="1"/>
  <c r="D108" i="1" s="1"/>
  <c r="D114" i="1"/>
  <c r="J108" i="1"/>
  <c r="D112" i="1"/>
  <c r="J107" i="1"/>
  <c r="D111" i="1"/>
  <c r="D117" i="1"/>
  <c r="D116" i="1"/>
  <c r="B105" i="1"/>
  <c r="B91" i="1"/>
  <c r="B77" i="1"/>
  <c r="J82" i="1" s="1"/>
  <c r="G152" i="1" l="1"/>
  <c r="G156" i="1" s="1"/>
  <c r="G157" i="1" s="1"/>
  <c r="D94" i="1"/>
  <c r="D80" i="1"/>
  <c r="D110" i="1"/>
  <c r="J115" i="1"/>
  <c r="J112" i="1"/>
  <c r="J114" i="1"/>
  <c r="J113" i="1"/>
  <c r="J110" i="1"/>
  <c r="J111" i="1" s="1"/>
  <c r="J116" i="1" s="1"/>
  <c r="J117" i="1" s="1"/>
  <c r="C109" i="1" s="1"/>
  <c r="E108" i="1" s="1"/>
  <c r="J101" i="1"/>
  <c r="J98" i="1"/>
  <c r="J100" i="1"/>
  <c r="J99" i="1"/>
  <c r="J96" i="1"/>
  <c r="J97" i="1" s="1"/>
  <c r="J86" i="1"/>
  <c r="J84" i="1"/>
  <c r="J85" i="1"/>
  <c r="J83" i="1"/>
  <c r="J88" i="1" s="1"/>
  <c r="J89" i="1" s="1"/>
  <c r="J87" i="1"/>
  <c r="J77" i="1" l="1"/>
  <c r="J102" i="1"/>
  <c r="D109" i="1"/>
  <c r="I105" i="1" s="1"/>
  <c r="J105" i="1"/>
  <c r="G108" i="1"/>
  <c r="D74" i="1" s="1"/>
  <c r="E80" i="1"/>
  <c r="D81" i="1"/>
  <c r="G80" i="1"/>
  <c r="J103" i="1" l="1"/>
  <c r="C95" i="1" s="1"/>
  <c r="I77" i="1"/>
  <c r="I78" i="1" s="1"/>
  <c r="I76" i="1" s="1"/>
  <c r="C78" i="1" s="1"/>
  <c r="F75" i="1"/>
  <c r="D75" i="1"/>
  <c r="I106" i="1"/>
  <c r="I104" i="1" s="1"/>
  <c r="C106" i="1" s="1"/>
  <c r="J91" i="1" l="1"/>
  <c r="D95" i="1"/>
  <c r="I91" i="1" s="1"/>
  <c r="I92" i="1" s="1"/>
  <c r="E94" i="1"/>
  <c r="G94" i="1"/>
  <c r="B119" i="1"/>
  <c r="H119" i="1"/>
  <c r="I90" i="1" l="1"/>
  <c r="C92" i="1" s="1"/>
  <c r="C124" i="1"/>
  <c r="J118" i="1" s="1"/>
  <c r="J120" i="1" s="1"/>
  <c r="J122" i="1"/>
  <c r="D131" i="1"/>
  <c r="D130" i="1"/>
  <c r="D129" i="1"/>
  <c r="D128" i="1"/>
  <c r="D127" i="1"/>
  <c r="D126" i="1"/>
  <c r="D125" i="1"/>
  <c r="J123" i="1"/>
  <c r="C122" i="1" s="1"/>
  <c r="J121" i="1"/>
  <c r="J129" i="1"/>
  <c r="J128" i="1"/>
  <c r="J127" i="1"/>
  <c r="J126" i="1"/>
  <c r="J124" i="1"/>
  <c r="J125" i="1" s="1"/>
  <c r="J130" i="1" s="1"/>
  <c r="J131" i="1" s="1"/>
  <c r="C123" i="1" s="1"/>
  <c r="D124" i="1" l="1"/>
  <c r="E122" i="1"/>
  <c r="D123" i="1"/>
  <c r="G122" i="1"/>
  <c r="D122" i="1"/>
  <c r="I119" i="1" l="1"/>
  <c r="I120" i="1" s="1"/>
  <c r="J119" i="1"/>
  <c r="I118" i="1" l="1"/>
  <c r="C12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<sst xmlns="http://schemas.openxmlformats.org/spreadsheetml/2006/main" count="678" uniqueCount="351">
  <si>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</si>
  <si>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</si>
  <si>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</si>
  <si>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</si>
  <si>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</si>
  <si>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</si>
  <si>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</si>
  <si>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</si>
  <si>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</si>
  <si>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</si>
  <si>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</si>
  <si>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</si>
  <si>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</si>
  <si>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</si>
  <si>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</si>
  <si>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</si>
  <si>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</si>
  <si>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</si>
  <si>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</si>
  <si>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</si>
  <si>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</si>
  <si>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</si>
  <si>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</si>
  <si>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</si>
  <si>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</si>
  <si>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</si>
  <si>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</si>
  <si>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</si>
  <si>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</si>
  <si>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</si>
  <si>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</si>
  <si>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</si>
  <si>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</si>
  <si>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</si>
  <si>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</si>
  <si>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</si>
  <si>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</si>
  <si>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</si>
  <si>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</si>
  <si>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</si>
  <si>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</si>
  <si>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</si>
  <si>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</si>
  <si>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</si>
  <si>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</si>
  <si>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</si>
  <si>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</si>
  <si>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</si>
  <si>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</si>
  <si>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</si>
  <si>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</si>
  <si>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</si>
  <si>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</si>
  <si>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</si>
  <si>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</si>
  <si>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</si>
  <si>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</si>
  <si>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</si>
  <si>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</si>
  <si>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</si>
  <si>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</si>
  <si>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</si>
  <si>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</si>
  <si>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</si>
  <si>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</si>
  <si>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</si>
  <si>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</si>
  <si>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</si>
  <si>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</si>
  <si>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</si>
  <si>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</si>
  <si>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</si>
  <si>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</si>
  <si>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</si>
  <si>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</si>
  <si>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</si>
  <si>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</si>
  <si>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</si>
  <si>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</si>
  <si>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</si>
  <si>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</si>
  <si>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</si>
  <si>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</si>
  <si>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</si>
  <si>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</si>
  <si>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</si>
  <si>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</si>
  <si>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</si>
  <si>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</si>
  <si>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</si>
  <si>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</si>
  <si>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</si>
  <si>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</si>
  <si>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</si>
  <si>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</si>
  <si>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</si>
  <si>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</si>
  <si>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</si>
  <si>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</si>
  <si>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</si>
  <si>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</si>
  <si>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</si>
  <si>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</si>
  <si>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</si>
  <si>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</si>
  <si>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</si>
  <si>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</si>
  <si>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</si>
  <si>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</si>
  <si>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</si>
  <si>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</si>
  <si>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</si>
  <si>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</si>
  <si>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</si>
  <si>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</si>
  <si>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</si>
  <si>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</si>
  <si>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</si>
  <si>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</si>
  <si>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</si>
  <si>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</si>
  <si>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</si>
  <si>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</si>
  <si>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</si>
  <si>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</si>
  <si>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</si>
  <si>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</si>
  <si>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</si>
  <si>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</si>
  <si>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</si>
  <si>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</si>
  <si>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</si>
  <si>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</si>
  <si>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</si>
  <si>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</si>
  <si>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</si>
  <si>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</si>
  <si>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</si>
  <si>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</si>
  <si>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</si>
  <si>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</si>
  <si>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</si>
  <si>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</si>
  <si>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</si>
  <si>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</si>
  <si>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</si>
  <si>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</si>
  <si>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</si>
  <si>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</si>
  <si>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</si>
  <si>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</si>
  <si>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</si>
  <si>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</si>
  <si>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</si>
  <si>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</si>
  <si>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</si>
  <si>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</si>
  <si>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</si>
  <si>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</si>
  <si>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</si>
  <si>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</si>
  <si>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</si>
  <si>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</si>
  <si>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</si>
  <si>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</si>
  <si>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</si>
  <si>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</si>
  <si>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</si>
  <si>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</si>
  <si>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</si>
  <si>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</si>
  <si>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</si>
  <si>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</si>
  <si>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</si>
  <si>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</si>
  <si>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</si>
  <si>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</si>
  <si>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</si>
  <si>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</si>
  <si>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</si>
  <si>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</si>
  <si>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</si>
  <si>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</si>
  <si>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</si>
  <si>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</si>
  <si>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</si>
  <si>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</si>
  <si>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</si>
  <si>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</si>
  <si>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</si>
  <si>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</si>
  <si>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</si>
  <si>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</si>
  <si>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</si>
  <si>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</si>
  <si>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</si>
  <si>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</si>
  <si>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</si>
  <si>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</si>
  <si>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</si>
  <si>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</si>
  <si>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</si>
  <si>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</si>
  <si>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</si>
  <si>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</si>
  <si>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</si>
  <si>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</si>
  <si>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</si>
  <si>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</si>
  <si>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</si>
  <si>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</si>
  <si>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</si>
  <si>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</si>
  <si>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</si>
  <si>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</si>
  <si>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</si>
  <si>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</si>
  <si>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</si>
  <si>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</si>
  <si>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</si>
  <si>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</si>
  <si>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</si>
  <si>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</si>
  <si>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</si>
  <si>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</si>
  <si>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</si>
  <si>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</si>
  <si>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</si>
  <si>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</si>
  <si>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</si>
  <si>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</si>
  <si>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</si>
  <si>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</si>
  <si>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</si>
  <si>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</si>
  <si>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</si>
  <si>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</si>
  <si>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</si>
  <si>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</si>
  <si>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</si>
  <si>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</si>
  <si>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</si>
  <si>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</si>
  <si>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</si>
  <si>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</si>
  <si>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</si>
  <si>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</si>
  <si>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</si>
  <si>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</si>
  <si>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</si>
  <si>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</si>
  <si>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</si>
  <si>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</si>
  <si>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</si>
  <si>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</si>
  <si>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</si>
  <si>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</si>
  <si>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</si>
  <si>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</si>
  <si>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</si>
  <si>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</si>
  <si>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</si>
  <si>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</si>
  <si>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</si>
  <si>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</si>
  <si>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</si>
  <si>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</si>
  <si>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</si>
  <si>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</si>
  <si>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</si>
  <si>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</si>
  <si>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</si>
  <si>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</si>
  <si>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</si>
  <si>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</si>
  <si>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</si>
  <si>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</si>
  <si>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</si>
  <si>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</si>
  <si>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</si>
  <si>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</si>
  <si>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</si>
  <si>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</si>
  <si>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</si>
  <si>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</si>
  <si>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</si>
  <si>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</si>
  <si>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</si>
  <si>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</si>
  <si>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</si>
  <si>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</si>
  <si>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</si>
  <si>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</si>
  <si>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</si>
  <si>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</si>
  <si>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</si>
  <si>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</si>
  <si>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</si>
  <si>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</si>
  <si>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Saqlaini Builders</t>
  </si>
  <si>
    <t>Diamond Complex</t>
  </si>
  <si>
    <t>Abrar Quresh 9322482327</t>
  </si>
  <si>
    <t>Wing A, B, C, D</t>
  </si>
  <si>
    <t>P51700050792</t>
  </si>
  <si>
    <t>Survey No</t>
  </si>
  <si>
    <t>12 &amp; H.No.1/1</t>
  </si>
  <si>
    <t>Kalyan East</t>
  </si>
  <si>
    <t>Internal Road</t>
  </si>
  <si>
    <t>Sant Nirankari Bhavan</t>
  </si>
  <si>
    <t>6.9 KM from Kalyan Junction Railway Station</t>
  </si>
  <si>
    <t>S.No 13</t>
  </si>
  <si>
    <t>H.No 1/2</t>
  </si>
  <si>
    <t>6.00 M.W. Road</t>
  </si>
  <si>
    <t>Other plot</t>
  </si>
  <si>
    <t>Garden Area.</t>
  </si>
  <si>
    <t>As per RERA - 31/03/2026</t>
  </si>
  <si>
    <t xml:space="preserve">Ground Floor </t>
  </si>
  <si>
    <t>Wing A</t>
  </si>
  <si>
    <t>Ground Floor For Entrance Lobby &amp; Parking</t>
  </si>
  <si>
    <t>1BHK</t>
  </si>
  <si>
    <t>2BHK</t>
  </si>
  <si>
    <t>Wing B</t>
  </si>
  <si>
    <t>Wing C</t>
  </si>
  <si>
    <t>Wing D</t>
  </si>
  <si>
    <t>Wing A = Stilt + 1st to 6th Floor.</t>
  </si>
  <si>
    <t>Wing B = Stilt + 1st to 6th Floor.</t>
  </si>
  <si>
    <t>04 Buildings</t>
  </si>
  <si>
    <t>Ground Floor For Society Office, Entrance Lobby &amp; Parking</t>
  </si>
  <si>
    <t>https://maps.app.goo.gl/t66zZShGeGfQ77kC6</t>
  </si>
  <si>
    <t>19.208639,73.135033</t>
  </si>
  <si>
    <t>Approved Plans, CC, Cost Sheet.</t>
  </si>
  <si>
    <t>Nandivali Tarfe Ambernath</t>
  </si>
  <si>
    <t>Slums</t>
  </si>
  <si>
    <t>Tisai Darshan Apartment</t>
  </si>
  <si>
    <r>
      <t xml:space="preserve">Proposed Amenities :                                                                                                                                                                                                                         </t>
    </r>
    <r>
      <rPr>
        <b/>
        <sz val="12"/>
        <rFont val="Times New Roman"/>
        <family val="1"/>
      </rPr>
      <t xml:space="preserve">                                               </t>
    </r>
  </si>
  <si>
    <r>
      <t xml:space="preserve">Flat No.
</t>
    </r>
    <r>
      <rPr>
        <b/>
        <sz val="11"/>
        <rFont val="Times New Roman"/>
        <family val="1"/>
      </rPr>
      <t>(Approved Plan)</t>
    </r>
  </si>
  <si>
    <t>We considered Gross carpet area = Net carpet + Enclose balcony + EP Area.</t>
  </si>
  <si>
    <t>Balcony Area + EP Area</t>
  </si>
  <si>
    <t>Society Formation Charges + Advance Maintenance Charges</t>
  </si>
  <si>
    <t>Wing D = Stilt + 1st to 7th Floor.</t>
  </si>
  <si>
    <t>KDMC/TPD/BP/27 village/2022-23/32/151</t>
  </si>
  <si>
    <t>Wing A &amp; B = Stilt + 1st Floor
Wing C &amp; D = Stilt + 1st to 7th Floor.
(B.U.A = 3994.01 sq.mt)</t>
  </si>
  <si>
    <t>Wing A &amp; B = Stilt + 1st Floor.
Wing C &amp; D = Stilt + 1st to 7th Floor.</t>
  </si>
  <si>
    <t>Wing C &amp; D = Stilt + 1st to 7th Floor.</t>
  </si>
  <si>
    <t>Wing C &amp; D = Construction work is in process at the time of Visit.
Wing A = Work not yet Started.
Wing B = Work is same as last visit (11/11/2024).</t>
  </si>
  <si>
    <t>Pooja Kawale</t>
  </si>
  <si>
    <t>1st Floor For Residential</t>
  </si>
  <si>
    <t>2nd to 7th Floor</t>
  </si>
  <si>
    <t>Flats - 79</t>
  </si>
  <si>
    <t>We have updated latest CC &amp; approved floor plans (On 03/01/2025).</t>
  </si>
  <si>
    <t>Mangesh Laxman Bapardekar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</si>
</sst>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17" fillId="0" borderId="2"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center" vertical="center"/>
    </xf>
    <xf numFmtId="0" fontId="7" fillId="0" borderId="0" xfId="1" applyFont="1" applyAlignment="1">
      <alignment horizontal="center" vertical="center"/>
    </xf>
    <xf numFmtId="0" fontId="7" fillId="0" borderId="24" xfId="1" applyFont="1" applyBorder="1" applyAlignment="1"/>
    <xf numFmtId="0" fontId="7" fillId="0" borderId="0" xfId="1" applyFont="1" applyAlignme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5" fillId="2" borderId="14" xfId="0" applyFont="1" applyFill="1" applyBorder="1"/>
    <xf numFmtId="0" fontId="26" fillId="0" borderId="8" xfId="0" applyFont="1" applyBorder="1"/>
    <xf numFmtId="1" fontId="7" fillId="0" borderId="1" xfId="1" applyNumberFormat="1" applyFont="1" applyBorder="1" applyAlignment="1">
      <alignment horizontal="center" vertical="center"/>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35" xfId="0" applyNumberFormat="1" applyFont="1" applyBorder="1" applyAlignment="1" applyProtection="1">
      <alignment horizontal="center" vertical="center" wrapText="1"/>
      <protection locked="0"/>
    </xf>
    <xf numFmtId="1" fontId="8" fillId="0" borderId="34"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8" fillId="0" borderId="15" xfId="1" applyFont="1" applyBorder="1" applyAlignment="1" applyProtection="1">
      <alignment horizontal="center" vertical="top"/>
      <protection locked="0"/>
    </xf>
    <xf numFmtId="1" fontId="13" fillId="0" borderId="16" xfId="1" applyNumberFormat="1" applyFont="1" applyBorder="1" applyAlignment="1" applyProtection="1">
      <alignment horizontal="center" vertical="top" wrapText="1"/>
      <protection locked="0"/>
    </xf>
    <xf numFmtId="1" fontId="13" fillId="0" borderId="18" xfId="1" applyNumberFormat="1" applyFont="1" applyBorder="1" applyAlignment="1" applyProtection="1">
      <alignment horizontal="center" vertical="top" wrapText="1"/>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7" fillId="0" borderId="1" xfId="1" applyFont="1" applyBorder="1" applyAlignment="1" applyProtection="1">
      <alignment horizontal="center" vertical="top"/>
      <protection locked="0"/>
    </xf>
    <xf numFmtId="1" fontId="6" fillId="0" borderId="20" xfId="1" applyNumberFormat="1" applyFont="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31" fillId="0" borderId="2" xfId="1" applyNumberFormat="1" applyFont="1" applyBorder="1" applyAlignment="1" applyProtection="1">
      <alignment horizontal="center" vertical="top" wrapText="1"/>
      <protection locked="0"/>
    </xf>
    <xf numFmtId="1" fontId="31" fillId="0" borderId="15"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17" fillId="0" borderId="2" xfId="1" applyNumberFormat="1" applyFont="1" applyBorder="1" applyAlignment="1" applyProtection="1">
      <alignment horizontal="center" vertical="top" wrapText="1"/>
      <protection locked="0"/>
    </xf>
    <xf numFmtId="1" fontId="17" fillId="0" borderId="15"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center"/>
      <protection locked="0"/>
    </xf>
    <xf numFmtId="1" fontId="13" fillId="0" borderId="7"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0" fontId="7" fillId="0" borderId="24" xfId="1" applyFont="1" applyBorder="1" applyAlignment="1">
      <alignment horizontal="center" vertical="center"/>
    </xf>
    <xf numFmtId="1" fontId="10" fillId="0" borderId="33" xfId="0" applyNumberFormat="1" applyFont="1" applyBorder="1" applyAlignment="1" applyProtection="1">
      <alignment horizontal="center" vertical="top" wrapText="1"/>
      <protection locked="0"/>
    </xf>
    <xf numFmtId="1" fontId="10" fillId="0" borderId="34" xfId="0" applyNumberFormat="1" applyFont="1" applyBorder="1" applyAlignment="1" applyProtection="1">
      <alignment horizontal="center" vertical="top" wrapText="1"/>
      <protection locked="0"/>
    </xf>
    <xf numFmtId="0" fontId="9" fillId="0" borderId="1" xfId="5" applyFont="1" applyBorder="1" applyAlignment="1">
      <alignment horizontal="left"/>
    </xf>
    <xf numFmtId="9" fontId="12"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363763</xdr:colOff>
      <xdr:row>320</xdr:row>
      <xdr:rowOff>10432</xdr:rowOff>
    </xdr:from>
    <xdr:to>
      <xdr:col>5</xdr:col>
      <xdr:colOff>503731</xdr:colOff>
      <xdr:row>338</xdr:row>
      <xdr:rowOff>9982</xdr:rowOff>
    </xdr:to>
    <xdr:pic>
      <xdr:nvPicPr>
        <xdr:cNvPr id="11" name="Picture 10"/>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25763" y="63837457"/>
          <a:ext cx="3483243" cy="3600000"/>
        </a:xfrm>
        <a:prstGeom prst="rect">
          <a:avLst/>
        </a:prstGeom>
        <a:ln>
          <a:solidFill>
            <a:schemeClr val="tx1"/>
          </a:solidFill>
        </a:ln>
      </xdr:spPr>
    </xdr:pic>
    <xdr:clientData/>
  </xdr:twoCellAnchor>
  <xdr:twoCellAnchor>
    <xdr:from>
      <xdr:col>1</xdr:col>
      <xdr:colOff>514350</xdr:colOff>
      <xdr:row>339</xdr:row>
      <xdr:rowOff>57150</xdr:rowOff>
    </xdr:from>
    <xdr:to>
      <xdr:col>5</xdr:col>
      <xdr:colOff>361230</xdr:colOff>
      <xdr:row>353</xdr:row>
      <xdr:rowOff>136800</xdr:rowOff>
    </xdr:to>
    <xdr:grpSp>
      <xdr:nvGrpSpPr>
        <xdr:cNvPr id="12" name="Group 11"/>
        <xdr:cNvGrpSpPr/>
      </xdr:nvGrpSpPr>
      <xdr:grpSpPr>
        <a:xfrm>
          <a:off x="1314450" y="62223650"/>
          <a:ext cx="3352080" cy="2835550"/>
          <a:chOff x="1465941" y="798285"/>
          <a:chExt cx="3190155" cy="2880000"/>
        </a:xfrm>
      </xdr:grpSpPr>
      <xdr:pic>
        <xdr:nvPicPr>
          <xdr:cNvPr id="13" name="Picture 1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65941" y="798285"/>
            <a:ext cx="3190155" cy="2880000"/>
          </a:xfrm>
          <a:prstGeom prst="rect">
            <a:avLst/>
          </a:prstGeom>
          <a:ln>
            <a:solidFill>
              <a:schemeClr val="tx1"/>
            </a:solidFill>
          </a:ln>
        </xdr:spPr>
      </xdr:pic>
      <xdr:sp macro="" textlink="">
        <xdr:nvSpPr>
          <xdr:cNvPr id="14" name="Rectangle 13"/>
          <xdr:cNvSpPr/>
        </xdr:nvSpPr>
        <xdr:spPr>
          <a:xfrm>
            <a:off x="2164080" y="1402080"/>
            <a:ext cx="1135380" cy="1219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381000</xdr:colOff>
      <xdr:row>283</xdr:row>
      <xdr:rowOff>9525</xdr:rowOff>
    </xdr:from>
    <xdr:to>
      <xdr:col>5</xdr:col>
      <xdr:colOff>637725</xdr:colOff>
      <xdr:row>297</xdr:row>
      <xdr:rowOff>89175</xdr:rowOff>
    </xdr:to>
    <xdr:grpSp>
      <xdr:nvGrpSpPr>
        <xdr:cNvPr id="15" name="Group 14"/>
        <xdr:cNvGrpSpPr/>
      </xdr:nvGrpSpPr>
      <xdr:grpSpPr>
        <a:xfrm>
          <a:off x="1181100" y="51152425"/>
          <a:ext cx="3761925" cy="2835550"/>
          <a:chOff x="3179309" y="3149600"/>
          <a:chExt cx="2465218" cy="1800000"/>
        </a:xfrm>
      </xdr:grpSpPr>
      <xdr:pic>
        <xdr:nvPicPr>
          <xdr:cNvPr id="16" name="Picture 15"/>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179309" y="3149600"/>
            <a:ext cx="2465218" cy="1800000"/>
          </a:xfrm>
          <a:prstGeom prst="rect">
            <a:avLst/>
          </a:prstGeom>
          <a:ln>
            <a:solidFill>
              <a:schemeClr val="tx1"/>
            </a:solidFill>
          </a:ln>
        </xdr:spPr>
      </xdr:pic>
      <xdr:sp macro="" textlink="">
        <xdr:nvSpPr>
          <xdr:cNvPr id="17" name="Freeform 16"/>
          <xdr:cNvSpPr/>
        </xdr:nvSpPr>
        <xdr:spPr>
          <a:xfrm>
            <a:off x="4140993" y="3864768"/>
            <a:ext cx="92869" cy="150019"/>
          </a:xfrm>
          <a:custGeom>
            <a:avLst/>
            <a:gdLst>
              <a:gd name="connsiteX0" fmla="*/ 16669 w 83344"/>
              <a:gd name="connsiteY0" fmla="*/ 0 h 114300"/>
              <a:gd name="connsiteX1" fmla="*/ 83344 w 83344"/>
              <a:gd name="connsiteY1" fmla="*/ 16669 h 114300"/>
              <a:gd name="connsiteX2" fmla="*/ 69056 w 83344"/>
              <a:gd name="connsiteY2" fmla="*/ 92869 h 114300"/>
              <a:gd name="connsiteX3" fmla="*/ 0 w 83344"/>
              <a:gd name="connsiteY3" fmla="*/ 114300 h 114300"/>
              <a:gd name="connsiteX4" fmla="*/ 16669 w 83344"/>
              <a:gd name="connsiteY4" fmla="*/ 0 h 114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3344" h="114300">
                <a:moveTo>
                  <a:pt x="16669" y="0"/>
                </a:moveTo>
                <a:lnTo>
                  <a:pt x="83344" y="16669"/>
                </a:lnTo>
                <a:lnTo>
                  <a:pt x="69056" y="92869"/>
                </a:lnTo>
                <a:lnTo>
                  <a:pt x="0" y="114300"/>
                </a:lnTo>
                <a:lnTo>
                  <a:pt x="16669" y="0"/>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2</xdr:col>
      <xdr:colOff>95250</xdr:colOff>
      <xdr:row>298</xdr:row>
      <xdr:rowOff>142875</xdr:rowOff>
    </xdr:from>
    <xdr:to>
      <xdr:col>5</xdr:col>
      <xdr:colOff>72075</xdr:colOff>
      <xdr:row>313</xdr:row>
      <xdr:rowOff>22500</xdr:rowOff>
    </xdr:to>
    <xdr:grpSp>
      <xdr:nvGrpSpPr>
        <xdr:cNvPr id="18" name="Group 17"/>
        <xdr:cNvGrpSpPr/>
      </xdr:nvGrpSpPr>
      <xdr:grpSpPr>
        <a:xfrm>
          <a:off x="1733550" y="54238525"/>
          <a:ext cx="2643825" cy="2832375"/>
          <a:chOff x="822325" y="2959100"/>
          <a:chExt cx="2190750" cy="2851150"/>
        </a:xfrm>
      </xdr:grpSpPr>
      <xdr:pic>
        <xdr:nvPicPr>
          <xdr:cNvPr id="19" name="Picture 18"/>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22325" y="2959100"/>
            <a:ext cx="2190750" cy="2851150"/>
          </a:xfrm>
          <a:prstGeom prst="rect">
            <a:avLst/>
          </a:prstGeom>
          <a:ln>
            <a:solidFill>
              <a:schemeClr val="tx1"/>
            </a:solidFill>
          </a:ln>
        </xdr:spPr>
      </xdr:pic>
      <xdr:sp macro="" textlink="">
        <xdr:nvSpPr>
          <xdr:cNvPr id="20" name="Rectangle 19"/>
          <xdr:cNvSpPr/>
        </xdr:nvSpPr>
        <xdr:spPr>
          <a:xfrm>
            <a:off x="1790700" y="4543425"/>
            <a:ext cx="904875" cy="5810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xdr:cNvSpPr/>
        </xdr:nvSpPr>
        <xdr:spPr>
          <a:xfrm rot="16200000">
            <a:off x="1035050" y="4559299"/>
            <a:ext cx="930275" cy="5810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xdr:cNvSpPr/>
        </xdr:nvSpPr>
        <xdr:spPr>
          <a:xfrm rot="16200000">
            <a:off x="969168" y="3526630"/>
            <a:ext cx="1062038" cy="5810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xdr:cNvSpPr/>
        </xdr:nvSpPr>
        <xdr:spPr>
          <a:xfrm>
            <a:off x="1790699" y="3134517"/>
            <a:ext cx="806619" cy="5810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40"/>
          <xdr:cNvSpPr txBox="1"/>
        </xdr:nvSpPr>
        <xdr:spPr>
          <a:xfrm>
            <a:off x="1828788" y="5035034"/>
            <a:ext cx="100330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A</a:t>
            </a:r>
            <a:endParaRPr lang="en-IN">
              <a:solidFill>
                <a:srgbClr val="FF0000"/>
              </a:solidFill>
            </a:endParaRPr>
          </a:p>
        </xdr:txBody>
      </xdr:sp>
      <xdr:sp macro="" textlink="">
        <xdr:nvSpPr>
          <xdr:cNvPr id="25" name="TextBox 47"/>
          <xdr:cNvSpPr txBox="1"/>
        </xdr:nvSpPr>
        <xdr:spPr>
          <a:xfrm rot="16200000">
            <a:off x="564646" y="4574434"/>
            <a:ext cx="100330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B</a:t>
            </a:r>
            <a:endParaRPr lang="en-IN">
              <a:solidFill>
                <a:srgbClr val="FF0000"/>
              </a:solidFill>
            </a:endParaRPr>
          </a:p>
        </xdr:txBody>
      </xdr:sp>
      <xdr:sp macro="" textlink="">
        <xdr:nvSpPr>
          <xdr:cNvPr id="26" name="Rectangle 25"/>
          <xdr:cNvSpPr/>
        </xdr:nvSpPr>
        <xdr:spPr>
          <a:xfrm rot="16200000">
            <a:off x="641341" y="3622427"/>
            <a:ext cx="849913"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C</a:t>
            </a:r>
            <a:endParaRPr lang="en-IN">
              <a:solidFill>
                <a:srgbClr val="FF0000"/>
              </a:solidFill>
            </a:endParaRPr>
          </a:p>
        </xdr:txBody>
      </xdr:sp>
      <xdr:sp macro="" textlink="">
        <xdr:nvSpPr>
          <xdr:cNvPr id="27" name="Rectangle 26"/>
          <xdr:cNvSpPr/>
        </xdr:nvSpPr>
        <xdr:spPr>
          <a:xfrm>
            <a:off x="1826426" y="3639621"/>
            <a:ext cx="86914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D</a:t>
            </a:r>
            <a:endParaRPr lang="en-IN">
              <a:solidFill>
                <a:srgbClr val="FF0000"/>
              </a:solidFill>
            </a:endParaRPr>
          </a:p>
        </xdr:txBody>
      </xdr:sp>
    </xdr:grpSp>
    <xdr:clientData/>
  </xdr:twoCellAnchor>
  <xdr:twoCellAnchor>
    <xdr:from>
      <xdr:col>0</xdr:col>
      <xdr:colOff>88900</xdr:colOff>
      <xdr:row>239</xdr:row>
      <xdr:rowOff>69850</xdr:rowOff>
    </xdr:from>
    <xdr:to>
      <xdr:col>7</xdr:col>
      <xdr:colOff>693039</xdr:colOff>
      <xdr:row>280</xdr:row>
      <xdr:rowOff>38100</xdr:rowOff>
    </xdr:to>
    <xdr:grpSp>
      <xdr:nvGrpSpPr>
        <xdr:cNvPr id="4" name="Group 3"/>
        <xdr:cNvGrpSpPr/>
      </xdr:nvGrpSpPr>
      <xdr:grpSpPr>
        <a:xfrm>
          <a:off x="88900" y="42557700"/>
          <a:ext cx="6458839" cy="8032750"/>
          <a:chOff x="88900" y="42557700"/>
          <a:chExt cx="6458839" cy="8032750"/>
        </a:xfrm>
      </xdr:grpSpPr>
      <xdr:pic>
        <xdr:nvPicPr>
          <xdr:cNvPr id="31" name="Picture 3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07154" y="49007619"/>
            <a:ext cx="1348594" cy="1582831"/>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42587" y="42557700"/>
            <a:ext cx="2877714"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199145" y="47097646"/>
            <a:ext cx="1348594" cy="180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88900" y="47097646"/>
            <a:ext cx="2398095" cy="18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37435" y="44827673"/>
            <a:ext cx="1618313"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929426" y="44827673"/>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05860" y="42557700"/>
            <a:ext cx="2877714"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88900" y="44827673"/>
            <a:ext cx="2877714"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645146" y="47097646"/>
            <a:ext cx="2398095" cy="180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900409" y="49007619"/>
            <a:ext cx="1348594" cy="1582831"/>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66zZShGeGfQ77kC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0"/>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71" t="s">
        <v>160</v>
      </c>
      <c r="B1" s="171"/>
      <c r="C1" s="171"/>
      <c r="D1" s="171"/>
      <c r="E1" s="171"/>
      <c r="F1" s="171"/>
      <c r="G1" s="171"/>
      <c r="H1" s="171"/>
    </row>
    <row r="2" spans="1:26" ht="16.5" customHeight="1" x14ac:dyDescent="0.35">
      <c r="A2" s="172" t="s">
        <v>0</v>
      </c>
      <c r="B2" s="172"/>
      <c r="C2" s="172"/>
      <c r="D2" s="172"/>
      <c r="E2" s="172"/>
      <c r="F2" s="172"/>
      <c r="G2" s="172"/>
      <c r="H2" s="172"/>
    </row>
    <row r="3" spans="1:26" x14ac:dyDescent="0.35">
      <c r="A3" s="104" t="s">
        <v>1</v>
      </c>
      <c r="B3" s="104"/>
      <c r="C3" s="104"/>
      <c r="D3" s="104"/>
      <c r="E3" s="104" t="str">
        <f ca="1">TEXT(TODAY(),"DD/MM/YYYY")</f>
        <v>09/07/2025</v>
      </c>
      <c r="F3" s="104"/>
      <c r="G3" s="104"/>
      <c r="H3" s="104"/>
      <c r="K3" s="53" t="s">
        <v>233</v>
      </c>
      <c r="L3" s="49" t="s">
        <v>231</v>
      </c>
      <c r="M3" s="49" t="s">
        <v>236</v>
      </c>
      <c r="N3" s="49" t="s">
        <v>234</v>
      </c>
      <c r="O3" s="49" t="s">
        <v>235</v>
      </c>
      <c r="P3" s="49" t="s">
        <v>237</v>
      </c>
    </row>
    <row r="4" spans="1:26" ht="15" customHeight="1" x14ac:dyDescent="0.35">
      <c r="A4" s="104" t="s">
        <v>230</v>
      </c>
      <c r="B4" s="104"/>
      <c r="C4" s="104"/>
      <c r="D4" s="104"/>
      <c r="E4" s="104" t="s">
        <v>231</v>
      </c>
      <c r="F4" s="104"/>
      <c r="G4" s="104"/>
      <c r="H4" s="104"/>
      <c r="K4" s="48" t="s">
        <v>232</v>
      </c>
      <c r="L4" s="49" t="s">
        <v>166</v>
      </c>
      <c r="M4" s="49" t="s">
        <v>241</v>
      </c>
      <c r="N4" s="49" t="s">
        <v>243</v>
      </c>
      <c r="O4" s="49" t="s">
        <v>245</v>
      </c>
      <c r="P4" s="49"/>
    </row>
    <row r="5" spans="1:26" ht="15" customHeight="1" x14ac:dyDescent="0.35">
      <c r="A5" s="104" t="s">
        <v>2</v>
      </c>
      <c r="B5" s="104"/>
      <c r="C5" s="104"/>
      <c r="D5" s="104"/>
      <c r="E5" s="104" t="s">
        <v>240</v>
      </c>
      <c r="F5" s="104"/>
      <c r="G5" s="104"/>
      <c r="H5" s="104"/>
      <c r="K5" s="48"/>
      <c r="L5" s="49" t="s">
        <v>238</v>
      </c>
      <c r="M5" s="49" t="s">
        <v>242</v>
      </c>
      <c r="N5" s="49" t="s">
        <v>244</v>
      </c>
      <c r="O5" s="49" t="s">
        <v>246</v>
      </c>
      <c r="P5" s="49"/>
    </row>
    <row r="6" spans="1:26" x14ac:dyDescent="0.35">
      <c r="A6" s="104" t="s">
        <v>3</v>
      </c>
      <c r="B6" s="104"/>
      <c r="C6" s="104"/>
      <c r="D6" s="104"/>
      <c r="E6" s="174">
        <v>45846</v>
      </c>
      <c r="F6" s="104"/>
      <c r="G6" s="104"/>
      <c r="H6" s="104"/>
      <c r="K6" s="48"/>
      <c r="L6" s="49" t="s">
        <v>239</v>
      </c>
      <c r="M6" s="49"/>
      <c r="N6" s="49"/>
      <c r="O6" s="49" t="s">
        <v>247</v>
      </c>
      <c r="P6" s="49"/>
    </row>
    <row r="7" spans="1:26" ht="16.5" customHeight="1" x14ac:dyDescent="0.35">
      <c r="A7" s="104" t="s">
        <v>4</v>
      </c>
      <c r="B7" s="104"/>
      <c r="C7" s="104"/>
      <c r="D7" s="104"/>
      <c r="E7" s="104" t="s">
        <v>299</v>
      </c>
      <c r="F7" s="104"/>
      <c r="G7" s="104"/>
      <c r="H7" s="104"/>
      <c r="K7" s="48"/>
      <c r="L7" s="49" t="s">
        <v>240</v>
      </c>
      <c r="M7" s="49"/>
      <c r="N7" s="49"/>
      <c r="O7" s="49" t="s">
        <v>247</v>
      </c>
      <c r="P7" s="49"/>
    </row>
    <row r="8" spans="1:26" ht="15" customHeight="1" x14ac:dyDescent="0.35">
      <c r="A8" s="104" t="s">
        <v>5</v>
      </c>
      <c r="B8" s="104"/>
      <c r="C8" s="104"/>
      <c r="D8" s="104"/>
      <c r="E8" s="104" t="str">
        <f>E7</f>
        <v>Saqlaini Builders</v>
      </c>
      <c r="F8" s="104"/>
      <c r="G8" s="104"/>
      <c r="H8" s="104"/>
      <c r="K8" s="48"/>
      <c r="L8" s="49"/>
      <c r="M8" s="49"/>
      <c r="N8" s="49"/>
      <c r="O8" s="49" t="s">
        <v>248</v>
      </c>
      <c r="P8" s="49"/>
    </row>
    <row r="9" spans="1:26" x14ac:dyDescent="0.35">
      <c r="A9" s="104" t="s">
        <v>6</v>
      </c>
      <c r="B9" s="104"/>
      <c r="C9" s="104"/>
      <c r="D9" s="104"/>
      <c r="E9" s="173" t="s">
        <v>300</v>
      </c>
      <c r="F9" s="173"/>
      <c r="G9" s="173"/>
      <c r="H9" s="173"/>
      <c r="K9" s="48"/>
      <c r="L9" s="49"/>
      <c r="M9" s="49"/>
      <c r="N9" s="49"/>
      <c r="O9" s="49" t="s">
        <v>249</v>
      </c>
      <c r="P9" s="49"/>
    </row>
    <row r="10" spans="1:26" x14ac:dyDescent="0.35">
      <c r="A10" s="104" t="s">
        <v>163</v>
      </c>
      <c r="B10" s="104"/>
      <c r="C10" s="104"/>
      <c r="D10" s="104"/>
      <c r="E10" s="104" t="s">
        <v>301</v>
      </c>
      <c r="F10" s="104"/>
      <c r="G10" s="104"/>
      <c r="H10" s="104"/>
      <c r="K10" s="48"/>
      <c r="L10" s="49"/>
      <c r="M10" s="49"/>
      <c r="N10" s="49"/>
      <c r="O10" s="49"/>
      <c r="P10" s="49"/>
    </row>
    <row r="11" spans="1:26" x14ac:dyDescent="0.35">
      <c r="A11" s="104" t="s">
        <v>164</v>
      </c>
      <c r="B11" s="104"/>
      <c r="C11" s="104"/>
      <c r="D11" s="104"/>
      <c r="E11" s="104" t="s">
        <v>301</v>
      </c>
      <c r="F11" s="104"/>
      <c r="G11" s="104"/>
      <c r="H11" s="104"/>
    </row>
    <row r="12" spans="1:26" x14ac:dyDescent="0.35">
      <c r="A12" s="104" t="s">
        <v>7</v>
      </c>
      <c r="B12" s="104"/>
      <c r="C12" s="104"/>
      <c r="D12" s="104"/>
      <c r="E12" s="104" t="s">
        <v>302</v>
      </c>
      <c r="F12" s="104"/>
      <c r="G12" s="104"/>
      <c r="H12" s="104"/>
    </row>
    <row r="13" spans="1:26" x14ac:dyDescent="0.35">
      <c r="A13" s="104" t="s">
        <v>167</v>
      </c>
      <c r="B13" s="104"/>
      <c r="C13" s="104"/>
      <c r="D13" s="104"/>
      <c r="E13" s="104" t="s">
        <v>28</v>
      </c>
      <c r="F13" s="104"/>
      <c r="G13" s="104"/>
      <c r="H13" s="104"/>
      <c r="S13" s="49" t="s">
        <v>175</v>
      </c>
      <c r="T13" s="49" t="s">
        <v>185</v>
      </c>
      <c r="U13" s="49" t="s">
        <v>168</v>
      </c>
      <c r="V13" s="49" t="s">
        <v>190</v>
      </c>
      <c r="W13" s="49" t="s">
        <v>208</v>
      </c>
      <c r="X13"/>
      <c r="Y13" t="s">
        <v>190</v>
      </c>
      <c r="Z13" t="e">
        <f ca="1">OFFSET($S$13,1,MATCH($G20,$S$13:$W$13,0)-1,15,1)</f>
        <v>#VALUE!</v>
      </c>
    </row>
    <row r="14" spans="1:26" x14ac:dyDescent="0.35">
      <c r="A14" s="88" t="s">
        <v>276</v>
      </c>
      <c r="B14" s="88"/>
      <c r="C14" s="88"/>
      <c r="D14" s="88"/>
      <c r="E14" s="118" t="s">
        <v>330</v>
      </c>
      <c r="F14" s="118"/>
      <c r="G14" s="118"/>
      <c r="H14" s="118"/>
      <c r="S14" s="49" t="s">
        <v>176</v>
      </c>
      <c r="T14" s="49" t="s">
        <v>183</v>
      </c>
      <c r="U14" s="49" t="s">
        <v>205</v>
      </c>
      <c r="V14" s="49" t="s">
        <v>191</v>
      </c>
      <c r="W14" s="49" t="s">
        <v>209</v>
      </c>
      <c r="X14"/>
      <c r="Y14"/>
      <c r="Z14"/>
    </row>
    <row r="15" spans="1:26" x14ac:dyDescent="0.35">
      <c r="A15" s="88" t="s">
        <v>8</v>
      </c>
      <c r="B15" s="88"/>
      <c r="C15" s="88"/>
      <c r="D15" s="88"/>
      <c r="E15" s="118" t="s">
        <v>303</v>
      </c>
      <c r="F15" s="104"/>
      <c r="G15" s="104"/>
      <c r="H15" s="104"/>
      <c r="I15" s="70" t="e">
        <f ca="1">OFFSET($D$5,1,MATCH($J13,$D$5:$H$5,0)-1,15,1)</f>
        <v>#N/A</v>
      </c>
      <c r="J15" s="71"/>
      <c r="K15" s="71"/>
      <c r="L15" s="71"/>
      <c r="M15" s="71"/>
      <c r="N15" s="71"/>
      <c r="O15" s="71"/>
      <c r="P15" s="71"/>
      <c r="S15" s="49" t="s">
        <v>177</v>
      </c>
      <c r="T15" s="49" t="s">
        <v>184</v>
      </c>
      <c r="U15" s="49" t="s">
        <v>206</v>
      </c>
      <c r="V15" s="49" t="s">
        <v>192</v>
      </c>
      <c r="W15" s="49" t="s">
        <v>222</v>
      </c>
      <c r="X15"/>
      <c r="Y15"/>
      <c r="Z15"/>
    </row>
    <row r="16" spans="1:26" ht="48" customHeight="1" x14ac:dyDescent="0.35">
      <c r="A16" s="109" t="s">
        <v>9</v>
      </c>
      <c r="B16" s="109"/>
      <c r="C16" s="109" t="str">
        <f>CONCATENATE((IF(OR(E9="",E9="NA"),"",E9)),", ",(IF(OR(A17="",A17="NA"),"",A17)),".",(IF(OR(C17="",C17="NA"),"",C17)),", near ",(IF(OR(C22="",C22="NA"),"",C22)),", ",(IF(OR(C19="",C19="NA"),"",C19)),", ",(IF(OR(C18="",C18="NA"),"",C18)),", ",(IF(OR(G19="",G19="NA"),"",G19)),", ",(IF(OR(C20="",C20="NA"),"",C20)),", ",(IF(OR(C21="",C21="NA"),"",C21)),", ",(IF(OR(G20="",G20="NA"),"",G20))," - ",(IF(OR(G21="",G21="NA"),"",G21)),".")</f>
        <v>Diamond Complex, Survey No.12 &amp; H.No.1/1, near Sant Nirankari Bhavan, Internal Road, Kalyan, Nandivali Tarfe Ambernath, Kalyan East, Kalyan, Thane  - 421306.</v>
      </c>
      <c r="D16" s="109"/>
      <c r="E16" s="109"/>
      <c r="F16" s="109"/>
      <c r="G16" s="109"/>
      <c r="H16" s="109"/>
      <c r="S16" s="49" t="s">
        <v>178</v>
      </c>
      <c r="T16" s="49" t="s">
        <v>186</v>
      </c>
      <c r="U16" s="49" t="s">
        <v>207</v>
      </c>
      <c r="V16" s="49" t="s">
        <v>193</v>
      </c>
      <c r="W16" s="49" t="s">
        <v>210</v>
      </c>
      <c r="X16"/>
      <c r="Y16"/>
      <c r="Z16"/>
    </row>
    <row r="17" spans="1:26" x14ac:dyDescent="0.35">
      <c r="A17" s="118" t="s">
        <v>304</v>
      </c>
      <c r="B17" s="118"/>
      <c r="C17" s="118" t="s">
        <v>305</v>
      </c>
      <c r="D17" s="118"/>
      <c r="E17" s="118"/>
      <c r="F17" s="118"/>
      <c r="G17" s="118"/>
      <c r="H17" s="118"/>
      <c r="S17" s="49" t="s">
        <v>179</v>
      </c>
      <c r="T17" s="49" t="s">
        <v>187</v>
      </c>
      <c r="U17" s="49" t="s">
        <v>168</v>
      </c>
      <c r="V17" s="49" t="s">
        <v>194</v>
      </c>
      <c r="W17" s="49" t="s">
        <v>211</v>
      </c>
      <c r="X17"/>
      <c r="Y17"/>
      <c r="Z17"/>
    </row>
    <row r="18" spans="1:26" ht="15.75" customHeight="1" x14ac:dyDescent="0.35">
      <c r="A18" s="118" t="s">
        <v>158</v>
      </c>
      <c r="B18" s="118"/>
      <c r="C18" s="118" t="s">
        <v>178</v>
      </c>
      <c r="D18" s="118"/>
      <c r="E18" s="118"/>
      <c r="F18" s="118"/>
      <c r="G18" s="118"/>
      <c r="H18" s="118"/>
      <c r="S18" s="49" t="s">
        <v>180</v>
      </c>
      <c r="T18" s="49" t="s">
        <v>185</v>
      </c>
      <c r="U18" s="49"/>
      <c r="V18" s="49" t="s">
        <v>195</v>
      </c>
      <c r="W18" s="49" t="s">
        <v>212</v>
      </c>
      <c r="X18"/>
      <c r="Y18"/>
      <c r="Z18"/>
    </row>
    <row r="19" spans="1:26" ht="32.25" customHeight="1" x14ac:dyDescent="0.35">
      <c r="A19" s="109" t="s">
        <v>10</v>
      </c>
      <c r="B19" s="109"/>
      <c r="C19" s="104" t="s">
        <v>307</v>
      </c>
      <c r="D19" s="104"/>
      <c r="E19" s="118" t="s">
        <v>70</v>
      </c>
      <c r="F19" s="118"/>
      <c r="G19" s="118" t="s">
        <v>331</v>
      </c>
      <c r="H19" s="118"/>
      <c r="S19" s="49" t="s">
        <v>181</v>
      </c>
      <c r="T19" s="49" t="s">
        <v>188</v>
      </c>
      <c r="U19" s="49"/>
      <c r="V19" s="49" t="s">
        <v>196</v>
      </c>
      <c r="W19" s="49" t="s">
        <v>213</v>
      </c>
      <c r="X19"/>
      <c r="Y19"/>
      <c r="Z19"/>
    </row>
    <row r="20" spans="1:26" x14ac:dyDescent="0.35">
      <c r="A20" s="88" t="s">
        <v>12</v>
      </c>
      <c r="B20" s="88"/>
      <c r="C20" s="118" t="s">
        <v>306</v>
      </c>
      <c r="D20" s="118"/>
      <c r="E20" s="118" t="s">
        <v>11</v>
      </c>
      <c r="F20" s="118"/>
      <c r="G20" s="176" t="s">
        <v>175</v>
      </c>
      <c r="H20" s="176"/>
      <c r="S20" s="49" t="s">
        <v>182</v>
      </c>
      <c r="T20" s="49" t="s">
        <v>189</v>
      </c>
      <c r="U20" s="49"/>
      <c r="V20" s="49" t="s">
        <v>197</v>
      </c>
      <c r="W20" s="49" t="s">
        <v>214</v>
      </c>
      <c r="X20"/>
      <c r="Y20"/>
      <c r="Z20"/>
    </row>
    <row r="21" spans="1:26" x14ac:dyDescent="0.35">
      <c r="A21" s="88" t="s">
        <v>71</v>
      </c>
      <c r="B21" s="88"/>
      <c r="C21" s="118" t="s">
        <v>178</v>
      </c>
      <c r="D21" s="118"/>
      <c r="E21" s="118" t="s">
        <v>13</v>
      </c>
      <c r="F21" s="118"/>
      <c r="G21" s="118">
        <v>421306</v>
      </c>
      <c r="H21" s="118"/>
      <c r="S21" s="49"/>
      <c r="T21" s="49"/>
      <c r="U21" s="49"/>
      <c r="V21" s="49" t="s">
        <v>198</v>
      </c>
      <c r="W21" s="49" t="s">
        <v>215</v>
      </c>
      <c r="X21"/>
      <c r="Y21"/>
      <c r="Z21"/>
    </row>
    <row r="22" spans="1:26" ht="32.25" customHeight="1" x14ac:dyDescent="0.35">
      <c r="A22" s="88" t="s">
        <v>117</v>
      </c>
      <c r="B22" s="88"/>
      <c r="C22" s="118" t="s">
        <v>308</v>
      </c>
      <c r="D22" s="118"/>
      <c r="E22" s="109" t="s">
        <v>14</v>
      </c>
      <c r="F22" s="109"/>
      <c r="G22" s="118" t="s">
        <v>309</v>
      </c>
      <c r="H22" s="118"/>
      <c r="S22" s="49"/>
      <c r="T22" s="49"/>
      <c r="U22" s="49"/>
      <c r="V22" s="49" t="s">
        <v>199</v>
      </c>
      <c r="W22" s="49" t="s">
        <v>216</v>
      </c>
      <c r="X22"/>
      <c r="Y22"/>
      <c r="Z22"/>
    </row>
    <row r="23" spans="1:26" ht="15" customHeight="1" x14ac:dyDescent="0.35">
      <c r="A23" s="109" t="s">
        <v>73</v>
      </c>
      <c r="B23" s="109"/>
      <c r="C23" s="109"/>
      <c r="D23" s="109"/>
      <c r="E23" s="104" t="s">
        <v>15</v>
      </c>
      <c r="F23" s="104"/>
      <c r="G23" s="104"/>
      <c r="H23" s="104"/>
      <c r="S23" s="49"/>
      <c r="T23" s="49"/>
      <c r="U23" s="49"/>
      <c r="V23" s="49" t="s">
        <v>200</v>
      </c>
      <c r="W23" s="49" t="s">
        <v>217</v>
      </c>
      <c r="X23"/>
      <c r="Y23"/>
      <c r="Z23"/>
    </row>
    <row r="24" spans="1:26" ht="18.75" customHeight="1" x14ac:dyDescent="0.35">
      <c r="A24" s="109"/>
      <c r="B24" s="109"/>
      <c r="C24" s="109"/>
      <c r="D24" s="109"/>
      <c r="E24" s="104"/>
      <c r="F24" s="104"/>
      <c r="G24" s="104"/>
      <c r="H24" s="104"/>
      <c r="S24" s="49"/>
      <c r="T24" s="49"/>
      <c r="U24" s="49"/>
      <c r="V24" s="49" t="s">
        <v>201</v>
      </c>
      <c r="W24" s="49" t="s">
        <v>218</v>
      </c>
      <c r="X24"/>
      <c r="Y24"/>
      <c r="Z24"/>
    </row>
    <row r="25" spans="1:26" ht="15" customHeight="1" x14ac:dyDescent="0.35">
      <c r="A25" s="109" t="s">
        <v>16</v>
      </c>
      <c r="B25" s="109"/>
      <c r="C25" s="109"/>
      <c r="D25" s="109"/>
      <c r="E25" s="118" t="s">
        <v>17</v>
      </c>
      <c r="F25" s="118"/>
      <c r="G25" s="118"/>
      <c r="H25" s="118"/>
      <c r="S25" s="49"/>
      <c r="T25" s="49"/>
      <c r="U25" s="49"/>
      <c r="V25" s="49" t="s">
        <v>202</v>
      </c>
      <c r="W25" s="49" t="s">
        <v>219</v>
      </c>
      <c r="X25"/>
      <c r="Y25"/>
      <c r="Z25"/>
    </row>
    <row r="26" spans="1:26" ht="15" customHeight="1" x14ac:dyDescent="0.35">
      <c r="A26" s="88" t="s">
        <v>18</v>
      </c>
      <c r="B26" s="88"/>
      <c r="C26" s="88"/>
      <c r="D26" s="88"/>
      <c r="E26" s="118" t="str">
        <f>IF(AND(G20="Mumbai"),"Upper Class","Middle Class")</f>
        <v>Middle Class</v>
      </c>
      <c r="F26" s="118"/>
      <c r="G26" s="118"/>
      <c r="H26" s="118"/>
      <c r="S26" s="49"/>
      <c r="T26" s="49"/>
      <c r="U26" s="49"/>
      <c r="V26" s="49" t="s">
        <v>203</v>
      </c>
      <c r="W26" s="49" t="s">
        <v>220</v>
      </c>
      <c r="X26"/>
      <c r="Y26"/>
      <c r="Z26"/>
    </row>
    <row r="27" spans="1:26" x14ac:dyDescent="0.35">
      <c r="A27" s="88" t="s">
        <v>19</v>
      </c>
      <c r="B27" s="88"/>
      <c r="C27" s="88"/>
      <c r="D27" s="88"/>
      <c r="E27" s="118" t="s">
        <v>20</v>
      </c>
      <c r="F27" s="118"/>
      <c r="G27" s="118"/>
      <c r="H27" s="118"/>
      <c r="S27" s="49"/>
      <c r="T27" s="49"/>
      <c r="U27" s="49"/>
      <c r="V27" s="49" t="s">
        <v>204</v>
      </c>
      <c r="W27" s="49" t="s">
        <v>221</v>
      </c>
      <c r="X27"/>
      <c r="Y27"/>
      <c r="Z27"/>
    </row>
    <row r="28" spans="1:26" ht="15.75" customHeight="1" x14ac:dyDescent="0.35">
      <c r="A28" s="88" t="s">
        <v>21</v>
      </c>
      <c r="B28" s="88"/>
      <c r="C28" s="88"/>
      <c r="D28" s="88"/>
      <c r="E28" s="118" t="str">
        <f>IF(AND(G20="Mumbai"),"Developed","Developing")</f>
        <v>Developing</v>
      </c>
      <c r="F28" s="118"/>
      <c r="G28" s="118"/>
      <c r="H28" s="118"/>
    </row>
    <row r="29" spans="1:26" x14ac:dyDescent="0.35">
      <c r="A29" s="88" t="s">
        <v>22</v>
      </c>
      <c r="B29" s="88"/>
      <c r="C29" s="88"/>
      <c r="D29" s="88"/>
      <c r="E29" s="118" t="s">
        <v>23</v>
      </c>
      <c r="F29" s="118"/>
      <c r="G29" s="118"/>
      <c r="H29" s="118"/>
    </row>
    <row r="30" spans="1:26" ht="15.75" customHeight="1" x14ac:dyDescent="0.35">
      <c r="A30" s="88" t="s">
        <v>78</v>
      </c>
      <c r="B30" s="88"/>
      <c r="C30" s="88"/>
      <c r="D30" s="88"/>
      <c r="E30" s="118" t="s">
        <v>79</v>
      </c>
      <c r="F30" s="118"/>
      <c r="G30" s="118"/>
      <c r="H30" s="118"/>
    </row>
    <row r="31" spans="1:26" ht="15" customHeight="1" x14ac:dyDescent="0.35">
      <c r="A31" s="88" t="s">
        <v>30</v>
      </c>
      <c r="B31" s="88"/>
      <c r="C31" s="88"/>
      <c r="D31" s="88"/>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35">
      <c r="A32" s="88" t="s">
        <v>90</v>
      </c>
      <c r="B32" s="88"/>
      <c r="C32" s="88"/>
      <c r="D32" s="88"/>
      <c r="E32" s="118" t="s">
        <v>31</v>
      </c>
      <c r="F32" s="118"/>
      <c r="G32" s="118"/>
      <c r="H32" s="118"/>
    </row>
    <row r="33" spans="1:19" s="19" customFormat="1" x14ac:dyDescent="0.35">
      <c r="A33" s="179" t="s">
        <v>91</v>
      </c>
      <c r="B33" s="179"/>
      <c r="C33" s="178" t="s">
        <v>169</v>
      </c>
      <c r="D33" s="178"/>
      <c r="E33" s="178"/>
      <c r="F33" s="178" t="s">
        <v>29</v>
      </c>
      <c r="G33" s="178"/>
      <c r="H33" s="178"/>
      <c r="S33" s="19" t="e">
        <f ca="1">OFFSET($S$13,1,MATCH($G20,$S$13:$W$13,0)-1,15,1)</f>
        <v>#VALUE!</v>
      </c>
    </row>
    <row r="34" spans="1:19" s="19" customFormat="1" x14ac:dyDescent="0.35">
      <c r="A34" s="177" t="s">
        <v>24</v>
      </c>
      <c r="B34" s="177" t="s">
        <v>28</v>
      </c>
      <c r="C34" s="175" t="s">
        <v>311</v>
      </c>
      <c r="D34" s="175"/>
      <c r="E34" s="175"/>
      <c r="F34" s="175" t="s">
        <v>333</v>
      </c>
      <c r="G34" s="175"/>
      <c r="H34" s="175"/>
    </row>
    <row r="35" spans="1:19" x14ac:dyDescent="0.35">
      <c r="A35" s="177" t="s">
        <v>25</v>
      </c>
      <c r="B35" s="177" t="s">
        <v>28</v>
      </c>
      <c r="C35" s="175" t="s">
        <v>310</v>
      </c>
      <c r="D35" s="175"/>
      <c r="E35" s="175"/>
      <c r="F35" s="175" t="s">
        <v>332</v>
      </c>
      <c r="G35" s="175"/>
      <c r="H35" s="175"/>
    </row>
    <row r="36" spans="1:19" s="19" customFormat="1" x14ac:dyDescent="0.35">
      <c r="A36" s="177" t="s">
        <v>27</v>
      </c>
      <c r="B36" s="177" t="s">
        <v>28</v>
      </c>
      <c r="C36" s="175" t="s">
        <v>313</v>
      </c>
      <c r="D36" s="175"/>
      <c r="E36" s="175"/>
      <c r="F36" s="175" t="s">
        <v>333</v>
      </c>
      <c r="G36" s="175"/>
      <c r="H36" s="175"/>
    </row>
    <row r="37" spans="1:19" x14ac:dyDescent="0.35">
      <c r="A37" s="177" t="s">
        <v>26</v>
      </c>
      <c r="B37" s="177" t="s">
        <v>28</v>
      </c>
      <c r="C37" s="175" t="s">
        <v>312</v>
      </c>
      <c r="D37" s="175"/>
      <c r="E37" s="175"/>
      <c r="F37" s="175" t="s">
        <v>307</v>
      </c>
      <c r="G37" s="175"/>
      <c r="H37" s="175"/>
    </row>
    <row r="38" spans="1:19" x14ac:dyDescent="0.35">
      <c r="A38" s="88" t="s">
        <v>277</v>
      </c>
      <c r="B38" s="88"/>
      <c r="C38" s="88"/>
      <c r="D38" s="88"/>
      <c r="E38" s="88"/>
      <c r="F38" s="88"/>
      <c r="G38" s="88"/>
      <c r="H38" s="88"/>
    </row>
    <row r="39" spans="1:19" ht="15.75" customHeight="1" x14ac:dyDescent="0.35">
      <c r="A39" s="88" t="s">
        <v>161</v>
      </c>
      <c r="B39" s="88"/>
      <c r="C39" s="168" t="s">
        <v>329</v>
      </c>
      <c r="D39" s="168"/>
      <c r="E39" s="168"/>
      <c r="F39" s="168"/>
      <c r="G39" s="168"/>
      <c r="H39" s="168"/>
    </row>
    <row r="40" spans="1:19" x14ac:dyDescent="0.35">
      <c r="A40" s="88" t="s">
        <v>157</v>
      </c>
      <c r="B40" s="88"/>
      <c r="C40" s="195" t="s">
        <v>328</v>
      </c>
      <c r="D40" s="118"/>
      <c r="E40" s="118"/>
      <c r="F40" s="118"/>
      <c r="G40" s="118"/>
      <c r="H40" s="118"/>
    </row>
    <row r="41" spans="1:19" x14ac:dyDescent="0.35">
      <c r="A41" s="168" t="s">
        <v>32</v>
      </c>
      <c r="B41" s="168"/>
      <c r="C41" s="168"/>
      <c r="D41" s="168"/>
      <c r="E41" s="168"/>
      <c r="F41" s="168"/>
      <c r="G41" s="168"/>
      <c r="H41" s="168"/>
    </row>
    <row r="42" spans="1:19" x14ac:dyDescent="0.35">
      <c r="A42" s="88" t="s">
        <v>33</v>
      </c>
      <c r="B42" s="88"/>
      <c r="C42" s="88"/>
      <c r="D42" s="88"/>
      <c r="E42" s="180">
        <v>2481.75</v>
      </c>
      <c r="F42" s="180"/>
      <c r="G42" s="180"/>
      <c r="H42" s="180"/>
    </row>
    <row r="43" spans="1:19" x14ac:dyDescent="0.35">
      <c r="A43" s="88" t="s">
        <v>34</v>
      </c>
      <c r="B43" s="88"/>
      <c r="C43" s="88"/>
      <c r="D43" s="88"/>
      <c r="E43" s="87">
        <f>2729.92/E42</f>
        <v>1.0999979852926363</v>
      </c>
      <c r="F43" s="87"/>
      <c r="G43" s="87"/>
      <c r="H43" s="87"/>
    </row>
    <row r="44" spans="1:19" x14ac:dyDescent="0.35">
      <c r="A44" s="88" t="s">
        <v>35</v>
      </c>
      <c r="B44" s="88"/>
      <c r="C44" s="88"/>
      <c r="D44" s="88"/>
      <c r="E44" s="87">
        <f>E46/E42-E43</f>
        <v>0.50892716832880014</v>
      </c>
      <c r="F44" s="87"/>
      <c r="G44" s="87"/>
      <c r="H44" s="87"/>
    </row>
    <row r="45" spans="1:19" x14ac:dyDescent="0.35">
      <c r="A45" s="88" t="s">
        <v>36</v>
      </c>
      <c r="B45" s="88"/>
      <c r="C45" s="88"/>
      <c r="D45" s="88"/>
      <c r="E45" s="87">
        <f>E43+E44</f>
        <v>1.6089251536214364</v>
      </c>
      <c r="F45" s="87"/>
      <c r="G45" s="87"/>
      <c r="H45" s="87"/>
      <c r="I45" s="65">
        <f>E46/E42</f>
        <v>1.6089251536214364</v>
      </c>
    </row>
    <row r="46" spans="1:19" x14ac:dyDescent="0.35">
      <c r="A46" s="88" t="s">
        <v>89</v>
      </c>
      <c r="B46" s="88"/>
      <c r="C46" s="88"/>
      <c r="D46" s="88"/>
      <c r="E46" s="182">
        <v>3992.95</v>
      </c>
      <c r="F46" s="182"/>
      <c r="G46" s="182"/>
      <c r="H46" s="182"/>
    </row>
    <row r="47" spans="1:19" x14ac:dyDescent="0.35">
      <c r="A47" s="104" t="s">
        <v>37</v>
      </c>
      <c r="B47" s="104"/>
      <c r="C47" s="104"/>
      <c r="D47" s="104"/>
      <c r="E47" s="104" t="s">
        <v>326</v>
      </c>
      <c r="F47" s="104"/>
      <c r="G47" s="104"/>
      <c r="H47" s="104"/>
    </row>
    <row r="48" spans="1:19" x14ac:dyDescent="0.35">
      <c r="A48" s="168" t="s">
        <v>38</v>
      </c>
      <c r="B48" s="168"/>
      <c r="C48" s="168"/>
      <c r="D48" s="168"/>
      <c r="E48" s="168"/>
      <c r="F48" s="168"/>
      <c r="G48" s="168"/>
      <c r="H48" s="168"/>
    </row>
    <row r="49" spans="1:24" ht="33.75" customHeight="1" x14ac:dyDescent="0.35">
      <c r="A49" s="96" t="s">
        <v>146</v>
      </c>
      <c r="B49" s="97"/>
      <c r="C49" s="205" t="s">
        <v>258</v>
      </c>
      <c r="D49" s="206"/>
      <c r="E49" s="206"/>
      <c r="F49" s="206"/>
      <c r="G49" s="206"/>
      <c r="H49" s="207"/>
      <c r="R49" t="s">
        <v>250</v>
      </c>
      <c r="S49" t="s">
        <v>168</v>
      </c>
      <c r="T49" t="s">
        <v>175</v>
      </c>
      <c r="U49" t="s">
        <v>190</v>
      </c>
      <c r="V49" t="s">
        <v>185</v>
      </c>
    </row>
    <row r="50" spans="1:24" ht="30.65" customHeight="1" x14ac:dyDescent="0.35">
      <c r="A50" s="96" t="s">
        <v>39</v>
      </c>
      <c r="B50" s="97"/>
      <c r="C50" s="96" t="s">
        <v>340</v>
      </c>
      <c r="D50" s="110"/>
      <c r="E50" s="97"/>
      <c r="F50" s="17" t="s">
        <v>40</v>
      </c>
      <c r="G50" s="111">
        <v>45629</v>
      </c>
      <c r="H50" s="97"/>
      <c r="R50"/>
      <c r="S50" t="s">
        <v>251</v>
      </c>
      <c r="T50" t="s">
        <v>256</v>
      </c>
      <c r="U50" t="s">
        <v>267</v>
      </c>
      <c r="V50" t="s">
        <v>272</v>
      </c>
    </row>
    <row r="51" spans="1:24" ht="31.5" customHeight="1" x14ac:dyDescent="0.35">
      <c r="A51" s="96" t="s">
        <v>41</v>
      </c>
      <c r="B51" s="97"/>
      <c r="C51" s="96" t="str">
        <f>C50</f>
        <v>KDMC/TPD/BP/27 village/2022-23/32/151</v>
      </c>
      <c r="D51" s="110"/>
      <c r="E51" s="97"/>
      <c r="F51" s="17" t="s">
        <v>40</v>
      </c>
      <c r="G51" s="111">
        <f>G50</f>
        <v>45629</v>
      </c>
      <c r="H51" s="97"/>
      <c r="R51"/>
      <c r="S51" t="s">
        <v>252</v>
      </c>
      <c r="T51" t="s">
        <v>257</v>
      </c>
      <c r="U51" t="s">
        <v>265</v>
      </c>
      <c r="V51" t="s">
        <v>273</v>
      </c>
    </row>
    <row r="52" spans="1:24" s="20" customFormat="1" ht="30" customHeight="1" x14ac:dyDescent="0.35">
      <c r="A52" s="136" t="s">
        <v>150</v>
      </c>
      <c r="B52" s="137"/>
      <c r="C52" s="96" t="str">
        <f>C51</f>
        <v>KDMC/TPD/BP/27 village/2022-23/32/151</v>
      </c>
      <c r="D52" s="110"/>
      <c r="E52" s="97"/>
      <c r="F52" s="17" t="s">
        <v>40</v>
      </c>
      <c r="G52" s="111">
        <f>G50</f>
        <v>45629</v>
      </c>
      <c r="H52" s="97"/>
      <c r="R52"/>
      <c r="S52" t="s">
        <v>253</v>
      </c>
      <c r="T52" t="s">
        <v>258</v>
      </c>
      <c r="U52" t="s">
        <v>255</v>
      </c>
      <c r="V52" t="s">
        <v>274</v>
      </c>
    </row>
    <row r="53" spans="1:24" s="20" customFormat="1" ht="52.5" customHeight="1" x14ac:dyDescent="0.35">
      <c r="A53" s="138"/>
      <c r="B53" s="139"/>
      <c r="C53" s="96" t="s">
        <v>341</v>
      </c>
      <c r="D53" s="110"/>
      <c r="E53" s="110"/>
      <c r="F53" s="110"/>
      <c r="G53" s="110"/>
      <c r="H53" s="97"/>
      <c r="R53"/>
      <c r="S53" t="s">
        <v>254</v>
      </c>
      <c r="T53" t="s">
        <v>261</v>
      </c>
      <c r="U53" t="s">
        <v>268</v>
      </c>
    </row>
    <row r="54" spans="1:24" s="20" customFormat="1" ht="36.75" hidden="1" customHeight="1" x14ac:dyDescent="0.35">
      <c r="A54" s="121" t="s">
        <v>278</v>
      </c>
      <c r="B54" s="122"/>
      <c r="C54" s="96" t="str">
        <f>C53</f>
        <v>Wing A &amp; B = Stilt + 1st Floor
Wing C &amp; D = Stilt + 1st to 7th Floor.
(B.U.A = 3994.01 sq.mt)</v>
      </c>
      <c r="D54" s="110"/>
      <c r="E54" s="97"/>
      <c r="F54" s="17" t="s">
        <v>40</v>
      </c>
      <c r="G54" s="96"/>
      <c r="H54" s="97"/>
      <c r="R54"/>
      <c r="S54" t="s">
        <v>253</v>
      </c>
      <c r="T54" t="s">
        <v>258</v>
      </c>
      <c r="U54" t="s">
        <v>255</v>
      </c>
      <c r="V54" t="s">
        <v>274</v>
      </c>
    </row>
    <row r="55" spans="1:24" s="20" customFormat="1" ht="32.25" hidden="1" customHeight="1" x14ac:dyDescent="0.35">
      <c r="A55" s="123"/>
      <c r="B55" s="124"/>
      <c r="C55" s="202"/>
      <c r="D55" s="203"/>
      <c r="E55" s="203"/>
      <c r="F55" s="203"/>
      <c r="G55" s="203"/>
      <c r="H55" s="204"/>
      <c r="R55"/>
      <c r="S55" t="s">
        <v>255</v>
      </c>
      <c r="T55" t="s">
        <v>259</v>
      </c>
      <c r="U55" t="s">
        <v>269</v>
      </c>
      <c r="V55" s="18"/>
      <c r="W55" s="18"/>
      <c r="X55" s="18"/>
    </row>
    <row r="56" spans="1:24" s="20" customFormat="1" ht="34.5" hidden="1" customHeight="1" x14ac:dyDescent="0.35">
      <c r="A56" s="121" t="s">
        <v>279</v>
      </c>
      <c r="B56" s="122"/>
      <c r="C56" s="96">
        <f>C55</f>
        <v>0</v>
      </c>
      <c r="D56" s="110"/>
      <c r="E56" s="97"/>
      <c r="F56" s="17" t="s">
        <v>40</v>
      </c>
      <c r="G56" s="96">
        <f>G55</f>
        <v>0</v>
      </c>
      <c r="H56" s="97"/>
      <c r="R56"/>
      <c r="S56" s="18"/>
      <c r="T56" t="s">
        <v>260</v>
      </c>
      <c r="U56" t="s">
        <v>270</v>
      </c>
      <c r="V56" s="18"/>
      <c r="W56" s="18"/>
      <c r="X56" s="18"/>
    </row>
    <row r="57" spans="1:24" s="20" customFormat="1" ht="41.25" hidden="1" customHeight="1" x14ac:dyDescent="0.35">
      <c r="A57" s="123"/>
      <c r="B57" s="124"/>
      <c r="C57" s="96"/>
      <c r="D57" s="110"/>
      <c r="E57" s="110"/>
      <c r="F57" s="110"/>
      <c r="G57" s="110"/>
      <c r="H57" s="97"/>
      <c r="R57"/>
      <c r="S57" s="18"/>
      <c r="T57" t="s">
        <v>262</v>
      </c>
      <c r="U57" t="s">
        <v>271</v>
      </c>
      <c r="V57" s="18"/>
      <c r="W57" s="18"/>
      <c r="X57" s="18"/>
    </row>
    <row r="58" spans="1:24" s="20" customFormat="1" ht="15.75" hidden="1" customHeight="1" x14ac:dyDescent="0.35">
      <c r="A58" s="121" t="s">
        <v>280</v>
      </c>
      <c r="B58" s="122"/>
      <c r="C58" s="96">
        <f>C57</f>
        <v>0</v>
      </c>
      <c r="D58" s="110"/>
      <c r="E58" s="97"/>
      <c r="F58" s="17" t="s">
        <v>40</v>
      </c>
      <c r="G58" s="96">
        <f>G57</f>
        <v>0</v>
      </c>
      <c r="H58" s="97"/>
      <c r="R58"/>
      <c r="S58" s="18"/>
      <c r="T58" t="s">
        <v>263</v>
      </c>
      <c r="U58" s="18" t="s">
        <v>294</v>
      </c>
      <c r="V58" s="18"/>
      <c r="W58" s="18"/>
      <c r="X58" s="18"/>
    </row>
    <row r="59" spans="1:24" s="20" customFormat="1" hidden="1" x14ac:dyDescent="0.35">
      <c r="A59" s="123"/>
      <c r="B59" s="124"/>
      <c r="C59" s="96"/>
      <c r="D59" s="110"/>
      <c r="E59" s="110"/>
      <c r="F59" s="110"/>
      <c r="G59" s="110"/>
      <c r="H59" s="97"/>
      <c r="R59"/>
      <c r="S59" s="18"/>
      <c r="T59" t="s">
        <v>264</v>
      </c>
      <c r="U59" s="18"/>
      <c r="V59" s="18"/>
      <c r="W59" s="18"/>
      <c r="X59" s="18"/>
    </row>
    <row r="60" spans="1:24" ht="15.75" hidden="1" customHeight="1" x14ac:dyDescent="0.35">
      <c r="A60" s="101" t="s">
        <v>42</v>
      </c>
      <c r="B60" s="102"/>
      <c r="C60" s="101" t="s">
        <v>102</v>
      </c>
      <c r="D60" s="103"/>
      <c r="E60" s="102"/>
      <c r="F60" s="40" t="s">
        <v>40</v>
      </c>
      <c r="G60" s="119" t="s">
        <v>28</v>
      </c>
      <c r="H60" s="120"/>
      <c r="R60"/>
      <c r="T60" t="s">
        <v>266</v>
      </c>
    </row>
    <row r="61" spans="1:24" x14ac:dyDescent="0.35">
      <c r="A61" s="112" t="s">
        <v>44</v>
      </c>
      <c r="B61" s="112"/>
      <c r="C61" s="112"/>
      <c r="D61" s="112"/>
      <c r="E61" s="112"/>
      <c r="F61" s="112"/>
      <c r="G61" s="112"/>
      <c r="H61" s="112"/>
      <c r="T61" t="s">
        <v>275</v>
      </c>
    </row>
    <row r="62" spans="1:24" x14ac:dyDescent="0.35">
      <c r="A62" s="109" t="s">
        <v>88</v>
      </c>
      <c r="B62" s="109"/>
      <c r="C62" s="109"/>
      <c r="D62" s="104">
        <f>E46</f>
        <v>3992.95</v>
      </c>
      <c r="E62" s="104"/>
      <c r="F62" s="104"/>
      <c r="G62" s="104"/>
      <c r="H62" s="104"/>
      <c r="R62"/>
    </row>
    <row r="63" spans="1:24" x14ac:dyDescent="0.35">
      <c r="A63" s="118" t="s">
        <v>45</v>
      </c>
      <c r="B63" s="104"/>
      <c r="C63" s="104"/>
      <c r="D63" s="104" t="s">
        <v>348</v>
      </c>
      <c r="E63" s="104"/>
      <c r="F63" s="104"/>
      <c r="G63" s="104"/>
      <c r="H63" s="104"/>
      <c r="I63" s="21"/>
      <c r="R63"/>
    </row>
    <row r="64" spans="1:24" ht="33.75" customHeight="1" x14ac:dyDescent="0.35">
      <c r="A64" s="190" t="s">
        <v>46</v>
      </c>
      <c r="B64" s="191"/>
      <c r="C64" s="192"/>
      <c r="D64" s="188" t="s">
        <v>342</v>
      </c>
      <c r="E64" s="189"/>
      <c r="F64" s="189"/>
      <c r="G64" s="189"/>
      <c r="H64" s="189"/>
      <c r="R64"/>
    </row>
    <row r="65" spans="1:19" ht="15.75" customHeight="1" x14ac:dyDescent="0.35">
      <c r="A65" s="118" t="s">
        <v>86</v>
      </c>
      <c r="B65" s="118"/>
      <c r="C65" s="118"/>
      <c r="D65" s="104" t="s">
        <v>324</v>
      </c>
      <c r="E65" s="104"/>
      <c r="F65" s="104"/>
      <c r="G65" s="104"/>
      <c r="H65" s="104"/>
      <c r="R65"/>
    </row>
    <row r="66" spans="1:19" ht="15.75" customHeight="1" x14ac:dyDescent="0.35">
      <c r="A66" s="118"/>
      <c r="B66" s="118"/>
      <c r="C66" s="118"/>
      <c r="D66" s="104" t="s">
        <v>325</v>
      </c>
      <c r="E66" s="104"/>
      <c r="F66" s="104"/>
      <c r="G66" s="104"/>
      <c r="H66" s="104"/>
      <c r="R66"/>
    </row>
    <row r="67" spans="1:19" ht="15.75" customHeight="1" x14ac:dyDescent="0.35">
      <c r="A67" s="118"/>
      <c r="B67" s="118"/>
      <c r="C67" s="118"/>
      <c r="D67" s="104" t="s">
        <v>343</v>
      </c>
      <c r="E67" s="104"/>
      <c r="F67" s="104"/>
      <c r="G67" s="104"/>
      <c r="H67" s="104"/>
      <c r="R67"/>
    </row>
    <row r="68" spans="1:19" ht="15.75" hidden="1" customHeight="1" x14ac:dyDescent="0.35">
      <c r="A68" s="118"/>
      <c r="B68" s="118"/>
      <c r="C68" s="118"/>
      <c r="D68" s="104" t="s">
        <v>339</v>
      </c>
      <c r="E68" s="104"/>
      <c r="F68" s="104"/>
      <c r="G68" s="104"/>
      <c r="H68" s="104"/>
      <c r="R68"/>
    </row>
    <row r="69" spans="1:19" ht="15.75" customHeight="1" x14ac:dyDescent="0.35">
      <c r="A69" s="104" t="s">
        <v>43</v>
      </c>
      <c r="B69" s="104"/>
      <c r="C69" s="104"/>
      <c r="D69" s="109" t="s">
        <v>315</v>
      </c>
      <c r="E69" s="109"/>
      <c r="F69" s="109"/>
      <c r="G69" s="109"/>
      <c r="H69" s="109"/>
      <c r="J69" s="22"/>
      <c r="K69" s="21"/>
      <c r="N69" s="21"/>
      <c r="S69"/>
    </row>
    <row r="70" spans="1:19" ht="15.75" customHeight="1" x14ac:dyDescent="0.35">
      <c r="A70" s="104" t="s">
        <v>84</v>
      </c>
      <c r="B70" s="104"/>
      <c r="C70" s="104"/>
      <c r="D70" s="181" t="str">
        <f>(IF(G60="NA","60 Years After Completion",IF(G60&lt;&gt;"NA",""&amp;60-ROUNDDOWN((E3-G60)/360,0)&amp;" Years"," ")))</f>
        <v>60 Years After Completion</v>
      </c>
      <c r="E70" s="181"/>
      <c r="F70" s="181"/>
      <c r="G70" s="181"/>
      <c r="H70" s="181"/>
      <c r="N70" s="21"/>
      <c r="S70"/>
    </row>
    <row r="71" spans="1:19" ht="15.75" customHeight="1" x14ac:dyDescent="0.35">
      <c r="A71" s="104" t="s">
        <v>85</v>
      </c>
      <c r="B71" s="104"/>
      <c r="C71" s="104"/>
      <c r="D71" s="109" t="s">
        <v>23</v>
      </c>
      <c r="E71" s="109"/>
      <c r="F71" s="109"/>
      <c r="G71" s="109"/>
      <c r="H71" s="109"/>
      <c r="J71" s="23"/>
      <c r="K71" s="23"/>
      <c r="S71"/>
    </row>
    <row r="72" spans="1:19" ht="16.5" customHeight="1" x14ac:dyDescent="0.35">
      <c r="A72" s="104" t="s">
        <v>334</v>
      </c>
      <c r="B72" s="104"/>
      <c r="C72" s="104"/>
      <c r="D72" s="118" t="s">
        <v>314</v>
      </c>
      <c r="E72" s="109"/>
      <c r="F72" s="109"/>
      <c r="G72" s="109"/>
      <c r="H72" s="109"/>
      <c r="S72"/>
    </row>
    <row r="73" spans="1:19" x14ac:dyDescent="0.35">
      <c r="A73" s="118" t="s">
        <v>143</v>
      </c>
      <c r="B73" s="118"/>
      <c r="C73" s="118"/>
      <c r="D73" s="109" t="s">
        <v>28</v>
      </c>
      <c r="E73" s="109"/>
      <c r="F73" s="109"/>
      <c r="G73" s="109"/>
      <c r="H73" s="109"/>
      <c r="I73" s="24"/>
      <c r="J73" s="24"/>
      <c r="K73" s="24"/>
      <c r="L73" s="24"/>
      <c r="M73" s="24"/>
      <c r="N73" s="24"/>
    </row>
    <row r="74" spans="1:19" ht="15.75" customHeight="1" x14ac:dyDescent="0.35">
      <c r="A74" s="104" t="s">
        <v>83</v>
      </c>
      <c r="B74" s="104"/>
      <c r="C74" s="104"/>
      <c r="D74" s="118" t="str">
        <f ca="1">(IF(G108&gt;95%,"Nothing",IF(G108&gt;0%,"Cement, Aggregate, Steel, etc",IF(G108=0%,"Work not yet Started"))))</f>
        <v>Cement, Aggregate, Steel, etc</v>
      </c>
      <c r="E74" s="118"/>
      <c r="F74" s="118"/>
      <c r="G74" s="118"/>
      <c r="H74" s="118"/>
      <c r="J74" s="23"/>
      <c r="S74"/>
    </row>
    <row r="75" spans="1:19" ht="33.75" customHeight="1" thickBot="1" x14ac:dyDescent="0.4">
      <c r="A75" s="109" t="s">
        <v>115</v>
      </c>
      <c r="B75" s="109"/>
      <c r="C75" s="109"/>
      <c r="D75" s="118" t="str">
        <f ca="1">(IF(D74="Nothing","Yes",IF(D74="Cement, Aggregate, Steel, etc","Under Construction",IF(D74="Work not yet Started","Work not yet Started"))))</f>
        <v>Under Construction</v>
      </c>
      <c r="E75" s="118"/>
      <c r="F75" s="118" t="str">
        <f ca="1">(IF(D74="Nothing","Yes",IF(D74="Cement, Aggregate, Steel, etc","Under Construction",IF(D74="Work not yet Started","Work not yet Started"))))</f>
        <v>Under Construction</v>
      </c>
      <c r="G75" s="118"/>
      <c r="H75" s="118"/>
      <c r="S75"/>
    </row>
    <row r="76" spans="1:19" ht="15.75" customHeight="1" x14ac:dyDescent="0.35">
      <c r="A76" s="193" t="s">
        <v>135</v>
      </c>
      <c r="B76" s="193"/>
      <c r="C76" s="193" t="str">
        <f>D65</f>
        <v>Wing A = Stilt + 1st to 6th Floor.</v>
      </c>
      <c r="D76" s="193"/>
      <c r="E76" s="193"/>
      <c r="F76" s="193"/>
      <c r="G76" s="193"/>
      <c r="H76" s="193"/>
      <c r="I76" s="84" t="str">
        <f ca="1">IF(D89=100%,"All work Completed. Possession granted to the Building.",IF(D88=100%,"All work Completed, Waiting for OC",I77&amp;""&amp;I78&amp;""&amp;J77&amp;""&amp;J76&amp;" "&amp;J78))</f>
        <v xml:space="preserve">Work not yet Started. </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35">
      <c r="A77" s="46" t="s">
        <v>137</v>
      </c>
      <c r="B77" s="46">
        <f>IF(AND(ISNUMBER(SEARCH("1B",C76))),1,IF(AND(ISNUMBER(SEARCH("2B",C76))),2,IF(AND(ISNUMBER(SEARCH("3B",C76))),3,IF(AND(ISNUMBER(SEARCH("4B",C76))),4,IF(ISNUMBER(SEARCH("5B",C76)),5,0)))))</f>
        <v>0</v>
      </c>
      <c r="C77" s="46" t="s">
        <v>69</v>
      </c>
      <c r="D77" s="46">
        <v>1</v>
      </c>
      <c r="E77" s="46" t="s">
        <v>68</v>
      </c>
      <c r="F77" s="46">
        <v>0</v>
      </c>
      <c r="G77" s="46" t="s">
        <v>77</v>
      </c>
      <c r="H77" s="46">
        <f ca="1">--TRIM(RIGHT(SUBSTITUTE(LEFT(C76,_xlfn.AGGREGATE(16,6,FIND({0,1,2,3,4,5,6,7,8,9},C76,ROW(INDIRECT("1:"&amp;LEN(C76)))),1))," ",REPT(" ",LEN(C76))),LEN(C76)))</f>
        <v>6</v>
      </c>
      <c r="I77" s="85" t="str">
        <f ca="1">IF(D80=100%,"Excavation","")&amp;IF(D81=100%,", Plinth","")&amp;IF(D82=100%,", RCC Slab","")&amp;IF(D83=100%,", Brickwork","")&amp;IF(D84=100%,", Internal Plaster","")&amp;IF(D85=100%,", External Plaster","")&amp;IF(D86=100%,", Flooring","")&amp;IF(D87=100%,", Painting","")&amp;IF(D88=100%,", Building common Amenities","")</f>
        <v/>
      </c>
      <c r="J77" s="45" t="str">
        <f>(IF(C80=0,"Work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Work not yet Started.</v>
      </c>
      <c r="S77"/>
    </row>
    <row r="78" spans="1:19" x14ac:dyDescent="0.35">
      <c r="A78" s="183" t="s">
        <v>87</v>
      </c>
      <c r="B78" s="173"/>
      <c r="C78" s="193" t="str">
        <f ca="1">I76</f>
        <v xml:space="preserve">Work not yet Started. </v>
      </c>
      <c r="D78" s="193"/>
      <c r="E78" s="193"/>
      <c r="F78" s="193"/>
      <c r="G78" s="193"/>
      <c r="H78" s="194"/>
      <c r="I78" s="44" t="str">
        <f ca="1">IF(I77&lt;&gt;""," Completed","")</f>
        <v/>
      </c>
      <c r="J78" s="45" t="str">
        <f ca="1">IF(J76&lt;&gt;"","Completed","")</f>
        <v/>
      </c>
      <c r="S78"/>
    </row>
    <row r="79" spans="1:19" ht="15.75" customHeight="1" x14ac:dyDescent="0.35">
      <c r="A79" s="94" t="s">
        <v>47</v>
      </c>
      <c r="B79" s="95"/>
      <c r="C79" s="72" t="s">
        <v>134</v>
      </c>
      <c r="D79" s="72" t="s">
        <v>80</v>
      </c>
      <c r="E79" s="95" t="s">
        <v>82</v>
      </c>
      <c r="F79" s="95"/>
      <c r="G79" s="95" t="s">
        <v>81</v>
      </c>
      <c r="H79" s="210"/>
      <c r="I79" s="13" t="s">
        <v>136</v>
      </c>
      <c r="J79" s="25">
        <f ca="1">H77*25%</f>
        <v>1.5</v>
      </c>
      <c r="S79"/>
    </row>
    <row r="80" spans="1:19" x14ac:dyDescent="0.35">
      <c r="A80" s="94" t="s">
        <v>123</v>
      </c>
      <c r="B80" s="95"/>
      <c r="C80" s="72">
        <v>0</v>
      </c>
      <c r="D80" s="73">
        <f ca="1">((100/H77)*C80)/100</f>
        <v>0</v>
      </c>
      <c r="E80" s="156">
        <f ca="1">(((C81/H77*10)+(40/(D77+F77+H77)*C82)+(7.5/(H77)*C83)+(7.5/(H77)*C84)+(10/H77*C85)+(10/H77*C86)+(5/H77*C87)+(5/H77*C88)+(5/H77*C89))/100)</f>
        <v>0</v>
      </c>
      <c r="F80" s="157"/>
      <c r="G80" s="156">
        <f ca="1">((((C80/H77)*20)+((C81/H77)*25)+(30/(H77+F77+D77)*C82)+(5/H77*C83)+(5/H77*C84)+(5/H77*C85)+(5/H77*C86)+(0/H77*C87)+(0/H77*C88)+(5/H77*C89))/100)</f>
        <v>0</v>
      </c>
      <c r="H80" s="162"/>
      <c r="I80" s="13" t="s">
        <v>97</v>
      </c>
      <c r="J80" s="26">
        <f ca="1">H77*50%</f>
        <v>3</v>
      </c>
    </row>
    <row r="81" spans="1:19" x14ac:dyDescent="0.35">
      <c r="A81" s="94" t="s">
        <v>48</v>
      </c>
      <c r="B81" s="95"/>
      <c r="C81" s="72">
        <v>0</v>
      </c>
      <c r="D81" s="73">
        <f ca="1">((100/H77)*C81)/100</f>
        <v>0</v>
      </c>
      <c r="E81" s="158"/>
      <c r="F81" s="159"/>
      <c r="G81" s="158"/>
      <c r="H81" s="163"/>
      <c r="I81" s="13" t="s">
        <v>98</v>
      </c>
      <c r="J81" s="26">
        <f ca="1">H77</f>
        <v>6</v>
      </c>
      <c r="S81"/>
    </row>
    <row r="82" spans="1:19" ht="15.75" customHeight="1" x14ac:dyDescent="0.35">
      <c r="A82" s="94" t="s">
        <v>124</v>
      </c>
      <c r="B82" s="95"/>
      <c r="C82" s="72">
        <v>0</v>
      </c>
      <c r="D82" s="73">
        <f ca="1">((100/(D77+F77+H77))*C82)/100</f>
        <v>0</v>
      </c>
      <c r="E82" s="158"/>
      <c r="F82" s="159"/>
      <c r="G82" s="158"/>
      <c r="H82" s="163"/>
      <c r="I82" s="13" t="s">
        <v>99</v>
      </c>
      <c r="J82" s="27">
        <f ca="1">(IF(B77&gt;1,(H77/(B77+2)),H77/4))</f>
        <v>1.5</v>
      </c>
      <c r="S82"/>
    </row>
    <row r="83" spans="1:19" ht="15.75" customHeight="1" x14ac:dyDescent="0.35">
      <c r="A83" s="94" t="s">
        <v>131</v>
      </c>
      <c r="B83" s="95" t="s">
        <v>125</v>
      </c>
      <c r="C83" s="72">
        <v>0</v>
      </c>
      <c r="D83" s="73">
        <f ca="1">((100/H77)*C83)/100</f>
        <v>0</v>
      </c>
      <c r="E83" s="158"/>
      <c r="F83" s="159"/>
      <c r="G83" s="158"/>
      <c r="H83" s="163"/>
      <c r="I83" s="13" t="s">
        <v>100</v>
      </c>
      <c r="J83" s="27">
        <f ca="1">(IF(B77&gt;1,(H77/(B77+2)+J82),H77/4+J82))</f>
        <v>3</v>
      </c>
    </row>
    <row r="84" spans="1:19" ht="15.75" customHeight="1" x14ac:dyDescent="0.35">
      <c r="A84" s="94" t="s">
        <v>132</v>
      </c>
      <c r="B84" s="95" t="s">
        <v>125</v>
      </c>
      <c r="C84" s="72">
        <v>0</v>
      </c>
      <c r="D84" s="73">
        <f ca="1">((100/H77)*C84)/100</f>
        <v>0</v>
      </c>
      <c r="E84" s="158"/>
      <c r="F84" s="159"/>
      <c r="G84" s="158"/>
      <c r="H84" s="163"/>
      <c r="I84" s="13" t="s">
        <v>141</v>
      </c>
      <c r="J84" s="27">
        <f>(IF(B77&gt;1,(H77/(B77+2)+J83),0))</f>
        <v>0</v>
      </c>
    </row>
    <row r="85" spans="1:19" ht="15" customHeight="1" x14ac:dyDescent="0.35">
      <c r="A85" s="94" t="s">
        <v>130</v>
      </c>
      <c r="B85" s="95" t="s">
        <v>127</v>
      </c>
      <c r="C85" s="72">
        <v>0</v>
      </c>
      <c r="D85" s="73">
        <f ca="1">((100/(H77))*C85)/100</f>
        <v>0</v>
      </c>
      <c r="E85" s="158"/>
      <c r="F85" s="159"/>
      <c r="G85" s="158"/>
      <c r="H85" s="163"/>
      <c r="I85" s="13" t="s">
        <v>138</v>
      </c>
      <c r="J85" s="27">
        <f>(IF(B77&gt;2,(H77/(B77+2)+J84),0))</f>
        <v>0</v>
      </c>
    </row>
    <row r="86" spans="1:19" ht="15.75" customHeight="1" x14ac:dyDescent="0.35">
      <c r="A86" s="94" t="s">
        <v>126</v>
      </c>
      <c r="B86" s="95" t="s">
        <v>126</v>
      </c>
      <c r="C86" s="72">
        <v>0</v>
      </c>
      <c r="D86" s="73">
        <f ca="1">((100/H77)*C86)/100</f>
        <v>0</v>
      </c>
      <c r="E86" s="158"/>
      <c r="F86" s="159"/>
      <c r="G86" s="158"/>
      <c r="H86" s="163"/>
      <c r="I86" s="13" t="s">
        <v>139</v>
      </c>
      <c r="J86" s="28">
        <f>(IF(B77&gt;3,(H77/(B77+2)+J85),0))</f>
        <v>0</v>
      </c>
    </row>
    <row r="87" spans="1:19" ht="15.75" customHeight="1" x14ac:dyDescent="0.35">
      <c r="A87" s="94" t="s">
        <v>133</v>
      </c>
      <c r="B87" s="95"/>
      <c r="C87" s="72">
        <v>0</v>
      </c>
      <c r="D87" s="73">
        <f ca="1">((100/H77)*C87)/100</f>
        <v>0</v>
      </c>
      <c r="E87" s="158"/>
      <c r="F87" s="159"/>
      <c r="G87" s="158"/>
      <c r="H87" s="163"/>
      <c r="I87" s="13" t="s">
        <v>140</v>
      </c>
      <c r="J87" s="27">
        <f>(IF(B77&gt;4,(H77/(B77+2)+J86),0))</f>
        <v>0</v>
      </c>
    </row>
    <row r="88" spans="1:19" ht="15.75" customHeight="1" x14ac:dyDescent="0.35">
      <c r="A88" s="94" t="s">
        <v>128</v>
      </c>
      <c r="B88" s="95" t="s">
        <v>128</v>
      </c>
      <c r="C88" s="72">
        <v>0</v>
      </c>
      <c r="D88" s="73">
        <f ca="1">((100/(H77))*C88)/100</f>
        <v>0</v>
      </c>
      <c r="E88" s="158"/>
      <c r="F88" s="159"/>
      <c r="G88" s="158"/>
      <c r="H88" s="163"/>
      <c r="I88" s="13" t="s">
        <v>142</v>
      </c>
      <c r="J88" s="27">
        <f ca="1">(IF(B77=1,(H77/(B77+3)+J83),IF(B77=0,(H77/4+J83),IF(B77&gt;1,0))))</f>
        <v>4.5</v>
      </c>
    </row>
    <row r="89" spans="1:19" ht="16" thickBot="1" x14ac:dyDescent="0.4">
      <c r="A89" s="142" t="s">
        <v>129</v>
      </c>
      <c r="B89" s="143"/>
      <c r="C89" s="74">
        <v>0</v>
      </c>
      <c r="D89" s="75">
        <f ca="1">((100/(H77))*C89)/100</f>
        <v>0</v>
      </c>
      <c r="E89" s="160"/>
      <c r="F89" s="161"/>
      <c r="G89" s="160"/>
      <c r="H89" s="164"/>
      <c r="I89" s="14" t="s">
        <v>101</v>
      </c>
      <c r="J89" s="29">
        <f ca="1">(IF(B77&gt;1.5,(H77/(B77+2)+J83+MAX(0,J84-J83)+MAX(0,J85-J84)+MAX(0,J86-J85)+MAX(0,J87-J86)+MAX(0,J88-J87)),IF(B77=1,(H77/(B77+3)+J88),IF(B77=0,H77/4+J88))))</f>
        <v>6</v>
      </c>
    </row>
    <row r="90" spans="1:19" ht="15.75" customHeight="1" x14ac:dyDescent="0.35">
      <c r="A90" s="89" t="s">
        <v>135</v>
      </c>
      <c r="B90" s="90"/>
      <c r="C90" s="91" t="str">
        <f>D66</f>
        <v>Wing B = Stilt + 1st to 6th Floor.</v>
      </c>
      <c r="D90" s="92"/>
      <c r="E90" s="92"/>
      <c r="F90" s="92"/>
      <c r="G90" s="92"/>
      <c r="H90" s="93"/>
      <c r="I90" s="42" t="str">
        <f ca="1">IF(D103=100%,"All work Completed. Possession granted to the Building.",IF(D102=100%,"All work Completed, Waiting for OC",I91&amp;""&amp;I92&amp;""&amp;J91&amp;""&amp;J90&amp;" "&amp;J92))</f>
        <v xml:space="preserve">Excavation, Plinth Completed </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9" x14ac:dyDescent="0.35">
      <c r="A91" s="15" t="s">
        <v>137</v>
      </c>
      <c r="B91" s="46">
        <f>IF(AND(ISNUMBER(SEARCH("1B",C90))),1,IF(AND(ISNUMBER(SEARCH("2B",C90))),2,IF(AND(ISNUMBER(SEARCH("3B",C90))),3,IF(AND(ISNUMBER(SEARCH("4B",C90))),4,IF(ISNUMBER(SEARCH("5B",C90)),5,0)))))</f>
        <v>0</v>
      </c>
      <c r="C91" s="46" t="s">
        <v>69</v>
      </c>
      <c r="D91" s="46">
        <v>1</v>
      </c>
      <c r="E91" s="46" t="s">
        <v>68</v>
      </c>
      <c r="F91" s="46">
        <v>0</v>
      </c>
      <c r="G91" s="46" t="s">
        <v>77</v>
      </c>
      <c r="H91" s="16">
        <f ca="1">--TRIM(RIGHT(SUBSTITUTE(LEFT(C90,_xlfn.AGGREGATE(16,6,FIND({0,1,2,3,4,5,6,7,8,9},C90,ROW(INDIRECT("1:"&amp;LEN(C90)))),1))," ",REPT(" ",LEN(C90))),LEN(C90)))</f>
        <v>6</v>
      </c>
      <c r="I91" s="44" t="str">
        <f ca="1">IF(D94=100%,"Excavation","")&amp;IF(D95=100%,", Plinth","")&amp;IF(D96=100%,", RCC Slab","")&amp;IF(D97=100%,", Brickwork","")&amp;IF(D98=100%,", Internal Plaster","")&amp;IF(D99=100%,", External Plaster","")&amp;IF(D100=100%,", Flooring","")&amp;IF(D101=100%,", Painting","")&amp;IF(D102=100%,", Building common Amenities","")</f>
        <v>Excavation, Plinth</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x14ac:dyDescent="0.35">
      <c r="A92" s="183" t="s">
        <v>87</v>
      </c>
      <c r="B92" s="173"/>
      <c r="C92" s="193" t="str">
        <f ca="1">(IF($G$60="NA",I90,"All work Completed. OC Received."))</f>
        <v xml:space="preserve">Excavation, Plinth Completed </v>
      </c>
      <c r="D92" s="193"/>
      <c r="E92" s="193"/>
      <c r="F92" s="193"/>
      <c r="G92" s="193"/>
      <c r="H92" s="194"/>
      <c r="I92" s="44" t="str">
        <f ca="1">IF(I91&lt;&gt;""," Completed","")</f>
        <v xml:space="preserve"> Completed</v>
      </c>
      <c r="J92" s="45" t="str">
        <f ca="1">IF(J90&lt;&gt;"","Completed","")</f>
        <v/>
      </c>
    </row>
    <row r="93" spans="1:19" ht="15.75" customHeight="1" x14ac:dyDescent="0.35">
      <c r="A93" s="94" t="s">
        <v>47</v>
      </c>
      <c r="B93" s="95"/>
      <c r="C93" s="72" t="s">
        <v>134</v>
      </c>
      <c r="D93" s="72" t="s">
        <v>80</v>
      </c>
      <c r="E93" s="95" t="s">
        <v>82</v>
      </c>
      <c r="F93" s="95"/>
      <c r="G93" s="95" t="s">
        <v>81</v>
      </c>
      <c r="H93" s="210"/>
      <c r="I93" s="13" t="s">
        <v>136</v>
      </c>
      <c r="J93" s="25">
        <f ca="1">H91*25%</f>
        <v>1.5</v>
      </c>
    </row>
    <row r="94" spans="1:19" x14ac:dyDescent="0.35">
      <c r="A94" s="94" t="s">
        <v>123</v>
      </c>
      <c r="B94" s="95"/>
      <c r="C94" s="72">
        <v>6</v>
      </c>
      <c r="D94" s="73">
        <f ca="1">((100/H91)*C94)/100</f>
        <v>1</v>
      </c>
      <c r="E94" s="156">
        <f ca="1">(((C95/H91*10)+(40/(D91+F91+H91)*C96)+(7.5/(H91)*C97)+(7.5/(H91)*C98)+(10/H91*C99)+(10/H91*C100)+(5/H91*C101)+(5/H91*C102)+(5/H91*C103))/100)</f>
        <v>0.1</v>
      </c>
      <c r="F94" s="157"/>
      <c r="G94" s="156">
        <f ca="1">((((C94/H91)*20)+((C95/H91)*25)+(30/(H91+F91+D91)*C96)+(5/H91*C97)+(5/H91*C98)+(5/H91*C99)+(5/H91*C100)+(0/H91*C101)+(0/H91*C102)+(5/H91*C103))/100)</f>
        <v>0.45</v>
      </c>
      <c r="H94" s="162"/>
      <c r="I94" s="13" t="s">
        <v>97</v>
      </c>
      <c r="J94" s="26">
        <f ca="1">H91*50%</f>
        <v>3</v>
      </c>
    </row>
    <row r="95" spans="1:19" x14ac:dyDescent="0.35">
      <c r="A95" s="94" t="s">
        <v>48</v>
      </c>
      <c r="B95" s="95"/>
      <c r="C95" s="76">
        <f ca="1">J103</f>
        <v>6</v>
      </c>
      <c r="D95" s="73">
        <f ca="1">((100/H91)*C95)/100</f>
        <v>1</v>
      </c>
      <c r="E95" s="158"/>
      <c r="F95" s="159"/>
      <c r="G95" s="158"/>
      <c r="H95" s="163"/>
      <c r="I95" s="13" t="s">
        <v>98</v>
      </c>
      <c r="J95" s="26">
        <f ca="1">H91</f>
        <v>6</v>
      </c>
    </row>
    <row r="96" spans="1:19" ht="15.75" customHeight="1" x14ac:dyDescent="0.35">
      <c r="A96" s="94" t="s">
        <v>124</v>
      </c>
      <c r="B96" s="95"/>
      <c r="C96" s="72">
        <v>0</v>
      </c>
      <c r="D96" s="73">
        <f ca="1">((100/(D91+F91+H91))*C96)/100</f>
        <v>0</v>
      </c>
      <c r="E96" s="158"/>
      <c r="F96" s="159"/>
      <c r="G96" s="158"/>
      <c r="H96" s="163"/>
      <c r="I96" s="13" t="s">
        <v>99</v>
      </c>
      <c r="J96" s="27">
        <f ca="1">(IF(B91&gt;1,(H91/(B91+2)),H91/4))</f>
        <v>1.5</v>
      </c>
    </row>
    <row r="97" spans="1:10" ht="15.75" customHeight="1" x14ac:dyDescent="0.35">
      <c r="A97" s="94" t="s">
        <v>131</v>
      </c>
      <c r="B97" s="95" t="s">
        <v>125</v>
      </c>
      <c r="C97" s="72">
        <v>0</v>
      </c>
      <c r="D97" s="73">
        <f ca="1">((100/H91)*C97)/100</f>
        <v>0</v>
      </c>
      <c r="E97" s="158"/>
      <c r="F97" s="159"/>
      <c r="G97" s="158"/>
      <c r="H97" s="163"/>
      <c r="I97" s="13" t="s">
        <v>100</v>
      </c>
      <c r="J97" s="27">
        <f ca="1">(IF(B91&gt;1,(H91/(B91+2)+J96),H91/4+J96))</f>
        <v>3</v>
      </c>
    </row>
    <row r="98" spans="1:10" ht="15.75" customHeight="1" x14ac:dyDescent="0.35">
      <c r="A98" s="94" t="s">
        <v>132</v>
      </c>
      <c r="B98" s="95" t="s">
        <v>125</v>
      </c>
      <c r="C98" s="72">
        <v>0</v>
      </c>
      <c r="D98" s="73">
        <f ca="1">((100/H91)*C98)/100</f>
        <v>0</v>
      </c>
      <c r="E98" s="158"/>
      <c r="F98" s="159"/>
      <c r="G98" s="158"/>
      <c r="H98" s="163"/>
      <c r="I98" s="13" t="s">
        <v>141</v>
      </c>
      <c r="J98" s="27">
        <f>(IF(B91&gt;1,(H91/(B91+2)+J97),0))</f>
        <v>0</v>
      </c>
    </row>
    <row r="99" spans="1:10" ht="15" customHeight="1" x14ac:dyDescent="0.35">
      <c r="A99" s="94" t="s">
        <v>130</v>
      </c>
      <c r="B99" s="95" t="s">
        <v>127</v>
      </c>
      <c r="C99" s="72">
        <v>0</v>
      </c>
      <c r="D99" s="73">
        <f ca="1">((100/(H91))*C99)/100</f>
        <v>0</v>
      </c>
      <c r="E99" s="158"/>
      <c r="F99" s="159"/>
      <c r="G99" s="158"/>
      <c r="H99" s="163"/>
      <c r="I99" s="13" t="s">
        <v>138</v>
      </c>
      <c r="J99" s="27">
        <f>(IF(B91&gt;2,(H91/(B91+2)+J98),0))</f>
        <v>0</v>
      </c>
    </row>
    <row r="100" spans="1:10" ht="15.75" customHeight="1" x14ac:dyDescent="0.35">
      <c r="A100" s="94" t="s">
        <v>126</v>
      </c>
      <c r="B100" s="95" t="s">
        <v>126</v>
      </c>
      <c r="C100" s="72">
        <v>0</v>
      </c>
      <c r="D100" s="73">
        <f ca="1">((100/H91)*C100)/100</f>
        <v>0</v>
      </c>
      <c r="E100" s="158"/>
      <c r="F100" s="159"/>
      <c r="G100" s="158"/>
      <c r="H100" s="163"/>
      <c r="I100" s="13" t="s">
        <v>139</v>
      </c>
      <c r="J100" s="28">
        <f>(IF(B91&gt;3,(H91/(B91+2)+J99),0))</f>
        <v>0</v>
      </c>
    </row>
    <row r="101" spans="1:10" ht="15.75" customHeight="1" x14ac:dyDescent="0.35">
      <c r="A101" s="94" t="s">
        <v>133</v>
      </c>
      <c r="B101" s="95"/>
      <c r="C101" s="72">
        <v>0</v>
      </c>
      <c r="D101" s="73">
        <f ca="1">((100/H91)*C101)/100</f>
        <v>0</v>
      </c>
      <c r="E101" s="158"/>
      <c r="F101" s="159"/>
      <c r="G101" s="158"/>
      <c r="H101" s="163"/>
      <c r="I101" s="13" t="s">
        <v>140</v>
      </c>
      <c r="J101" s="27">
        <f>(IF(B91&gt;4,(H91/(B91+2)+J100),0))</f>
        <v>0</v>
      </c>
    </row>
    <row r="102" spans="1:10" ht="15.75" customHeight="1" x14ac:dyDescent="0.35">
      <c r="A102" s="94" t="s">
        <v>128</v>
      </c>
      <c r="B102" s="95" t="s">
        <v>128</v>
      </c>
      <c r="C102" s="72">
        <v>0</v>
      </c>
      <c r="D102" s="73">
        <f ca="1">((100/(H91))*C102)/100</f>
        <v>0</v>
      </c>
      <c r="E102" s="158"/>
      <c r="F102" s="159"/>
      <c r="G102" s="158"/>
      <c r="H102" s="163"/>
      <c r="I102" s="13" t="s">
        <v>142</v>
      </c>
      <c r="J102" s="27">
        <f ca="1">(IF(B91=1,(H91/(B91+3)+J97),IF(B91=0,(H91/4+J97),IF(B91&gt;1,0))))</f>
        <v>4.5</v>
      </c>
    </row>
    <row r="103" spans="1:10" ht="16" thickBot="1" x14ac:dyDescent="0.4">
      <c r="A103" s="142" t="s">
        <v>129</v>
      </c>
      <c r="B103" s="143"/>
      <c r="C103" s="74">
        <v>0</v>
      </c>
      <c r="D103" s="75">
        <f ca="1">((100/(H91))*C103)/100</f>
        <v>0</v>
      </c>
      <c r="E103" s="160"/>
      <c r="F103" s="161"/>
      <c r="G103" s="160"/>
      <c r="H103" s="164"/>
      <c r="I103" s="14" t="s">
        <v>101</v>
      </c>
      <c r="J103" s="29">
        <f ca="1">(IF(B91&gt;1.5,(H91/(B91+2)+J97+MAX(0,J98-J97)+MAX(0,J99-J98)+MAX(0,J100-J99)+MAX(0,J101-J100)+MAX(0,J102-J101)),IF(B91=1,(H91/(B91+3)+J102),IF(B91=0,H91/4+J102))))</f>
        <v>6</v>
      </c>
    </row>
    <row r="104" spans="1:10" ht="15.75" customHeight="1" x14ac:dyDescent="0.35">
      <c r="A104" s="89" t="s">
        <v>135</v>
      </c>
      <c r="B104" s="90"/>
      <c r="C104" s="91" t="str">
        <f>D67</f>
        <v>Wing C &amp; D = Stilt + 1st to 7th Floor.</v>
      </c>
      <c r="D104" s="92"/>
      <c r="E104" s="92"/>
      <c r="F104" s="92"/>
      <c r="G104" s="92"/>
      <c r="H104" s="93"/>
      <c r="I104" s="42" t="str">
        <f ca="1">IF(D117=100%,"All work Completed. Possession granted to the Building.",IF(D116=100%,"All work Completed, Waiting for OC",I105&amp;""&amp;I106&amp;""&amp;J105&amp;""&amp;J104&amp;" "&amp;J106))</f>
        <v>Excavation, Plinth, RCC Slab, Brickwork, Internal Plaster Completed, External Plaster upto 5 Floor, Flooring upto 4 Floor Completed</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External Plaster upto 5 Floor, Flooring upto 4 Floor</v>
      </c>
    </row>
    <row r="105" spans="1:10" x14ac:dyDescent="0.35">
      <c r="A105" s="15" t="s">
        <v>137</v>
      </c>
      <c r="B105" s="46">
        <f>IF(AND(ISNUMBER(SEARCH("1B",C104))),1,IF(AND(ISNUMBER(SEARCH("2B",C104))),2,IF(AND(ISNUMBER(SEARCH("3B",C104))),3,IF(AND(ISNUMBER(SEARCH("4B",C104))),4,IF(ISNUMBER(SEARCH("5B",C104)),5,0)))))</f>
        <v>0</v>
      </c>
      <c r="C105" s="46" t="s">
        <v>69</v>
      </c>
      <c r="D105" s="46">
        <v>1</v>
      </c>
      <c r="E105" s="46" t="s">
        <v>68</v>
      </c>
      <c r="F105" s="46">
        <v>0</v>
      </c>
      <c r="G105" s="46" t="s">
        <v>77</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 RCC Slab, Brickwork, Internal Plaster</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t="32.25" customHeight="1" x14ac:dyDescent="0.35">
      <c r="A106" s="173" t="s">
        <v>87</v>
      </c>
      <c r="B106" s="173"/>
      <c r="C106" s="193" t="str">
        <f ca="1">(IF($G$60="NA",I104,"All work Completed. OC Received."))</f>
        <v>Excavation, Plinth, RCC Slab, Brickwork, Internal Plaster Completed, External Plaster upto 5 Floor, Flooring upto 4 Floor Completed</v>
      </c>
      <c r="D106" s="193"/>
      <c r="E106" s="193"/>
      <c r="F106" s="193"/>
      <c r="G106" s="193"/>
      <c r="H106" s="193"/>
      <c r="I106" s="85" t="str">
        <f ca="1">IF(I105&lt;&gt;""," Completed","")</f>
        <v xml:space="preserve"> Completed</v>
      </c>
      <c r="J106" s="45" t="str">
        <f ca="1">IF(J104&lt;&gt;"","Completed","")</f>
        <v>Completed</v>
      </c>
    </row>
    <row r="107" spans="1:10" ht="15.75" customHeight="1" x14ac:dyDescent="0.35">
      <c r="A107" s="95" t="s">
        <v>47</v>
      </c>
      <c r="B107" s="95"/>
      <c r="C107" s="82" t="s">
        <v>134</v>
      </c>
      <c r="D107" s="82" t="s">
        <v>80</v>
      </c>
      <c r="E107" s="95" t="s">
        <v>82</v>
      </c>
      <c r="F107" s="95"/>
      <c r="G107" s="95" t="s">
        <v>81</v>
      </c>
      <c r="H107" s="95"/>
      <c r="I107" s="13" t="s">
        <v>136</v>
      </c>
      <c r="J107" s="25">
        <f ca="1">H105*25%</f>
        <v>1.75</v>
      </c>
    </row>
    <row r="108" spans="1:10" x14ac:dyDescent="0.35">
      <c r="A108" s="95" t="s">
        <v>123</v>
      </c>
      <c r="B108" s="95"/>
      <c r="C108" s="82">
        <f ca="1">J109</f>
        <v>7</v>
      </c>
      <c r="D108" s="73">
        <f ca="1">((100/H105)*C108)/100</f>
        <v>1</v>
      </c>
      <c r="E108" s="222">
        <f ca="1">(((C109/H105*10)+(40/(D105+F105+H105)*C110)+(7.5/(H105)*C111)+(7.5/(H105)*C112)+(10/H105*C113)+(10/H105*C114)+(5/H105*C115)+(5/H105*C116)+(5/H105*C117))/100)</f>
        <v>0.77857142857142847</v>
      </c>
      <c r="F108" s="222"/>
      <c r="G108" s="222">
        <f ca="1">((((C108/H105)*20)+((C109/H105)*25)+(30/(H105+F105+D105)*C110)+(5/H105*C111)+(5/H105*C112)+(5/H105*C113)+(5/H105*C114)+(0/H105*C115)+(0/H105*C116)+(5/H105*C117))/100)</f>
        <v>0.91428571428571426</v>
      </c>
      <c r="H108" s="222"/>
      <c r="I108" s="13" t="s">
        <v>97</v>
      </c>
      <c r="J108" s="26">
        <f ca="1">H105*50%</f>
        <v>3.5</v>
      </c>
    </row>
    <row r="109" spans="1:10" x14ac:dyDescent="0.35">
      <c r="A109" s="95" t="s">
        <v>48</v>
      </c>
      <c r="B109" s="95"/>
      <c r="C109" s="82">
        <f ca="1">J117</f>
        <v>7</v>
      </c>
      <c r="D109" s="73">
        <f ca="1">((100/H105)*C109)/100</f>
        <v>1</v>
      </c>
      <c r="E109" s="222"/>
      <c r="F109" s="222"/>
      <c r="G109" s="222"/>
      <c r="H109" s="222"/>
      <c r="I109" s="13" t="s">
        <v>98</v>
      </c>
      <c r="J109" s="26">
        <f ca="1">H105</f>
        <v>7</v>
      </c>
    </row>
    <row r="110" spans="1:10" ht="15.75" customHeight="1" x14ac:dyDescent="0.35">
      <c r="A110" s="95" t="s">
        <v>124</v>
      </c>
      <c r="B110" s="95"/>
      <c r="C110" s="82">
        <v>8</v>
      </c>
      <c r="D110" s="73">
        <f ca="1">((100/(D105+F105+H105))*C110)/100</f>
        <v>1</v>
      </c>
      <c r="E110" s="222"/>
      <c r="F110" s="222"/>
      <c r="G110" s="222"/>
      <c r="H110" s="222"/>
      <c r="I110" s="13" t="s">
        <v>99</v>
      </c>
      <c r="J110" s="27">
        <f ca="1">(IF(B105&gt;1,(H105/(B105+2)),H105/4))</f>
        <v>1.75</v>
      </c>
    </row>
    <row r="111" spans="1:10" ht="15.75" customHeight="1" x14ac:dyDescent="0.35">
      <c r="A111" s="95" t="s">
        <v>131</v>
      </c>
      <c r="B111" s="95" t="s">
        <v>125</v>
      </c>
      <c r="C111" s="82">
        <v>7</v>
      </c>
      <c r="D111" s="73">
        <f ca="1">((100/H105)*C111)/100</f>
        <v>1</v>
      </c>
      <c r="E111" s="222"/>
      <c r="F111" s="222"/>
      <c r="G111" s="222"/>
      <c r="H111" s="222"/>
      <c r="I111" s="13" t="s">
        <v>100</v>
      </c>
      <c r="J111" s="27">
        <f ca="1">(IF(B105&gt;1,(H105/(B105+2)+J110),H105/4+J110))</f>
        <v>3.5</v>
      </c>
    </row>
    <row r="112" spans="1:10" ht="15.75" customHeight="1" x14ac:dyDescent="0.35">
      <c r="A112" s="95" t="s">
        <v>132</v>
      </c>
      <c r="B112" s="95" t="s">
        <v>125</v>
      </c>
      <c r="C112" s="82">
        <v>7</v>
      </c>
      <c r="D112" s="73">
        <f ca="1">((100/H105)*C112)/100</f>
        <v>1</v>
      </c>
      <c r="E112" s="222"/>
      <c r="F112" s="222"/>
      <c r="G112" s="222"/>
      <c r="H112" s="222"/>
      <c r="I112" s="13" t="s">
        <v>141</v>
      </c>
      <c r="J112" s="27">
        <f>(IF(B105&gt;1,(H105/(B105+2)+J111),0))</f>
        <v>0</v>
      </c>
    </row>
    <row r="113" spans="1:10" ht="15" customHeight="1" x14ac:dyDescent="0.35">
      <c r="A113" s="95" t="s">
        <v>130</v>
      </c>
      <c r="B113" s="95" t="s">
        <v>127</v>
      </c>
      <c r="C113" s="82">
        <v>5</v>
      </c>
      <c r="D113" s="73">
        <f ca="1">((100/(H105))*C113)/100</f>
        <v>0.7142857142857143</v>
      </c>
      <c r="E113" s="222"/>
      <c r="F113" s="222"/>
      <c r="G113" s="222"/>
      <c r="H113" s="222"/>
      <c r="I113" s="13" t="s">
        <v>138</v>
      </c>
      <c r="J113" s="27">
        <f>(IF(B105&gt;2,(H105/(B105+2)+J112),0))</f>
        <v>0</v>
      </c>
    </row>
    <row r="114" spans="1:10" ht="15.75" customHeight="1" x14ac:dyDescent="0.35">
      <c r="A114" s="95" t="s">
        <v>126</v>
      </c>
      <c r="B114" s="95" t="s">
        <v>126</v>
      </c>
      <c r="C114" s="82">
        <v>4</v>
      </c>
      <c r="D114" s="73">
        <f ca="1">((100/H105)*C114)/100</f>
        <v>0.57142857142857151</v>
      </c>
      <c r="E114" s="222"/>
      <c r="F114" s="222"/>
      <c r="G114" s="222"/>
      <c r="H114" s="222"/>
      <c r="I114" s="13" t="s">
        <v>139</v>
      </c>
      <c r="J114" s="28">
        <f>(IF(B105&gt;3,(H105/(B105+2)+J113),0))</f>
        <v>0</v>
      </c>
    </row>
    <row r="115" spans="1:10" ht="15.75" customHeight="1" x14ac:dyDescent="0.35">
      <c r="A115" s="95" t="s">
        <v>133</v>
      </c>
      <c r="B115" s="95"/>
      <c r="C115" s="82">
        <v>0</v>
      </c>
      <c r="D115" s="73">
        <f ca="1">((100/H105)*C115)/100</f>
        <v>0</v>
      </c>
      <c r="E115" s="222"/>
      <c r="F115" s="222"/>
      <c r="G115" s="222"/>
      <c r="H115" s="222"/>
      <c r="I115" s="13" t="s">
        <v>140</v>
      </c>
      <c r="J115" s="27">
        <f>(IF(B105&gt;4,(H105/(B105+2)+J114),0))</f>
        <v>0</v>
      </c>
    </row>
    <row r="116" spans="1:10" ht="15.75" customHeight="1" x14ac:dyDescent="0.35">
      <c r="A116" s="95" t="s">
        <v>128</v>
      </c>
      <c r="B116" s="95" t="s">
        <v>128</v>
      </c>
      <c r="C116" s="82">
        <v>0</v>
      </c>
      <c r="D116" s="73">
        <f ca="1">((100/(H105))*C116)/100</f>
        <v>0</v>
      </c>
      <c r="E116" s="222"/>
      <c r="F116" s="222"/>
      <c r="G116" s="222"/>
      <c r="H116" s="222"/>
      <c r="I116" s="13" t="s">
        <v>142</v>
      </c>
      <c r="J116" s="27">
        <f ca="1">(IF(B105=1,(H105/(B105+3)+J111),IF(B105=0,(H105/4+J111),IF(B105&gt;1,0))))</f>
        <v>5.25</v>
      </c>
    </row>
    <row r="117" spans="1:10" ht="16" thickBot="1" x14ac:dyDescent="0.4">
      <c r="A117" s="95" t="s">
        <v>129</v>
      </c>
      <c r="B117" s="95"/>
      <c r="C117" s="82">
        <v>0</v>
      </c>
      <c r="D117" s="73">
        <f ca="1">((100/(H105))*C117)/100</f>
        <v>0</v>
      </c>
      <c r="E117" s="222"/>
      <c r="F117" s="222"/>
      <c r="G117" s="222"/>
      <c r="H117" s="222"/>
      <c r="I117" s="14" t="s">
        <v>101</v>
      </c>
      <c r="J117" s="29">
        <f ca="1">(IF(B105&gt;1.5,(H105/(B105+2)+J111+MAX(0,J112-J111)+MAX(0,J113-J112)+MAX(0,J114-J113)+MAX(0,J115-J114)+MAX(0,J116-J115)),IF(B105=1,(H105/(B105+3)+J116),IF(B105=0,H105/4+J116))))</f>
        <v>7</v>
      </c>
    </row>
    <row r="118" spans="1:10" ht="15.75" hidden="1" customHeight="1" x14ac:dyDescent="0.35">
      <c r="A118" s="193" t="s">
        <v>135</v>
      </c>
      <c r="B118" s="193"/>
      <c r="C118" s="193" t="str">
        <f>D68</f>
        <v>Wing D = Stilt + 1st to 7th Floor.</v>
      </c>
      <c r="D118" s="193"/>
      <c r="E118" s="193"/>
      <c r="F118" s="193"/>
      <c r="G118" s="193"/>
      <c r="H118" s="193"/>
      <c r="I118" s="84" t="str">
        <f ca="1">IF(D131=100%,"All work Completed. Possession granted to the Building.",IF(D130=100%,"All work Completed, Waiting for OC",I119&amp;""&amp;I120&amp;""&amp;J119&amp;""&amp;J118&amp;" "&amp;J120))</f>
        <v>Excavation, Plinth, RCC Slab Completed, Brickwork upto 6 Floor, Internal Plaster upto 5 Floor, External Plaster upto 1 Floor Completed</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Brickwork upto 6 Floor, Internal Plaster upto 5 Floor, External Plaster upto 1 Floor</v>
      </c>
    </row>
    <row r="119" spans="1:10" hidden="1" x14ac:dyDescent="0.35">
      <c r="A119" s="83" t="s">
        <v>137</v>
      </c>
      <c r="B119" s="83">
        <f>IF(AND(ISNUMBER(SEARCH("1B",C118))),1,IF(AND(ISNUMBER(SEARCH("2B",C118))),2,IF(AND(ISNUMBER(SEARCH("3B",C118))),3,IF(AND(ISNUMBER(SEARCH("4B",C118))),4,IF(ISNUMBER(SEARCH("5B",C118)),5,0)))))</f>
        <v>0</v>
      </c>
      <c r="C119" s="83" t="s">
        <v>69</v>
      </c>
      <c r="D119" s="83">
        <v>1</v>
      </c>
      <c r="E119" s="83" t="s">
        <v>68</v>
      </c>
      <c r="F119" s="83">
        <v>0</v>
      </c>
      <c r="G119" s="83" t="s">
        <v>77</v>
      </c>
      <c r="H119" s="83">
        <f ca="1">--TRIM(RIGHT(SUBSTITUTE(LEFT(C118,_xlfn.AGGREGATE(16,6,FIND({0,1,2,3,4,5,6,7,8,9},C118,ROW(INDIRECT("1:"&amp;LEN(C118)))),1))," ",REPT(" ",LEN(C118))),LEN(C118)))</f>
        <v>7</v>
      </c>
      <c r="I119" s="85" t="str">
        <f ca="1">IF(D122=100%,"Excavation","")&amp;IF(D123=100%,", Plinth","")&amp;IF(D124=100%,", RCC Slab","")&amp;IF(D125=100%,", Brickwork","")&amp;IF(D126=100%,", Internal Plaster","")&amp;IF(D127=100%,", External Plaster","")&amp;IF(D128=100%,", Flooring","")&amp;IF(D129=100%,", Painting","")&amp;IF(D130=100%,", Building common Amenities","")</f>
        <v>Excavation, Plinth, RCC Slab</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t="33.75" hidden="1" customHeight="1" x14ac:dyDescent="0.35">
      <c r="A120" s="173" t="s">
        <v>87</v>
      </c>
      <c r="B120" s="173"/>
      <c r="C120" s="193" t="str">
        <f ca="1">(IF($G$60="NA",I118,"All work Completed. OC Received."))</f>
        <v>Excavation, Plinth, RCC Slab Completed, Brickwork upto 6 Floor, Internal Plaster upto 5 Floor, External Plaster upto 1 Floor Completed</v>
      </c>
      <c r="D120" s="193"/>
      <c r="E120" s="193"/>
      <c r="F120" s="193"/>
      <c r="G120" s="193"/>
      <c r="H120" s="193"/>
      <c r="I120" s="85" t="str">
        <f ca="1">IF(I119&lt;&gt;""," Completed","")</f>
        <v xml:space="preserve"> Completed</v>
      </c>
      <c r="J120" s="45" t="str">
        <f ca="1">IF(J118&lt;&gt;"","Completed","")</f>
        <v>Completed</v>
      </c>
    </row>
    <row r="121" spans="1:10" ht="15.75" hidden="1" customHeight="1" x14ac:dyDescent="0.35">
      <c r="A121" s="95" t="s">
        <v>47</v>
      </c>
      <c r="B121" s="95"/>
      <c r="C121" s="82" t="s">
        <v>134</v>
      </c>
      <c r="D121" s="82" t="s">
        <v>80</v>
      </c>
      <c r="E121" s="95" t="s">
        <v>82</v>
      </c>
      <c r="F121" s="95"/>
      <c r="G121" s="95" t="s">
        <v>81</v>
      </c>
      <c r="H121" s="95"/>
      <c r="I121" s="13" t="s">
        <v>136</v>
      </c>
      <c r="J121" s="25">
        <f ca="1">H119*25%</f>
        <v>1.75</v>
      </c>
    </row>
    <row r="122" spans="1:10" hidden="1" x14ac:dyDescent="0.35">
      <c r="A122" s="95" t="s">
        <v>123</v>
      </c>
      <c r="B122" s="95"/>
      <c r="C122" s="82">
        <f ca="1">J123</f>
        <v>7</v>
      </c>
      <c r="D122" s="73">
        <f ca="1">((100/H119)*C122)/100</f>
        <v>1</v>
      </c>
      <c r="E122" s="222">
        <f ca="1">(((C123/H119*10)+(40/(D119+F119+H119)*C124)+(7.5/(H119)*C125)+(7.5/(H119)*C126)+(10/H119*C127)+(10/H119*C128)+(5/H119*C129)+(5/H119*C130)+(5/H119*C131))/100)</f>
        <v>0.63214285714285712</v>
      </c>
      <c r="F122" s="222"/>
      <c r="G122" s="222">
        <f ca="1">((((C122/H119)*20)+((C123/H119)*25)+(30/(H119+F119+D119)*C124)+(5/H119*C125)+(5/H119*C126)+(5/H119*C127)+(5/H119*C128)+(0/H119*C129)+(0/H119*C130)+(5/H119*C131))/100)</f>
        <v>0.83571428571428574</v>
      </c>
      <c r="H122" s="222"/>
      <c r="I122" s="13" t="s">
        <v>97</v>
      </c>
      <c r="J122" s="26">
        <f ca="1">H119*50%</f>
        <v>3.5</v>
      </c>
    </row>
    <row r="123" spans="1:10" hidden="1" x14ac:dyDescent="0.35">
      <c r="A123" s="95" t="s">
        <v>48</v>
      </c>
      <c r="B123" s="95"/>
      <c r="C123" s="82">
        <f ca="1">J131</f>
        <v>7</v>
      </c>
      <c r="D123" s="73">
        <f ca="1">((100/H119)*C123)/100</f>
        <v>1</v>
      </c>
      <c r="E123" s="222"/>
      <c r="F123" s="222"/>
      <c r="G123" s="222"/>
      <c r="H123" s="222"/>
      <c r="I123" s="13" t="s">
        <v>98</v>
      </c>
      <c r="J123" s="26">
        <f ca="1">H119</f>
        <v>7</v>
      </c>
    </row>
    <row r="124" spans="1:10" ht="15.75" hidden="1" customHeight="1" x14ac:dyDescent="0.35">
      <c r="A124" s="95" t="s">
        <v>124</v>
      </c>
      <c r="B124" s="95"/>
      <c r="C124" s="82">
        <f ca="1">D119+H119</f>
        <v>8</v>
      </c>
      <c r="D124" s="73">
        <f ca="1">((100/(D119+F119+H119))*C124)/100</f>
        <v>1</v>
      </c>
      <c r="E124" s="222"/>
      <c r="F124" s="222"/>
      <c r="G124" s="222"/>
      <c r="H124" s="222"/>
      <c r="I124" s="13" t="s">
        <v>99</v>
      </c>
      <c r="J124" s="27">
        <f ca="1">(IF(B119&gt;1,(H119/(B119+2)),H119/4))</f>
        <v>1.75</v>
      </c>
    </row>
    <row r="125" spans="1:10" ht="15.75" hidden="1" customHeight="1" x14ac:dyDescent="0.35">
      <c r="A125" s="95" t="s">
        <v>131</v>
      </c>
      <c r="B125" s="95" t="s">
        <v>125</v>
      </c>
      <c r="C125" s="82">
        <v>6</v>
      </c>
      <c r="D125" s="73">
        <f ca="1">((100/H119)*C125)/100</f>
        <v>0.85714285714285721</v>
      </c>
      <c r="E125" s="222"/>
      <c r="F125" s="222"/>
      <c r="G125" s="222"/>
      <c r="H125" s="222"/>
      <c r="I125" s="13" t="s">
        <v>100</v>
      </c>
      <c r="J125" s="27">
        <f ca="1">(IF(B119&gt;1,(H119/(B119+2)+J124),H119/4+J124))</f>
        <v>3.5</v>
      </c>
    </row>
    <row r="126" spans="1:10" ht="15.75" hidden="1" customHeight="1" x14ac:dyDescent="0.35">
      <c r="A126" s="95" t="s">
        <v>132</v>
      </c>
      <c r="B126" s="95" t="s">
        <v>125</v>
      </c>
      <c r="C126" s="82">
        <v>5</v>
      </c>
      <c r="D126" s="73">
        <f ca="1">((100/H119)*C126)/100</f>
        <v>0.7142857142857143</v>
      </c>
      <c r="E126" s="222"/>
      <c r="F126" s="222"/>
      <c r="G126" s="222"/>
      <c r="H126" s="222"/>
      <c r="I126" s="13" t="s">
        <v>141</v>
      </c>
      <c r="J126" s="27">
        <f>(IF(B119&gt;1,(H119/(B119+2)+J125),0))</f>
        <v>0</v>
      </c>
    </row>
    <row r="127" spans="1:10" ht="15" hidden="1" customHeight="1" x14ac:dyDescent="0.35">
      <c r="A127" s="95" t="s">
        <v>130</v>
      </c>
      <c r="B127" s="95" t="s">
        <v>127</v>
      </c>
      <c r="C127" s="82">
        <v>1</v>
      </c>
      <c r="D127" s="73">
        <f ca="1">((100/(H119))*C127)/100</f>
        <v>0.14285714285714288</v>
      </c>
      <c r="E127" s="222"/>
      <c r="F127" s="222"/>
      <c r="G127" s="222"/>
      <c r="H127" s="222"/>
      <c r="I127" s="13" t="s">
        <v>138</v>
      </c>
      <c r="J127" s="27">
        <f>(IF(B119&gt;2,(H119/(B119+2)+J126),0))</f>
        <v>0</v>
      </c>
    </row>
    <row r="128" spans="1:10" ht="15.75" hidden="1" customHeight="1" x14ac:dyDescent="0.35">
      <c r="A128" s="95" t="s">
        <v>126</v>
      </c>
      <c r="B128" s="95" t="s">
        <v>126</v>
      </c>
      <c r="C128" s="82">
        <v>0</v>
      </c>
      <c r="D128" s="73">
        <f ca="1">((100/H119)*C128)/100</f>
        <v>0</v>
      </c>
      <c r="E128" s="222"/>
      <c r="F128" s="222"/>
      <c r="G128" s="222"/>
      <c r="H128" s="222"/>
      <c r="I128" s="13" t="s">
        <v>139</v>
      </c>
      <c r="J128" s="28">
        <f>(IF(B119&gt;3,(H119/(B119+2)+J127),0))</f>
        <v>0</v>
      </c>
    </row>
    <row r="129" spans="1:22" ht="15.75" hidden="1" customHeight="1" x14ac:dyDescent="0.35">
      <c r="A129" s="95" t="s">
        <v>133</v>
      </c>
      <c r="B129" s="95"/>
      <c r="C129" s="82">
        <v>0</v>
      </c>
      <c r="D129" s="73">
        <f ca="1">((100/H119)*C129)/100</f>
        <v>0</v>
      </c>
      <c r="E129" s="222"/>
      <c r="F129" s="222"/>
      <c r="G129" s="222"/>
      <c r="H129" s="222"/>
      <c r="I129" s="13" t="s">
        <v>140</v>
      </c>
      <c r="J129" s="27">
        <f>(IF(B119&gt;4,(H119/(B119+2)+J128),0))</f>
        <v>0</v>
      </c>
    </row>
    <row r="130" spans="1:22" ht="15.75" hidden="1" customHeight="1" x14ac:dyDescent="0.35">
      <c r="A130" s="95" t="s">
        <v>128</v>
      </c>
      <c r="B130" s="95" t="s">
        <v>128</v>
      </c>
      <c r="C130" s="82">
        <v>0</v>
      </c>
      <c r="D130" s="73">
        <f ca="1">((100/(H119))*C130)/100</f>
        <v>0</v>
      </c>
      <c r="E130" s="222"/>
      <c r="F130" s="222"/>
      <c r="G130" s="222"/>
      <c r="H130" s="222"/>
      <c r="I130" s="13" t="s">
        <v>142</v>
      </c>
      <c r="J130" s="27">
        <f ca="1">(IF(B119=1,(H119/(B119+3)+J125),IF(B119=0,(H119/4+J125),IF(B119&gt;1,0))))</f>
        <v>5.25</v>
      </c>
    </row>
    <row r="131" spans="1:22" ht="16" hidden="1" thickBot="1" x14ac:dyDescent="0.4">
      <c r="A131" s="95" t="s">
        <v>129</v>
      </c>
      <c r="B131" s="95"/>
      <c r="C131" s="82">
        <v>0</v>
      </c>
      <c r="D131" s="73">
        <f ca="1">((100/(H119))*C131)/100</f>
        <v>0</v>
      </c>
      <c r="E131" s="222"/>
      <c r="F131" s="222"/>
      <c r="G131" s="222"/>
      <c r="H131" s="222"/>
      <c r="I131" s="14" t="s">
        <v>101</v>
      </c>
      <c r="J131" s="29">
        <f ca="1">(IF(B119&gt;1.5,(H119/(B119+2)+J125+MAX(0,J126-J125)+MAX(0,J127-J126)+MAX(0,J128-J127)+MAX(0,J129-J128)+MAX(0,J130-J129)),IF(B119=1,(H119/(B119+3)+J130),IF(B119=0,H119/4+J130))))</f>
        <v>7</v>
      </c>
    </row>
    <row r="132" spans="1:22" x14ac:dyDescent="0.35">
      <c r="A132" s="168" t="s">
        <v>152</v>
      </c>
      <c r="B132" s="168"/>
      <c r="C132" s="168"/>
      <c r="D132" s="168"/>
      <c r="E132" s="168"/>
      <c r="F132" s="172" t="s">
        <v>156</v>
      </c>
      <c r="G132" s="172"/>
      <c r="H132" s="172"/>
      <c r="R132" t="s">
        <v>250</v>
      </c>
      <c r="S132" t="s">
        <v>168</v>
      </c>
      <c r="T132" t="s">
        <v>175</v>
      </c>
      <c r="U132" t="s">
        <v>190</v>
      </c>
      <c r="V132" t="s">
        <v>185</v>
      </c>
    </row>
    <row r="133" spans="1:22" x14ac:dyDescent="0.35">
      <c r="A133" s="88" t="s">
        <v>154</v>
      </c>
      <c r="B133" s="88"/>
      <c r="C133" s="88"/>
      <c r="D133" s="88"/>
      <c r="E133" s="88"/>
      <c r="F133" s="105">
        <v>4750</v>
      </c>
      <c r="G133" s="105"/>
      <c r="H133" s="105"/>
      <c r="R133"/>
      <c r="S133">
        <v>800000</v>
      </c>
      <c r="T133">
        <v>150000</v>
      </c>
      <c r="U133">
        <v>100000</v>
      </c>
      <c r="V133">
        <v>100000</v>
      </c>
    </row>
    <row r="134" spans="1:22" hidden="1" x14ac:dyDescent="0.35">
      <c r="A134" s="88" t="s">
        <v>153</v>
      </c>
      <c r="B134" s="88"/>
      <c r="C134" s="88"/>
      <c r="D134" s="88"/>
      <c r="E134" s="88"/>
      <c r="F134" s="105"/>
      <c r="G134" s="105"/>
      <c r="H134" s="105"/>
      <c r="R134"/>
      <c r="S134">
        <v>900000</v>
      </c>
      <c r="T134">
        <v>200000</v>
      </c>
      <c r="U134">
        <v>150000</v>
      </c>
      <c r="V134">
        <v>150000</v>
      </c>
    </row>
    <row r="135" spans="1:22" hidden="1" x14ac:dyDescent="0.35">
      <c r="A135" s="88" t="s">
        <v>155</v>
      </c>
      <c r="B135" s="88"/>
      <c r="C135" s="88"/>
      <c r="D135" s="88"/>
      <c r="E135" s="88"/>
      <c r="F135" s="105"/>
      <c r="G135" s="105"/>
      <c r="H135" s="105"/>
      <c r="R135"/>
      <c r="S135">
        <v>1000000</v>
      </c>
      <c r="T135">
        <v>250000</v>
      </c>
      <c r="U135">
        <v>200000</v>
      </c>
      <c r="V135">
        <v>200000</v>
      </c>
    </row>
    <row r="136" spans="1:22" s="30" customFormat="1" hidden="1" x14ac:dyDescent="0.35">
      <c r="A136" s="88" t="s">
        <v>171</v>
      </c>
      <c r="B136" s="88"/>
      <c r="C136" s="88"/>
      <c r="D136" s="88"/>
      <c r="E136" s="88"/>
      <c r="F136" s="105"/>
      <c r="G136" s="105"/>
      <c r="H136" s="105"/>
      <c r="R136"/>
      <c r="S136">
        <v>1100000</v>
      </c>
      <c r="T136">
        <v>300000</v>
      </c>
      <c r="U136">
        <v>250000</v>
      </c>
      <c r="V136" s="20">
        <v>250000</v>
      </c>
    </row>
    <row r="137" spans="1:22" s="30" customFormat="1" x14ac:dyDescent="0.35">
      <c r="A137" s="88" t="s">
        <v>92</v>
      </c>
      <c r="B137" s="88"/>
      <c r="C137" s="88"/>
      <c r="D137" s="88"/>
      <c r="E137" s="88"/>
      <c r="F137" s="105">
        <v>150000</v>
      </c>
      <c r="G137" s="105"/>
      <c r="H137" s="105"/>
      <c r="R137"/>
      <c r="S137">
        <v>1200000</v>
      </c>
      <c r="T137">
        <v>350000</v>
      </c>
      <c r="U137">
        <v>300000</v>
      </c>
      <c r="V137">
        <v>300000</v>
      </c>
    </row>
    <row r="138" spans="1:22" s="30" customFormat="1" hidden="1" x14ac:dyDescent="0.35">
      <c r="A138" s="88" t="s">
        <v>93</v>
      </c>
      <c r="B138" s="88"/>
      <c r="C138" s="88"/>
      <c r="D138" s="88"/>
      <c r="E138" s="88"/>
      <c r="F138" s="105"/>
      <c r="G138" s="105"/>
      <c r="H138" s="105"/>
      <c r="R138"/>
      <c r="S138">
        <v>1300000</v>
      </c>
      <c r="T138">
        <v>400000</v>
      </c>
      <c r="U138">
        <v>350000</v>
      </c>
      <c r="V138" s="20">
        <v>400000</v>
      </c>
    </row>
    <row r="139" spans="1:22" s="30" customFormat="1" hidden="1" x14ac:dyDescent="0.35">
      <c r="A139" s="88" t="s">
        <v>94</v>
      </c>
      <c r="B139" s="88"/>
      <c r="C139" s="88"/>
      <c r="D139" s="88"/>
      <c r="E139" s="88"/>
      <c r="F139" s="105"/>
      <c r="G139" s="105"/>
      <c r="H139" s="105"/>
      <c r="R139"/>
      <c r="S139">
        <v>1400000</v>
      </c>
      <c r="T139">
        <v>500000</v>
      </c>
      <c r="U139">
        <v>400000</v>
      </c>
      <c r="V139"/>
    </row>
    <row r="140" spans="1:22" s="30" customFormat="1" hidden="1" x14ac:dyDescent="0.35">
      <c r="A140" s="88" t="s">
        <v>95</v>
      </c>
      <c r="B140" s="88"/>
      <c r="C140" s="88"/>
      <c r="D140" s="88"/>
      <c r="E140" s="88"/>
      <c r="F140" s="105"/>
      <c r="G140" s="105"/>
      <c r="H140" s="105"/>
      <c r="R140"/>
      <c r="S140">
        <v>1500000</v>
      </c>
      <c r="T140">
        <v>600000</v>
      </c>
      <c r="U140">
        <v>500000</v>
      </c>
      <c r="V140" s="20"/>
    </row>
    <row r="141" spans="1:22" s="30" customFormat="1" x14ac:dyDescent="0.35">
      <c r="A141" s="88" t="s">
        <v>338</v>
      </c>
      <c r="B141" s="88"/>
      <c r="C141" s="88"/>
      <c r="D141" s="88"/>
      <c r="E141" s="88"/>
      <c r="F141" s="105">
        <v>50000</v>
      </c>
      <c r="G141" s="105"/>
      <c r="H141" s="105"/>
      <c r="R141"/>
      <c r="S141">
        <v>1600000</v>
      </c>
      <c r="T141">
        <v>700000</v>
      </c>
      <c r="U141">
        <v>600000</v>
      </c>
      <c r="V141"/>
    </row>
    <row r="142" spans="1:22" s="30" customFormat="1" hidden="1" x14ac:dyDescent="0.35">
      <c r="A142" s="88" t="s">
        <v>96</v>
      </c>
      <c r="B142" s="88"/>
      <c r="C142" s="88"/>
      <c r="D142" s="88"/>
      <c r="E142" s="88"/>
      <c r="F142" s="105"/>
      <c r="G142" s="105"/>
      <c r="H142" s="105"/>
      <c r="R142"/>
      <c r="S142">
        <v>1700000</v>
      </c>
      <c r="T142">
        <v>800000</v>
      </c>
      <c r="U142"/>
      <c r="V142" s="20"/>
    </row>
    <row r="143" spans="1:22" x14ac:dyDescent="0.35">
      <c r="A143" s="88" t="s">
        <v>49</v>
      </c>
      <c r="B143" s="88"/>
      <c r="C143" s="88"/>
      <c r="D143" s="88"/>
      <c r="E143" s="88"/>
      <c r="F143" s="105">
        <v>250000</v>
      </c>
      <c r="G143" s="105"/>
      <c r="H143" s="105"/>
      <c r="R143"/>
      <c r="S143">
        <v>1800000</v>
      </c>
      <c r="T143">
        <v>900000</v>
      </c>
      <c r="U143"/>
    </row>
    <row r="144" spans="1:22" s="31" customFormat="1" x14ac:dyDescent="0.35">
      <c r="A144" s="168" t="s">
        <v>50</v>
      </c>
      <c r="B144" s="168"/>
      <c r="C144" s="168"/>
      <c r="D144" s="168"/>
      <c r="E144" s="168"/>
      <c r="F144" s="105">
        <f>F133*0.8</f>
        <v>3800</v>
      </c>
      <c r="G144" s="105"/>
      <c r="H144" s="105"/>
      <c r="R144" s="18"/>
      <c r="S144" s="18"/>
      <c r="T144">
        <v>1000000</v>
      </c>
      <c r="U144"/>
      <c r="V144" s="18"/>
    </row>
    <row r="145" spans="1:22" s="32" customFormat="1" ht="15.75" hidden="1" customHeight="1" x14ac:dyDescent="0.35">
      <c r="A145" s="167" t="s">
        <v>72</v>
      </c>
      <c r="B145" s="167"/>
      <c r="C145" s="167"/>
      <c r="D145" s="167"/>
      <c r="E145" s="167"/>
      <c r="F145" s="167"/>
      <c r="G145" s="167"/>
      <c r="H145" s="167"/>
      <c r="R145"/>
      <c r="S145" s="18"/>
      <c r="T145"/>
      <c r="U145"/>
      <c r="V145" s="18"/>
    </row>
    <row r="146" spans="1:22" s="32" customFormat="1" ht="15.75" hidden="1" customHeight="1" x14ac:dyDescent="0.35">
      <c r="A146" s="98" t="s">
        <v>51</v>
      </c>
      <c r="B146" s="98"/>
      <c r="C146" s="108" t="s">
        <v>75</v>
      </c>
      <c r="D146" s="108"/>
      <c r="E146" s="106" t="s">
        <v>52</v>
      </c>
      <c r="F146" s="106"/>
      <c r="G146" s="98" t="s">
        <v>53</v>
      </c>
      <c r="H146" s="98"/>
      <c r="R146"/>
      <c r="S146" s="18"/>
      <c r="T146"/>
      <c r="U146" s="18"/>
      <c r="V146" s="18"/>
    </row>
    <row r="147" spans="1:22" s="32" customFormat="1" hidden="1" x14ac:dyDescent="0.35">
      <c r="A147" s="107"/>
      <c r="B147" s="107"/>
      <c r="C147" s="196"/>
      <c r="D147" s="196"/>
      <c r="E147" s="197"/>
      <c r="F147" s="197"/>
      <c r="G147" s="141"/>
      <c r="H147" s="141"/>
      <c r="R147"/>
      <c r="S147" s="18"/>
      <c r="T147"/>
      <c r="U147" s="18"/>
      <c r="V147" s="18"/>
    </row>
    <row r="148" spans="1:22" s="32" customFormat="1" hidden="1" x14ac:dyDescent="0.35">
      <c r="A148" s="107"/>
      <c r="B148" s="107"/>
      <c r="C148" s="196"/>
      <c r="D148" s="196"/>
      <c r="E148" s="197"/>
      <c r="F148" s="197"/>
      <c r="G148" s="141"/>
      <c r="H148" s="141"/>
      <c r="R148"/>
      <c r="S148" s="18"/>
      <c r="T148"/>
      <c r="U148" s="18"/>
      <c r="V148" s="18"/>
    </row>
    <row r="149" spans="1:22" s="32" customFormat="1" hidden="1" x14ac:dyDescent="0.35">
      <c r="A149" s="167" t="s">
        <v>145</v>
      </c>
      <c r="B149" s="167"/>
      <c r="C149" s="108"/>
      <c r="D149" s="108"/>
      <c r="E149" s="106"/>
      <c r="F149" s="106"/>
      <c r="G149" s="98"/>
      <c r="H149" s="98"/>
      <c r="R149"/>
      <c r="S149" s="18"/>
      <c r="T149"/>
      <c r="U149" s="18"/>
      <c r="V149" s="18"/>
    </row>
    <row r="150" spans="1:22" s="32" customFormat="1" x14ac:dyDescent="0.35">
      <c r="A150" s="167" t="s">
        <v>67</v>
      </c>
      <c r="B150" s="167"/>
      <c r="C150" s="167"/>
      <c r="D150" s="167"/>
      <c r="E150" s="167"/>
      <c r="F150" s="167"/>
      <c r="G150" s="167"/>
      <c r="H150" s="167"/>
      <c r="T150"/>
    </row>
    <row r="151" spans="1:22" s="32" customFormat="1" ht="15.75" customHeight="1" x14ac:dyDescent="0.35">
      <c r="A151" s="98" t="s">
        <v>51</v>
      </c>
      <c r="B151" s="98"/>
      <c r="C151" s="108" t="s">
        <v>75</v>
      </c>
      <c r="D151" s="108"/>
      <c r="E151" s="106" t="s">
        <v>52</v>
      </c>
      <c r="F151" s="106"/>
      <c r="G151" s="98" t="s">
        <v>53</v>
      </c>
      <c r="H151" s="98"/>
      <c r="T151"/>
    </row>
    <row r="152" spans="1:22" s="32" customFormat="1" x14ac:dyDescent="0.35">
      <c r="A152" s="107" t="s">
        <v>317</v>
      </c>
      <c r="B152" s="107"/>
      <c r="C152" s="185">
        <f>COUNT(F173:F176)</f>
        <v>4</v>
      </c>
      <c r="D152" s="185"/>
      <c r="E152" s="185">
        <f>SUM(F173:F176)</f>
        <v>2086.9243200000001</v>
      </c>
      <c r="F152" s="185"/>
      <c r="G152" s="185">
        <f>SUM(H173:H176)</f>
        <v>3026.0402639999998</v>
      </c>
      <c r="H152" s="185"/>
      <c r="T152"/>
    </row>
    <row r="153" spans="1:22" s="32" customFormat="1" x14ac:dyDescent="0.35">
      <c r="A153" s="107" t="s">
        <v>321</v>
      </c>
      <c r="B153" s="107"/>
      <c r="C153" s="185">
        <f>COUNT(F180:F184)</f>
        <v>5</v>
      </c>
      <c r="D153" s="185"/>
      <c r="E153" s="185">
        <f>SUM(F180:F184)</f>
        <v>2379.5974799999999</v>
      </c>
      <c r="F153" s="185"/>
      <c r="G153" s="185">
        <f>SUM(H180:H184)</f>
        <v>3450.4163459999991</v>
      </c>
      <c r="H153" s="185"/>
      <c r="T153"/>
    </row>
    <row r="154" spans="1:22" s="32" customFormat="1" x14ac:dyDescent="0.35">
      <c r="A154" s="107" t="s">
        <v>322</v>
      </c>
      <c r="B154" s="107"/>
      <c r="C154" s="185">
        <f>COUNT(F188:F193)+COUNT(F195:F200)*6</f>
        <v>42</v>
      </c>
      <c r="D154" s="185"/>
      <c r="E154" s="185">
        <f>SUM(F188:F193)+SUM(F195:F200)*6</f>
        <v>18576.295919999997</v>
      </c>
      <c r="F154" s="185"/>
      <c r="G154" s="185">
        <f>SUM(H188:H193)+SUM(H195:H200)*6</f>
        <v>26935.629083999997</v>
      </c>
      <c r="H154" s="185"/>
      <c r="T154"/>
    </row>
    <row r="155" spans="1:22" s="32" customFormat="1" x14ac:dyDescent="0.35">
      <c r="A155" s="107" t="s">
        <v>323</v>
      </c>
      <c r="B155" s="107"/>
      <c r="C155" s="185">
        <f>COUNT(F204:F207)+COUNT(F209:F212)*6</f>
        <v>28</v>
      </c>
      <c r="D155" s="185"/>
      <c r="E155" s="185">
        <f>SUM(F204:F207)+SUM(F209:F212)*6</f>
        <v>11279.595600000001</v>
      </c>
      <c r="F155" s="185"/>
      <c r="G155" s="185">
        <f>SUM(H204:H207)+SUM(H209:H212)*6</f>
        <v>16355.413620000001</v>
      </c>
      <c r="H155" s="185"/>
      <c r="T155"/>
    </row>
    <row r="156" spans="1:22" s="32" customFormat="1" ht="16" thickBot="1" x14ac:dyDescent="0.4">
      <c r="A156" s="211" t="s">
        <v>145</v>
      </c>
      <c r="B156" s="212"/>
      <c r="C156" s="144">
        <f>SUM(C152:D155)</f>
        <v>79</v>
      </c>
      <c r="D156" s="145"/>
      <c r="E156" s="213">
        <f t="shared" ref="E156" si="0">SUM(E152:F155)</f>
        <v>34322.41332</v>
      </c>
      <c r="F156" s="214"/>
      <c r="G156" s="213">
        <f t="shared" ref="G156" si="1">SUM(G152:H155)</f>
        <v>49767.499313999993</v>
      </c>
      <c r="H156" s="214"/>
      <c r="T156"/>
    </row>
    <row r="157" spans="1:22" s="32" customFormat="1" ht="16.5" customHeight="1" thickBot="1" x14ac:dyDescent="0.4">
      <c r="A157" s="116" t="s">
        <v>162</v>
      </c>
      <c r="B157" s="117"/>
      <c r="C157" s="152">
        <f>C149+C156</f>
        <v>79</v>
      </c>
      <c r="D157" s="153"/>
      <c r="E157" s="219">
        <f>E149+E156</f>
        <v>34322.41332</v>
      </c>
      <c r="F157" s="220"/>
      <c r="G157" s="200">
        <f>G149+G156</f>
        <v>49767.499313999993</v>
      </c>
      <c r="H157" s="201"/>
      <c r="T157"/>
    </row>
    <row r="158" spans="1:22" s="31" customFormat="1" x14ac:dyDescent="0.35">
      <c r="A158" s="131" t="s">
        <v>54</v>
      </c>
      <c r="B158" s="131"/>
      <c r="C158" s="131"/>
      <c r="D158" s="131"/>
      <c r="E158" s="131"/>
      <c r="F158" s="131"/>
      <c r="G158" s="131"/>
      <c r="H158" s="131"/>
      <c r="T158" s="32"/>
    </row>
    <row r="159" spans="1:22" hidden="1" x14ac:dyDescent="0.35">
      <c r="A159" s="154" t="s">
        <v>170</v>
      </c>
      <c r="B159" s="154"/>
      <c r="C159" s="154"/>
      <c r="D159" s="154"/>
      <c r="E159" s="154"/>
      <c r="F159" s="154"/>
      <c r="G159" s="154"/>
      <c r="H159" s="154"/>
      <c r="T159" s="32"/>
    </row>
    <row r="160" spans="1:22" ht="47.25" hidden="1" customHeight="1" x14ac:dyDescent="0.35">
      <c r="A160" s="169" t="s">
        <v>116</v>
      </c>
      <c r="B160" s="169" t="s">
        <v>172</v>
      </c>
      <c r="C160" s="169" t="s">
        <v>55</v>
      </c>
      <c r="D160" s="208" t="s">
        <v>228</v>
      </c>
      <c r="E160" s="186" t="s">
        <v>151</v>
      </c>
      <c r="F160" s="169" t="s">
        <v>56</v>
      </c>
      <c r="G160" s="186" t="s">
        <v>57</v>
      </c>
      <c r="H160" s="64" t="s">
        <v>144</v>
      </c>
      <c r="T160" s="32"/>
    </row>
    <row r="161" spans="1:20" s="34" customFormat="1" hidden="1" x14ac:dyDescent="0.35">
      <c r="A161" s="170"/>
      <c r="B161" s="170"/>
      <c r="C161" s="170"/>
      <c r="D161" s="209"/>
      <c r="E161" s="187"/>
      <c r="F161" s="170"/>
      <c r="G161" s="187"/>
      <c r="H161" s="52">
        <v>0.45</v>
      </c>
      <c r="T161" s="32"/>
    </row>
    <row r="162" spans="1:20" s="34" customFormat="1" hidden="1" x14ac:dyDescent="0.35">
      <c r="A162" s="146" t="s">
        <v>316</v>
      </c>
      <c r="B162" s="147"/>
      <c r="C162" s="147"/>
      <c r="D162" s="147"/>
      <c r="E162" s="147"/>
      <c r="F162" s="147"/>
      <c r="G162" s="147"/>
      <c r="H162" s="148"/>
      <c r="J162" s="33"/>
      <c r="T162" s="32"/>
    </row>
    <row r="163" spans="1:20" s="34" customFormat="1" ht="15.75" hidden="1" customHeight="1" x14ac:dyDescent="0.35">
      <c r="A163" s="99">
        <v>1</v>
      </c>
      <c r="B163" s="100"/>
      <c r="C163" s="39"/>
      <c r="D163" s="39">
        <v>0</v>
      </c>
      <c r="E163" s="39">
        <v>0</v>
      </c>
      <c r="F163" s="58">
        <f>D163+(IF(E163&lt;201,E163,IF(E163&lt;301,E163/2,E163/3)))</f>
        <v>0</v>
      </c>
      <c r="G163" s="59">
        <v>0</v>
      </c>
      <c r="H163" s="58">
        <f>(F163+(IF(G163&lt;101,G163,IF(G163&lt;201,G163/2,IF(G163&lt;=301,G163/3,G163/4)))))*(($H$161)+1)</f>
        <v>0</v>
      </c>
      <c r="I163" s="33"/>
      <c r="L163" s="184"/>
      <c r="M163" s="184"/>
      <c r="N163" s="33"/>
      <c r="T163" s="32"/>
    </row>
    <row r="164" spans="1:20" s="34" customFormat="1" ht="15.75" hidden="1" customHeight="1" x14ac:dyDescent="0.35">
      <c r="A164" s="99">
        <f>A163+1</f>
        <v>2</v>
      </c>
      <c r="B164" s="100"/>
      <c r="C164" s="39"/>
      <c r="D164" s="39"/>
      <c r="E164" s="39">
        <v>0</v>
      </c>
      <c r="F164" s="58">
        <f t="shared" ref="F164:F166" si="2">D164+(IF(E164&lt;201,E164,IF(E164&lt;301,E164/2,E164/3)))</f>
        <v>0</v>
      </c>
      <c r="G164" s="50">
        <v>0</v>
      </c>
      <c r="H164" s="58">
        <f t="shared" ref="H164:H166" si="3">(F164+(IF(G164&lt;101,G164,IF(G164&lt;201,G164/2,IF(G164&lt;=301,G164/3,G164/4)))))*(($H$161)+1)</f>
        <v>0</v>
      </c>
      <c r="I164" s="33"/>
      <c r="L164" s="184"/>
      <c r="M164" s="184"/>
      <c r="N164" s="33"/>
      <c r="T164" s="31"/>
    </row>
    <row r="165" spans="1:20" s="34" customFormat="1" ht="15.75" hidden="1" customHeight="1" x14ac:dyDescent="0.35">
      <c r="A165" s="99">
        <f>A164+1</f>
        <v>3</v>
      </c>
      <c r="B165" s="100"/>
      <c r="C165" s="39"/>
      <c r="D165" s="39"/>
      <c r="E165" s="39">
        <v>0</v>
      </c>
      <c r="F165" s="58">
        <f t="shared" si="2"/>
        <v>0</v>
      </c>
      <c r="G165" s="50">
        <v>0</v>
      </c>
      <c r="H165" s="58">
        <f t="shared" si="3"/>
        <v>0</v>
      </c>
      <c r="I165" s="33"/>
      <c r="L165" s="184"/>
      <c r="M165" s="184"/>
      <c r="N165" s="33"/>
      <c r="T165" s="18"/>
    </row>
    <row r="166" spans="1:20" s="34" customFormat="1" ht="15.75" hidden="1" customHeight="1" x14ac:dyDescent="0.35">
      <c r="A166" s="99">
        <f>A165+1</f>
        <v>4</v>
      </c>
      <c r="B166" s="100"/>
      <c r="C166" s="39"/>
      <c r="D166" s="39"/>
      <c r="E166" s="39">
        <v>0</v>
      </c>
      <c r="F166" s="58">
        <f t="shared" si="2"/>
        <v>0</v>
      </c>
      <c r="G166" s="50">
        <v>0</v>
      </c>
      <c r="H166" s="58">
        <f t="shared" si="3"/>
        <v>0</v>
      </c>
      <c r="I166" s="33"/>
      <c r="L166" s="184"/>
      <c r="M166" s="184"/>
      <c r="N166" s="33"/>
      <c r="T166" s="18"/>
    </row>
    <row r="167" spans="1:20" s="34" customFormat="1" hidden="1" x14ac:dyDescent="0.35">
      <c r="A167" s="99"/>
      <c r="B167" s="155"/>
      <c r="C167" s="155"/>
      <c r="D167" s="155"/>
      <c r="E167" s="155"/>
      <c r="F167" s="155"/>
      <c r="G167" s="155"/>
      <c r="H167" s="100"/>
      <c r="I167" s="33"/>
      <c r="N167" s="33"/>
    </row>
    <row r="168" spans="1:20" ht="47.25" customHeight="1" x14ac:dyDescent="0.35">
      <c r="A168" s="132" t="s">
        <v>335</v>
      </c>
      <c r="B168" s="134" t="s">
        <v>173</v>
      </c>
      <c r="C168" s="134" t="s">
        <v>55</v>
      </c>
      <c r="D168" s="134" t="s">
        <v>228</v>
      </c>
      <c r="E168" s="134" t="s">
        <v>337</v>
      </c>
      <c r="F168" s="134" t="s">
        <v>56</v>
      </c>
      <c r="G168" s="198" t="s">
        <v>57</v>
      </c>
      <c r="H168" s="78" t="s">
        <v>144</v>
      </c>
      <c r="I168" s="33"/>
      <c r="T168" s="34"/>
    </row>
    <row r="169" spans="1:20" s="34" customFormat="1" x14ac:dyDescent="0.35">
      <c r="A169" s="133"/>
      <c r="B169" s="135"/>
      <c r="C169" s="135"/>
      <c r="D169" s="135"/>
      <c r="E169" s="135"/>
      <c r="F169" s="135"/>
      <c r="G169" s="199"/>
      <c r="H169" s="79">
        <v>0.45</v>
      </c>
      <c r="I169" s="33"/>
    </row>
    <row r="170" spans="1:20" s="67" customFormat="1" x14ac:dyDescent="0.35">
      <c r="A170" s="215" t="s">
        <v>317</v>
      </c>
      <c r="B170" s="216"/>
      <c r="C170" s="216"/>
      <c r="D170" s="216"/>
      <c r="E170" s="216"/>
      <c r="F170" s="216"/>
      <c r="G170" s="216"/>
      <c r="H170" s="217"/>
      <c r="J170" s="33"/>
      <c r="T170" s="32"/>
    </row>
    <row r="171" spans="1:20" s="34" customFormat="1" x14ac:dyDescent="0.35">
      <c r="A171" s="146" t="s">
        <v>318</v>
      </c>
      <c r="B171" s="147"/>
      <c r="C171" s="147"/>
      <c r="D171" s="147"/>
      <c r="E171" s="147"/>
      <c r="F171" s="147"/>
      <c r="G171" s="147"/>
      <c r="H171" s="148"/>
      <c r="J171" s="33"/>
    </row>
    <row r="172" spans="1:20" s="67" customFormat="1" x14ac:dyDescent="0.35">
      <c r="A172" s="146" t="s">
        <v>346</v>
      </c>
      <c r="B172" s="147"/>
      <c r="C172" s="147"/>
      <c r="D172" s="147"/>
      <c r="E172" s="147"/>
      <c r="F172" s="147"/>
      <c r="G172" s="147"/>
      <c r="H172" s="148"/>
      <c r="I172" s="67">
        <f>2.7*4.58+2.15*2.83+2.75*3.13+1.2*2.13+1.78*1.2+0.9*2.15</f>
        <v>33.685000000000002</v>
      </c>
      <c r="J172" s="33"/>
    </row>
    <row r="173" spans="1:20" s="34" customFormat="1" ht="15.75" customHeight="1" x14ac:dyDescent="0.35">
      <c r="A173" s="99">
        <v>1</v>
      </c>
      <c r="B173" s="100"/>
      <c r="C173" s="39" t="s">
        <v>319</v>
      </c>
      <c r="D173" s="66">
        <f>(36.17)*10.764</f>
        <v>389.33388000000002</v>
      </c>
      <c r="E173" s="66">
        <f>(2.75+0.75*2.75)*10.764</f>
        <v>51.801749999999998</v>
      </c>
      <c r="F173" s="39">
        <f>D173+E173</f>
        <v>441.13562999999999</v>
      </c>
      <c r="G173" s="50">
        <v>0</v>
      </c>
      <c r="H173" s="50">
        <f>F173*(($H$169)+1)+(IF(G173&lt;101,G173,IF(G173&lt;201,G173/2,IF(G173&lt;=301,G173/3,G173/4))))</f>
        <v>639.64666349999993</v>
      </c>
      <c r="I173" s="33">
        <f>2.7*4.58+2.15*2.83+2.75*3.13+1.78*1.2+1.2*2.12+2.2*0.9</f>
        <v>33.717999999999996</v>
      </c>
      <c r="J173" s="81">
        <f>2.75*1</f>
        <v>2.75</v>
      </c>
      <c r="K173" s="66">
        <v>10.763999999999999</v>
      </c>
      <c r="L173" s="184"/>
      <c r="M173" s="184"/>
      <c r="N173" s="33"/>
    </row>
    <row r="174" spans="1:20" s="34" customFormat="1" ht="15.75" customHeight="1" x14ac:dyDescent="0.35">
      <c r="A174" s="99">
        <v>2</v>
      </c>
      <c r="B174" s="100"/>
      <c r="C174" s="39" t="s">
        <v>320</v>
      </c>
      <c r="D174" s="66">
        <f>(48.99)*10.764</f>
        <v>527.32835999999998</v>
      </c>
      <c r="E174" s="66">
        <f>(5.6+0.75*2.85)*10.764</f>
        <v>83.286449999999988</v>
      </c>
      <c r="F174" s="50">
        <f>D174+E174</f>
        <v>610.61480999999992</v>
      </c>
      <c r="G174" s="50">
        <v>0</v>
      </c>
      <c r="H174" s="66">
        <f t="shared" ref="H174:H176" si="4">F174*(($H$169)+1)+(IF(G174&lt;101,G174,IF(G174&lt;201,G174/2,IF(G174&lt;=301,G174/3,G174/4))))</f>
        <v>885.39147449999984</v>
      </c>
      <c r="I174" s="33">
        <f>2.75*4.58+2.1*2.15+2.75*3.15+2.85*3.35+2.43*1.22+2.43*1.22+1*4.75</f>
        <v>45.999199999999995</v>
      </c>
      <c r="J174" s="81">
        <f>1*(2.75+2.75)</f>
        <v>5.5</v>
      </c>
      <c r="L174" s="184"/>
      <c r="M174" s="184"/>
      <c r="N174" s="33"/>
    </row>
    <row r="175" spans="1:20" s="34" customFormat="1" ht="15.75" customHeight="1" x14ac:dyDescent="0.35">
      <c r="A175" s="99">
        <v>3</v>
      </c>
      <c r="B175" s="100"/>
      <c r="C175" s="66" t="s">
        <v>320</v>
      </c>
      <c r="D175" s="66">
        <f>(54.27)*10.764</f>
        <v>584.16228000000001</v>
      </c>
      <c r="E175" s="66">
        <f>(2.75)*10.764</f>
        <v>29.600999999999999</v>
      </c>
      <c r="F175" s="50">
        <f>D175+E175</f>
        <v>613.76328000000001</v>
      </c>
      <c r="G175" s="50">
        <v>0</v>
      </c>
      <c r="H175" s="66">
        <f t="shared" si="4"/>
        <v>889.95675600000004</v>
      </c>
      <c r="I175" s="33">
        <f>2.75*4.58+2.2*2.2+2.75*3.2+2.9*4.22+1.9*1.22*2.53*1.22+5.5*0.9</f>
        <v>50.577738799999999</v>
      </c>
      <c r="J175" s="33">
        <f>2.75*1</f>
        <v>2.75</v>
      </c>
      <c r="L175" s="184"/>
      <c r="M175" s="184"/>
      <c r="N175" s="33"/>
    </row>
    <row r="176" spans="1:20" s="34" customFormat="1" ht="15.75" customHeight="1" x14ac:dyDescent="0.35">
      <c r="A176" s="99">
        <v>4</v>
      </c>
      <c r="B176" s="100"/>
      <c r="C176" s="39" t="s">
        <v>319</v>
      </c>
      <c r="D176" s="66">
        <f>(36.4)*10.764</f>
        <v>391.80959999999999</v>
      </c>
      <c r="E176" s="66">
        <f>(2.75)*10.764</f>
        <v>29.600999999999999</v>
      </c>
      <c r="F176" s="50">
        <f>D176+E176</f>
        <v>421.41059999999999</v>
      </c>
      <c r="G176" s="50">
        <v>0</v>
      </c>
      <c r="H176" s="66">
        <f t="shared" si="4"/>
        <v>611.04536999999993</v>
      </c>
      <c r="I176" s="33">
        <f>2.75*4.58+2.2*2.29+2.75*3.29+1.83*1.2+1.2*1.95+0.9*2.2</f>
        <v>33.1965</v>
      </c>
      <c r="J176" s="33">
        <f>2.75*1</f>
        <v>2.75</v>
      </c>
      <c r="L176" s="184"/>
      <c r="M176" s="184"/>
      <c r="N176" s="33"/>
      <c r="T176" s="18"/>
    </row>
    <row r="177" spans="1:20" s="67" customFormat="1" x14ac:dyDescent="0.35">
      <c r="A177" s="146" t="s">
        <v>321</v>
      </c>
      <c r="B177" s="147"/>
      <c r="C177" s="147"/>
      <c r="D177" s="147"/>
      <c r="E177" s="147"/>
      <c r="F177" s="147"/>
      <c r="G177" s="147"/>
      <c r="H177" s="148"/>
      <c r="J177" s="33"/>
      <c r="T177" s="32"/>
    </row>
    <row r="178" spans="1:20" s="67" customFormat="1" x14ac:dyDescent="0.35">
      <c r="A178" s="146" t="s">
        <v>318</v>
      </c>
      <c r="B178" s="147"/>
      <c r="C178" s="147"/>
      <c r="D178" s="147"/>
      <c r="E178" s="147"/>
      <c r="F178" s="147"/>
      <c r="G178" s="147"/>
      <c r="H178" s="148"/>
      <c r="J178" s="33"/>
    </row>
    <row r="179" spans="1:20" s="67" customFormat="1" x14ac:dyDescent="0.35">
      <c r="A179" s="146" t="s">
        <v>346</v>
      </c>
      <c r="B179" s="147"/>
      <c r="C179" s="147"/>
      <c r="D179" s="147"/>
      <c r="E179" s="147"/>
      <c r="F179" s="147"/>
      <c r="G179" s="147"/>
      <c r="H179" s="148"/>
      <c r="J179" s="33"/>
      <c r="K179" s="66"/>
    </row>
    <row r="180" spans="1:20" s="67" customFormat="1" ht="15.75" customHeight="1" x14ac:dyDescent="0.35">
      <c r="A180" s="99">
        <v>1</v>
      </c>
      <c r="B180" s="100"/>
      <c r="C180" s="66" t="s">
        <v>319</v>
      </c>
      <c r="D180" s="66">
        <f>(33.37)*10.764</f>
        <v>359.19467999999995</v>
      </c>
      <c r="E180" s="66">
        <f>(2.75+0.75*2.9)*10.764</f>
        <v>53.012699999999995</v>
      </c>
      <c r="F180" s="77">
        <f>D180+E180</f>
        <v>412.20737999999994</v>
      </c>
      <c r="G180" s="66">
        <v>0</v>
      </c>
      <c r="H180" s="66">
        <f>F180*(($H$169)+1)+(IF(G180&lt;101,G180,IF(G180&lt;201,G180/2,IF(G180&lt;=301,G180/3,G180/4))))</f>
        <v>597.70070099999987</v>
      </c>
      <c r="I180" s="33">
        <f>2.75*4.58+2.2*2.13+2.75*3.13+1.83*1.2+1.2*2.12+2.2*0.9</f>
        <v>32.608499999999999</v>
      </c>
      <c r="J180" s="33">
        <f>2.75*1</f>
        <v>2.75</v>
      </c>
      <c r="K180" s="66"/>
      <c r="L180" s="218"/>
      <c r="M180" s="184"/>
      <c r="N180" s="33"/>
    </row>
    <row r="181" spans="1:20" s="67" customFormat="1" ht="15.75" customHeight="1" x14ac:dyDescent="0.35">
      <c r="A181" s="99">
        <v>2</v>
      </c>
      <c r="B181" s="100"/>
      <c r="C181" s="66" t="s">
        <v>319</v>
      </c>
      <c r="D181" s="66">
        <f>(34.3)*10.764</f>
        <v>369.20519999999993</v>
      </c>
      <c r="E181" s="66">
        <f>(2.75+0.75*2.75)*10.764</f>
        <v>51.801749999999998</v>
      </c>
      <c r="F181" s="77">
        <f>D181+E181</f>
        <v>421.00694999999996</v>
      </c>
      <c r="G181" s="66">
        <v>0</v>
      </c>
      <c r="H181" s="66">
        <f t="shared" ref="H181:H184" si="5">F181*(($H$169)+1)+(IF(G181&lt;101,G181,IF(G181&lt;201,G181/2,IF(G181&lt;=301,G181/3,G181/4))))</f>
        <v>610.4600774999999</v>
      </c>
      <c r="I181" s="33">
        <f>2.75*4.58+2.2*2.13+2.75*3.13+1.83*1.2+1.2*2.13+0.9*1+1.1*1</f>
        <v>32.640500000000003</v>
      </c>
      <c r="J181" s="33">
        <f>2.75*1</f>
        <v>2.75</v>
      </c>
      <c r="L181" s="184"/>
      <c r="M181" s="184"/>
      <c r="N181" s="33"/>
    </row>
    <row r="182" spans="1:20" s="67" customFormat="1" ht="15.75" customHeight="1" x14ac:dyDescent="0.35">
      <c r="A182" s="99">
        <v>3</v>
      </c>
      <c r="B182" s="100"/>
      <c r="C182" s="66" t="s">
        <v>320</v>
      </c>
      <c r="D182" s="66">
        <f>(45.91)*10.764</f>
        <v>494.17523999999992</v>
      </c>
      <c r="E182" s="66">
        <f>(2.75*2)*10.764</f>
        <v>59.201999999999998</v>
      </c>
      <c r="F182" s="77">
        <f>D182+E182</f>
        <v>553.37723999999992</v>
      </c>
      <c r="G182" s="66">
        <v>0</v>
      </c>
      <c r="H182" s="66">
        <f t="shared" si="5"/>
        <v>802.39699799999983</v>
      </c>
      <c r="I182" s="33">
        <f>4.58*2.75+2.25*2.2+3.25*2.75+3.26*2.75+1.2*2+2.13*1.2+0.9*4.9</f>
        <v>44.813500000000005</v>
      </c>
      <c r="J182" s="33">
        <f>2.75*1+2.75*1</f>
        <v>5.5</v>
      </c>
      <c r="L182" s="184"/>
      <c r="M182" s="184"/>
      <c r="N182" s="33"/>
    </row>
    <row r="183" spans="1:20" s="67" customFormat="1" ht="15.75" customHeight="1" x14ac:dyDescent="0.35">
      <c r="A183" s="99">
        <v>4</v>
      </c>
      <c r="B183" s="100"/>
      <c r="C183" s="66" t="s">
        <v>320</v>
      </c>
      <c r="D183" s="66">
        <f>(46.89)*10.764</f>
        <v>504.72395999999998</v>
      </c>
      <c r="E183" s="66">
        <f>(2.75*2)*10.764</f>
        <v>59.201999999999998</v>
      </c>
      <c r="F183" s="66">
        <f>D183+E183</f>
        <v>563.92596000000003</v>
      </c>
      <c r="G183" s="66">
        <v>0</v>
      </c>
      <c r="H183" s="66">
        <f t="shared" si="5"/>
        <v>817.69264199999998</v>
      </c>
      <c r="I183" s="68">
        <f>(4.58*2.75+2.25*2.2+3.25*2.75+3.55*2.75+1.22*2.45+1.2*2.45+0.9*4.6)-2.75*1</f>
        <v>43.564</v>
      </c>
      <c r="J183" s="33">
        <f>2.75*1+2.75*1+1*2.75</f>
        <v>8.25</v>
      </c>
      <c r="L183" s="184"/>
      <c r="M183" s="184"/>
      <c r="N183" s="33"/>
      <c r="T183" s="18"/>
    </row>
    <row r="184" spans="1:20" s="67" customFormat="1" ht="15.75" customHeight="1" x14ac:dyDescent="0.35">
      <c r="A184" s="99">
        <v>5</v>
      </c>
      <c r="B184" s="100"/>
      <c r="C184" s="66" t="s">
        <v>319</v>
      </c>
      <c r="D184" s="66">
        <f>(35.05)*10.764</f>
        <v>377.27819999999997</v>
      </c>
      <c r="E184" s="66">
        <f>(2.75+0.75*2.75)*10.764</f>
        <v>51.801749999999998</v>
      </c>
      <c r="F184" s="66">
        <f>D184+E184</f>
        <v>429.07994999999994</v>
      </c>
      <c r="G184" s="66">
        <v>0</v>
      </c>
      <c r="H184" s="66">
        <f t="shared" si="5"/>
        <v>622.16592749999984</v>
      </c>
      <c r="I184" s="33">
        <f>4.88*2.75+2.13*2.2+3.13*2.75+2.13*1.2+1.2*1.83+1*1.2+0.9*1</f>
        <v>33.565500000000007</v>
      </c>
      <c r="J184" s="33">
        <f>2.75*1</f>
        <v>2.75</v>
      </c>
      <c r="L184" s="184"/>
      <c r="M184" s="184"/>
      <c r="N184" s="33"/>
      <c r="T184" s="18"/>
    </row>
    <row r="185" spans="1:20" s="67" customFormat="1" x14ac:dyDescent="0.35">
      <c r="A185" s="150" t="s">
        <v>322</v>
      </c>
      <c r="B185" s="150"/>
      <c r="C185" s="150"/>
      <c r="D185" s="150"/>
      <c r="E185" s="150"/>
      <c r="F185" s="150"/>
      <c r="G185" s="150"/>
      <c r="H185" s="150"/>
      <c r="J185" s="33"/>
      <c r="T185" s="32"/>
    </row>
    <row r="186" spans="1:20" s="67" customFormat="1" x14ac:dyDescent="0.35">
      <c r="A186" s="150" t="s">
        <v>318</v>
      </c>
      <c r="B186" s="150"/>
      <c r="C186" s="150"/>
      <c r="D186" s="150"/>
      <c r="E186" s="150"/>
      <c r="F186" s="150"/>
      <c r="G186" s="150"/>
      <c r="H186" s="150"/>
      <c r="J186" s="33"/>
    </row>
    <row r="187" spans="1:20" s="67" customFormat="1" x14ac:dyDescent="0.35">
      <c r="A187" s="150" t="s">
        <v>346</v>
      </c>
      <c r="B187" s="150"/>
      <c r="C187" s="150"/>
      <c r="D187" s="150"/>
      <c r="E187" s="150"/>
      <c r="F187" s="150"/>
      <c r="G187" s="150"/>
      <c r="H187" s="150"/>
      <c r="I187" s="33"/>
    </row>
    <row r="188" spans="1:20" s="67" customFormat="1" ht="15.75" customHeight="1" x14ac:dyDescent="0.35">
      <c r="A188" s="151">
        <v>1</v>
      </c>
      <c r="B188" s="151"/>
      <c r="C188" s="66" t="s">
        <v>319</v>
      </c>
      <c r="D188" s="66">
        <f>(34.3)*10.764</f>
        <v>369.20519999999993</v>
      </c>
      <c r="E188" s="66">
        <f>(2.75+0.75*2.75)*10.764</f>
        <v>51.801749999999998</v>
      </c>
      <c r="F188" s="66">
        <f t="shared" ref="F188:F193" si="6">D188+E188</f>
        <v>421.00694999999996</v>
      </c>
      <c r="G188" s="66">
        <v>0</v>
      </c>
      <c r="H188" s="66">
        <f t="shared" ref="H188:H193" si="7">F188*(($H$169)+1)+(IF(G188&lt;101,G188,IF(G188&lt;201,G188/2,IF(G188&lt;=301,G188/3,G188/4))))</f>
        <v>610.4600774999999</v>
      </c>
      <c r="I188" s="33">
        <f>4.58*2.75+2.13*2.2+2.13*1.2+3.13*2.75+1.2*1.83+0.75*1+1.2*1</f>
        <v>32.590499999999999</v>
      </c>
      <c r="J188" s="67">
        <f>2.75*1</f>
        <v>2.75</v>
      </c>
    </row>
    <row r="189" spans="1:20" s="67" customFormat="1" ht="15.75" customHeight="1" x14ac:dyDescent="0.35">
      <c r="A189" s="151">
        <v>2</v>
      </c>
      <c r="B189" s="151"/>
      <c r="C189" s="66" t="s">
        <v>319</v>
      </c>
      <c r="D189" s="66">
        <f>(34.03)*10.764</f>
        <v>366.29892000000001</v>
      </c>
      <c r="E189" s="66">
        <f>(5.15)*10.764</f>
        <v>55.434600000000003</v>
      </c>
      <c r="F189" s="66">
        <f t="shared" si="6"/>
        <v>421.73352</v>
      </c>
      <c r="G189" s="66">
        <v>0</v>
      </c>
      <c r="H189" s="66">
        <f t="shared" si="7"/>
        <v>611.51360399999999</v>
      </c>
      <c r="I189" s="33">
        <f>(4.58*2.75+2.13*2.2+3.25*2.82+1.2*1.82+1.22*2.4+0.9*2.2)</f>
        <v>33.537999999999997</v>
      </c>
      <c r="J189" s="33">
        <f>2.75*1</f>
        <v>2.75</v>
      </c>
    </row>
    <row r="190" spans="1:20" s="67" customFormat="1" ht="15.75" customHeight="1" x14ac:dyDescent="0.35">
      <c r="A190" s="151">
        <v>3</v>
      </c>
      <c r="B190" s="151"/>
      <c r="C190" s="66" t="s">
        <v>319</v>
      </c>
      <c r="D190" s="66">
        <f>(31.74)*10.764</f>
        <v>341.64935999999994</v>
      </c>
      <c r="E190" s="86">
        <f>(7.12)*10.764</f>
        <v>76.639679999999998</v>
      </c>
      <c r="F190" s="66">
        <f t="shared" si="6"/>
        <v>418.28903999999994</v>
      </c>
      <c r="G190" s="66">
        <v>0</v>
      </c>
      <c r="H190" s="66">
        <f t="shared" si="7"/>
        <v>606.51910799999985</v>
      </c>
      <c r="I190" s="33">
        <f>4.58*2.75+2.13*1.2+3.13*1.75+2.13*1.2+1.2*1.83+0.9*2.5+1.82*0.9</f>
        <v>29.268500000000003</v>
      </c>
      <c r="J190" s="33">
        <f>2.75*1+1.82*0.9+2.5*1</f>
        <v>6.8879999999999999</v>
      </c>
    </row>
    <row r="191" spans="1:20" s="67" customFormat="1" ht="15.75" customHeight="1" x14ac:dyDescent="0.35">
      <c r="A191" s="151">
        <v>4</v>
      </c>
      <c r="B191" s="151"/>
      <c r="C191" s="66" t="s">
        <v>320</v>
      </c>
      <c r="D191" s="66">
        <f>(44.85)*10.764</f>
        <v>482.7654</v>
      </c>
      <c r="E191" s="66">
        <f>(7.8)*10.764</f>
        <v>83.959199999999996</v>
      </c>
      <c r="F191" s="66">
        <f t="shared" si="6"/>
        <v>566.72460000000001</v>
      </c>
      <c r="G191" s="66">
        <v>0</v>
      </c>
      <c r="H191" s="66">
        <f t="shared" si="7"/>
        <v>821.75067000000001</v>
      </c>
      <c r="I191" s="68">
        <f>(4.58*2.75+2.13*2.45+2.74*3.05+2.74*3.66+1.2*2+2.13*1.2+0.9*1.2+1*1.2+0.9*4)-0.9*2.74</f>
        <v>44.568899999999999</v>
      </c>
      <c r="J191" s="68">
        <f>2.75*1+1*2.45+0.45*2.74+0.9*2.74</f>
        <v>8.8990000000000009</v>
      </c>
    </row>
    <row r="192" spans="1:20" s="67" customFormat="1" ht="15.75" customHeight="1" x14ac:dyDescent="0.35">
      <c r="A192" s="151">
        <v>5</v>
      </c>
      <c r="B192" s="151"/>
      <c r="C192" s="66" t="s">
        <v>319</v>
      </c>
      <c r="D192" s="66">
        <f>(33.37)*10.764</f>
        <v>359.19467999999995</v>
      </c>
      <c r="E192" s="66">
        <f>(2.75+0.75*2.45)*10.764</f>
        <v>49.379849999999998</v>
      </c>
      <c r="F192" s="66">
        <f t="shared" si="6"/>
        <v>408.57452999999992</v>
      </c>
      <c r="G192" s="66">
        <v>0</v>
      </c>
      <c r="H192" s="66">
        <f t="shared" si="7"/>
        <v>592.43306849999988</v>
      </c>
      <c r="I192" s="33">
        <f>4.58*2.75+2.1*2.2+3.1*2.75+1.2*1.83+2.1*1.2+1.82*0.9+0.9*1+1.1*1.2</f>
        <v>34.314</v>
      </c>
      <c r="J192" s="33">
        <f>2.75*1</f>
        <v>2.75</v>
      </c>
    </row>
    <row r="193" spans="1:20" s="67" customFormat="1" ht="15.75" customHeight="1" x14ac:dyDescent="0.35">
      <c r="A193" s="151">
        <v>6</v>
      </c>
      <c r="B193" s="151"/>
      <c r="C193" s="66" t="s">
        <v>319</v>
      </c>
      <c r="D193" s="66">
        <f>(36.03)*10.764</f>
        <v>387.82691999999997</v>
      </c>
      <c r="E193" s="66">
        <f>(2.75)*10.764</f>
        <v>29.600999999999999</v>
      </c>
      <c r="F193" s="66">
        <f t="shared" si="6"/>
        <v>417.42791999999997</v>
      </c>
      <c r="G193" s="66">
        <v>0</v>
      </c>
      <c r="H193" s="66">
        <f t="shared" si="7"/>
        <v>605.2704839999999</v>
      </c>
      <c r="I193" s="33">
        <f>4.58*2.75+2.13*2.2+3.1*2.75+1.2*1.83+2.13*1.2+1.82*0.9+0.9*1+1.1*1.2</f>
        <v>34.415999999999997</v>
      </c>
      <c r="J193" s="33">
        <f>2.75*1</f>
        <v>2.75</v>
      </c>
    </row>
    <row r="194" spans="1:20" s="67" customFormat="1" x14ac:dyDescent="0.35">
      <c r="A194" s="150" t="s">
        <v>347</v>
      </c>
      <c r="B194" s="150"/>
      <c r="C194" s="150"/>
      <c r="D194" s="150"/>
      <c r="E194" s="150"/>
      <c r="F194" s="150"/>
      <c r="G194" s="150"/>
      <c r="H194" s="150"/>
      <c r="I194" s="33"/>
      <c r="L194" s="184"/>
      <c r="M194" s="184"/>
    </row>
    <row r="195" spans="1:20" s="67" customFormat="1" x14ac:dyDescent="0.35">
      <c r="A195" s="151">
        <v>1</v>
      </c>
      <c r="B195" s="151"/>
      <c r="C195" s="66" t="s">
        <v>319</v>
      </c>
      <c r="D195" s="66">
        <f>(34.3)*10.764</f>
        <v>369.20519999999993</v>
      </c>
      <c r="E195" s="66">
        <f>(2.75+0.75*2.75)*10.764</f>
        <v>51.801749999999998</v>
      </c>
      <c r="F195" s="66">
        <f t="shared" ref="F195:F200" si="8">D195+E195</f>
        <v>421.00694999999996</v>
      </c>
      <c r="G195" s="66">
        <v>0</v>
      </c>
      <c r="H195" s="66">
        <f t="shared" ref="H195:H200" si="9">F195*(($H$169)+1)+(IF(G195&lt;101,G195,IF(G195&lt;201,G195/2,IF(G195&lt;=301,G195/3,G195/4))))</f>
        <v>610.4600774999999</v>
      </c>
      <c r="I195" s="33">
        <f>4.58*2.75+2.13*2.2+3.13*2.75+2.13*1.2+1.2*1.83+0.9*1+1.1*1.2</f>
        <v>32.860500000000002</v>
      </c>
      <c r="J195" s="33">
        <f>2.75*1</f>
        <v>2.75</v>
      </c>
      <c r="N195" s="33"/>
    </row>
    <row r="196" spans="1:20" s="67" customFormat="1" x14ac:dyDescent="0.35">
      <c r="A196" s="99">
        <v>2</v>
      </c>
      <c r="B196" s="100"/>
      <c r="C196" s="66" t="s">
        <v>319</v>
      </c>
      <c r="D196" s="66">
        <f>(34.03)*10.764</f>
        <v>366.29892000000001</v>
      </c>
      <c r="E196" s="66">
        <f>(5.15)*10.764</f>
        <v>55.434600000000003</v>
      </c>
      <c r="F196" s="66">
        <f t="shared" si="8"/>
        <v>421.73352</v>
      </c>
      <c r="G196" s="66">
        <v>0</v>
      </c>
      <c r="H196" s="66">
        <f t="shared" si="9"/>
        <v>611.51360399999999</v>
      </c>
      <c r="I196" s="33">
        <f>4.58*2.75+2.1*2.2+3.25*2.82+1.2*1.82+1.2*2.55+0.9*2.2</f>
        <v>33.603999999999999</v>
      </c>
      <c r="J196" s="33">
        <f>2.75</f>
        <v>2.75</v>
      </c>
      <c r="N196" s="33"/>
    </row>
    <row r="197" spans="1:20" s="67" customFormat="1" x14ac:dyDescent="0.35">
      <c r="A197" s="99">
        <v>3</v>
      </c>
      <c r="B197" s="100"/>
      <c r="C197" s="66" t="s">
        <v>319</v>
      </c>
      <c r="D197" s="66">
        <f>(31.74)*10.764</f>
        <v>341.64935999999994</v>
      </c>
      <c r="E197" s="33">
        <f>(7.12)*10.764</f>
        <v>76.639679999999998</v>
      </c>
      <c r="F197" s="66">
        <f t="shared" si="8"/>
        <v>418.28903999999994</v>
      </c>
      <c r="G197" s="66">
        <v>0</v>
      </c>
      <c r="H197" s="66">
        <f t="shared" si="9"/>
        <v>606.51910799999985</v>
      </c>
      <c r="I197" s="68">
        <f>2.75*4.58+2.13*2.2+3.13*2.75+2.13*1.2+1.2*1.8+0.9*1+1.1*1.2</f>
        <v>32.8245</v>
      </c>
      <c r="J197" s="33">
        <f>2.75*1</f>
        <v>2.75</v>
      </c>
      <c r="N197" s="33"/>
    </row>
    <row r="198" spans="1:20" s="67" customFormat="1" x14ac:dyDescent="0.35">
      <c r="A198" s="99">
        <v>4</v>
      </c>
      <c r="B198" s="100"/>
      <c r="C198" s="66" t="s">
        <v>320</v>
      </c>
      <c r="D198" s="66">
        <f>(44.85)*10.764</f>
        <v>482.7654</v>
      </c>
      <c r="E198" s="66">
        <f>(7.8)*10.764</f>
        <v>83.959199999999996</v>
      </c>
      <c r="F198" s="66">
        <f t="shared" si="8"/>
        <v>566.72460000000001</v>
      </c>
      <c r="G198" s="66">
        <v>0</v>
      </c>
      <c r="H198" s="66">
        <f t="shared" si="9"/>
        <v>821.75067000000001</v>
      </c>
      <c r="I198" s="33">
        <f>4.58*2.75+2.13*2.45+2.74*3.05+2.74*3.66+1.2*2+2.1*1.2+2.13*1+1.1*1.2+0.9*2</f>
        <v>46.368900000000004</v>
      </c>
      <c r="J198" s="33">
        <f>2.75*1</f>
        <v>2.75</v>
      </c>
      <c r="N198" s="33"/>
    </row>
    <row r="199" spans="1:20" s="67" customFormat="1" x14ac:dyDescent="0.35">
      <c r="A199" s="99">
        <v>5</v>
      </c>
      <c r="B199" s="100"/>
      <c r="C199" s="66" t="s">
        <v>319</v>
      </c>
      <c r="D199" s="66">
        <f>(33.37)*10.764</f>
        <v>359.19467999999995</v>
      </c>
      <c r="E199" s="66">
        <f>(2.75+0.75*2.45)*10.764</f>
        <v>49.379849999999998</v>
      </c>
      <c r="F199" s="66">
        <f t="shared" si="8"/>
        <v>408.57452999999992</v>
      </c>
      <c r="G199" s="66">
        <v>0</v>
      </c>
      <c r="H199" s="66">
        <f t="shared" si="9"/>
        <v>592.43306849999988</v>
      </c>
      <c r="I199" s="33">
        <f>2.75*4.58+2.2*2.1+2.45*3.13+1.83*1.2+1.2*2.13+0.9*1+1*1.2</f>
        <v>31.735500000000005</v>
      </c>
      <c r="J199" s="33">
        <f>2.75*1</f>
        <v>2.75</v>
      </c>
      <c r="N199" s="33"/>
    </row>
    <row r="200" spans="1:20" s="67" customFormat="1" x14ac:dyDescent="0.35">
      <c r="A200" s="99">
        <v>6</v>
      </c>
      <c r="B200" s="100"/>
      <c r="C200" s="66" t="s">
        <v>319</v>
      </c>
      <c r="D200" s="66">
        <f>(36.03)*10.764</f>
        <v>387.82691999999997</v>
      </c>
      <c r="E200" s="66">
        <f>(2.75)*10.764</f>
        <v>29.600999999999999</v>
      </c>
      <c r="F200" s="66">
        <f t="shared" si="8"/>
        <v>417.42791999999997</v>
      </c>
      <c r="G200" s="66">
        <v>0</v>
      </c>
      <c r="H200" s="66">
        <f t="shared" si="9"/>
        <v>605.2704839999999</v>
      </c>
      <c r="I200" s="33">
        <f>4.58*2.75+2.13*2.2+3.13*2.75+1.2*1.85+2.13*1.2+0.9*1+1.2*1.2+1.82*0.9</f>
        <v>34.642499999999998</v>
      </c>
      <c r="J200" s="33">
        <f>2.75*1</f>
        <v>2.75</v>
      </c>
      <c r="N200" s="33"/>
    </row>
    <row r="201" spans="1:20" s="67" customFormat="1" x14ac:dyDescent="0.35">
      <c r="A201" s="146" t="s">
        <v>323</v>
      </c>
      <c r="B201" s="147"/>
      <c r="C201" s="147"/>
      <c r="D201" s="147"/>
      <c r="E201" s="147"/>
      <c r="F201" s="147"/>
      <c r="G201" s="147"/>
      <c r="H201" s="148"/>
      <c r="J201" s="33"/>
      <c r="T201" s="32"/>
    </row>
    <row r="202" spans="1:20" s="67" customFormat="1" x14ac:dyDescent="0.35">
      <c r="A202" s="146" t="s">
        <v>327</v>
      </c>
      <c r="B202" s="147"/>
      <c r="C202" s="147"/>
      <c r="D202" s="147"/>
      <c r="E202" s="147"/>
      <c r="F202" s="147"/>
      <c r="G202" s="147"/>
      <c r="H202" s="148"/>
      <c r="J202" s="33"/>
    </row>
    <row r="203" spans="1:20" s="67" customFormat="1" x14ac:dyDescent="0.35">
      <c r="A203" s="146" t="s">
        <v>346</v>
      </c>
      <c r="B203" s="147"/>
      <c r="C203" s="147"/>
      <c r="D203" s="147"/>
      <c r="E203" s="147"/>
      <c r="F203" s="147"/>
      <c r="G203" s="147"/>
      <c r="H203" s="148"/>
      <c r="I203" s="33"/>
    </row>
    <row r="204" spans="1:20" s="67" customFormat="1" ht="15.75" customHeight="1" x14ac:dyDescent="0.35">
      <c r="A204" s="99">
        <v>1</v>
      </c>
      <c r="B204" s="100"/>
      <c r="C204" s="66" t="s">
        <v>319</v>
      </c>
      <c r="D204" s="66">
        <f>(35.09)*10.764</f>
        <v>377.70876000000004</v>
      </c>
      <c r="E204" s="66">
        <f>(2.55)*10.764</f>
        <v>27.448199999999996</v>
      </c>
      <c r="F204" s="66">
        <f>D204+E204</f>
        <v>405.15696000000003</v>
      </c>
      <c r="G204" s="66">
        <v>0</v>
      </c>
      <c r="H204" s="66">
        <f t="shared" ref="H204:H207" si="10">F204*(($H$169)+1)+(IF(G204&lt;101,G204,IF(G204&lt;201,G204/2,IF(G204&lt;=301,G204/3,G204/4))))</f>
        <v>587.47759200000007</v>
      </c>
      <c r="I204" s="33">
        <f>2.6*4.58+2.45*3.5+2.2*2.5+2.45*1.2+2.45*1.2+0.9*2.15</f>
        <v>33.798000000000009</v>
      </c>
      <c r="J204" s="33">
        <f>2.6*1</f>
        <v>2.6</v>
      </c>
    </row>
    <row r="205" spans="1:20" s="67" customFormat="1" ht="15.75" customHeight="1" x14ac:dyDescent="0.35">
      <c r="A205" s="99">
        <v>2</v>
      </c>
      <c r="B205" s="100"/>
      <c r="C205" s="66" t="s">
        <v>319</v>
      </c>
      <c r="D205" s="66">
        <f>(33.15)*10.764</f>
        <v>356.82659999999998</v>
      </c>
      <c r="E205" s="66">
        <f>(2.55+0.75*2.45)*10.764</f>
        <v>47.227049999999998</v>
      </c>
      <c r="F205" s="66">
        <f>D205+E205</f>
        <v>404.05365</v>
      </c>
      <c r="G205" s="66">
        <v>0</v>
      </c>
      <c r="H205" s="66">
        <f t="shared" si="10"/>
        <v>585.87779249999994</v>
      </c>
      <c r="I205" s="33">
        <f>2.6*4.58+2.2*2.26+2.45*3.23+1.2*1.98+1.2*1.98+0.9*2.2</f>
        <v>31.525500000000005</v>
      </c>
      <c r="J205" s="33">
        <f>2.6*1</f>
        <v>2.6</v>
      </c>
    </row>
    <row r="206" spans="1:20" s="67" customFormat="1" ht="15.75" customHeight="1" x14ac:dyDescent="0.35">
      <c r="A206" s="99">
        <v>3</v>
      </c>
      <c r="B206" s="100"/>
      <c r="C206" s="66" t="s">
        <v>319</v>
      </c>
      <c r="D206" s="66">
        <f>(33.83)*10.764</f>
        <v>364.14611999999994</v>
      </c>
      <c r="E206" s="66">
        <f>(2.55)*10.764</f>
        <v>27.448199999999996</v>
      </c>
      <c r="F206" s="66">
        <f>D206+E206</f>
        <v>391.59431999999993</v>
      </c>
      <c r="G206" s="66">
        <v>0</v>
      </c>
      <c r="H206" s="66">
        <f t="shared" si="10"/>
        <v>567.81176399999993</v>
      </c>
      <c r="I206" s="33">
        <f>2.6*4.58+3.81*2.74+1.97*2.23+0.9*1.2+1.2*1.53+0.9*2.2</f>
        <v>31.636500000000002</v>
      </c>
      <c r="J206" s="67">
        <f>2.6*1</f>
        <v>2.6</v>
      </c>
    </row>
    <row r="207" spans="1:20" s="67" customFormat="1" ht="15.75" customHeight="1" x14ac:dyDescent="0.35">
      <c r="A207" s="99">
        <v>4</v>
      </c>
      <c r="B207" s="100"/>
      <c r="C207" s="66" t="s">
        <v>319</v>
      </c>
      <c r="D207" s="66">
        <f>(33.53)*10.764</f>
        <v>360.91692</v>
      </c>
      <c r="E207" s="66">
        <f>(2.55+0.75*2.75)*10.764</f>
        <v>49.648949999999992</v>
      </c>
      <c r="F207" s="66">
        <f>D207+E207</f>
        <v>410.56587000000002</v>
      </c>
      <c r="G207" s="66">
        <v>0</v>
      </c>
      <c r="H207" s="66">
        <f t="shared" si="10"/>
        <v>595.32051149999995</v>
      </c>
      <c r="I207" s="33">
        <f>2.6*4.58+2.2*2.2+2.75*3.2+1.83*1.2+1.2*1.9+1.8*1.2+2.2*0.9</f>
        <v>34.164000000000001</v>
      </c>
      <c r="J207" s="33">
        <f>2.6*1</f>
        <v>2.6</v>
      </c>
    </row>
    <row r="208" spans="1:20" s="67" customFormat="1" x14ac:dyDescent="0.35">
      <c r="A208" s="150" t="s">
        <v>347</v>
      </c>
      <c r="B208" s="150"/>
      <c r="C208" s="150"/>
      <c r="D208" s="150"/>
      <c r="E208" s="150"/>
      <c r="F208" s="150"/>
      <c r="G208" s="150"/>
      <c r="H208" s="150"/>
      <c r="I208" s="33"/>
      <c r="L208" s="184"/>
      <c r="M208" s="184"/>
    </row>
    <row r="209" spans="1:20" s="67" customFormat="1" x14ac:dyDescent="0.35">
      <c r="A209" s="99">
        <v>1</v>
      </c>
      <c r="B209" s="100"/>
      <c r="C209" s="66" t="s">
        <v>319</v>
      </c>
      <c r="D209" s="66">
        <f>(35.09)*10.764</f>
        <v>377.70876000000004</v>
      </c>
      <c r="E209" s="66">
        <f>(2.55)*10.764</f>
        <v>27.448199999999996</v>
      </c>
      <c r="F209" s="66">
        <f>D209+E209</f>
        <v>405.15696000000003</v>
      </c>
      <c r="G209" s="66">
        <v>0</v>
      </c>
      <c r="H209" s="66">
        <f t="shared" ref="H209:H212" si="11">F209*(($H$169)+1)+(IF(G209&lt;101,G209,IF(G209&lt;201,G209/2,IF(G209&lt;=301,G209/3,G209/4))))</f>
        <v>587.47759200000007</v>
      </c>
      <c r="I209" s="33">
        <f>2.6*4.58+2.2*2.5+2.45*3.5+2.2*1.2+2.45*1.2+0.9*2.2</f>
        <v>33.543000000000006</v>
      </c>
      <c r="J209" s="67">
        <f>2.6*1</f>
        <v>2.6</v>
      </c>
      <c r="N209" s="33"/>
    </row>
    <row r="210" spans="1:20" s="67" customFormat="1" x14ac:dyDescent="0.35">
      <c r="A210" s="99">
        <v>2</v>
      </c>
      <c r="B210" s="100"/>
      <c r="C210" s="66" t="s">
        <v>319</v>
      </c>
      <c r="D210" s="66">
        <f>(33.15)*10.764</f>
        <v>356.82659999999998</v>
      </c>
      <c r="E210" s="66">
        <f>(2.55+0.75*2.45)*10.764</f>
        <v>47.227049999999998</v>
      </c>
      <c r="F210" s="66">
        <f>D210+E210</f>
        <v>404.05365</v>
      </c>
      <c r="G210" s="66">
        <v>0</v>
      </c>
      <c r="H210" s="66">
        <f t="shared" si="11"/>
        <v>585.87779249999994</v>
      </c>
      <c r="I210" s="33">
        <f>2.6*4.58+2.2*2.26+2.45*3.35+1.22*1.98+1.2*1.98+0.9*2.2</f>
        <v>31.859100000000009</v>
      </c>
      <c r="J210" s="69">
        <f t="shared" ref="J210:J212" si="12">2.6*1</f>
        <v>2.6</v>
      </c>
      <c r="N210" s="33"/>
    </row>
    <row r="211" spans="1:20" s="67" customFormat="1" x14ac:dyDescent="0.35">
      <c r="A211" s="99">
        <v>3</v>
      </c>
      <c r="B211" s="100"/>
      <c r="C211" s="66" t="s">
        <v>319</v>
      </c>
      <c r="D211" s="66">
        <f>(33.83)*10.764</f>
        <v>364.14611999999994</v>
      </c>
      <c r="E211" s="66">
        <f>(2.55)*10.764</f>
        <v>27.448199999999996</v>
      </c>
      <c r="F211" s="66">
        <f>D211+E211</f>
        <v>391.59431999999993</v>
      </c>
      <c r="G211" s="66">
        <v>0</v>
      </c>
      <c r="H211" s="66">
        <f t="shared" si="11"/>
        <v>567.81176399999993</v>
      </c>
      <c r="I211" s="33">
        <f>2.6*4.58+3.81*2.75+1.97*2.23+0.9*1.2+1.2*1.53</f>
        <v>29.694600000000001</v>
      </c>
      <c r="J211" s="69">
        <f t="shared" si="12"/>
        <v>2.6</v>
      </c>
      <c r="N211" s="33"/>
    </row>
    <row r="212" spans="1:20" s="67" customFormat="1" x14ac:dyDescent="0.35">
      <c r="A212" s="99">
        <v>4</v>
      </c>
      <c r="B212" s="100"/>
      <c r="C212" s="66" t="s">
        <v>319</v>
      </c>
      <c r="D212" s="66">
        <f>(33.53)*10.764</f>
        <v>360.91692</v>
      </c>
      <c r="E212" s="66">
        <f>(2.55+0.75*2.75)*10.764</f>
        <v>49.648949999999992</v>
      </c>
      <c r="F212" s="66">
        <f>D212+E212</f>
        <v>410.56587000000002</v>
      </c>
      <c r="G212" s="66">
        <v>0</v>
      </c>
      <c r="H212" s="66">
        <f t="shared" si="11"/>
        <v>595.32051149999995</v>
      </c>
      <c r="I212" s="33"/>
      <c r="J212" s="69">
        <f t="shared" si="12"/>
        <v>2.6</v>
      </c>
      <c r="N212" s="33"/>
    </row>
    <row r="213" spans="1:20" s="32" customFormat="1" x14ac:dyDescent="0.35">
      <c r="A213" s="149" t="s">
        <v>65</v>
      </c>
      <c r="B213" s="149"/>
      <c r="C213" s="149"/>
      <c r="D213" s="149"/>
      <c r="E213" s="149"/>
      <c r="F213" s="149"/>
      <c r="G213" s="149"/>
      <c r="H213" s="149"/>
      <c r="T213" s="34"/>
    </row>
    <row r="214" spans="1:20" s="32" customFormat="1" ht="47.15" customHeight="1" x14ac:dyDescent="0.35">
      <c r="A214" s="41" t="s">
        <v>148</v>
      </c>
      <c r="B214" s="125" t="s">
        <v>344</v>
      </c>
      <c r="C214" s="126"/>
      <c r="D214" s="126"/>
      <c r="E214" s="126"/>
      <c r="F214" s="126"/>
      <c r="G214" s="126"/>
      <c r="H214" s="127"/>
      <c r="T214" s="34"/>
    </row>
    <row r="215" spans="1:20" s="32" customFormat="1" x14ac:dyDescent="0.35">
      <c r="A215" s="41" t="s">
        <v>148</v>
      </c>
      <c r="B215" s="125" t="str">
        <f>(IF(H168="Saleable area Loading :","We have considered Saleable area of Flats as per our Calculation.","We considered Saleable area of Flat as per Builder area Sheet."))</f>
        <v>We have considered Saleable area of Flats as per our Calculation.</v>
      </c>
      <c r="C215" s="126"/>
      <c r="D215" s="126"/>
      <c r="E215" s="126"/>
      <c r="F215" s="126"/>
      <c r="G215" s="126"/>
      <c r="H215" s="127"/>
      <c r="T215" s="34"/>
    </row>
    <row r="216" spans="1:20" s="32" customFormat="1" x14ac:dyDescent="0.35">
      <c r="A216" s="41" t="s">
        <v>148</v>
      </c>
      <c r="B216" s="125" t="str">
        <f>(IF(H160="Saleable area Loading :","We have considered Saleable area of Commercial as per our Calculation.","We considered Saleable area of Commercial as per Builder area Sheet."))</f>
        <v>We have considered Saleable area of Commercial as per our Calculation.</v>
      </c>
      <c r="C216" s="126"/>
      <c r="D216" s="126"/>
      <c r="E216" s="126"/>
      <c r="F216" s="126"/>
      <c r="G216" s="126"/>
      <c r="H216" s="127"/>
      <c r="T216" s="34"/>
    </row>
    <row r="217" spans="1:20" s="32" customFormat="1" x14ac:dyDescent="0.35">
      <c r="A217" s="41" t="s">
        <v>148</v>
      </c>
      <c r="B217" s="128" t="s">
        <v>118</v>
      </c>
      <c r="C217" s="129"/>
      <c r="D217" s="129"/>
      <c r="E217" s="129"/>
      <c r="F217" s="129"/>
      <c r="G217" s="129"/>
      <c r="H217" s="130"/>
      <c r="T217" s="34"/>
    </row>
    <row r="218" spans="1:20" s="32" customFormat="1" x14ac:dyDescent="0.35">
      <c r="A218" s="41" t="s">
        <v>148</v>
      </c>
      <c r="B218" s="128" t="s">
        <v>336</v>
      </c>
      <c r="C218" s="129"/>
      <c r="D218" s="129"/>
      <c r="E218" s="129"/>
      <c r="F218" s="129"/>
      <c r="G218" s="129"/>
      <c r="H218" s="130"/>
      <c r="T218" s="34"/>
    </row>
    <row r="219" spans="1:20" s="32" customFormat="1" x14ac:dyDescent="0.35">
      <c r="A219" s="41" t="s">
        <v>148</v>
      </c>
      <c r="B219" s="128" t="s">
        <v>147</v>
      </c>
      <c r="C219" s="129"/>
      <c r="D219" s="129"/>
      <c r="E219" s="129"/>
      <c r="F219" s="129"/>
      <c r="G219" s="129"/>
      <c r="H219" s="130"/>
    </row>
    <row r="220" spans="1:20" s="32" customFormat="1" x14ac:dyDescent="0.35">
      <c r="A220" s="41" t="s">
        <v>148</v>
      </c>
      <c r="B220" s="128" t="s">
        <v>119</v>
      </c>
      <c r="C220" s="129"/>
      <c r="D220" s="129"/>
      <c r="E220" s="129"/>
      <c r="F220" s="129"/>
      <c r="G220" s="129"/>
      <c r="H220" s="130"/>
    </row>
    <row r="221" spans="1:20" s="32" customFormat="1" ht="34.5" customHeight="1" x14ac:dyDescent="0.35">
      <c r="A221" s="41" t="s">
        <v>148</v>
      </c>
      <c r="B221" s="128" t="s">
        <v>149</v>
      </c>
      <c r="C221" s="129"/>
      <c r="D221" s="129"/>
      <c r="E221" s="129"/>
      <c r="F221" s="129"/>
      <c r="G221" s="129"/>
      <c r="H221" s="130"/>
    </row>
    <row r="222" spans="1:20" s="32" customFormat="1" x14ac:dyDescent="0.35">
      <c r="A222" s="80" t="s">
        <v>148</v>
      </c>
      <c r="B222" s="128" t="s">
        <v>120</v>
      </c>
      <c r="C222" s="129"/>
      <c r="D222" s="129"/>
      <c r="E222" s="129"/>
      <c r="F222" s="129"/>
      <c r="G222" s="129"/>
      <c r="H222" s="130"/>
    </row>
    <row r="223" spans="1:20" s="32" customFormat="1" x14ac:dyDescent="0.35">
      <c r="A223" s="80" t="s">
        <v>148</v>
      </c>
      <c r="B223" s="125" t="s">
        <v>349</v>
      </c>
      <c r="C223" s="126"/>
      <c r="D223" s="126"/>
      <c r="E223" s="126"/>
      <c r="F223" s="126"/>
      <c r="G223" s="126"/>
      <c r="H223" s="127"/>
    </row>
    <row r="224" spans="1:20" s="32" customFormat="1" hidden="1" x14ac:dyDescent="0.35">
      <c r="A224" s="41" t="s">
        <v>148</v>
      </c>
      <c r="B224" s="128"/>
      <c r="C224" s="129"/>
      <c r="D224" s="129"/>
      <c r="E224" s="129"/>
      <c r="F224" s="129"/>
      <c r="G224" s="129"/>
      <c r="H224" s="130"/>
    </row>
    <row r="225" spans="1:20" s="32" customFormat="1" ht="32.25" hidden="1" customHeight="1" x14ac:dyDescent="0.35">
      <c r="A225" s="47" t="s">
        <v>148</v>
      </c>
      <c r="B225" s="113" t="s">
        <v>174</v>
      </c>
      <c r="C225" s="114"/>
      <c r="D225" s="114"/>
      <c r="E225" s="114"/>
      <c r="F225" s="114"/>
      <c r="G225" s="114"/>
      <c r="H225" s="115"/>
    </row>
    <row r="226" spans="1:20" s="32" customFormat="1" hidden="1" x14ac:dyDescent="0.35">
      <c r="A226" s="51" t="s">
        <v>148</v>
      </c>
      <c r="B226" s="113" t="s">
        <v>229</v>
      </c>
      <c r="C226" s="114"/>
      <c r="D226" s="114"/>
      <c r="E226" s="114"/>
      <c r="F226" s="114"/>
      <c r="G226" s="114"/>
      <c r="H226" s="115"/>
    </row>
    <row r="227" spans="1:20" x14ac:dyDescent="0.35">
      <c r="A227" s="112" t="s">
        <v>58</v>
      </c>
      <c r="B227" s="112"/>
      <c r="C227" s="112"/>
      <c r="D227" s="112"/>
      <c r="E227" s="112"/>
      <c r="F227" s="112"/>
      <c r="G227" s="112"/>
      <c r="H227" s="112"/>
      <c r="T227" s="32"/>
    </row>
    <row r="228" spans="1:20" x14ac:dyDescent="0.35">
      <c r="A228" s="88" t="s">
        <v>59</v>
      </c>
      <c r="B228" s="88"/>
      <c r="C228" s="88"/>
      <c r="D228" s="88"/>
      <c r="E228" s="88"/>
      <c r="F228" s="88"/>
      <c r="G228" s="88"/>
      <c r="H228" s="88"/>
      <c r="T228" s="32"/>
    </row>
    <row r="229" spans="1:20" ht="15.75" customHeight="1" x14ac:dyDescent="0.35">
      <c r="A229" s="140" t="s">
        <v>60</v>
      </c>
      <c r="B229" s="140"/>
      <c r="C229" s="140"/>
      <c r="D229" s="140"/>
      <c r="E229" s="140"/>
      <c r="F229" s="140"/>
      <c r="G229" s="140"/>
      <c r="H229" s="140"/>
      <c r="T229" s="32"/>
    </row>
    <row r="230" spans="1:20" x14ac:dyDescent="0.35">
      <c r="A230" s="88" t="s">
        <v>61</v>
      </c>
      <c r="B230" s="88"/>
      <c r="C230" s="88"/>
      <c r="D230" s="88"/>
      <c r="E230" s="88"/>
      <c r="F230" s="88"/>
      <c r="G230" s="88"/>
      <c r="H230" s="88"/>
      <c r="T230" s="32"/>
    </row>
    <row r="231" spans="1:20" x14ac:dyDescent="0.35">
      <c r="A231" s="88" t="s">
        <v>62</v>
      </c>
      <c r="B231" s="88"/>
      <c r="C231" s="88"/>
      <c r="D231" s="88"/>
      <c r="E231" s="88"/>
      <c r="F231" s="88"/>
      <c r="G231" s="88"/>
      <c r="H231" s="88"/>
      <c r="T231" s="32"/>
    </row>
    <row r="232" spans="1:20" x14ac:dyDescent="0.35">
      <c r="A232" s="88" t="s">
        <v>121</v>
      </c>
      <c r="B232" s="88"/>
      <c r="C232" s="88"/>
      <c r="D232" s="88"/>
      <c r="E232" s="88"/>
      <c r="F232" s="88"/>
      <c r="G232" s="88"/>
      <c r="H232" s="88"/>
      <c r="T232" s="32"/>
    </row>
    <row r="233" spans="1:20" ht="34" customHeight="1" x14ac:dyDescent="0.35">
      <c r="A233" s="109" t="s">
        <v>122</v>
      </c>
      <c r="B233" s="109"/>
      <c r="C233" s="109"/>
      <c r="D233" s="109"/>
      <c r="E233" s="109"/>
      <c r="F233" s="109"/>
      <c r="G233" s="109"/>
      <c r="H233" s="109"/>
    </row>
    <row r="234" spans="1:20" x14ac:dyDescent="0.35">
      <c r="A234" s="166" t="s">
        <v>74</v>
      </c>
      <c r="B234" s="166"/>
      <c r="C234" s="166" t="s">
        <v>350</v>
      </c>
      <c r="D234" s="166"/>
      <c r="E234" s="166" t="s">
        <v>103</v>
      </c>
      <c r="F234" s="166"/>
      <c r="G234" s="166" t="s">
        <v>345</v>
      </c>
      <c r="H234" s="166"/>
    </row>
    <row r="235" spans="1:20" x14ac:dyDescent="0.35">
      <c r="A235" s="165" t="s">
        <v>76</v>
      </c>
      <c r="B235" s="165"/>
      <c r="C235" s="165"/>
      <c r="D235" s="165"/>
      <c r="E235" s="165"/>
      <c r="F235" s="165"/>
      <c r="G235" s="165"/>
      <c r="H235" s="165"/>
    </row>
    <row r="236" spans="1:20" x14ac:dyDescent="0.35">
      <c r="A236" s="165"/>
      <c r="B236" s="165"/>
      <c r="C236" s="165"/>
      <c r="D236" s="165"/>
      <c r="E236" s="165"/>
      <c r="F236" s="165"/>
      <c r="G236" s="165"/>
      <c r="H236" s="165"/>
    </row>
    <row r="237" spans="1:20" x14ac:dyDescent="0.35">
      <c r="A237" s="165"/>
      <c r="B237" s="165"/>
      <c r="C237" s="165"/>
      <c r="D237" s="165"/>
      <c r="E237" s="165"/>
      <c r="F237" s="165"/>
      <c r="G237" s="165"/>
      <c r="H237" s="165"/>
    </row>
    <row r="238" spans="1:20" x14ac:dyDescent="0.35">
      <c r="A238" s="165"/>
      <c r="B238" s="165"/>
      <c r="C238" s="165"/>
      <c r="D238" s="165"/>
      <c r="E238" s="165"/>
      <c r="F238" s="165"/>
      <c r="G238" s="165"/>
      <c r="H238" s="165"/>
    </row>
    <row r="239" spans="1:20" x14ac:dyDescent="0.35">
      <c r="A239" s="35" t="s">
        <v>63</v>
      </c>
      <c r="B239" s="36"/>
      <c r="C239" s="36"/>
      <c r="D239" s="35" t="str">
        <f>E9</f>
        <v>Diamond Complex</v>
      </c>
      <c r="F239" s="36"/>
      <c r="G239" s="36"/>
      <c r="H239" s="36"/>
    </row>
    <row r="240" spans="1:20" x14ac:dyDescent="0.35">
      <c r="A240" s="36"/>
      <c r="B240" s="36"/>
      <c r="C240" s="36"/>
      <c r="D240" s="36"/>
      <c r="E240" s="36"/>
      <c r="F240" s="36"/>
      <c r="G240" s="36"/>
      <c r="H240" s="36"/>
    </row>
    <row r="241" spans="1:8" x14ac:dyDescent="0.35">
      <c r="A241" s="36"/>
      <c r="B241" s="36"/>
      <c r="C241" s="36"/>
      <c r="D241" s="36"/>
      <c r="E241" s="36"/>
      <c r="F241" s="36"/>
      <c r="G241" s="36"/>
      <c r="H241" s="36"/>
    </row>
    <row r="242" spans="1:8" ht="15" customHeight="1" x14ac:dyDescent="0.35"/>
    <row r="282" spans="1:1" x14ac:dyDescent="0.35">
      <c r="A282" s="38" t="s">
        <v>159</v>
      </c>
    </row>
    <row r="320" spans="1:1" x14ac:dyDescent="0.35">
      <c r="A320" s="38" t="s">
        <v>64</v>
      </c>
    </row>
  </sheetData>
  <mergeCells count="409">
    <mergeCell ref="D68:H68"/>
    <mergeCell ref="A65:C68"/>
    <mergeCell ref="A118:B118"/>
    <mergeCell ref="C118:H118"/>
    <mergeCell ref="A120:B120"/>
    <mergeCell ref="C120:H120"/>
    <mergeCell ref="A121:B121"/>
    <mergeCell ref="E121:F121"/>
    <mergeCell ref="G121:H121"/>
    <mergeCell ref="A75:C75"/>
    <mergeCell ref="D75:H75"/>
    <mergeCell ref="A73:C73"/>
    <mergeCell ref="D74:H74"/>
    <mergeCell ref="A80:B80"/>
    <mergeCell ref="G79:H79"/>
    <mergeCell ref="D67:H67"/>
    <mergeCell ref="E93:F93"/>
    <mergeCell ref="G93:H93"/>
    <mergeCell ref="D65:H65"/>
    <mergeCell ref="D66:H66"/>
    <mergeCell ref="L208:M208"/>
    <mergeCell ref="L194:M194"/>
    <mergeCell ref="A195:B195"/>
    <mergeCell ref="A196:B196"/>
    <mergeCell ref="A197:B197"/>
    <mergeCell ref="A198:B198"/>
    <mergeCell ref="A199:B199"/>
    <mergeCell ref="A200:B200"/>
    <mergeCell ref="A154:B154"/>
    <mergeCell ref="C154:D154"/>
    <mergeCell ref="E154:F154"/>
    <mergeCell ref="G154:H154"/>
    <mergeCell ref="A155:B155"/>
    <mergeCell ref="C155:D155"/>
    <mergeCell ref="E155:F155"/>
    <mergeCell ref="G155:H155"/>
    <mergeCell ref="A184:B184"/>
    <mergeCell ref="E157:F157"/>
    <mergeCell ref="L184:M184"/>
    <mergeCell ref="A193:B193"/>
    <mergeCell ref="A192:B192"/>
    <mergeCell ref="A185:H185"/>
    <mergeCell ref="A186:H186"/>
    <mergeCell ref="A182:B182"/>
    <mergeCell ref="L183:M183"/>
    <mergeCell ref="A170:H170"/>
    <mergeCell ref="A172:H172"/>
    <mergeCell ref="A177:H177"/>
    <mergeCell ref="A178:H178"/>
    <mergeCell ref="A179:H179"/>
    <mergeCell ref="A180:B180"/>
    <mergeCell ref="L180:M180"/>
    <mergeCell ref="A181:B181"/>
    <mergeCell ref="L181:M181"/>
    <mergeCell ref="L176:M176"/>
    <mergeCell ref="L173:M173"/>
    <mergeCell ref="A174:B174"/>
    <mergeCell ref="L174:M174"/>
    <mergeCell ref="A175:B175"/>
    <mergeCell ref="L175:M175"/>
    <mergeCell ref="A176:B176"/>
    <mergeCell ref="L182:M182"/>
    <mergeCell ref="A183:B183"/>
    <mergeCell ref="B226:H226"/>
    <mergeCell ref="A137:E137"/>
    <mergeCell ref="A103:B103"/>
    <mergeCell ref="A108:B108"/>
    <mergeCell ref="A156:B156"/>
    <mergeCell ref="E156:F156"/>
    <mergeCell ref="C106:H106"/>
    <mergeCell ref="A107:B107"/>
    <mergeCell ref="A142:E142"/>
    <mergeCell ref="G156:H156"/>
    <mergeCell ref="C148:D148"/>
    <mergeCell ref="E148:F148"/>
    <mergeCell ref="G148:H148"/>
    <mergeCell ref="A149:B149"/>
    <mergeCell ref="C149:D149"/>
    <mergeCell ref="E149:F149"/>
    <mergeCell ref="G149:H149"/>
    <mergeCell ref="A153:B153"/>
    <mergeCell ref="C153:D153"/>
    <mergeCell ref="E153:F153"/>
    <mergeCell ref="G153:H153"/>
    <mergeCell ref="B221:H221"/>
    <mergeCell ref="F137:H137"/>
    <mergeCell ref="A138:E138"/>
    <mergeCell ref="A49:B49"/>
    <mergeCell ref="C49:H49"/>
    <mergeCell ref="B219:H219"/>
    <mergeCell ref="A109:B109"/>
    <mergeCell ref="A110:B110"/>
    <mergeCell ref="G94:H103"/>
    <mergeCell ref="A95:B95"/>
    <mergeCell ref="A96:B96"/>
    <mergeCell ref="A97:B97"/>
    <mergeCell ref="F134:H134"/>
    <mergeCell ref="A134:E134"/>
    <mergeCell ref="D160:D161"/>
    <mergeCell ref="A136:E136"/>
    <mergeCell ref="A113:B113"/>
    <mergeCell ref="A115:B115"/>
    <mergeCell ref="A116:B116"/>
    <mergeCell ref="A135:E135"/>
    <mergeCell ref="A132:E132"/>
    <mergeCell ref="F136:H136"/>
    <mergeCell ref="G107:H107"/>
    <mergeCell ref="A106:B106"/>
    <mergeCell ref="G160:G161"/>
    <mergeCell ref="A82:B82"/>
    <mergeCell ref="F132:H132"/>
    <mergeCell ref="A40:B40"/>
    <mergeCell ref="C40:H40"/>
    <mergeCell ref="F160:F161"/>
    <mergeCell ref="C147:D147"/>
    <mergeCell ref="E147:F147"/>
    <mergeCell ref="B160:B161"/>
    <mergeCell ref="A160:A161"/>
    <mergeCell ref="C168:C169"/>
    <mergeCell ref="G168:G169"/>
    <mergeCell ref="G157:H157"/>
    <mergeCell ref="C55:H55"/>
    <mergeCell ref="A79:B79"/>
    <mergeCell ref="A78:B78"/>
    <mergeCell ref="A76:B76"/>
    <mergeCell ref="C76:H76"/>
    <mergeCell ref="A84:B84"/>
    <mergeCell ref="A71:C71"/>
    <mergeCell ref="D71:H71"/>
    <mergeCell ref="C78:H78"/>
    <mergeCell ref="A81:B81"/>
    <mergeCell ref="A83:B83"/>
    <mergeCell ref="E79:F79"/>
    <mergeCell ref="A72:C72"/>
    <mergeCell ref="D72:H72"/>
    <mergeCell ref="A39:B39"/>
    <mergeCell ref="C39:H39"/>
    <mergeCell ref="A46:D46"/>
    <mergeCell ref="L166:M166"/>
    <mergeCell ref="L165:M165"/>
    <mergeCell ref="L164:M164"/>
    <mergeCell ref="L163:M163"/>
    <mergeCell ref="A87:B87"/>
    <mergeCell ref="C152:D152"/>
    <mergeCell ref="E152:F152"/>
    <mergeCell ref="G152:H152"/>
    <mergeCell ref="A133:E133"/>
    <mergeCell ref="A104:B104"/>
    <mergeCell ref="C104:H104"/>
    <mergeCell ref="A162:H162"/>
    <mergeCell ref="E160:E161"/>
    <mergeCell ref="A94:B94"/>
    <mergeCell ref="A47:D47"/>
    <mergeCell ref="A48:H48"/>
    <mergeCell ref="D64:H64"/>
    <mergeCell ref="A64:C64"/>
    <mergeCell ref="A86:B86"/>
    <mergeCell ref="C92:H92"/>
    <mergeCell ref="A45:D45"/>
    <mergeCell ref="A38:H38"/>
    <mergeCell ref="A37:B37"/>
    <mergeCell ref="C37:E37"/>
    <mergeCell ref="G108:H117"/>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93:B93"/>
    <mergeCell ref="E47:H47"/>
    <mergeCell ref="C57:H57"/>
    <mergeCell ref="C59:H59"/>
    <mergeCell ref="A92:B92"/>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5:H238"/>
    <mergeCell ref="A234:B234"/>
    <mergeCell ref="E234:F234"/>
    <mergeCell ref="C234:D234"/>
    <mergeCell ref="G234:H234"/>
    <mergeCell ref="A145:H145"/>
    <mergeCell ref="A143:E143"/>
    <mergeCell ref="F143:H143"/>
    <mergeCell ref="A144:E144"/>
    <mergeCell ref="F144:H144"/>
    <mergeCell ref="A152:B152"/>
    <mergeCell ref="A147:B147"/>
    <mergeCell ref="A230:H230"/>
    <mergeCell ref="A150:H150"/>
    <mergeCell ref="A233:H233"/>
    <mergeCell ref="A231:H231"/>
    <mergeCell ref="A227:H227"/>
    <mergeCell ref="G151:H151"/>
    <mergeCell ref="C160:C161"/>
    <mergeCell ref="B168:B169"/>
    <mergeCell ref="A228:H228"/>
    <mergeCell ref="A173:B173"/>
    <mergeCell ref="A166:B166"/>
    <mergeCell ref="A165:B165"/>
    <mergeCell ref="F135:H135"/>
    <mergeCell ref="A139:E139"/>
    <mergeCell ref="A111:B111"/>
    <mergeCell ref="A112:B112"/>
    <mergeCell ref="E94:F103"/>
    <mergeCell ref="A101:B101"/>
    <mergeCell ref="A102:B102"/>
    <mergeCell ref="E107:F107"/>
    <mergeCell ref="E108:F117"/>
    <mergeCell ref="A122:B122"/>
    <mergeCell ref="E122:F131"/>
    <mergeCell ref="G122:H131"/>
    <mergeCell ref="A123:B123"/>
    <mergeCell ref="A124:B124"/>
    <mergeCell ref="A125:B125"/>
    <mergeCell ref="A126:B126"/>
    <mergeCell ref="A127:B127"/>
    <mergeCell ref="A128:B128"/>
    <mergeCell ref="A129:B129"/>
    <mergeCell ref="A130:B130"/>
    <mergeCell ref="A131:B131"/>
    <mergeCell ref="F138:H138"/>
    <mergeCell ref="A140:E140"/>
    <mergeCell ref="A187:H187"/>
    <mergeCell ref="A188:B188"/>
    <mergeCell ref="A189:B189"/>
    <mergeCell ref="A190:B190"/>
    <mergeCell ref="A191:B191"/>
    <mergeCell ref="A203:H203"/>
    <mergeCell ref="A204:B204"/>
    <mergeCell ref="C157:D157"/>
    <mergeCell ref="F142:H142"/>
    <mergeCell ref="F140:H140"/>
    <mergeCell ref="A159:H159"/>
    <mergeCell ref="A167:H167"/>
    <mergeCell ref="E151:F151"/>
    <mergeCell ref="A163:B163"/>
    <mergeCell ref="A213:H213"/>
    <mergeCell ref="A201:H201"/>
    <mergeCell ref="A202:H202"/>
    <mergeCell ref="A194:H194"/>
    <mergeCell ref="A210:B210"/>
    <mergeCell ref="A211:B211"/>
    <mergeCell ref="A207:B207"/>
    <mergeCell ref="A209:B209"/>
    <mergeCell ref="A208:H208"/>
    <mergeCell ref="A212:B212"/>
    <mergeCell ref="A205:B205"/>
    <mergeCell ref="A206:B206"/>
    <mergeCell ref="G51:H51"/>
    <mergeCell ref="A52:B53"/>
    <mergeCell ref="C53:H53"/>
    <mergeCell ref="C52:E52"/>
    <mergeCell ref="C51:E51"/>
    <mergeCell ref="A232:H232"/>
    <mergeCell ref="A229:H229"/>
    <mergeCell ref="A151:B151"/>
    <mergeCell ref="D168:D169"/>
    <mergeCell ref="E168:E169"/>
    <mergeCell ref="A98:B98"/>
    <mergeCell ref="A99:B99"/>
    <mergeCell ref="A100:B100"/>
    <mergeCell ref="A114:B114"/>
    <mergeCell ref="F133:H133"/>
    <mergeCell ref="G147:H147"/>
    <mergeCell ref="A117:B117"/>
    <mergeCell ref="F139:H139"/>
    <mergeCell ref="C146:D146"/>
    <mergeCell ref="C156:D156"/>
    <mergeCell ref="A171:H171"/>
    <mergeCell ref="B224:H224"/>
    <mergeCell ref="B220:H220"/>
    <mergeCell ref="B216:H216"/>
    <mergeCell ref="B225:H225"/>
    <mergeCell ref="A157:B157"/>
    <mergeCell ref="A62:C62"/>
    <mergeCell ref="A63:C63"/>
    <mergeCell ref="D63:H63"/>
    <mergeCell ref="G60:H60"/>
    <mergeCell ref="A54:B55"/>
    <mergeCell ref="C54:E54"/>
    <mergeCell ref="G54:H54"/>
    <mergeCell ref="A56:B57"/>
    <mergeCell ref="C56:E56"/>
    <mergeCell ref="G56:H56"/>
    <mergeCell ref="A58:B59"/>
    <mergeCell ref="C58:E58"/>
    <mergeCell ref="G58:H58"/>
    <mergeCell ref="B223:H223"/>
    <mergeCell ref="B222:H222"/>
    <mergeCell ref="A158:H158"/>
    <mergeCell ref="A168:A169"/>
    <mergeCell ref="F168:F169"/>
    <mergeCell ref="B214:H214"/>
    <mergeCell ref="B215:H215"/>
    <mergeCell ref="B217:H217"/>
    <mergeCell ref="B218:H218"/>
    <mergeCell ref="E43:H43"/>
    <mergeCell ref="A43:D43"/>
    <mergeCell ref="A90:B90"/>
    <mergeCell ref="C90:H90"/>
    <mergeCell ref="A85:B85"/>
    <mergeCell ref="A50:B50"/>
    <mergeCell ref="G146:H146"/>
    <mergeCell ref="A141:E141"/>
    <mergeCell ref="A164:B164"/>
    <mergeCell ref="A60:B60"/>
    <mergeCell ref="C60:E60"/>
    <mergeCell ref="D62:H62"/>
    <mergeCell ref="F141:H141"/>
    <mergeCell ref="E146:F146"/>
    <mergeCell ref="A146:B146"/>
    <mergeCell ref="A148:B148"/>
    <mergeCell ref="C151:D151"/>
    <mergeCell ref="D73:H73"/>
    <mergeCell ref="A74:C74"/>
    <mergeCell ref="C50:E50"/>
    <mergeCell ref="G50:H50"/>
    <mergeCell ref="G52:H52"/>
    <mergeCell ref="A51:B51"/>
    <mergeCell ref="A61:H6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0:E161">
      <formula1>"Attached Loft area,Attached Otla area,Attached Mezzanine area"</formula1>
    </dataValidation>
    <dataValidation type="list" allowBlank="1" showInputMessage="1" showErrorMessage="1" sqref="G234:H234">
      <formula1>"Kunal Kadam,Gaurav Panchal,Pranita Mhatre,Shruti Fule,Pooja Kawale,Neha Dhokale,Shruti Tathare, Hitakshi Mhatre, Sachin Sawant"</formula1>
    </dataValidation>
    <dataValidation type="list" allowBlank="1" showInputMessage="1" showErrorMessage="1" sqref="F132:H132">
      <formula1>"On Saleable Area,On Builtup Area,On Carpet Area,On Plot Area"</formula1>
    </dataValidation>
    <dataValidation type="list" allowBlank="1" showInputMessage="1" showErrorMessage="1" sqref="F143:H143">
      <formula1>OFFSET($S$132,1,MATCH($G20,$S$132:$W$132,0)-1,15,1)</formula1>
    </dataValidation>
    <dataValidation type="list" allowBlank="1" showInputMessage="1" showErrorMessage="1" sqref="B160:B161">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8:E169">
      <formula1>"Fungible area,Balcony Area + EP Area,Chajja Area,Cornice Area,AP Area,WS Area"</formula1>
    </dataValidation>
    <dataValidation type="list" allowBlank="1" showInputMessage="1" showErrorMessage="1" sqref="H161 H16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H77</formula2>
    </dataValidation>
    <dataValidation type="list" allowBlank="1" showInputMessage="1" showErrorMessage="1" sqref="H160 H168">
      <formula1>"Saleable area Loading :,Builder Saleable Area"</formula1>
    </dataValidation>
    <dataValidation type="list" allowBlank="1" showInputMessage="1" showErrorMessage="1" sqref="D160:D161 D168:D16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5" max="7" man="1"/>
    <brk id="131" max="7" man="1"/>
    <brk id="238" max="16383" man="1"/>
    <brk id="281" max="16383" man="1"/>
    <brk id="31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1" t="s">
        <v>104</v>
      </c>
      <c r="C3" s="221"/>
      <c r="D3" s="221"/>
      <c r="E3" s="221"/>
      <c r="F3" s="221"/>
      <c r="G3" s="221"/>
      <c r="H3" s="221"/>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175</v>
      </c>
      <c r="E4" s="49" t="s">
        <v>185</v>
      </c>
      <c r="F4" s="49" t="s">
        <v>168</v>
      </c>
      <c r="G4" s="49" t="s">
        <v>190</v>
      </c>
      <c r="H4" s="49" t="s">
        <v>208</v>
      </c>
      <c r="J4" t="s">
        <v>190</v>
      </c>
      <c r="K4" t="s">
        <v>206</v>
      </c>
    </row>
    <row r="5" spans="2:11" x14ac:dyDescent="0.35">
      <c r="B5" s="48"/>
      <c r="C5" s="48"/>
      <c r="D5" s="49" t="s">
        <v>176</v>
      </c>
      <c r="E5" s="49" t="s">
        <v>183</v>
      </c>
      <c r="F5" s="49" t="s">
        <v>205</v>
      </c>
      <c r="G5" s="49" t="s">
        <v>191</v>
      </c>
      <c r="H5" s="49" t="s">
        <v>209</v>
      </c>
    </row>
    <row r="6" spans="2:11" x14ac:dyDescent="0.35">
      <c r="B6" s="48"/>
      <c r="C6" s="48"/>
      <c r="D6" s="49" t="s">
        <v>177</v>
      </c>
      <c r="E6" s="49" t="s">
        <v>184</v>
      </c>
      <c r="F6" s="49" t="s">
        <v>206</v>
      </c>
      <c r="G6" s="49" t="s">
        <v>192</v>
      </c>
      <c r="H6" s="49" t="s">
        <v>222</v>
      </c>
    </row>
    <row r="7" spans="2:11" x14ac:dyDescent="0.35">
      <c r="B7" s="48"/>
      <c r="C7" s="48"/>
      <c r="D7" s="49" t="s">
        <v>178</v>
      </c>
      <c r="E7" s="49" t="s">
        <v>186</v>
      </c>
      <c r="F7" s="49" t="s">
        <v>207</v>
      </c>
      <c r="G7" s="49" t="s">
        <v>193</v>
      </c>
      <c r="H7" s="49" t="s">
        <v>210</v>
      </c>
    </row>
    <row r="8" spans="2:11" x14ac:dyDescent="0.35">
      <c r="B8" s="48"/>
      <c r="C8" s="48"/>
      <c r="D8" s="49" t="s">
        <v>179</v>
      </c>
      <c r="E8" s="49" t="s">
        <v>187</v>
      </c>
      <c r="F8" s="49"/>
      <c r="G8" s="49" t="s">
        <v>194</v>
      </c>
      <c r="H8" s="49" t="s">
        <v>211</v>
      </c>
    </row>
    <row r="9" spans="2:11" x14ac:dyDescent="0.35">
      <c r="B9" s="48"/>
      <c r="C9" s="48"/>
      <c r="D9" s="49" t="s">
        <v>180</v>
      </c>
      <c r="E9" s="49" t="s">
        <v>185</v>
      </c>
      <c r="F9" s="49"/>
      <c r="G9" s="49" t="s">
        <v>195</v>
      </c>
      <c r="H9" s="49" t="s">
        <v>212</v>
      </c>
    </row>
    <row r="10" spans="2:11" x14ac:dyDescent="0.35">
      <c r="B10" s="48"/>
      <c r="C10" s="48"/>
      <c r="D10" s="49" t="s">
        <v>181</v>
      </c>
      <c r="E10" s="49" t="s">
        <v>188</v>
      </c>
      <c r="F10" s="49"/>
      <c r="G10" s="49" t="s">
        <v>196</v>
      </c>
      <c r="H10" s="49" t="s">
        <v>213</v>
      </c>
    </row>
    <row r="11" spans="2:11" x14ac:dyDescent="0.35">
      <c r="B11" s="48"/>
      <c r="C11" s="48"/>
      <c r="D11" s="49" t="s">
        <v>182</v>
      </c>
      <c r="E11" s="49" t="s">
        <v>189</v>
      </c>
      <c r="F11" s="49"/>
      <c r="G11" s="49" t="s">
        <v>197</v>
      </c>
      <c r="H11" s="49" t="s">
        <v>214</v>
      </c>
    </row>
    <row r="12" spans="2:11" x14ac:dyDescent="0.35">
      <c r="B12" s="48"/>
      <c r="C12" s="48"/>
      <c r="D12" s="49"/>
      <c r="E12" s="49"/>
      <c r="F12" s="49"/>
      <c r="G12" s="49" t="s">
        <v>198</v>
      </c>
      <c r="H12" s="49" t="s">
        <v>215</v>
      </c>
    </row>
    <row r="13" spans="2:11" x14ac:dyDescent="0.35">
      <c r="B13" s="48"/>
      <c r="C13" s="48"/>
      <c r="D13" s="49"/>
      <c r="E13" s="49"/>
      <c r="F13" s="49"/>
      <c r="G13" s="49" t="s">
        <v>199</v>
      </c>
      <c r="H13" s="49" t="s">
        <v>216</v>
      </c>
    </row>
    <row r="14" spans="2:11" x14ac:dyDescent="0.35">
      <c r="B14" s="48"/>
      <c r="C14" s="48"/>
      <c r="D14" s="49"/>
      <c r="E14" s="49"/>
      <c r="F14" s="49"/>
      <c r="G14" s="49" t="s">
        <v>200</v>
      </c>
      <c r="H14" s="49" t="s">
        <v>217</v>
      </c>
    </row>
    <row r="15" spans="2:11" x14ac:dyDescent="0.35">
      <c r="B15" s="48"/>
      <c r="C15" s="48"/>
      <c r="D15" s="49"/>
      <c r="E15" s="49"/>
      <c r="F15" s="49"/>
      <c r="G15" s="49" t="s">
        <v>201</v>
      </c>
      <c r="H15" s="49" t="s">
        <v>218</v>
      </c>
    </row>
    <row r="16" spans="2:11" x14ac:dyDescent="0.35">
      <c r="B16" s="48"/>
      <c r="C16" s="48"/>
      <c r="D16" s="49"/>
      <c r="E16" s="49"/>
      <c r="F16" s="49"/>
      <c r="G16" s="49" t="s">
        <v>202</v>
      </c>
      <c r="H16" s="49" t="s">
        <v>219</v>
      </c>
    </row>
    <row r="17" spans="2:8" x14ac:dyDescent="0.35">
      <c r="B17" s="48"/>
      <c r="C17" s="48"/>
      <c r="D17" s="49"/>
      <c r="E17" s="49"/>
      <c r="F17" s="49"/>
      <c r="G17" s="49" t="s">
        <v>203</v>
      </c>
      <c r="H17" s="49" t="s">
        <v>220</v>
      </c>
    </row>
    <row r="18" spans="2:8" x14ac:dyDescent="0.35">
      <c r="B18" s="48"/>
      <c r="C18" s="48"/>
      <c r="D18" s="49"/>
      <c r="E18" s="49"/>
      <c r="F18" s="49"/>
      <c r="G18" s="49" t="s">
        <v>204</v>
      </c>
      <c r="H18" s="49" t="s">
        <v>221</v>
      </c>
    </row>
    <row r="24" spans="2:8" x14ac:dyDescent="0.35">
      <c r="C24" t="s">
        <v>165</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165</v>
      </c>
    </row>
    <row r="33" spans="3:11" x14ac:dyDescent="0.35">
      <c r="J33">
        <v>1</v>
      </c>
      <c r="K33">
        <v>2</v>
      </c>
    </row>
    <row r="34" spans="3:11" x14ac:dyDescent="0.35">
      <c r="C34" s="53" t="s">
        <v>233</v>
      </c>
      <c r="D34" s="49" t="s">
        <v>231</v>
      </c>
      <c r="E34" s="49" t="s">
        <v>236</v>
      </c>
      <c r="F34" s="49" t="s">
        <v>234</v>
      </c>
      <c r="G34" s="49" t="s">
        <v>235</v>
      </c>
      <c r="H34" s="49" t="s">
        <v>237</v>
      </c>
      <c r="J34" t="s">
        <v>190</v>
      </c>
      <c r="K34" t="s">
        <v>206</v>
      </c>
    </row>
    <row r="35" spans="3:11" x14ac:dyDescent="0.35">
      <c r="C35" s="48" t="s">
        <v>232</v>
      </c>
      <c r="D35" s="49" t="s">
        <v>166</v>
      </c>
      <c r="E35" s="49" t="s">
        <v>241</v>
      </c>
      <c r="F35" s="49" t="s">
        <v>243</v>
      </c>
      <c r="G35" s="49" t="s">
        <v>245</v>
      </c>
      <c r="H35" s="49"/>
    </row>
    <row r="36" spans="3:11" x14ac:dyDescent="0.35">
      <c r="C36" s="48"/>
      <c r="D36" s="49" t="s">
        <v>238</v>
      </c>
      <c r="E36" s="49" t="s">
        <v>242</v>
      </c>
      <c r="F36" s="49" t="s">
        <v>244</v>
      </c>
      <c r="G36" s="49" t="s">
        <v>246</v>
      </c>
      <c r="H36" s="49"/>
    </row>
    <row r="37" spans="3:11" x14ac:dyDescent="0.35">
      <c r="C37" s="48"/>
      <c r="D37" s="49" t="s">
        <v>239</v>
      </c>
      <c r="E37" s="49"/>
      <c r="F37" s="49"/>
      <c r="G37" s="49" t="s">
        <v>247</v>
      </c>
      <c r="H37" s="49"/>
    </row>
    <row r="38" spans="3:11" x14ac:dyDescent="0.35">
      <c r="C38" s="48"/>
      <c r="D38" s="49" t="s">
        <v>240</v>
      </c>
      <c r="E38" s="49"/>
      <c r="F38" s="49"/>
      <c r="G38" s="49" t="s">
        <v>247</v>
      </c>
      <c r="H38" s="49"/>
    </row>
    <row r="39" spans="3:11" x14ac:dyDescent="0.35">
      <c r="C39" s="48"/>
      <c r="D39" s="49"/>
      <c r="E39" s="49"/>
      <c r="F39" s="49"/>
      <c r="G39" s="49" t="s">
        <v>248</v>
      </c>
      <c r="H39" s="49"/>
    </row>
    <row r="40" spans="3:11" x14ac:dyDescent="0.35">
      <c r="C40" s="48"/>
      <c r="D40" s="49"/>
      <c r="E40" s="49"/>
      <c r="F40" s="49"/>
      <c r="G40" s="49" t="s">
        <v>249</v>
      </c>
      <c r="H40" s="49"/>
    </row>
    <row r="41" spans="3:11" x14ac:dyDescent="0.35">
      <c r="C41" s="48"/>
      <c r="D41" s="49"/>
      <c r="E41" s="49"/>
      <c r="F41" s="49"/>
      <c r="G41" s="49"/>
      <c r="H41" s="49"/>
    </row>
    <row r="43" spans="3:11" x14ac:dyDescent="0.35">
      <c r="C43" t="s">
        <v>250</v>
      </c>
    </row>
    <row r="44" spans="3:11" x14ac:dyDescent="0.35">
      <c r="C44" t="s">
        <v>168</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4.5" x14ac:dyDescent="0.35"/>
  <cols>
    <col min="2" max="2" width="3" bestFit="1" customWidth="1"/>
    <col min="3" max="3" width="130" customWidth="1"/>
  </cols>
  <sheetData>
    <row r="2" spans="2:3" ht="15" customHeight="1" x14ac:dyDescent="0.35">
      <c r="B2" s="54">
        <v>1</v>
      </c>
      <c r="C2" s="57" t="s">
        <v>281</v>
      </c>
    </row>
    <row r="3" spans="2:3" x14ac:dyDescent="0.35">
      <c r="B3" s="54">
        <v>2</v>
      </c>
      <c r="C3" s="55" t="s">
        <v>282</v>
      </c>
    </row>
    <row r="4" spans="2:3" x14ac:dyDescent="0.35">
      <c r="B4" s="54">
        <v>3</v>
      </c>
      <c r="C4" s="56" t="s">
        <v>283</v>
      </c>
    </row>
    <row r="5" spans="2:3" x14ac:dyDescent="0.35">
      <c r="B5" s="54">
        <v>4</v>
      </c>
      <c r="C5" s="55" t="s">
        <v>284</v>
      </c>
    </row>
    <row r="6" spans="2:3" x14ac:dyDescent="0.35">
      <c r="B6" s="54">
        <v>5</v>
      </c>
      <c r="C6" s="56" t="s">
        <v>285</v>
      </c>
    </row>
    <row r="7" spans="2:3" ht="29" x14ac:dyDescent="0.35">
      <c r="B7" s="54">
        <v>6</v>
      </c>
      <c r="C7" s="55" t="s">
        <v>286</v>
      </c>
    </row>
    <row r="8" spans="2:3" ht="72.5" x14ac:dyDescent="0.35">
      <c r="B8" s="54">
        <v>7</v>
      </c>
      <c r="C8" s="55" t="s">
        <v>287</v>
      </c>
    </row>
    <row r="9" spans="2:3" x14ac:dyDescent="0.35">
      <c r="B9" s="54">
        <v>8</v>
      </c>
      <c r="C9" s="56" t="s">
        <v>288</v>
      </c>
    </row>
    <row r="10" spans="2:3" x14ac:dyDescent="0.35">
      <c r="B10" s="54">
        <v>9</v>
      </c>
      <c r="C10" s="56" t="s">
        <v>289</v>
      </c>
    </row>
    <row r="11" spans="2:3" x14ac:dyDescent="0.35">
      <c r="B11" s="54">
        <v>10</v>
      </c>
      <c r="C11" s="56" t="s">
        <v>290</v>
      </c>
    </row>
    <row r="12" spans="2:3" x14ac:dyDescent="0.35">
      <c r="B12" s="54">
        <v>11</v>
      </c>
      <c r="C12" s="56" t="s">
        <v>291</v>
      </c>
    </row>
    <row r="13" spans="2:3" x14ac:dyDescent="0.35">
      <c r="B13" s="54">
        <v>12</v>
      </c>
      <c r="C13" s="56" t="s">
        <v>292</v>
      </c>
    </row>
    <row r="14" spans="2:3" x14ac:dyDescent="0.35">
      <c r="B14" s="54">
        <v>13</v>
      </c>
      <c r="C14" s="56" t="s">
        <v>293</v>
      </c>
    </row>
    <row r="15" spans="2:3" x14ac:dyDescent="0.35">
      <c r="B15" s="54">
        <v>14</v>
      </c>
      <c r="C15" s="56" t="s">
        <v>283</v>
      </c>
    </row>
    <row r="16" spans="2:3" x14ac:dyDescent="0.35">
      <c r="B16" s="54">
        <v>15</v>
      </c>
      <c r="C16" s="56" t="s">
        <v>295</v>
      </c>
    </row>
    <row r="17" spans="2:3" ht="31.5" customHeight="1" x14ac:dyDescent="0.35">
      <c r="B17" s="60">
        <v>16</v>
      </c>
      <c r="C17" s="62" t="s">
        <v>296</v>
      </c>
    </row>
    <row r="18" spans="2:3" x14ac:dyDescent="0.35">
      <c r="B18" s="61">
        <v>17</v>
      </c>
      <c r="C18" s="62" t="s">
        <v>297</v>
      </c>
    </row>
    <row r="19" spans="2:3" x14ac:dyDescent="0.35">
      <c r="B19" s="60">
        <v>18</v>
      </c>
      <c r="C19" s="54" t="s">
        <v>298</v>
      </c>
    </row>
    <row r="20" spans="2:3" x14ac:dyDescent="0.35">
      <c r="B20" s="61">
        <v>19</v>
      </c>
      <c r="C20" s="54"/>
    </row>
    <row r="21" spans="2:3" x14ac:dyDescent="0.35">
      <c r="B21" s="63">
        <v>20</v>
      </c>
      <c r="C21" s="54"/>
    </row>
    <row r="22" spans="2:3" x14ac:dyDescent="0.35">
      <c r="B22" s="54"/>
      <c r="C22" s="54"/>
    </row>
    <row r="23" spans="2:3" x14ac:dyDescent="0.35">
      <c r="B23" s="54"/>
      <c r="C23" s="54"/>
    </row>
    <row r="24" spans="2:3" x14ac:dyDescent="0.35">
      <c r="B24" s="54"/>
      <c r="C24" s="54"/>
    </row>
    <row r="25" spans="2:3" x14ac:dyDescent="0.35">
      <c r="B25" s="54"/>
      <c r="C25" s="54"/>
    </row>
    <row r="26" spans="2:3" x14ac:dyDescent="0.35">
      <c r="B26" s="54"/>
      <c r="C26" s="54"/>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2025-01-04T12:21:14Z</cp:lastPrinted>
  <dcterms:created xsi:type="dcterms:W3CDTF">2019-07-16T09:29:46Z</dcterms:created>
  <dcterms:modified xsi:type="dcterms:W3CDTF">2025-07-09T07:09:42Z</dcterms:modified>
</cp:coreProperties>
</file>