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1-07-2025\"/>
    </mc:Choice>
  </mc:AlternateContent>
  <bookViews>
    <workbookView xWindow="0" yWindow="0" windowWidth="19200" windowHeight="6640" tabRatio="711"/>
  </bookViews>
  <sheets>
    <sheet name="Report" sheetId="1" r:id="rId1"/>
    <sheet name="valuation" sheetId="5" r:id="rId2"/>
    <sheet name="Research" sheetId="4" r:id="rId3"/>
    <sheet name="Remarks" sheetId="6" r:id="rId4"/>
  </sheets>
  <definedNames>
    <definedName name="_xlnm.Print_Area" localSheetId="0">Report!$A$1:$H$286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9" i="1" l="1"/>
  <c r="E130" i="1"/>
  <c r="G133" i="1" l="1"/>
  <c r="E135" i="1"/>
  <c r="D135" i="1"/>
  <c r="G130" i="1"/>
  <c r="E133" i="1"/>
  <c r="D133" i="1"/>
  <c r="E131" i="1"/>
  <c r="D131" i="1"/>
  <c r="D130" i="1"/>
  <c r="D129" i="1"/>
  <c r="F129" i="1" s="1"/>
  <c r="E127" i="1"/>
  <c r="D127" i="1"/>
  <c r="E126" i="1"/>
  <c r="D126" i="1"/>
  <c r="F126" i="1" s="1"/>
  <c r="H126" i="1" s="1"/>
  <c r="D125" i="1"/>
  <c r="E123" i="1"/>
  <c r="D123" i="1"/>
  <c r="E122" i="1"/>
  <c r="D122" i="1"/>
  <c r="E121" i="1"/>
  <c r="D121" i="1"/>
  <c r="E119" i="1"/>
  <c r="D119" i="1"/>
  <c r="E118" i="1"/>
  <c r="D118" i="1"/>
  <c r="E117" i="1"/>
  <c r="D117" i="1"/>
  <c r="D112" i="1"/>
  <c r="D111" i="1"/>
  <c r="I133" i="1"/>
  <c r="A130" i="1"/>
  <c r="A131" i="1" s="1"/>
  <c r="I126" i="1"/>
  <c r="A126" i="1"/>
  <c r="A127" i="1" s="1"/>
  <c r="A122" i="1"/>
  <c r="A123" i="1" s="1"/>
  <c r="I118" i="1"/>
  <c r="I119" i="1"/>
  <c r="I112" i="1"/>
  <c r="F127" i="1" l="1"/>
  <c r="H127" i="1" s="1"/>
  <c r="F131" i="1"/>
  <c r="H131" i="1" s="1"/>
  <c r="F135" i="1"/>
  <c r="H135" i="1" s="1"/>
  <c r="F121" i="1"/>
  <c r="H121" i="1" s="1"/>
  <c r="F122" i="1"/>
  <c r="H122" i="1" s="1"/>
  <c r="F133" i="1"/>
  <c r="H133" i="1" s="1"/>
  <c r="F130" i="1"/>
  <c r="H130" i="1" s="1"/>
  <c r="F125" i="1"/>
  <c r="H125" i="1" s="1"/>
  <c r="F123" i="1"/>
  <c r="H123" i="1" s="1"/>
  <c r="I111" i="1"/>
  <c r="G51" i="1"/>
  <c r="G52" i="1" s="1"/>
  <c r="E43" i="1"/>
  <c r="F112" i="1" l="1"/>
  <c r="H112" i="1" s="1"/>
  <c r="F111" i="1"/>
  <c r="H111" i="1" l="1"/>
  <c r="G99" i="1" s="1"/>
  <c r="G100" i="1" s="1"/>
  <c r="C99" i="1"/>
  <c r="C100" i="1" s="1"/>
  <c r="E99" i="1"/>
  <c r="E100" i="1" s="1"/>
  <c r="B139" i="1"/>
  <c r="G58" i="1" l="1"/>
  <c r="C58" i="1"/>
  <c r="G56" i="1"/>
  <c r="C56" i="1"/>
  <c r="C54" i="1"/>
  <c r="S33" i="1" l="1"/>
  <c r="F11" i="5" l="1"/>
  <c r="G11" i="5" s="1"/>
  <c r="F10" i="5"/>
  <c r="G10" i="5" s="1"/>
  <c r="F9" i="5"/>
  <c r="G9" i="5" s="1"/>
  <c r="F8" i="5"/>
  <c r="G8" i="5" s="1"/>
  <c r="F7" i="5"/>
  <c r="G7" i="5" s="1"/>
  <c r="F6" i="5"/>
  <c r="G6" i="5" s="1"/>
  <c r="F5" i="5"/>
  <c r="G5" i="5" s="1"/>
  <c r="G12" i="5" s="1"/>
  <c r="D161" i="1"/>
  <c r="B140" i="1"/>
  <c r="F119" i="1"/>
  <c r="H119" i="1" s="1"/>
  <c r="F118" i="1"/>
  <c r="H118" i="1" s="1"/>
  <c r="A118" i="1"/>
  <c r="A119" i="1" s="1"/>
  <c r="F117" i="1"/>
  <c r="A112" i="1"/>
  <c r="F96" i="1"/>
  <c r="C73" i="1"/>
  <c r="D67" i="1"/>
  <c r="D62" i="1"/>
  <c r="C51" i="1"/>
  <c r="C52" i="1" s="1"/>
  <c r="E44" i="1"/>
  <c r="E45" i="1" s="1"/>
  <c r="E31" i="1"/>
  <c r="E28" i="1"/>
  <c r="E26" i="1"/>
  <c r="C16" i="1"/>
  <c r="I15" i="1"/>
  <c r="Z13" i="1"/>
  <c r="E8" i="1"/>
  <c r="E3" i="1"/>
  <c r="H74" i="1"/>
  <c r="H117" i="1" l="1"/>
  <c r="G103" i="1" s="1"/>
  <c r="G104" i="1" s="1"/>
  <c r="G105" i="1" s="1"/>
  <c r="C103" i="1"/>
  <c r="C104" i="1" s="1"/>
  <c r="C105" i="1" s="1"/>
  <c r="E103" i="1"/>
  <c r="E104" i="1" s="1"/>
  <c r="E105" i="1" s="1"/>
  <c r="J73" i="1"/>
  <c r="J75" i="1" s="1"/>
  <c r="J76" i="1"/>
  <c r="J77" i="1"/>
  <c r="J78" i="1"/>
  <c r="C77" i="1" s="1"/>
  <c r="D81" i="1"/>
  <c r="D83" i="1"/>
  <c r="D82" i="1"/>
  <c r="D86" i="1"/>
  <c r="D80" i="1"/>
  <c r="D85" i="1"/>
  <c r="D79" i="1"/>
  <c r="D84" i="1"/>
  <c r="B74" i="1"/>
  <c r="J79" i="1" s="1"/>
  <c r="D77" i="1" l="1"/>
  <c r="J83" i="1"/>
  <c r="J81" i="1"/>
  <c r="J82" i="1"/>
  <c r="J80" i="1"/>
  <c r="J85" i="1" s="1"/>
  <c r="J84" i="1"/>
  <c r="J86" i="1" l="1"/>
  <c r="C78" i="1" l="1"/>
  <c r="G77" i="1" s="1"/>
  <c r="D71" i="1" s="1"/>
  <c r="D78" i="1" l="1"/>
  <c r="I74" i="1" s="1"/>
  <c r="I75" i="1" s="1"/>
  <c r="J74" i="1"/>
  <c r="F72" i="1"/>
  <c r="D72" i="1"/>
  <c r="E77" i="1"/>
  <c r="I73" i="1" l="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                       Proposed Builtup Area
Approved No. of Floors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<sst xmlns="http://schemas.openxmlformats.org/spreadsheetml/2006/main" count="535" uniqueCount="342">
  <si>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</si>
  <si>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</si>
  <si>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</si>
  <si>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</si>
  <si>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</si>
  <si>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</si>
  <si>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</si>
  <si>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</si>
  <si>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</si>
  <si>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</si>
  <si>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</si>
  <si>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</si>
  <si>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</si>
  <si>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</si>
  <si>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</si>
  <si>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</si>
  <si>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</si>
  <si>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</si>
  <si>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</si>
  <si>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</si>
  <si>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</si>
  <si>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</si>
  <si>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</si>
  <si>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</si>
  <si>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</si>
  <si>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</si>
  <si>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</si>
  <si>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</si>
  <si>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</si>
  <si>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</si>
  <si>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</si>
  <si>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</si>
  <si>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</si>
  <si>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</si>
  <si>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</si>
  <si>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</si>
  <si>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</si>
  <si>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</si>
  <si>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</si>
  <si>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</si>
  <si>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</si>
  <si>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</si>
  <si>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</si>
  <si>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</si>
  <si>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</si>
  <si>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</si>
  <si>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</si>
  <si>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</si>
  <si>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</si>
  <si>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</si>
  <si>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</si>
  <si>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</si>
  <si>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</si>
  <si>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</si>
  <si>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</si>
  <si>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</si>
  <si>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</si>
  <si>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</si>
  <si>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</si>
  <si>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</si>
  <si>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</si>
  <si>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</si>
  <si>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</si>
  <si>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</si>
  <si>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</si>
  <si>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</si>
  <si>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</si>
  <si>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</si>
  <si>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</si>
  <si>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</si>
  <si>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</si>
  <si>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</si>
  <si>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</si>
  <si>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</si>
  <si>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</si>
  <si>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</si>
  <si>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</si>
  <si>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</si>
  <si>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</si>
  <si>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</si>
  <si>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</si>
  <si>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</si>
  <si>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</si>
  <si>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</si>
  <si>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</si>
  <si>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</si>
  <si>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</si>
  <si>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</si>
  <si>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</si>
  <si>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</si>
  <si>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</si>
  <si>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</si>
  <si>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</si>
  <si>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</si>
  <si>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</si>
  <si>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</si>
  <si>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</si>
  <si>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</si>
  <si>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</si>
  <si>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</si>
  <si>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</si>
  <si>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</si>
  <si>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</si>
  <si>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</si>
  <si>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</si>
  <si>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</si>
  <si>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</si>
  <si>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</si>
  <si>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</si>
  <si>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</si>
  <si>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</si>
  <si>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</si>
  <si>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</si>
  <si>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</si>
  <si>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</si>
  <si>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</si>
  <si>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</si>
  <si>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</si>
  <si>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</si>
  <si>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</si>
  <si>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</si>
  <si>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</si>
  <si>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</si>
  <si>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</si>
  <si>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</si>
  <si>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</si>
  <si>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</si>
  <si>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</si>
  <si>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</si>
  <si>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</si>
  <si>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</si>
  <si>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</si>
  <si>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</si>
  <si>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</si>
  <si>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</si>
  <si>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</si>
  <si>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</si>
  <si>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</si>
  <si>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</si>
  <si>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</si>
  <si>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</si>
  <si>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</si>
  <si>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</si>
  <si>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</si>
  <si>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</si>
  <si>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</si>
  <si>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</si>
  <si>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</si>
  <si>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</si>
  <si>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</si>
  <si>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</si>
  <si>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</si>
  <si>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</si>
  <si>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</si>
  <si>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</si>
  <si>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</si>
  <si>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</si>
  <si>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</si>
  <si>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</si>
  <si>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</si>
  <si>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</si>
  <si>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</si>
  <si>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</si>
  <si>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</si>
  <si>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</si>
  <si>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</si>
  <si>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</si>
  <si>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</si>
  <si>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</si>
  <si>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</si>
  <si>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</si>
  <si>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</si>
  <si>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</si>
  <si>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</si>
  <si>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</si>
  <si>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</si>
  <si>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</si>
  <si>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</si>
  <si>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</si>
  <si>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</si>
  <si>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</si>
  <si>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</si>
  <si>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</si>
  <si>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</si>
  <si>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</si>
  <si>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</si>
  <si>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</si>
  <si>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</si>
  <si>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</si>
  <si>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</si>
  <si>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</si>
  <si>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</si>
  <si>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</si>
  <si>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</si>
  <si>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</si>
  <si>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</si>
  <si>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</si>
  <si>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</si>
  <si>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</si>
  <si>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</si>
  <si>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</si>
  <si>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</si>
  <si>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</si>
  <si>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</si>
  <si>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</si>
  <si>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</si>
  <si>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</si>
  <si>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</si>
  <si>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</si>
  <si>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</si>
  <si>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</si>
  <si>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</si>
  <si>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</si>
  <si>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</si>
  <si>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</si>
  <si>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</si>
  <si>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</si>
  <si>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</si>
  <si>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</si>
  <si>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</si>
  <si>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</si>
  <si>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</si>
  <si>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</si>
  <si>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</si>
  <si>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</si>
  <si>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</si>
  <si>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</si>
  <si>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</si>
  <si>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</si>
  <si>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</si>
  <si>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</si>
  <si>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</si>
  <si>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</si>
  <si>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</si>
  <si>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</si>
  <si>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</si>
  <si>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</si>
  <si>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</si>
  <si>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</si>
  <si>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</si>
  <si>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</si>
  <si>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</si>
  <si>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</si>
  <si>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</si>
  <si>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</si>
  <si>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</si>
  <si>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</si>
  <si>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</si>
  <si>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</si>
  <si>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</si>
  <si>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</si>
  <si>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</si>
  <si>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</si>
  <si>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</si>
  <si>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</si>
  <si>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</si>
  <si>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</si>
  <si>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</si>
  <si>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</si>
  <si>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</si>
  <si>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</si>
  <si>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</si>
  <si>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</si>
  <si>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</si>
  <si>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</si>
  <si>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</si>
  <si>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</si>
  <si>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</si>
  <si>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</si>
  <si>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</si>
  <si>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</si>
  <si>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</si>
  <si>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</si>
  <si>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</si>
  <si>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</si>
  <si>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</si>
  <si>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</si>
  <si>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</si>
  <si>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</si>
  <si>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</si>
  <si>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</si>
  <si>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</si>
  <si>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</si>
  <si>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</si>
  <si>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</si>
  <si>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</si>
  <si>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</si>
  <si>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</si>
  <si>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</si>
  <si>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</si>
  <si>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</si>
  <si>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</si>
  <si>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</si>
  <si>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</si>
  <si>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</si>
  <si>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Thane Municipal Corporation (TMC)</t>
  </si>
  <si>
    <t>Ms. Poonam Bhanudas Mokal</t>
  </si>
  <si>
    <t>Aarsh Bhanudas</t>
  </si>
  <si>
    <t>P52000027508</t>
  </si>
  <si>
    <t>Plot No</t>
  </si>
  <si>
    <t>59, Sector-25</t>
  </si>
  <si>
    <t>Pushpak</t>
  </si>
  <si>
    <t>CIDCO/BP-17261/TPO(NM &amp; K)/2019/10881</t>
  </si>
  <si>
    <t>Gr + 1st to 6th Floor</t>
  </si>
  <si>
    <t xml:space="preserve">Gr + 1st to 6th Floor
</t>
  </si>
  <si>
    <t>As per RERA - 31/12/2026</t>
  </si>
  <si>
    <t>Ground Floor For Commercial, Entrance Lobby &amp; Parking</t>
  </si>
  <si>
    <t>1st Floor For Residential</t>
  </si>
  <si>
    <t>1BHK</t>
  </si>
  <si>
    <t>https://maps.app.goo.gl/bq5Ji94CbMxr4XUR8</t>
  </si>
  <si>
    <t>Internal Road</t>
  </si>
  <si>
    <t>Bamandongri East</t>
  </si>
  <si>
    <t>18.963667,73.035083</t>
  </si>
  <si>
    <t>Surya Residency</t>
  </si>
  <si>
    <t>Building</t>
  </si>
  <si>
    <t>9 M Wide Road</t>
  </si>
  <si>
    <t>Plot No.60</t>
  </si>
  <si>
    <t>Plot No.58</t>
  </si>
  <si>
    <t>Plot No.66</t>
  </si>
  <si>
    <r>
      <t xml:space="preserve">Proposed Amenities :                                                                                                                                                                                                                         </t>
    </r>
    <r>
      <rPr>
        <b/>
        <sz val="12"/>
        <rFont val="Times New Roman"/>
        <family val="1"/>
      </rPr>
      <t xml:space="preserve">                                               </t>
    </r>
  </si>
  <si>
    <t>Sufficeint Water Supply, Entrance Gate, Compound Wall, O.H Water Tank, Lift, Rainwater Harvesting System, Septic Tank, Parking etc.</t>
  </si>
  <si>
    <t>Shop</t>
  </si>
  <si>
    <t>2nd &amp; 3rd Floor</t>
  </si>
  <si>
    <t>4th Floor</t>
  </si>
  <si>
    <t>5th Floor</t>
  </si>
  <si>
    <t>6th Floor (Part Bedroom &amp; Terrace Area)</t>
  </si>
  <si>
    <t>Bedroom &amp; Terrace Area</t>
  </si>
  <si>
    <t>We considered Gross carpet area = Net carpet + Balcony + Enclosed Balcony Area</t>
  </si>
  <si>
    <t>Balcony  + Enclosed Balcony Area</t>
  </si>
  <si>
    <t xml:space="preserve">Flats - 17, Shops - 2 </t>
  </si>
  <si>
    <t>Ulwe</t>
  </si>
  <si>
    <t>Approved Plans, CC, Sale Plans, Cost Sheet</t>
  </si>
  <si>
    <t xml:space="preserve"> Builder Saleable Area</t>
  </si>
  <si>
    <t>2.2 KM from Bamandongri Railway Station</t>
  </si>
  <si>
    <t>Smith &amp; Ganesh Extra ordinary case</t>
  </si>
  <si>
    <t>Verbal changes</t>
  </si>
  <si>
    <t>no enchancement here after</t>
  </si>
  <si>
    <t>changes for Flat 501 done by smith 29/02/2024</t>
  </si>
  <si>
    <t xml:space="preserve">6000 TO 6300 &amp; oc </t>
  </si>
  <si>
    <t>Pooja Kawale</t>
  </si>
  <si>
    <t>Construction work is in process at the time of visit (Slow Speed).</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</si>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</sst>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19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6" fillId="0" borderId="25"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2" fontId="7" fillId="0" borderId="0" xfId="1" applyNumberFormat="1" applyFont="1" applyAlignment="1">
      <alignment horizontal="center" vertical="center"/>
    </xf>
    <xf numFmtId="1" fontId="13" fillId="0" borderId="2" xfId="1" applyNumberFormat="1" applyFont="1" applyBorder="1" applyAlignment="1" applyProtection="1">
      <alignment horizontal="center" vertical="top" wrapText="1"/>
      <protection locked="0"/>
    </xf>
    <xf numFmtId="9" fontId="13" fillId="0" borderId="13"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7" fillId="2" borderId="0" xfId="1" applyFont="1" applyFill="1"/>
    <xf numFmtId="14" fontId="7" fillId="2" borderId="0" xfId="1" applyNumberFormat="1" applyFont="1" applyFill="1"/>
    <xf numFmtId="0" fontId="12" fillId="0" borderId="1" xfId="1" applyFont="1" applyBorder="1" applyAlignment="1" applyProtection="1">
      <alignment horizontal="center" vertical="top" wrapText="1"/>
      <protection locked="0"/>
    </xf>
    <xf numFmtId="0" fontId="25" fillId="2" borderId="12" xfId="0" applyFont="1" applyFill="1" applyBorder="1"/>
    <xf numFmtId="0" fontId="26" fillId="0" borderId="8" xfId="0" applyFont="1" applyBorder="1"/>
    <xf numFmtId="1" fontId="6" fillId="0" borderId="1"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7" fillId="0" borderId="20"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6" fillId="0" borderId="7" xfId="1" applyFont="1" applyBorder="1" applyAlignment="1" applyProtection="1">
      <alignment vertical="top" wrapText="1"/>
      <protection locked="0"/>
    </xf>
    <xf numFmtId="0" fontId="6" fillId="0" borderId="18"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7" fillId="0" borderId="7" xfId="0" applyNumberFormat="1" applyFont="1" applyBorder="1" applyAlignment="1" applyProtection="1">
      <alignment vertical="top" wrapText="1"/>
      <protection locked="0"/>
    </xf>
    <xf numFmtId="1" fontId="17" fillId="0" borderId="18"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4" fillId="0" borderId="1" xfId="1" applyNumberFormat="1" applyFont="1" applyBorder="1" applyAlignment="1" applyProtection="1">
      <alignment horizontal="center" vertical="top" wrapText="1"/>
      <protection locked="0"/>
    </xf>
    <xf numFmtId="0" fontId="10" fillId="0" borderId="7" xfId="1" applyFont="1" applyBorder="1" applyAlignment="1" applyProtection="1">
      <alignment horizontal="left" vertical="top"/>
      <protection locked="0"/>
    </xf>
    <xf numFmtId="0" fontId="10" fillId="0" borderId="18"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center" wrapText="1"/>
      <protection locked="0"/>
    </xf>
    <xf numFmtId="9" fontId="12" fillId="0" borderId="15" xfId="8" applyFont="1" applyFill="1" applyBorder="1" applyAlignment="1" applyProtection="1">
      <alignment horizontal="center" vertical="center" wrapText="1"/>
      <protection locked="0"/>
    </xf>
    <xf numFmtId="9" fontId="12" fillId="0" borderId="20"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8" fillId="0" borderId="13"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0" fillId="0" borderId="27" xfId="0" applyFont="1" applyBorder="1" applyAlignment="1" applyProtection="1">
      <alignment horizontal="center" vertical="center"/>
      <protection locked="0"/>
    </xf>
    <xf numFmtId="0" fontId="8" fillId="0" borderId="13" xfId="1" applyFont="1" applyBorder="1" applyAlignment="1" applyProtection="1">
      <alignment horizontal="center" vertical="top"/>
      <protection locked="0"/>
    </xf>
    <xf numFmtId="1" fontId="8" fillId="0" borderId="27" xfId="0" applyNumberFormat="1" applyFont="1" applyBorder="1" applyAlignment="1" applyProtection="1">
      <alignment horizontal="center" vertical="top" wrapText="1"/>
      <protection locked="0"/>
    </xf>
    <xf numFmtId="1" fontId="8" fillId="0" borderId="28" xfId="0" applyNumberFormat="1" applyFont="1" applyBorder="1" applyAlignment="1" applyProtection="1">
      <alignment horizontal="center" vertical="top" wrapText="1"/>
      <protection locked="0"/>
    </xf>
    <xf numFmtId="1" fontId="10" fillId="0" borderId="27" xfId="0" applyNumberFormat="1" applyFont="1" applyBorder="1" applyAlignment="1" applyProtection="1">
      <alignment horizontal="center" vertical="top" wrapText="1"/>
      <protection locked="0"/>
    </xf>
    <xf numFmtId="1" fontId="8" fillId="0" borderId="26" xfId="0" applyNumberFormat="1" applyFont="1" applyBorder="1" applyAlignment="1" applyProtection="1">
      <alignment horizontal="center" vertical="center" wrapText="1"/>
      <protection locked="0"/>
    </xf>
    <xf numFmtId="1" fontId="8" fillId="0" borderId="27" xfId="0" applyNumberFormat="1" applyFont="1" applyBorder="1" applyAlignment="1" applyProtection="1">
      <alignment horizontal="center" vertical="center" wrapText="1"/>
      <protection locked="0"/>
    </xf>
    <xf numFmtId="0" fontId="7" fillId="2" borderId="20" xfId="1" applyFont="1" applyFill="1" applyBorder="1" applyAlignment="1">
      <alignment horizontal="center"/>
    </xf>
    <xf numFmtId="0" fontId="7" fillId="2" borderId="0" xfId="1" applyFont="1" applyFill="1" applyAlignment="1">
      <alignment horizontal="center"/>
    </xf>
    <xf numFmtId="1" fontId="7" fillId="2" borderId="20" xfId="1" applyNumberFormat="1" applyFont="1" applyFill="1" applyBorder="1" applyAlignment="1">
      <alignment horizontal="center" vertical="center"/>
    </xf>
    <xf numFmtId="1" fontId="7" fillId="2" borderId="0" xfId="1" applyNumberFormat="1" applyFont="1" applyFill="1" applyAlignment="1">
      <alignment horizontal="center" vertical="center"/>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6" fillId="0" borderId="18"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13" Type="http://schemas.openxmlformats.org/officeDocument/2006/relationships/image" Target="../media/image11.jpeg"/><Relationship Id="rId18" Type="http://schemas.openxmlformats.org/officeDocument/2006/relationships/image" Target="../media/image16.png"/><Relationship Id="rId3" Type="http://schemas.openxmlformats.org/officeDocument/2006/relationships/image" Target="../media/image2.png"/><Relationship Id="rId21" Type="http://schemas.openxmlformats.org/officeDocument/2006/relationships/image" Target="../media/image19.png"/><Relationship Id="rId7" Type="http://schemas.openxmlformats.org/officeDocument/2006/relationships/image" Target="../media/image5.png"/><Relationship Id="rId12" Type="http://schemas.openxmlformats.org/officeDocument/2006/relationships/image" Target="../media/image10.jpeg"/><Relationship Id="rId17" Type="http://schemas.openxmlformats.org/officeDocument/2006/relationships/image" Target="../media/image15.png"/><Relationship Id="rId2" Type="http://schemas.microsoft.com/office/2007/relationships/hdphoto" Target="../media/hdphoto1.wdp"/><Relationship Id="rId16" Type="http://schemas.openxmlformats.org/officeDocument/2006/relationships/image" Target="../media/image14.png"/><Relationship Id="rId20"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jpeg"/><Relationship Id="rId5" Type="http://schemas.openxmlformats.org/officeDocument/2006/relationships/image" Target="../media/image3.png"/><Relationship Id="rId15" Type="http://schemas.openxmlformats.org/officeDocument/2006/relationships/image" Target="../media/image13.png"/><Relationship Id="rId10" Type="http://schemas.openxmlformats.org/officeDocument/2006/relationships/image" Target="../media/image8.jpeg"/><Relationship Id="rId19" Type="http://schemas.openxmlformats.org/officeDocument/2006/relationships/image" Target="../media/image17.png"/><Relationship Id="rId4" Type="http://schemas.microsoft.com/office/2007/relationships/hdphoto" Target="../media/hdphoto2.wdp"/><Relationship Id="rId9" Type="http://schemas.openxmlformats.org/officeDocument/2006/relationships/image" Target="../media/image7.jpeg"/><Relationship Id="rId14"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122959</xdr:colOff>
      <xdr:row>216</xdr:row>
      <xdr:rowOff>90433</xdr:rowOff>
    </xdr:from>
    <xdr:to>
      <xdr:col>6</xdr:col>
      <xdr:colOff>391995</xdr:colOff>
      <xdr:row>243</xdr:row>
      <xdr:rowOff>37033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artisticPhotocopy/>
                  </a14:imgEffect>
                  <a14:imgEffect>
                    <a14:colorTemperature colorTemp="4700"/>
                  </a14:imgEffect>
                  <a14:imgEffect>
                    <a14:brightnessContrast bright="20000"/>
                  </a14:imgEffect>
                </a14:imgLayer>
              </a14:imgProps>
            </a:ext>
          </a:extLst>
        </a:blip>
        <a:srcRect l="9936" t="10322" b="1612"/>
        <a:stretch/>
      </xdr:blipFill>
      <xdr:spPr>
        <a:xfrm>
          <a:off x="884959" y="50439583"/>
          <a:ext cx="4355261" cy="5347273"/>
        </a:xfrm>
        <a:prstGeom prst="rect">
          <a:avLst/>
        </a:prstGeom>
        <a:ln w="9525">
          <a:solidFill>
            <a:schemeClr val="tx1"/>
          </a:solidFill>
        </a:ln>
      </xdr:spPr>
    </xdr:pic>
    <xdr:clientData/>
  </xdr:twoCellAnchor>
  <xdr:twoCellAnchor editAs="oneCell">
    <xdr:from>
      <xdr:col>1</xdr:col>
      <xdr:colOff>745448</xdr:colOff>
      <xdr:row>202</xdr:row>
      <xdr:rowOff>192538</xdr:rowOff>
    </xdr:from>
    <xdr:to>
      <xdr:col>5</xdr:col>
      <xdr:colOff>534427</xdr:colOff>
      <xdr:row>215</xdr:row>
      <xdr:rowOff>63074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artisticPhotocopy/>
                  </a14:imgEffect>
                  <a14:imgEffect>
                    <a14:colorTemperature colorTemp="4700"/>
                  </a14:imgEffect>
                  <a14:imgEffect>
                    <a14:brightnessContrast bright="20000" contrast="40000"/>
                  </a14:imgEffect>
                </a14:imgLayer>
              </a14:imgProps>
            </a:ext>
          </a:extLst>
        </a:blip>
        <a:srcRect t="25774" r="2623" b="13065"/>
        <a:stretch/>
      </xdr:blipFill>
      <xdr:spPr>
        <a:xfrm>
          <a:off x="1507448" y="45397067"/>
          <a:ext cx="3139538" cy="2492714"/>
        </a:xfrm>
        <a:prstGeom prst="rect">
          <a:avLst/>
        </a:prstGeom>
        <a:ln w="9525">
          <a:solidFill>
            <a:schemeClr val="tx1"/>
          </a:solidFill>
        </a:ln>
      </xdr:spPr>
    </xdr:pic>
    <xdr:clientData/>
  </xdr:twoCellAnchor>
  <xdr:twoCellAnchor editAs="oneCell">
    <xdr:from>
      <xdr:col>1</xdr:col>
      <xdr:colOff>32382</xdr:colOff>
      <xdr:row>245</xdr:row>
      <xdr:rowOff>104775</xdr:rowOff>
    </xdr:from>
    <xdr:to>
      <xdr:col>6</xdr:col>
      <xdr:colOff>625291</xdr:colOff>
      <xdr:row>262</xdr:row>
      <xdr:rowOff>100893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5"/>
        <a:srcRect t="12277" r="6297" b="4976"/>
        <a:stretch/>
      </xdr:blipFill>
      <xdr:spPr>
        <a:xfrm>
          <a:off x="794382" y="52492275"/>
          <a:ext cx="4679134" cy="3396543"/>
        </a:xfrm>
        <a:prstGeom prst="rect">
          <a:avLst/>
        </a:prstGeom>
        <a:ln w="9525">
          <a:solidFill>
            <a:schemeClr val="tx1"/>
          </a:solidFill>
        </a:ln>
      </xdr:spPr>
    </xdr:pic>
    <xdr:clientData/>
  </xdr:twoCellAnchor>
  <xdr:twoCellAnchor>
    <xdr:from>
      <xdr:col>0</xdr:col>
      <xdr:colOff>422056</xdr:colOff>
      <xdr:row>263</xdr:row>
      <xdr:rowOff>99477</xdr:rowOff>
    </xdr:from>
    <xdr:to>
      <xdr:col>7</xdr:col>
      <xdr:colOff>245601</xdr:colOff>
      <xdr:row>282</xdr:row>
      <xdr:rowOff>192996</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422056" y="53826827"/>
          <a:ext cx="5678245" cy="3833669"/>
          <a:chOff x="519546" y="60903155"/>
          <a:chExt cx="5404074" cy="3925930"/>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6"/>
          <a:srcRect t="430" r="8872"/>
          <a:stretch/>
        </xdr:blipFill>
        <xdr:spPr>
          <a:xfrm>
            <a:off x="519546" y="60903155"/>
            <a:ext cx="5404074" cy="3925930"/>
          </a:xfrm>
          <a:prstGeom prst="rect">
            <a:avLst/>
          </a:prstGeom>
          <a:ln w="9525">
            <a:solidFill>
              <a:schemeClr val="tx1"/>
            </a:solidFill>
          </a:ln>
        </xdr:spPr>
      </xdr:pic>
      <xdr:sp macro="" textlink="">
        <xdr:nvSpPr>
          <xdr:cNvPr id="6" name="Freeform 5">
            <a:extLst>
              <a:ext uri="{FF2B5EF4-FFF2-40B4-BE49-F238E27FC236}">
                <a16:creationId xmlns:a16="http://schemas.microsoft.com/office/drawing/2014/main" id="{00000000-0008-0000-0000-000006000000}"/>
              </a:ext>
            </a:extLst>
          </xdr:cNvPr>
          <xdr:cNvSpPr/>
        </xdr:nvSpPr>
        <xdr:spPr>
          <a:xfrm rot="5751791">
            <a:off x="2855471" y="62659081"/>
            <a:ext cx="269532" cy="470915"/>
          </a:xfrm>
          <a:custGeom>
            <a:avLst/>
            <a:gdLst>
              <a:gd name="connsiteX0" fmla="*/ 0 w 3714750"/>
              <a:gd name="connsiteY0" fmla="*/ 38100 h 4495800"/>
              <a:gd name="connsiteX1" fmla="*/ 2419350 w 3714750"/>
              <a:gd name="connsiteY1" fmla="*/ 0 h 4495800"/>
              <a:gd name="connsiteX2" fmla="*/ 3714750 w 3714750"/>
              <a:gd name="connsiteY2" fmla="*/ 400050 h 4495800"/>
              <a:gd name="connsiteX3" fmla="*/ 2095500 w 3714750"/>
              <a:gd name="connsiteY3" fmla="*/ 4495800 h 4495800"/>
              <a:gd name="connsiteX4" fmla="*/ 1390650 w 3714750"/>
              <a:gd name="connsiteY4" fmla="*/ 4305300 h 4495800"/>
              <a:gd name="connsiteX5" fmla="*/ 971550 w 3714750"/>
              <a:gd name="connsiteY5" fmla="*/ 4229100 h 4495800"/>
              <a:gd name="connsiteX6" fmla="*/ 685800 w 3714750"/>
              <a:gd name="connsiteY6" fmla="*/ 4229100 h 4495800"/>
              <a:gd name="connsiteX7" fmla="*/ 209550 w 3714750"/>
              <a:gd name="connsiteY7" fmla="*/ 4248150 h 4495800"/>
              <a:gd name="connsiteX8" fmla="*/ 19050 w 3714750"/>
              <a:gd name="connsiteY8" fmla="*/ 4267200 h 4495800"/>
              <a:gd name="connsiteX9" fmla="*/ 0 w 3714750"/>
              <a:gd name="connsiteY9" fmla="*/ 38100 h 4495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714750" h="4495800">
                <a:moveTo>
                  <a:pt x="0" y="38100"/>
                </a:moveTo>
                <a:lnTo>
                  <a:pt x="2419350" y="0"/>
                </a:lnTo>
                <a:lnTo>
                  <a:pt x="3714750" y="400050"/>
                </a:lnTo>
                <a:lnTo>
                  <a:pt x="2095500" y="4495800"/>
                </a:lnTo>
                <a:lnTo>
                  <a:pt x="1390650" y="4305300"/>
                </a:lnTo>
                <a:lnTo>
                  <a:pt x="971550" y="4229100"/>
                </a:lnTo>
                <a:lnTo>
                  <a:pt x="685800" y="4229100"/>
                </a:lnTo>
                <a:lnTo>
                  <a:pt x="209550" y="4248150"/>
                </a:lnTo>
                <a:lnTo>
                  <a:pt x="19050" y="4267200"/>
                </a:lnTo>
                <a:lnTo>
                  <a:pt x="0" y="3810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9</xdr:col>
      <xdr:colOff>64108</xdr:colOff>
      <xdr:row>104</xdr:row>
      <xdr:rowOff>185869</xdr:rowOff>
    </xdr:from>
    <xdr:to>
      <xdr:col>14</xdr:col>
      <xdr:colOff>741010</xdr:colOff>
      <xdr:row>118</xdr:row>
      <xdr:rowOff>95364</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7"/>
        <a:stretch>
          <a:fillRect/>
        </a:stretch>
      </xdr:blipFill>
      <xdr:spPr>
        <a:xfrm>
          <a:off x="7541233" y="21788569"/>
          <a:ext cx="4696452" cy="3519470"/>
        </a:xfrm>
        <a:prstGeom prst="rect">
          <a:avLst/>
        </a:prstGeom>
      </xdr:spPr>
    </xdr:pic>
    <xdr:clientData/>
  </xdr:twoCellAnchor>
  <xdr:twoCellAnchor editAs="oneCell">
    <xdr:from>
      <xdr:col>11</xdr:col>
      <xdr:colOff>255933</xdr:colOff>
      <xdr:row>176</xdr:row>
      <xdr:rowOff>141336</xdr:rowOff>
    </xdr:from>
    <xdr:to>
      <xdr:col>15</xdr:col>
      <xdr:colOff>345993</xdr:colOff>
      <xdr:row>189</xdr:row>
      <xdr:rowOff>149162</xdr:rowOff>
    </xdr:to>
    <xdr:pic>
      <xdr:nvPicPr>
        <xdr:cNvPr id="15" name="Picture 14" descr="https://vsjcllp.vsjadon.com/upload/insp-203725-1525.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201150" y="36601379"/>
          <a:ext cx="3452800"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414131</xdr:colOff>
      <xdr:row>163</xdr:row>
      <xdr:rowOff>66260</xdr:rowOff>
    </xdr:from>
    <xdr:to>
      <xdr:col>10</xdr:col>
      <xdr:colOff>434540</xdr:colOff>
      <xdr:row>176</xdr:row>
      <xdr:rowOff>74087</xdr:rowOff>
    </xdr:to>
    <xdr:pic>
      <xdr:nvPicPr>
        <xdr:cNvPr id="22" name="Picture 21" descr="https://vsjcllp.vsjadon.com/upload/insp-203725-843.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733761" y="33942130"/>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475953</xdr:colOff>
      <xdr:row>190</xdr:row>
      <xdr:rowOff>50759</xdr:rowOff>
    </xdr:from>
    <xdr:to>
      <xdr:col>12</xdr:col>
      <xdr:colOff>786254</xdr:colOff>
      <xdr:row>203</xdr:row>
      <xdr:rowOff>58585</xdr:rowOff>
    </xdr:to>
    <xdr:pic>
      <xdr:nvPicPr>
        <xdr:cNvPr id="23" name="Picture 22" descr="https://vsjcllp.vsjadon.com/upload/insp-203725-940.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717149" y="39293759"/>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742547</xdr:colOff>
      <xdr:row>176</xdr:row>
      <xdr:rowOff>141336</xdr:rowOff>
    </xdr:from>
    <xdr:to>
      <xdr:col>11</xdr:col>
      <xdr:colOff>58935</xdr:colOff>
      <xdr:row>189</xdr:row>
      <xdr:rowOff>149162</xdr:rowOff>
    </xdr:to>
    <xdr:pic>
      <xdr:nvPicPr>
        <xdr:cNvPr id="24" name="Picture 23" descr="https://vsjcllp.vsjadon.com/upload/insp-203725-1022.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062177" y="36601379"/>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292681</xdr:colOff>
      <xdr:row>163</xdr:row>
      <xdr:rowOff>66260</xdr:rowOff>
    </xdr:from>
    <xdr:to>
      <xdr:col>15</xdr:col>
      <xdr:colOff>586416</xdr:colOff>
      <xdr:row>176</xdr:row>
      <xdr:rowOff>74087</xdr:rowOff>
    </xdr:to>
    <xdr:pic>
      <xdr:nvPicPr>
        <xdr:cNvPr id="26" name="Picture 25" descr="https://vsjcllp.vsjadon.com/upload/insp-203725-925.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952398" y="33942130"/>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591516</xdr:colOff>
      <xdr:row>163</xdr:row>
      <xdr:rowOff>66260</xdr:rowOff>
    </xdr:from>
    <xdr:to>
      <xdr:col>13</xdr:col>
      <xdr:colOff>114970</xdr:colOff>
      <xdr:row>176</xdr:row>
      <xdr:rowOff>74087</xdr:rowOff>
    </xdr:to>
    <xdr:pic>
      <xdr:nvPicPr>
        <xdr:cNvPr id="27" name="Picture 26" descr="https://vsjcllp.vsjadon.com/upload/insp-203725-928.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32712" y="33942130"/>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69850</xdr:colOff>
      <xdr:row>161</xdr:row>
      <xdr:rowOff>57150</xdr:rowOff>
    </xdr:from>
    <xdr:to>
      <xdr:col>7</xdr:col>
      <xdr:colOff>689584</xdr:colOff>
      <xdr:row>201</xdr:row>
      <xdr:rowOff>73962</xdr:rowOff>
    </xdr:to>
    <xdr:grpSp>
      <xdr:nvGrpSpPr>
        <xdr:cNvPr id="8" name="Group 7"/>
        <xdr:cNvGrpSpPr/>
      </xdr:nvGrpSpPr>
      <xdr:grpSpPr>
        <a:xfrm>
          <a:off x="69850" y="33712150"/>
          <a:ext cx="6474434" cy="7884462"/>
          <a:chOff x="69850" y="33712150"/>
          <a:chExt cx="6474434" cy="7884462"/>
        </a:xfrm>
      </xdr:grpSpPr>
      <xdr:pic>
        <xdr:nvPicPr>
          <xdr:cNvPr id="28" name="Picture 2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392677" y="39436612"/>
            <a:ext cx="1625063"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69851" y="33712150"/>
            <a:ext cx="205841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485871" y="36574381"/>
            <a:ext cx="2058413"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69850" y="36574381"/>
            <a:ext cx="2058413"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485871" y="33712150"/>
            <a:ext cx="2058413"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77860" y="36574381"/>
            <a:ext cx="2058413" cy="2736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624767" y="39436612"/>
            <a:ext cx="1618313"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277861" y="33712150"/>
            <a:ext cx="205841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q5Ji94CbMxr4XUR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45"/>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29" t="s">
        <v>161</v>
      </c>
      <c r="B1" s="129"/>
      <c r="C1" s="129"/>
      <c r="D1" s="129"/>
      <c r="E1" s="129"/>
      <c r="F1" s="129"/>
      <c r="G1" s="129"/>
      <c r="H1" s="129"/>
    </row>
    <row r="2" spans="1:26" ht="16.5" customHeight="1" x14ac:dyDescent="0.35">
      <c r="A2" s="130" t="s">
        <v>0</v>
      </c>
      <c r="B2" s="130"/>
      <c r="C2" s="130"/>
      <c r="D2" s="130"/>
      <c r="E2" s="130"/>
      <c r="F2" s="130"/>
      <c r="G2" s="130"/>
      <c r="H2" s="130"/>
    </row>
    <row r="3" spans="1:26" x14ac:dyDescent="0.35">
      <c r="A3" s="89" t="s">
        <v>1</v>
      </c>
      <c r="B3" s="89"/>
      <c r="C3" s="89"/>
      <c r="D3" s="89"/>
      <c r="E3" s="89" t="str">
        <f ca="1">TEXT(TODAY(),"DD/MM/YYYY")</f>
        <v>11/07/2025</v>
      </c>
      <c r="F3" s="89"/>
      <c r="G3" s="89"/>
      <c r="H3" s="89"/>
      <c r="K3" s="45" t="s">
        <v>233</v>
      </c>
      <c r="L3" s="44" t="s">
        <v>231</v>
      </c>
      <c r="M3" s="44" t="s">
        <v>236</v>
      </c>
      <c r="N3" s="44" t="s">
        <v>234</v>
      </c>
      <c r="O3" s="44" t="s">
        <v>235</v>
      </c>
      <c r="P3" s="44" t="s">
        <v>237</v>
      </c>
    </row>
    <row r="4" spans="1:26" ht="15" customHeight="1" x14ac:dyDescent="0.35">
      <c r="A4" s="89" t="s">
        <v>230</v>
      </c>
      <c r="B4" s="89"/>
      <c r="C4" s="89"/>
      <c r="D4" s="89"/>
      <c r="E4" s="89" t="s">
        <v>231</v>
      </c>
      <c r="F4" s="89"/>
      <c r="G4" s="89"/>
      <c r="H4" s="89"/>
      <c r="K4" s="43" t="s">
        <v>232</v>
      </c>
      <c r="L4" s="44" t="s">
        <v>167</v>
      </c>
      <c r="M4" s="44" t="s">
        <v>241</v>
      </c>
      <c r="N4" s="44" t="s">
        <v>243</v>
      </c>
      <c r="O4" s="44" t="s">
        <v>245</v>
      </c>
      <c r="P4" s="44"/>
    </row>
    <row r="5" spans="1:26" ht="15" customHeight="1" x14ac:dyDescent="0.35">
      <c r="A5" s="89" t="s">
        <v>2</v>
      </c>
      <c r="B5" s="89"/>
      <c r="C5" s="89"/>
      <c r="D5" s="89"/>
      <c r="E5" s="89" t="s">
        <v>239</v>
      </c>
      <c r="F5" s="89"/>
      <c r="G5" s="89"/>
      <c r="H5" s="89"/>
      <c r="K5" s="43"/>
      <c r="L5" s="44" t="s">
        <v>238</v>
      </c>
      <c r="M5" s="44" t="s">
        <v>242</v>
      </c>
      <c r="N5" s="44" t="s">
        <v>244</v>
      </c>
      <c r="O5" s="44" t="s">
        <v>246</v>
      </c>
      <c r="P5" s="44"/>
    </row>
    <row r="6" spans="1:26" x14ac:dyDescent="0.35">
      <c r="A6" s="89" t="s">
        <v>3</v>
      </c>
      <c r="B6" s="89"/>
      <c r="C6" s="89"/>
      <c r="D6" s="89"/>
      <c r="E6" s="132">
        <v>45848</v>
      </c>
      <c r="F6" s="89"/>
      <c r="G6" s="89"/>
      <c r="H6" s="89"/>
      <c r="K6" s="43"/>
      <c r="L6" s="44" t="s">
        <v>239</v>
      </c>
      <c r="M6" s="44"/>
      <c r="N6" s="44"/>
      <c r="O6" s="44" t="s">
        <v>247</v>
      </c>
      <c r="P6" s="44"/>
    </row>
    <row r="7" spans="1:26" ht="16.5" customHeight="1" x14ac:dyDescent="0.35">
      <c r="A7" s="89" t="s">
        <v>4</v>
      </c>
      <c r="B7" s="89"/>
      <c r="C7" s="89"/>
      <c r="D7" s="89"/>
      <c r="E7" s="89" t="s">
        <v>296</v>
      </c>
      <c r="F7" s="89"/>
      <c r="G7" s="89"/>
      <c r="H7" s="89"/>
      <c r="K7" s="43"/>
      <c r="L7" s="44" t="s">
        <v>240</v>
      </c>
      <c r="M7" s="44"/>
      <c r="N7" s="44"/>
      <c r="O7" s="44" t="s">
        <v>247</v>
      </c>
      <c r="P7" s="44"/>
    </row>
    <row r="8" spans="1:26" ht="15" customHeight="1" x14ac:dyDescent="0.35">
      <c r="A8" s="89" t="s">
        <v>5</v>
      </c>
      <c r="B8" s="89"/>
      <c r="C8" s="89"/>
      <c r="D8" s="89"/>
      <c r="E8" s="89" t="str">
        <f>E7</f>
        <v>Ms. Poonam Bhanudas Mokal</v>
      </c>
      <c r="F8" s="89"/>
      <c r="G8" s="89"/>
      <c r="H8" s="89"/>
      <c r="K8" s="43"/>
      <c r="L8" s="44"/>
      <c r="M8" s="44"/>
      <c r="N8" s="44"/>
      <c r="O8" s="44" t="s">
        <v>248</v>
      </c>
      <c r="P8" s="44"/>
    </row>
    <row r="9" spans="1:26" x14ac:dyDescent="0.35">
      <c r="A9" s="89" t="s">
        <v>6</v>
      </c>
      <c r="B9" s="89"/>
      <c r="C9" s="89"/>
      <c r="D9" s="89"/>
      <c r="E9" s="131" t="s">
        <v>297</v>
      </c>
      <c r="F9" s="131"/>
      <c r="G9" s="131"/>
      <c r="H9" s="131"/>
      <c r="K9" s="43"/>
      <c r="L9" s="44"/>
      <c r="M9" s="44"/>
      <c r="N9" s="44"/>
      <c r="O9" s="44" t="s">
        <v>249</v>
      </c>
      <c r="P9" s="44"/>
    </row>
    <row r="10" spans="1:26" x14ac:dyDescent="0.35">
      <c r="A10" s="89" t="s">
        <v>164</v>
      </c>
      <c r="B10" s="89"/>
      <c r="C10" s="89"/>
      <c r="D10" s="89"/>
      <c r="E10" s="89">
        <v>8369586210</v>
      </c>
      <c r="F10" s="89"/>
      <c r="G10" s="89"/>
      <c r="H10" s="89"/>
      <c r="K10" s="43"/>
      <c r="L10" s="44"/>
      <c r="M10" s="44"/>
      <c r="N10" s="44"/>
      <c r="O10" s="44"/>
      <c r="P10" s="44"/>
    </row>
    <row r="11" spans="1:26" x14ac:dyDescent="0.35">
      <c r="A11" s="89" t="s">
        <v>165</v>
      </c>
      <c r="B11" s="89"/>
      <c r="C11" s="89"/>
      <c r="D11" s="89"/>
      <c r="E11" s="89" t="s">
        <v>28</v>
      </c>
      <c r="F11" s="89"/>
      <c r="G11" s="89"/>
      <c r="H11" s="89"/>
    </row>
    <row r="12" spans="1:26" x14ac:dyDescent="0.35">
      <c r="A12" s="89" t="s">
        <v>7</v>
      </c>
      <c r="B12" s="89"/>
      <c r="C12" s="89"/>
      <c r="D12" s="89"/>
      <c r="E12" s="89" t="s">
        <v>118</v>
      </c>
      <c r="F12" s="89"/>
      <c r="G12" s="89"/>
      <c r="H12" s="89"/>
    </row>
    <row r="13" spans="1:26" x14ac:dyDescent="0.35">
      <c r="A13" s="89" t="s">
        <v>168</v>
      </c>
      <c r="B13" s="89"/>
      <c r="C13" s="89"/>
      <c r="D13" s="89"/>
      <c r="E13" s="89" t="s">
        <v>28</v>
      </c>
      <c r="F13" s="89"/>
      <c r="G13" s="89"/>
      <c r="H13" s="89"/>
      <c r="S13" s="44" t="s">
        <v>175</v>
      </c>
      <c r="T13" s="44" t="s">
        <v>185</v>
      </c>
      <c r="U13" s="44" t="s">
        <v>169</v>
      </c>
      <c r="V13" s="44" t="s">
        <v>190</v>
      </c>
      <c r="W13" s="44" t="s">
        <v>208</v>
      </c>
      <c r="X13"/>
      <c r="Y13" t="s">
        <v>190</v>
      </c>
      <c r="Z13" t="e">
        <f ca="1">OFFSET($S$13,1,MATCH($G20,$S$13:$W$13,0)-1,15,1)</f>
        <v>#VALUE!</v>
      </c>
    </row>
    <row r="14" spans="1:26" x14ac:dyDescent="0.35">
      <c r="A14" s="71" t="s">
        <v>276</v>
      </c>
      <c r="B14" s="71"/>
      <c r="C14" s="71"/>
      <c r="D14" s="71"/>
      <c r="E14" s="88" t="s">
        <v>331</v>
      </c>
      <c r="F14" s="88"/>
      <c r="G14" s="88"/>
      <c r="H14" s="88"/>
      <c r="I14" s="16" t="s">
        <v>332</v>
      </c>
      <c r="S14" s="44" t="s">
        <v>176</v>
      </c>
      <c r="T14" s="44" t="s">
        <v>183</v>
      </c>
      <c r="U14" s="44" t="s">
        <v>205</v>
      </c>
      <c r="V14" s="44" t="s">
        <v>191</v>
      </c>
      <c r="W14" s="44" t="s">
        <v>209</v>
      </c>
      <c r="X14"/>
      <c r="Y14"/>
      <c r="Z14"/>
    </row>
    <row r="15" spans="1:26" x14ac:dyDescent="0.35">
      <c r="A15" s="71" t="s">
        <v>8</v>
      </c>
      <c r="B15" s="71"/>
      <c r="C15" s="71"/>
      <c r="D15" s="71"/>
      <c r="E15" s="88" t="s">
        <v>298</v>
      </c>
      <c r="F15" s="89"/>
      <c r="G15" s="89"/>
      <c r="H15" s="89"/>
      <c r="I15" s="66" t="e">
        <f ca="1">OFFSET($D$5,1,MATCH($J13,$D$5:$H$5,0)-1,15,1)</f>
        <v>#N/A</v>
      </c>
      <c r="J15" s="67"/>
      <c r="K15" s="67"/>
      <c r="L15" s="67"/>
      <c r="M15" s="67"/>
      <c r="N15" s="67"/>
      <c r="O15" s="67"/>
      <c r="P15" s="67"/>
      <c r="S15" s="44" t="s">
        <v>177</v>
      </c>
      <c r="T15" s="44" t="s">
        <v>184</v>
      </c>
      <c r="U15" s="44" t="s">
        <v>206</v>
      </c>
      <c r="V15" s="44" t="s">
        <v>192</v>
      </c>
      <c r="W15" s="44" t="s">
        <v>222</v>
      </c>
      <c r="X15"/>
      <c r="Y15"/>
      <c r="Z15"/>
    </row>
    <row r="16" spans="1:26" ht="33" customHeight="1" x14ac:dyDescent="0.35">
      <c r="A16" s="79" t="s">
        <v>9</v>
      </c>
      <c r="B16" s="79"/>
      <c r="C16" s="79" t="str">
        <f>CONCATENATE((IF(OR(E9="",E9="NA"),"",E9)),", ",(IF(OR(A17="",A17="NA"),"",A17)),".",(IF(OR(C17="",C17="NA"),"",C17)),", near ",(IF(OR(C22="",C22="NA"),"",C22)),", ",(IF(OR(C19="",C19="NA"),"",C19)),", ",(IF(OR(C18="",C18="NA"),"",C18)),", ",(IF(OR(G19="",G19="NA"),"",G19)),", ",(IF(OR(C20="",C20="NA"),"",C20)),", ",(IF(OR(C21="",C21="NA"),"",C21)),", ",(IF(OR(G20="",G20="NA"),"",G20))," - ",(IF(OR(G21="",G21="NA"),"",G21)),".")</f>
        <v>Aarsh Bhanudas, Plot No.59, Sector-25, near Surya Residency, Internal Road, Ulwe, Pushpak, Bamandongri East, Panvel, Raigad - 410206.</v>
      </c>
      <c r="D16" s="79"/>
      <c r="E16" s="79"/>
      <c r="F16" s="79"/>
      <c r="G16" s="79"/>
      <c r="H16" s="79"/>
      <c r="S16" s="44" t="s">
        <v>178</v>
      </c>
      <c r="T16" s="44" t="s">
        <v>186</v>
      </c>
      <c r="U16" s="44" t="s">
        <v>207</v>
      </c>
      <c r="V16" s="44" t="s">
        <v>193</v>
      </c>
      <c r="W16" s="44" t="s">
        <v>210</v>
      </c>
      <c r="X16"/>
      <c r="Y16"/>
      <c r="Z16"/>
    </row>
    <row r="17" spans="1:26" x14ac:dyDescent="0.35">
      <c r="A17" s="88" t="s">
        <v>299</v>
      </c>
      <c r="B17" s="88"/>
      <c r="C17" s="88" t="s">
        <v>300</v>
      </c>
      <c r="D17" s="88"/>
      <c r="E17" s="88"/>
      <c r="F17" s="88"/>
      <c r="G17" s="88"/>
      <c r="H17" s="88"/>
      <c r="S17" s="44" t="s">
        <v>179</v>
      </c>
      <c r="T17" s="44" t="s">
        <v>187</v>
      </c>
      <c r="U17" s="44" t="s">
        <v>169</v>
      </c>
      <c r="V17" s="44" t="s">
        <v>194</v>
      </c>
      <c r="W17" s="44" t="s">
        <v>211</v>
      </c>
      <c r="X17"/>
      <c r="Y17"/>
      <c r="Z17"/>
    </row>
    <row r="18" spans="1:26" ht="15.75" customHeight="1" x14ac:dyDescent="0.35">
      <c r="A18" s="88" t="s">
        <v>159</v>
      </c>
      <c r="B18" s="88"/>
      <c r="C18" s="88" t="s">
        <v>330</v>
      </c>
      <c r="D18" s="88"/>
      <c r="E18" s="88"/>
      <c r="F18" s="88"/>
      <c r="G18" s="88"/>
      <c r="H18" s="88"/>
      <c r="S18" s="44" t="s">
        <v>180</v>
      </c>
      <c r="T18" s="44" t="s">
        <v>185</v>
      </c>
      <c r="U18" s="44"/>
      <c r="V18" s="44" t="s">
        <v>195</v>
      </c>
      <c r="W18" s="44" t="s">
        <v>212</v>
      </c>
      <c r="X18"/>
      <c r="Y18"/>
      <c r="Z18"/>
    </row>
    <row r="19" spans="1:26" ht="15.75" customHeight="1" x14ac:dyDescent="0.35">
      <c r="A19" s="79" t="s">
        <v>10</v>
      </c>
      <c r="B19" s="79"/>
      <c r="C19" s="89" t="s">
        <v>310</v>
      </c>
      <c r="D19" s="89"/>
      <c r="E19" s="88" t="s">
        <v>70</v>
      </c>
      <c r="F19" s="88"/>
      <c r="G19" s="88" t="s">
        <v>301</v>
      </c>
      <c r="H19" s="88"/>
      <c r="S19" s="44" t="s">
        <v>181</v>
      </c>
      <c r="T19" s="44" t="s">
        <v>188</v>
      </c>
      <c r="U19" s="44"/>
      <c r="V19" s="44" t="s">
        <v>196</v>
      </c>
      <c r="W19" s="44" t="s">
        <v>213</v>
      </c>
      <c r="X19"/>
      <c r="Y19"/>
      <c r="Z19"/>
    </row>
    <row r="20" spans="1:26" x14ac:dyDescent="0.35">
      <c r="A20" s="71" t="s">
        <v>12</v>
      </c>
      <c r="B20" s="71"/>
      <c r="C20" s="88" t="s">
        <v>311</v>
      </c>
      <c r="D20" s="88"/>
      <c r="E20" s="88" t="s">
        <v>11</v>
      </c>
      <c r="F20" s="88"/>
      <c r="G20" s="134" t="s">
        <v>190</v>
      </c>
      <c r="H20" s="134"/>
      <c r="S20" s="44" t="s">
        <v>182</v>
      </c>
      <c r="T20" s="44" t="s">
        <v>189</v>
      </c>
      <c r="U20" s="44"/>
      <c r="V20" s="44" t="s">
        <v>197</v>
      </c>
      <c r="W20" s="44" t="s">
        <v>214</v>
      </c>
      <c r="X20"/>
      <c r="Y20"/>
      <c r="Z20"/>
    </row>
    <row r="21" spans="1:26" x14ac:dyDescent="0.35">
      <c r="A21" s="71" t="s">
        <v>71</v>
      </c>
      <c r="B21" s="71"/>
      <c r="C21" s="88" t="s">
        <v>192</v>
      </c>
      <c r="D21" s="88"/>
      <c r="E21" s="88" t="s">
        <v>13</v>
      </c>
      <c r="F21" s="88"/>
      <c r="G21" s="88">
        <v>410206</v>
      </c>
      <c r="H21" s="88"/>
      <c r="S21" s="44"/>
      <c r="T21" s="44"/>
      <c r="U21" s="44"/>
      <c r="V21" s="44" t="s">
        <v>198</v>
      </c>
      <c r="W21" s="44" t="s">
        <v>215</v>
      </c>
      <c r="X21"/>
      <c r="Y21"/>
      <c r="Z21"/>
    </row>
    <row r="22" spans="1:26" ht="47.25" customHeight="1" x14ac:dyDescent="0.35">
      <c r="A22" s="71" t="s">
        <v>119</v>
      </c>
      <c r="B22" s="71"/>
      <c r="C22" s="88" t="s">
        <v>313</v>
      </c>
      <c r="D22" s="88"/>
      <c r="E22" s="79" t="s">
        <v>14</v>
      </c>
      <c r="F22" s="79"/>
      <c r="G22" s="88" t="s">
        <v>333</v>
      </c>
      <c r="H22" s="88"/>
      <c r="S22" s="44"/>
      <c r="T22" s="44"/>
      <c r="U22" s="44"/>
      <c r="V22" s="44" t="s">
        <v>199</v>
      </c>
      <c r="W22" s="44" t="s">
        <v>216</v>
      </c>
      <c r="X22"/>
      <c r="Y22"/>
      <c r="Z22"/>
    </row>
    <row r="23" spans="1:26" ht="15" customHeight="1" x14ac:dyDescent="0.35">
      <c r="A23" s="79" t="s">
        <v>73</v>
      </c>
      <c r="B23" s="79"/>
      <c r="C23" s="79"/>
      <c r="D23" s="79"/>
      <c r="E23" s="89" t="s">
        <v>15</v>
      </c>
      <c r="F23" s="89"/>
      <c r="G23" s="89"/>
      <c r="H23" s="89"/>
      <c r="S23" s="44"/>
      <c r="T23" s="44"/>
      <c r="U23" s="44"/>
      <c r="V23" s="44" t="s">
        <v>200</v>
      </c>
      <c r="W23" s="44" t="s">
        <v>217</v>
      </c>
      <c r="X23"/>
      <c r="Y23"/>
      <c r="Z23"/>
    </row>
    <row r="24" spans="1:26" ht="18.75" customHeight="1" x14ac:dyDescent="0.35">
      <c r="A24" s="79"/>
      <c r="B24" s="79"/>
      <c r="C24" s="79"/>
      <c r="D24" s="79"/>
      <c r="E24" s="89"/>
      <c r="F24" s="89"/>
      <c r="G24" s="89"/>
      <c r="H24" s="89"/>
      <c r="S24" s="44"/>
      <c r="T24" s="44"/>
      <c r="U24" s="44"/>
      <c r="V24" s="44" t="s">
        <v>201</v>
      </c>
      <c r="W24" s="44" t="s">
        <v>218</v>
      </c>
      <c r="X24"/>
      <c r="Y24"/>
      <c r="Z24"/>
    </row>
    <row r="25" spans="1:26" ht="15" customHeight="1" x14ac:dyDescent="0.35">
      <c r="A25" s="79" t="s">
        <v>16</v>
      </c>
      <c r="B25" s="79"/>
      <c r="C25" s="79"/>
      <c r="D25" s="79"/>
      <c r="E25" s="88" t="s">
        <v>17</v>
      </c>
      <c r="F25" s="88"/>
      <c r="G25" s="88"/>
      <c r="H25" s="88"/>
      <c r="S25" s="44"/>
      <c r="T25" s="44"/>
      <c r="U25" s="44"/>
      <c r="V25" s="44" t="s">
        <v>202</v>
      </c>
      <c r="W25" s="44" t="s">
        <v>219</v>
      </c>
      <c r="X25"/>
      <c r="Y25"/>
      <c r="Z25"/>
    </row>
    <row r="26" spans="1:26" ht="15" customHeight="1" x14ac:dyDescent="0.35">
      <c r="A26" s="71" t="s">
        <v>18</v>
      </c>
      <c r="B26" s="71"/>
      <c r="C26" s="71"/>
      <c r="D26" s="71"/>
      <c r="E26" s="88" t="str">
        <f>IF(AND(G20="Mumbai"),"Upper Class","Middle Class")</f>
        <v>Middle Class</v>
      </c>
      <c r="F26" s="88"/>
      <c r="G26" s="88"/>
      <c r="H26" s="88"/>
      <c r="S26" s="44"/>
      <c r="T26" s="44"/>
      <c r="U26" s="44"/>
      <c r="V26" s="44" t="s">
        <v>203</v>
      </c>
      <c r="W26" s="44" t="s">
        <v>220</v>
      </c>
      <c r="X26"/>
      <c r="Y26"/>
      <c r="Z26"/>
    </row>
    <row r="27" spans="1:26" x14ac:dyDescent="0.35">
      <c r="A27" s="71" t="s">
        <v>19</v>
      </c>
      <c r="B27" s="71"/>
      <c r="C27" s="71"/>
      <c r="D27" s="71"/>
      <c r="E27" s="88" t="s">
        <v>20</v>
      </c>
      <c r="F27" s="88"/>
      <c r="G27" s="88"/>
      <c r="H27" s="88"/>
      <c r="S27" s="44"/>
      <c r="T27" s="44"/>
      <c r="U27" s="44"/>
      <c r="V27" s="44" t="s">
        <v>204</v>
      </c>
      <c r="W27" s="44" t="s">
        <v>221</v>
      </c>
      <c r="X27"/>
      <c r="Y27"/>
      <c r="Z27"/>
    </row>
    <row r="28" spans="1:26" ht="15.75" customHeight="1" x14ac:dyDescent="0.35">
      <c r="A28" s="71" t="s">
        <v>21</v>
      </c>
      <c r="B28" s="71"/>
      <c r="C28" s="71"/>
      <c r="D28" s="71"/>
      <c r="E28" s="88" t="str">
        <f>IF(AND(G20="Mumbai"),"Developed","Developing")</f>
        <v>Developing</v>
      </c>
      <c r="F28" s="88"/>
      <c r="G28" s="88"/>
      <c r="H28" s="88"/>
    </row>
    <row r="29" spans="1:26" x14ac:dyDescent="0.35">
      <c r="A29" s="71" t="s">
        <v>22</v>
      </c>
      <c r="B29" s="71"/>
      <c r="C29" s="71"/>
      <c r="D29" s="71"/>
      <c r="E29" s="88" t="s">
        <v>23</v>
      </c>
      <c r="F29" s="88"/>
      <c r="G29" s="88"/>
      <c r="H29" s="88"/>
    </row>
    <row r="30" spans="1:26" ht="15.75" customHeight="1" x14ac:dyDescent="0.35">
      <c r="A30" s="71" t="s">
        <v>78</v>
      </c>
      <c r="B30" s="71"/>
      <c r="C30" s="71"/>
      <c r="D30" s="71"/>
      <c r="E30" s="88" t="s">
        <v>79</v>
      </c>
      <c r="F30" s="88"/>
      <c r="G30" s="88"/>
      <c r="H30" s="88"/>
    </row>
    <row r="31" spans="1:26" ht="15" customHeight="1" x14ac:dyDescent="0.35">
      <c r="A31" s="71" t="s">
        <v>30</v>
      </c>
      <c r="B31" s="71"/>
      <c r="C31" s="71"/>
      <c r="D31" s="71"/>
      <c r="E31" s="8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88"/>
      <c r="G31" s="88"/>
      <c r="H31" s="88"/>
    </row>
    <row r="32" spans="1:26" ht="15.75" customHeight="1" x14ac:dyDescent="0.35">
      <c r="A32" s="71" t="s">
        <v>90</v>
      </c>
      <c r="B32" s="71"/>
      <c r="C32" s="71"/>
      <c r="D32" s="71"/>
      <c r="E32" s="88" t="s">
        <v>31</v>
      </c>
      <c r="F32" s="88"/>
      <c r="G32" s="88"/>
      <c r="H32" s="88"/>
    </row>
    <row r="33" spans="1:19" s="17" customFormat="1" x14ac:dyDescent="0.35">
      <c r="A33" s="136" t="s">
        <v>91</v>
      </c>
      <c r="B33" s="136"/>
      <c r="C33" s="69" t="s">
        <v>170</v>
      </c>
      <c r="D33" s="69"/>
      <c r="E33" s="69"/>
      <c r="F33" s="69" t="s">
        <v>29</v>
      </c>
      <c r="G33" s="69"/>
      <c r="H33" s="69"/>
      <c r="S33" s="17" t="e">
        <f ca="1">OFFSET($S$13,1,MATCH($G20,$S$13:$W$13,0)-1,15,1)</f>
        <v>#VALUE!</v>
      </c>
    </row>
    <row r="34" spans="1:19" s="17" customFormat="1" x14ac:dyDescent="0.35">
      <c r="A34" s="135" t="s">
        <v>24</v>
      </c>
      <c r="B34" s="135" t="s">
        <v>28</v>
      </c>
      <c r="C34" s="133" t="s">
        <v>318</v>
      </c>
      <c r="D34" s="133"/>
      <c r="E34" s="133"/>
      <c r="F34" s="133" t="s">
        <v>314</v>
      </c>
      <c r="G34" s="133"/>
      <c r="H34" s="133"/>
    </row>
    <row r="35" spans="1:19" x14ac:dyDescent="0.35">
      <c r="A35" s="135" t="s">
        <v>25</v>
      </c>
      <c r="B35" s="135" t="s">
        <v>28</v>
      </c>
      <c r="C35" s="133" t="s">
        <v>315</v>
      </c>
      <c r="D35" s="133"/>
      <c r="E35" s="133"/>
      <c r="F35" s="133" t="s">
        <v>310</v>
      </c>
      <c r="G35" s="133"/>
      <c r="H35" s="133"/>
    </row>
    <row r="36" spans="1:19" s="17" customFormat="1" x14ac:dyDescent="0.35">
      <c r="A36" s="135" t="s">
        <v>27</v>
      </c>
      <c r="B36" s="135" t="s">
        <v>28</v>
      </c>
      <c r="C36" s="133" t="s">
        <v>316</v>
      </c>
      <c r="D36" s="133"/>
      <c r="E36" s="133"/>
      <c r="F36" s="133" t="s">
        <v>313</v>
      </c>
      <c r="G36" s="133"/>
      <c r="H36" s="133"/>
    </row>
    <row r="37" spans="1:19" x14ac:dyDescent="0.35">
      <c r="A37" s="135" t="s">
        <v>26</v>
      </c>
      <c r="B37" s="135" t="s">
        <v>28</v>
      </c>
      <c r="C37" s="133" t="s">
        <v>317</v>
      </c>
      <c r="D37" s="133"/>
      <c r="E37" s="133"/>
      <c r="F37" s="133" t="s">
        <v>314</v>
      </c>
      <c r="G37" s="133"/>
      <c r="H37" s="133"/>
    </row>
    <row r="38" spans="1:19" x14ac:dyDescent="0.35">
      <c r="A38" s="71" t="s">
        <v>277</v>
      </c>
      <c r="B38" s="71"/>
      <c r="C38" s="71"/>
      <c r="D38" s="71"/>
      <c r="E38" s="71"/>
      <c r="F38" s="71"/>
      <c r="G38" s="71"/>
      <c r="H38" s="71"/>
    </row>
    <row r="39" spans="1:19" ht="15.75" customHeight="1" x14ac:dyDescent="0.35">
      <c r="A39" s="71" t="s">
        <v>162</v>
      </c>
      <c r="B39" s="71"/>
      <c r="C39" s="138" t="s">
        <v>312</v>
      </c>
      <c r="D39" s="138"/>
      <c r="E39" s="138"/>
      <c r="F39" s="138"/>
      <c r="G39" s="138"/>
      <c r="H39" s="138"/>
    </row>
    <row r="40" spans="1:19" x14ac:dyDescent="0.35">
      <c r="A40" s="71" t="s">
        <v>158</v>
      </c>
      <c r="B40" s="71"/>
      <c r="C40" s="142" t="s">
        <v>309</v>
      </c>
      <c r="D40" s="88"/>
      <c r="E40" s="88"/>
      <c r="F40" s="88"/>
      <c r="G40" s="88"/>
      <c r="H40" s="88"/>
    </row>
    <row r="41" spans="1:19" x14ac:dyDescent="0.35">
      <c r="A41" s="138" t="s">
        <v>32</v>
      </c>
      <c r="B41" s="138"/>
      <c r="C41" s="138"/>
      <c r="D41" s="138"/>
      <c r="E41" s="138"/>
      <c r="F41" s="138"/>
      <c r="G41" s="138"/>
      <c r="H41" s="138"/>
    </row>
    <row r="42" spans="1:19" x14ac:dyDescent="0.35">
      <c r="A42" s="71" t="s">
        <v>33</v>
      </c>
      <c r="B42" s="71"/>
      <c r="C42" s="71"/>
      <c r="D42" s="71"/>
      <c r="E42" s="137">
        <v>309.77</v>
      </c>
      <c r="F42" s="137"/>
      <c r="G42" s="137"/>
      <c r="H42" s="137"/>
    </row>
    <row r="43" spans="1:19" x14ac:dyDescent="0.35">
      <c r="A43" s="71" t="s">
        <v>34</v>
      </c>
      <c r="B43" s="71"/>
      <c r="C43" s="71"/>
      <c r="D43" s="71"/>
      <c r="E43" s="80">
        <f>464.655/E42</f>
        <v>1.5</v>
      </c>
      <c r="F43" s="80"/>
      <c r="G43" s="80"/>
      <c r="H43" s="80"/>
    </row>
    <row r="44" spans="1:19" x14ac:dyDescent="0.35">
      <c r="A44" s="71" t="s">
        <v>35</v>
      </c>
      <c r="B44" s="71"/>
      <c r="C44" s="71"/>
      <c r="D44" s="71"/>
      <c r="E44" s="80">
        <f>E46/E42-E43</f>
        <v>0.8280498434322241</v>
      </c>
      <c r="F44" s="80"/>
      <c r="G44" s="80"/>
      <c r="H44" s="80"/>
    </row>
    <row r="45" spans="1:19" x14ac:dyDescent="0.35">
      <c r="A45" s="71" t="s">
        <v>36</v>
      </c>
      <c r="B45" s="71"/>
      <c r="C45" s="71"/>
      <c r="D45" s="71"/>
      <c r="E45" s="80">
        <f>E43+E44</f>
        <v>2.3280498434322241</v>
      </c>
      <c r="F45" s="80"/>
      <c r="G45" s="80"/>
      <c r="H45" s="80"/>
    </row>
    <row r="46" spans="1:19" x14ac:dyDescent="0.35">
      <c r="A46" s="89" t="s">
        <v>89</v>
      </c>
      <c r="B46" s="89"/>
      <c r="C46" s="89"/>
      <c r="D46" s="89"/>
      <c r="E46" s="140">
        <v>721.16</v>
      </c>
      <c r="F46" s="140"/>
      <c r="G46" s="140"/>
      <c r="H46" s="140"/>
    </row>
    <row r="47" spans="1:19" x14ac:dyDescent="0.35">
      <c r="A47" s="89" t="s">
        <v>37</v>
      </c>
      <c r="B47" s="89"/>
      <c r="C47" s="89"/>
      <c r="D47" s="89"/>
      <c r="E47" s="89" t="s">
        <v>118</v>
      </c>
      <c r="F47" s="89"/>
      <c r="G47" s="89"/>
      <c r="H47" s="89"/>
    </row>
    <row r="48" spans="1:19" x14ac:dyDescent="0.35">
      <c r="A48" s="138" t="s">
        <v>38</v>
      </c>
      <c r="B48" s="138"/>
      <c r="C48" s="138"/>
      <c r="D48" s="138"/>
      <c r="E48" s="138"/>
      <c r="F48" s="138"/>
      <c r="G48" s="138"/>
      <c r="H48" s="138"/>
    </row>
    <row r="49" spans="1:24" ht="33.75" customHeight="1" x14ac:dyDescent="0.35">
      <c r="A49" s="83" t="s">
        <v>148</v>
      </c>
      <c r="B49" s="84"/>
      <c r="C49" s="148" t="s">
        <v>265</v>
      </c>
      <c r="D49" s="149"/>
      <c r="E49" s="149"/>
      <c r="F49" s="149"/>
      <c r="G49" s="149"/>
      <c r="H49" s="150"/>
      <c r="R49" t="s">
        <v>250</v>
      </c>
      <c r="S49" t="s">
        <v>169</v>
      </c>
      <c r="T49" t="s">
        <v>175</v>
      </c>
      <c r="U49" t="s">
        <v>190</v>
      </c>
      <c r="V49" t="s">
        <v>185</v>
      </c>
    </row>
    <row r="50" spans="1:24" ht="35.25" customHeight="1" x14ac:dyDescent="0.35">
      <c r="A50" s="83" t="s">
        <v>39</v>
      </c>
      <c r="B50" s="84"/>
      <c r="C50" s="83" t="s">
        <v>302</v>
      </c>
      <c r="D50" s="85"/>
      <c r="E50" s="84"/>
      <c r="F50" s="15" t="s">
        <v>40</v>
      </c>
      <c r="G50" s="86">
        <v>45107</v>
      </c>
      <c r="H50" s="84"/>
      <c r="R50"/>
      <c r="S50" t="s">
        <v>251</v>
      </c>
      <c r="T50" t="s">
        <v>256</v>
      </c>
      <c r="U50" t="s">
        <v>267</v>
      </c>
      <c r="V50" t="s">
        <v>272</v>
      </c>
    </row>
    <row r="51" spans="1:24" ht="34.5" customHeight="1" x14ac:dyDescent="0.35">
      <c r="A51" s="83" t="s">
        <v>41</v>
      </c>
      <c r="B51" s="84"/>
      <c r="C51" s="83" t="str">
        <f>C50</f>
        <v>CIDCO/BP-17261/TPO(NM &amp; K)/2019/10881</v>
      </c>
      <c r="D51" s="85"/>
      <c r="E51" s="84"/>
      <c r="F51" s="15" t="s">
        <v>40</v>
      </c>
      <c r="G51" s="86">
        <f>G50</f>
        <v>45107</v>
      </c>
      <c r="H51" s="84"/>
      <c r="R51"/>
      <c r="S51" t="s">
        <v>252</v>
      </c>
      <c r="T51" t="s">
        <v>295</v>
      </c>
      <c r="U51" t="s">
        <v>265</v>
      </c>
      <c r="V51" t="s">
        <v>273</v>
      </c>
    </row>
    <row r="52" spans="1:24" s="18" customFormat="1" ht="32.25" customHeight="1" x14ac:dyDescent="0.35">
      <c r="A52" s="106" t="s">
        <v>152</v>
      </c>
      <c r="B52" s="107"/>
      <c r="C52" s="83" t="str">
        <f>C51</f>
        <v>CIDCO/BP-17261/TPO(NM &amp; K)/2019/10881</v>
      </c>
      <c r="D52" s="85"/>
      <c r="E52" s="84"/>
      <c r="F52" s="15" t="s">
        <v>40</v>
      </c>
      <c r="G52" s="86">
        <f>G51</f>
        <v>45107</v>
      </c>
      <c r="H52" s="84"/>
      <c r="R52"/>
      <c r="S52" t="s">
        <v>253</v>
      </c>
      <c r="T52" t="s">
        <v>258</v>
      </c>
      <c r="U52" t="s">
        <v>255</v>
      </c>
      <c r="V52" t="s">
        <v>274</v>
      </c>
    </row>
    <row r="53" spans="1:24" s="18" customFormat="1" x14ac:dyDescent="0.35">
      <c r="A53" s="108"/>
      <c r="B53" s="109"/>
      <c r="C53" s="83" t="s">
        <v>303</v>
      </c>
      <c r="D53" s="85"/>
      <c r="E53" s="85"/>
      <c r="F53" s="85"/>
      <c r="G53" s="85"/>
      <c r="H53" s="84"/>
      <c r="R53"/>
      <c r="S53" t="s">
        <v>254</v>
      </c>
      <c r="T53" t="s">
        <v>261</v>
      </c>
      <c r="U53" t="s">
        <v>268</v>
      </c>
    </row>
    <row r="54" spans="1:24" s="18" customFormat="1" hidden="1" x14ac:dyDescent="0.35">
      <c r="A54" s="92" t="s">
        <v>278</v>
      </c>
      <c r="B54" s="93"/>
      <c r="C54" s="83" t="str">
        <f>C53</f>
        <v>Gr + 1st to 6th Floor</v>
      </c>
      <c r="D54" s="85"/>
      <c r="E54" s="84"/>
      <c r="F54" s="15" t="s">
        <v>40</v>
      </c>
      <c r="G54" s="83"/>
      <c r="H54" s="84"/>
      <c r="R54"/>
      <c r="S54" t="s">
        <v>253</v>
      </c>
      <c r="T54" t="s">
        <v>258</v>
      </c>
      <c r="U54" t="s">
        <v>255</v>
      </c>
      <c r="V54" t="s">
        <v>274</v>
      </c>
    </row>
    <row r="55" spans="1:24" s="18" customFormat="1" ht="32.25" hidden="1" customHeight="1" x14ac:dyDescent="0.35">
      <c r="A55" s="94"/>
      <c r="B55" s="95"/>
      <c r="C55" s="96"/>
      <c r="D55" s="97"/>
      <c r="E55" s="97"/>
      <c r="F55" s="97"/>
      <c r="G55" s="97"/>
      <c r="H55" s="98"/>
      <c r="R55"/>
      <c r="S55" t="s">
        <v>255</v>
      </c>
      <c r="T55" t="s">
        <v>259</v>
      </c>
      <c r="U55" t="s">
        <v>269</v>
      </c>
      <c r="V55" s="16"/>
      <c r="W55" s="16"/>
      <c r="X55" s="16"/>
    </row>
    <row r="56" spans="1:24" s="18" customFormat="1" ht="34.5" hidden="1" customHeight="1" x14ac:dyDescent="0.35">
      <c r="A56" s="92" t="s">
        <v>279</v>
      </c>
      <c r="B56" s="93"/>
      <c r="C56" s="83">
        <f>C55</f>
        <v>0</v>
      </c>
      <c r="D56" s="85"/>
      <c r="E56" s="84"/>
      <c r="F56" s="15" t="s">
        <v>40</v>
      </c>
      <c r="G56" s="83">
        <f>G55</f>
        <v>0</v>
      </c>
      <c r="H56" s="84"/>
      <c r="R56"/>
      <c r="S56" s="16"/>
      <c r="T56" t="s">
        <v>260</v>
      </c>
      <c r="U56" t="s">
        <v>270</v>
      </c>
      <c r="V56" s="16"/>
      <c r="W56" s="16"/>
      <c r="X56" s="16"/>
    </row>
    <row r="57" spans="1:24" s="18" customFormat="1" ht="41.25" hidden="1" customHeight="1" x14ac:dyDescent="0.35">
      <c r="A57" s="94"/>
      <c r="B57" s="95"/>
      <c r="C57" s="83"/>
      <c r="D57" s="85"/>
      <c r="E57" s="85"/>
      <c r="F57" s="85"/>
      <c r="G57" s="85"/>
      <c r="H57" s="84"/>
      <c r="R57"/>
      <c r="S57" s="16"/>
      <c r="T57" t="s">
        <v>262</v>
      </c>
      <c r="U57" t="s">
        <v>271</v>
      </c>
      <c r="V57" s="16"/>
      <c r="W57" s="16"/>
      <c r="X57" s="16"/>
    </row>
    <row r="58" spans="1:24" s="18" customFormat="1" ht="15.75" hidden="1" customHeight="1" x14ac:dyDescent="0.35">
      <c r="A58" s="92" t="s">
        <v>280</v>
      </c>
      <c r="B58" s="93"/>
      <c r="C58" s="83">
        <f>C57</f>
        <v>0</v>
      </c>
      <c r="D58" s="85"/>
      <c r="E58" s="84"/>
      <c r="F58" s="15" t="s">
        <v>40</v>
      </c>
      <c r="G58" s="83">
        <f>G57</f>
        <v>0</v>
      </c>
      <c r="H58" s="84"/>
      <c r="R58"/>
      <c r="S58" s="16"/>
      <c r="T58" t="s">
        <v>263</v>
      </c>
      <c r="U58" s="16" t="s">
        <v>294</v>
      </c>
      <c r="V58" s="16"/>
      <c r="W58" s="16"/>
      <c r="X58" s="16"/>
    </row>
    <row r="59" spans="1:24" s="18" customFormat="1" ht="33.75" hidden="1" customHeight="1" x14ac:dyDescent="0.35">
      <c r="A59" s="94"/>
      <c r="B59" s="95"/>
      <c r="C59" s="83"/>
      <c r="D59" s="85"/>
      <c r="E59" s="85"/>
      <c r="F59" s="85"/>
      <c r="G59" s="85"/>
      <c r="H59" s="84"/>
      <c r="R59"/>
      <c r="S59" s="16"/>
      <c r="T59" t="s">
        <v>264</v>
      </c>
      <c r="U59" s="16"/>
      <c r="V59" s="16"/>
      <c r="W59" s="16"/>
      <c r="X59" s="16"/>
    </row>
    <row r="60" spans="1:24" x14ac:dyDescent="0.35">
      <c r="A60" s="73" t="s">
        <v>42</v>
      </c>
      <c r="B60" s="74"/>
      <c r="C60" s="73" t="s">
        <v>102</v>
      </c>
      <c r="D60" s="75"/>
      <c r="E60" s="74"/>
      <c r="F60" s="38" t="s">
        <v>40</v>
      </c>
      <c r="G60" s="90" t="s">
        <v>28</v>
      </c>
      <c r="H60" s="91"/>
      <c r="R60"/>
      <c r="T60" t="s">
        <v>266</v>
      </c>
    </row>
    <row r="61" spans="1:24" x14ac:dyDescent="0.35">
      <c r="A61" s="87" t="s">
        <v>44</v>
      </c>
      <c r="B61" s="87"/>
      <c r="C61" s="87"/>
      <c r="D61" s="87"/>
      <c r="E61" s="87"/>
      <c r="F61" s="87"/>
      <c r="G61" s="87"/>
      <c r="H61" s="87"/>
      <c r="T61" t="s">
        <v>275</v>
      </c>
    </row>
    <row r="62" spans="1:24" x14ac:dyDescent="0.35">
      <c r="A62" s="79" t="s">
        <v>88</v>
      </c>
      <c r="B62" s="79"/>
      <c r="C62" s="79"/>
      <c r="D62" s="76">
        <f>E46</f>
        <v>721.16</v>
      </c>
      <c r="E62" s="76"/>
      <c r="F62" s="76"/>
      <c r="G62" s="76"/>
      <c r="H62" s="76"/>
      <c r="R62"/>
    </row>
    <row r="63" spans="1:24" x14ac:dyDescent="0.35">
      <c r="A63" s="88" t="s">
        <v>45</v>
      </c>
      <c r="B63" s="89"/>
      <c r="C63" s="89"/>
      <c r="D63" s="89" t="s">
        <v>329</v>
      </c>
      <c r="E63" s="89"/>
      <c r="F63" s="89"/>
      <c r="G63" s="89"/>
      <c r="H63" s="89"/>
      <c r="I63" s="19"/>
      <c r="R63"/>
    </row>
    <row r="64" spans="1:24" x14ac:dyDescent="0.35">
      <c r="A64" s="110" t="s">
        <v>46</v>
      </c>
      <c r="B64" s="111"/>
      <c r="C64" s="141"/>
      <c r="D64" s="112" t="s">
        <v>304</v>
      </c>
      <c r="E64" s="113"/>
      <c r="F64" s="113"/>
      <c r="G64" s="113"/>
      <c r="H64" s="113"/>
      <c r="R64"/>
    </row>
    <row r="65" spans="1:19" ht="15.75" customHeight="1" x14ac:dyDescent="0.35">
      <c r="A65" s="110" t="s">
        <v>86</v>
      </c>
      <c r="B65" s="111"/>
      <c r="C65" s="111"/>
      <c r="D65" s="112" t="s">
        <v>304</v>
      </c>
      <c r="E65" s="113"/>
      <c r="F65" s="113"/>
      <c r="G65" s="113"/>
      <c r="H65" s="113"/>
      <c r="R65"/>
    </row>
    <row r="66" spans="1:19" ht="15.75" customHeight="1" x14ac:dyDescent="0.35">
      <c r="A66" s="71" t="s">
        <v>43</v>
      </c>
      <c r="B66" s="71"/>
      <c r="C66" s="71"/>
      <c r="D66" s="79" t="s">
        <v>305</v>
      </c>
      <c r="E66" s="79"/>
      <c r="F66" s="79"/>
      <c r="G66" s="79"/>
      <c r="H66" s="79"/>
      <c r="J66" s="20"/>
      <c r="K66" s="19"/>
      <c r="N66" s="19"/>
      <c r="S66"/>
    </row>
    <row r="67" spans="1:19" ht="15.75" customHeight="1" x14ac:dyDescent="0.35">
      <c r="A67" s="71" t="s">
        <v>84</v>
      </c>
      <c r="B67" s="71"/>
      <c r="C67" s="71"/>
      <c r="D67" s="139" t="str">
        <f>(IF(G60="NA","60 Years After Completion",IF(G60&lt;&gt;"NA",""&amp;60-ROUNDDOWN((E3-G60)/360,0)&amp;" Years"," ")))</f>
        <v>60 Years After Completion</v>
      </c>
      <c r="E67" s="139"/>
      <c r="F67" s="139"/>
      <c r="G67" s="139"/>
      <c r="H67" s="139"/>
      <c r="N67" s="19"/>
      <c r="S67"/>
    </row>
    <row r="68" spans="1:19" ht="15.75" customHeight="1" x14ac:dyDescent="0.35">
      <c r="A68" s="71" t="s">
        <v>85</v>
      </c>
      <c r="B68" s="71"/>
      <c r="C68" s="71"/>
      <c r="D68" s="79" t="s">
        <v>23</v>
      </c>
      <c r="E68" s="79"/>
      <c r="F68" s="79"/>
      <c r="G68" s="79"/>
      <c r="H68" s="79"/>
      <c r="J68" s="21"/>
      <c r="K68" s="21"/>
      <c r="S68"/>
    </row>
    <row r="69" spans="1:19" ht="50.25" customHeight="1" x14ac:dyDescent="0.35">
      <c r="A69" s="89" t="s">
        <v>319</v>
      </c>
      <c r="B69" s="89"/>
      <c r="C69" s="89"/>
      <c r="D69" s="88" t="s">
        <v>320</v>
      </c>
      <c r="E69" s="79"/>
      <c r="F69" s="79"/>
      <c r="G69" s="79"/>
      <c r="H69" s="79"/>
      <c r="S69"/>
    </row>
    <row r="70" spans="1:19" x14ac:dyDescent="0.35">
      <c r="A70" s="79" t="s">
        <v>145</v>
      </c>
      <c r="B70" s="79"/>
      <c r="C70" s="79"/>
      <c r="D70" s="79" t="s">
        <v>28</v>
      </c>
      <c r="E70" s="79"/>
      <c r="F70" s="79"/>
      <c r="G70" s="79"/>
      <c r="H70" s="79"/>
      <c r="I70" s="22"/>
      <c r="J70" s="22"/>
      <c r="K70" s="22"/>
      <c r="L70" s="22"/>
      <c r="M70" s="22"/>
      <c r="N70" s="22"/>
    </row>
    <row r="71" spans="1:19" ht="15.75" customHeight="1" x14ac:dyDescent="0.35">
      <c r="A71" s="71" t="s">
        <v>83</v>
      </c>
      <c r="B71" s="71"/>
      <c r="C71" s="71"/>
      <c r="D71" s="88" t="str">
        <f ca="1">(IF(G77&gt;95%,"Nothing",IF(G77&gt;0%,"Cement, Aggregate, Steel, etc",IF(G77=0%,"Work not yet Started"))))</f>
        <v>Cement, Aggregate, Steel, etc</v>
      </c>
      <c r="E71" s="88"/>
      <c r="F71" s="88"/>
      <c r="G71" s="88"/>
      <c r="H71" s="88"/>
      <c r="J71" s="21"/>
      <c r="S71"/>
    </row>
    <row r="72" spans="1:19" ht="33.75" customHeight="1" thickBot="1" x14ac:dyDescent="0.4">
      <c r="A72" s="79" t="s">
        <v>115</v>
      </c>
      <c r="B72" s="79"/>
      <c r="C72" s="79"/>
      <c r="D72" s="88" t="str">
        <f ca="1">(IF(D71="Nothing","Yes",IF(D71="Cement, Aggregate, Steel, etc","Under Construction",IF(D71="Work not yet Started","Work not yet Started"))))</f>
        <v>Under Construction</v>
      </c>
      <c r="E72" s="88"/>
      <c r="F72" s="88" t="str">
        <f ca="1">(IF(D71="Nothing","Yes",IF(D71="Cement, Aggregate, Steel, etc","Under Construction",IF(D71="Work not yet Started","Work not yet Started"))))</f>
        <v>Under Construction</v>
      </c>
      <c r="G72" s="88"/>
      <c r="H72" s="88"/>
      <c r="S72"/>
    </row>
    <row r="73" spans="1:19" ht="15.75" customHeight="1" x14ac:dyDescent="0.35">
      <c r="A73" s="155" t="s">
        <v>137</v>
      </c>
      <c r="B73" s="155"/>
      <c r="C73" s="156" t="str">
        <f>D65</f>
        <v xml:space="preserve">Gr + 1st to 6th Floor
</v>
      </c>
      <c r="D73" s="156"/>
      <c r="E73" s="156"/>
      <c r="F73" s="156"/>
      <c r="G73" s="156"/>
      <c r="H73" s="156"/>
      <c r="I73" s="61" t="str">
        <f ca="1">IF(D86=100%,"All work Completed. Possession granted to the Building.",IF(D85=100%,"All work Completed, Waiting for OC",I74&amp;""&amp;I75&amp;""&amp;J74&amp;""&amp;J73&amp;" "&amp;J75))</f>
        <v>Excavation, Plinth, RCC Slab, Brickwork Completed, External Plaster upto 1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External Plaster upto 1 Floor</v>
      </c>
      <c r="S73"/>
    </row>
    <row r="74" spans="1:19" x14ac:dyDescent="0.35">
      <c r="A74" s="42" t="s">
        <v>139</v>
      </c>
      <c r="B74" s="42">
        <f>IF(AND(ISNUMBER(SEARCH("1B",C73))),1,IF(AND(ISNUMBER(SEARCH("2B",C73))),2,IF(AND(ISNUMBER(SEARCH("3B",C73))),3,IF(AND(ISNUMBER(SEARCH("4B",C73))),4,IF(ISNUMBER(SEARCH("5B",C73)),5,0)))))</f>
        <v>0</v>
      </c>
      <c r="C74" s="42" t="s">
        <v>69</v>
      </c>
      <c r="D74" s="42">
        <v>1</v>
      </c>
      <c r="E74" s="42" t="s">
        <v>68</v>
      </c>
      <c r="F74" s="42">
        <v>0</v>
      </c>
      <c r="G74" s="42" t="s">
        <v>77</v>
      </c>
      <c r="H74" s="42">
        <f ca="1">--TRIM(RIGHT(SUBSTITUTE(LEFT(C73,_xlfn.AGGREGATE(16,6,FIND({0,1,2,3,4,5,6,7,8,9},C73,ROW(INDIRECT("1:"&amp;LEN(C73)))),1))," ",REPT(" ",LEN(C73))),LEN(C73)))</f>
        <v>6</v>
      </c>
      <c r="I74" s="62" t="str">
        <f ca="1">IF(D77=100%,"Excavation","")&amp;IF(D78=100%,", Plinth","")&amp;IF(D79=100%,", RCC Slab","")&amp;IF(D80=100%,", Brickwork","")&amp;IF(D81=100%,", Internal Plaster","")&amp;IF(D82=100%,", External Plaster","")&amp;IF(D83=100%,", Flooring","")&amp;IF(D84=100%,", Painting","")&amp;IF(D85=100%,", Building common Amenities","")</f>
        <v>Excavation, Plinth, RCC Slab, Brickwork</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 customHeight="1" x14ac:dyDescent="0.35">
      <c r="A75" s="131" t="s">
        <v>87</v>
      </c>
      <c r="B75" s="131"/>
      <c r="C75" s="156" t="str">
        <f ca="1">I73</f>
        <v>Excavation, Plinth, RCC Slab, Brickwork Completed, External Plaster upto 1 Floor Completed</v>
      </c>
      <c r="D75" s="156"/>
      <c r="E75" s="156"/>
      <c r="F75" s="156"/>
      <c r="G75" s="156"/>
      <c r="H75" s="156"/>
      <c r="I75" s="62" t="str">
        <f ca="1">IF(I74&lt;&gt;""," Completed","")</f>
        <v xml:space="preserve"> Completed</v>
      </c>
      <c r="J75" s="41" t="str">
        <f ca="1">IF(J73&lt;&gt;"","Completed","")</f>
        <v>Completed</v>
      </c>
      <c r="S75"/>
    </row>
    <row r="76" spans="1:19" ht="15.75" customHeight="1" x14ac:dyDescent="0.35">
      <c r="A76" s="82" t="s">
        <v>47</v>
      </c>
      <c r="B76" s="82"/>
      <c r="C76" s="60" t="s">
        <v>136</v>
      </c>
      <c r="D76" s="60" t="s">
        <v>80</v>
      </c>
      <c r="E76" s="157" t="s">
        <v>82</v>
      </c>
      <c r="F76" s="157"/>
      <c r="G76" s="157" t="s">
        <v>81</v>
      </c>
      <c r="H76" s="157"/>
      <c r="I76" s="13" t="s">
        <v>138</v>
      </c>
      <c r="J76" s="23">
        <f ca="1">H74*25%</f>
        <v>1.5</v>
      </c>
      <c r="S76"/>
    </row>
    <row r="77" spans="1:19" x14ac:dyDescent="0.35">
      <c r="A77" s="81" t="s">
        <v>125</v>
      </c>
      <c r="B77" s="82"/>
      <c r="C77" s="49">
        <f ca="1">J78</f>
        <v>6</v>
      </c>
      <c r="D77" s="50">
        <f ca="1">((100/H74)*C77)/100</f>
        <v>1</v>
      </c>
      <c r="E77" s="158">
        <f ca="1">(((C78/H74*10)+(40/(D74+F74+H74)*C79)+(7.5/(H74)*C80)+(7.5/(H74)*C81)+(10/H74*C82)+(10/H74*C83)+(5/H74*C84)+(5/H74*C85)+(5/H74*C86))/100)</f>
        <v>0.59166666666666667</v>
      </c>
      <c r="F77" s="159"/>
      <c r="G77" s="158">
        <f ca="1">((((C77/H74)*20)+((C78/H74)*25)+(30/(H74+F74+D74)*C79)+(5/H74*C80)+(5/H74*C81)+(5/H74*C82)+(5/H74*C83)+(0/H74*C84)+(0/H74*C85)+(5/H74*C86))/100)</f>
        <v>0.80833333333333324</v>
      </c>
      <c r="H77" s="164"/>
      <c r="I77" s="13" t="s">
        <v>97</v>
      </c>
      <c r="J77" s="24">
        <f ca="1">H74*50%</f>
        <v>3</v>
      </c>
    </row>
    <row r="78" spans="1:19" x14ac:dyDescent="0.35">
      <c r="A78" s="81" t="s">
        <v>48</v>
      </c>
      <c r="B78" s="82"/>
      <c r="C78" s="53">
        <f ca="1">J86</f>
        <v>6</v>
      </c>
      <c r="D78" s="50">
        <f ca="1">((100/H74)*C78)/100</f>
        <v>1</v>
      </c>
      <c r="E78" s="160"/>
      <c r="F78" s="161"/>
      <c r="G78" s="160"/>
      <c r="H78" s="165"/>
      <c r="I78" s="13" t="s">
        <v>98</v>
      </c>
      <c r="J78" s="24">
        <f ca="1">H74</f>
        <v>6</v>
      </c>
      <c r="S78"/>
    </row>
    <row r="79" spans="1:19" ht="15.75" customHeight="1" x14ac:dyDescent="0.35">
      <c r="A79" s="81" t="s">
        <v>126</v>
      </c>
      <c r="B79" s="82"/>
      <c r="C79" s="49">
        <v>7</v>
      </c>
      <c r="D79" s="50">
        <f ca="1">((100/(D74+F74+H74))*C79)/100</f>
        <v>1</v>
      </c>
      <c r="E79" s="160"/>
      <c r="F79" s="161"/>
      <c r="G79" s="160"/>
      <c r="H79" s="165"/>
      <c r="I79" s="13" t="s">
        <v>99</v>
      </c>
      <c r="J79" s="25">
        <f ca="1">(IF(B74&gt;1,(H74/(B74+2)),H74/4))</f>
        <v>1.5</v>
      </c>
      <c r="S79"/>
    </row>
    <row r="80" spans="1:19" ht="15.75" customHeight="1" x14ac:dyDescent="0.35">
      <c r="A80" s="81" t="s">
        <v>133</v>
      </c>
      <c r="B80" s="82" t="s">
        <v>127</v>
      </c>
      <c r="C80" s="49">
        <v>6</v>
      </c>
      <c r="D80" s="50">
        <f ca="1">((100/H74)*C80)/100</f>
        <v>1</v>
      </c>
      <c r="E80" s="160"/>
      <c r="F80" s="161"/>
      <c r="G80" s="160"/>
      <c r="H80" s="165"/>
      <c r="I80" s="13" t="s">
        <v>100</v>
      </c>
      <c r="J80" s="25">
        <f ca="1">(IF(B74&gt;1,(H74/(B74+2)+J79),H74/4+J79))</f>
        <v>3</v>
      </c>
    </row>
    <row r="81" spans="1:22" ht="15.75" customHeight="1" x14ac:dyDescent="0.35">
      <c r="A81" s="81" t="s">
        <v>134</v>
      </c>
      <c r="B81" s="82" t="s">
        <v>127</v>
      </c>
      <c r="C81" s="49">
        <v>0</v>
      </c>
      <c r="D81" s="50">
        <f ca="1">((100/H74)*C81)/100</f>
        <v>0</v>
      </c>
      <c r="E81" s="160"/>
      <c r="F81" s="161"/>
      <c r="G81" s="160"/>
      <c r="H81" s="165"/>
      <c r="I81" s="13" t="s">
        <v>143</v>
      </c>
      <c r="J81" s="25">
        <f>(IF(B74&gt;1,(H74/(B74+2)+J80),0))</f>
        <v>0</v>
      </c>
    </row>
    <row r="82" spans="1:22" ht="15" customHeight="1" x14ac:dyDescent="0.35">
      <c r="A82" s="81" t="s">
        <v>132</v>
      </c>
      <c r="B82" s="82" t="s">
        <v>129</v>
      </c>
      <c r="C82" s="49">
        <v>1</v>
      </c>
      <c r="D82" s="50">
        <f ca="1">((100/(H74))*C82)/100</f>
        <v>0.16666666666666669</v>
      </c>
      <c r="E82" s="160"/>
      <c r="F82" s="161"/>
      <c r="G82" s="160"/>
      <c r="H82" s="165"/>
      <c r="I82" s="13" t="s">
        <v>140</v>
      </c>
      <c r="J82" s="25">
        <f>(IF(B74&gt;2,(H74/(B74+2)+J81),0))</f>
        <v>0</v>
      </c>
    </row>
    <row r="83" spans="1:22" ht="15.75" customHeight="1" x14ac:dyDescent="0.35">
      <c r="A83" s="81" t="s">
        <v>128</v>
      </c>
      <c r="B83" s="82" t="s">
        <v>128</v>
      </c>
      <c r="C83" s="49">
        <v>0</v>
      </c>
      <c r="D83" s="50">
        <f ca="1">((100/H74)*C83)/100</f>
        <v>0</v>
      </c>
      <c r="E83" s="160"/>
      <c r="F83" s="161"/>
      <c r="G83" s="160"/>
      <c r="H83" s="165"/>
      <c r="I83" s="13" t="s">
        <v>141</v>
      </c>
      <c r="J83" s="26">
        <f>(IF(B74&gt;3,(H74/(B74+2)+J82),0))</f>
        <v>0</v>
      </c>
    </row>
    <row r="84" spans="1:22" ht="15.75" customHeight="1" x14ac:dyDescent="0.35">
      <c r="A84" s="81" t="s">
        <v>135</v>
      </c>
      <c r="B84" s="82"/>
      <c r="C84" s="49">
        <v>0</v>
      </c>
      <c r="D84" s="50">
        <f ca="1">((100/H74)*C84)/100</f>
        <v>0</v>
      </c>
      <c r="E84" s="160"/>
      <c r="F84" s="161"/>
      <c r="G84" s="160"/>
      <c r="H84" s="165"/>
      <c r="I84" s="13" t="s">
        <v>142</v>
      </c>
      <c r="J84" s="25">
        <f>(IF(B74&gt;4,(H74/(B74+2)+J83),0))</f>
        <v>0</v>
      </c>
    </row>
    <row r="85" spans="1:22" ht="15.75" customHeight="1" x14ac:dyDescent="0.35">
      <c r="A85" s="81" t="s">
        <v>130</v>
      </c>
      <c r="B85" s="82" t="s">
        <v>130</v>
      </c>
      <c r="C85" s="49">
        <v>0</v>
      </c>
      <c r="D85" s="50">
        <f ca="1">((100/(H74))*C85)/100</f>
        <v>0</v>
      </c>
      <c r="E85" s="160"/>
      <c r="F85" s="161"/>
      <c r="G85" s="160"/>
      <c r="H85" s="165"/>
      <c r="I85" s="13" t="s">
        <v>144</v>
      </c>
      <c r="J85" s="25">
        <f ca="1">(IF(B74=1,(H74/(B74+3)+J80),IF(B74=0,(H74/4+J80),IF(B74&gt;1,0))))</f>
        <v>4.5</v>
      </c>
    </row>
    <row r="86" spans="1:22" ht="16" thickBot="1" x14ac:dyDescent="0.4">
      <c r="A86" s="168" t="s">
        <v>131</v>
      </c>
      <c r="B86" s="169"/>
      <c r="C86" s="51">
        <v>0</v>
      </c>
      <c r="D86" s="52">
        <f ca="1">((100/(H74))*C86)/100</f>
        <v>0</v>
      </c>
      <c r="E86" s="162"/>
      <c r="F86" s="163"/>
      <c r="G86" s="162"/>
      <c r="H86" s="166"/>
      <c r="I86" s="14" t="s">
        <v>101</v>
      </c>
      <c r="J86" s="27">
        <f ca="1">(IF(B74&gt;1.5,(H74/(B74+2)+J80+MAX(0,J81-J80)+MAX(0,J82-J81)+MAX(0,J83-J82)+MAX(0,J84-J83)+MAX(0,J85-J84)),IF(B74=1,(H74/(B74+3)+J85),IF(B74=0,H74/4+J85))))</f>
        <v>6</v>
      </c>
    </row>
    <row r="87" spans="1:22" x14ac:dyDescent="0.35">
      <c r="A87" s="167" t="s">
        <v>154</v>
      </c>
      <c r="B87" s="167"/>
      <c r="C87" s="167"/>
      <c r="D87" s="167"/>
      <c r="E87" s="167"/>
      <c r="F87" s="173" t="s">
        <v>157</v>
      </c>
      <c r="G87" s="173"/>
      <c r="H87" s="173"/>
      <c r="R87" t="s">
        <v>250</v>
      </c>
      <c r="S87" t="s">
        <v>169</v>
      </c>
      <c r="T87" t="s">
        <v>175</v>
      </c>
      <c r="U87" t="s">
        <v>190</v>
      </c>
      <c r="V87" t="s">
        <v>185</v>
      </c>
    </row>
    <row r="88" spans="1:22" x14ac:dyDescent="0.35">
      <c r="A88" s="71" t="s">
        <v>156</v>
      </c>
      <c r="B88" s="71"/>
      <c r="C88" s="71"/>
      <c r="D88" s="71"/>
      <c r="E88" s="71"/>
      <c r="F88" s="68">
        <v>6300</v>
      </c>
      <c r="G88" s="68"/>
      <c r="H88" s="68"/>
      <c r="I88" s="58" t="s">
        <v>338</v>
      </c>
      <c r="J88" s="58"/>
      <c r="K88" s="58" t="s">
        <v>334</v>
      </c>
      <c r="L88" s="58"/>
      <c r="M88" s="58"/>
      <c r="N88" s="58" t="s">
        <v>335</v>
      </c>
      <c r="O88" s="59">
        <v>45351</v>
      </c>
      <c r="R88"/>
      <c r="S88">
        <v>800000</v>
      </c>
      <c r="T88">
        <v>150000</v>
      </c>
      <c r="U88">
        <v>100000</v>
      </c>
      <c r="V88">
        <v>100000</v>
      </c>
    </row>
    <row r="89" spans="1:22" x14ac:dyDescent="0.35">
      <c r="A89" s="71" t="s">
        <v>155</v>
      </c>
      <c r="B89" s="71"/>
      <c r="C89" s="71"/>
      <c r="D89" s="71"/>
      <c r="E89" s="71"/>
      <c r="F89" s="68">
        <v>11000</v>
      </c>
      <c r="G89" s="68"/>
      <c r="H89" s="68"/>
      <c r="I89" s="179" t="s">
        <v>336</v>
      </c>
      <c r="J89" s="180"/>
      <c r="R89"/>
      <c r="S89">
        <v>900000</v>
      </c>
      <c r="T89">
        <v>200000</v>
      </c>
      <c r="U89">
        <v>150000</v>
      </c>
      <c r="V89">
        <v>150000</v>
      </c>
    </row>
    <row r="90" spans="1:22" s="28" customFormat="1" x14ac:dyDescent="0.35">
      <c r="A90" s="71" t="s">
        <v>92</v>
      </c>
      <c r="B90" s="71"/>
      <c r="C90" s="71"/>
      <c r="D90" s="71"/>
      <c r="E90" s="71"/>
      <c r="F90" s="68">
        <v>125000</v>
      </c>
      <c r="G90" s="68"/>
      <c r="H90" s="68"/>
      <c r="R90"/>
      <c r="S90">
        <v>1200000</v>
      </c>
      <c r="T90">
        <v>350000</v>
      </c>
      <c r="U90">
        <v>300000</v>
      </c>
      <c r="V90">
        <v>300000</v>
      </c>
    </row>
    <row r="91" spans="1:22" s="28" customFormat="1" hidden="1" x14ac:dyDescent="0.35">
      <c r="A91" s="71" t="s">
        <v>93</v>
      </c>
      <c r="B91" s="71"/>
      <c r="C91" s="71"/>
      <c r="D91" s="71"/>
      <c r="E91" s="71"/>
      <c r="F91" s="68"/>
      <c r="G91" s="68"/>
      <c r="H91" s="68"/>
      <c r="R91"/>
      <c r="S91">
        <v>1400000</v>
      </c>
      <c r="T91">
        <v>500000</v>
      </c>
      <c r="U91">
        <v>400000</v>
      </c>
      <c r="V91"/>
    </row>
    <row r="92" spans="1:22" s="28" customFormat="1" hidden="1" x14ac:dyDescent="0.35">
      <c r="A92" s="71" t="s">
        <v>94</v>
      </c>
      <c r="B92" s="71"/>
      <c r="C92" s="71"/>
      <c r="D92" s="71"/>
      <c r="E92" s="71"/>
      <c r="F92" s="68"/>
      <c r="G92" s="68"/>
      <c r="H92" s="68"/>
      <c r="R92"/>
      <c r="S92">
        <v>1500000</v>
      </c>
      <c r="T92">
        <v>600000</v>
      </c>
      <c r="U92">
        <v>500000</v>
      </c>
      <c r="V92" s="18"/>
    </row>
    <row r="93" spans="1:22" s="28" customFormat="1" x14ac:dyDescent="0.35">
      <c r="A93" s="71" t="s">
        <v>95</v>
      </c>
      <c r="B93" s="71"/>
      <c r="C93" s="71"/>
      <c r="D93" s="71"/>
      <c r="E93" s="71"/>
      <c r="F93" s="68">
        <v>125000</v>
      </c>
      <c r="G93" s="68"/>
      <c r="H93" s="68"/>
      <c r="R93"/>
      <c r="S93">
        <v>1600000</v>
      </c>
      <c r="T93">
        <v>700000</v>
      </c>
      <c r="U93">
        <v>600000</v>
      </c>
      <c r="V93"/>
    </row>
    <row r="94" spans="1:22" s="28" customFormat="1" hidden="1" x14ac:dyDescent="0.35">
      <c r="A94" s="71" t="s">
        <v>96</v>
      </c>
      <c r="B94" s="71"/>
      <c r="C94" s="71"/>
      <c r="D94" s="71"/>
      <c r="E94" s="71"/>
      <c r="F94" s="68"/>
      <c r="G94" s="68"/>
      <c r="H94" s="68"/>
      <c r="R94"/>
      <c r="S94">
        <v>1700000</v>
      </c>
      <c r="T94">
        <v>800000</v>
      </c>
      <c r="U94"/>
      <c r="V94" s="18"/>
    </row>
    <row r="95" spans="1:22" x14ac:dyDescent="0.35">
      <c r="A95" s="71" t="s">
        <v>49</v>
      </c>
      <c r="B95" s="71"/>
      <c r="C95" s="71"/>
      <c r="D95" s="71"/>
      <c r="E95" s="71"/>
      <c r="F95" s="68">
        <v>250000</v>
      </c>
      <c r="G95" s="68"/>
      <c r="H95" s="68"/>
      <c r="R95"/>
      <c r="S95">
        <v>1800000</v>
      </c>
      <c r="T95">
        <v>900000</v>
      </c>
      <c r="U95"/>
    </row>
    <row r="96" spans="1:22" s="29" customFormat="1" x14ac:dyDescent="0.35">
      <c r="A96" s="138" t="s">
        <v>50</v>
      </c>
      <c r="B96" s="138"/>
      <c r="C96" s="138"/>
      <c r="D96" s="138"/>
      <c r="E96" s="138"/>
      <c r="F96" s="68">
        <f>F88*0.8</f>
        <v>5040</v>
      </c>
      <c r="G96" s="68"/>
      <c r="H96" s="68"/>
      <c r="R96" s="16"/>
      <c r="S96" s="16"/>
      <c r="T96">
        <v>1000000</v>
      </c>
      <c r="U96"/>
      <c r="V96" s="16"/>
    </row>
    <row r="97" spans="1:22" s="30" customFormat="1" ht="15.75" customHeight="1" x14ac:dyDescent="0.35">
      <c r="A97" s="170" t="s">
        <v>72</v>
      </c>
      <c r="B97" s="170"/>
      <c r="C97" s="170"/>
      <c r="D97" s="170"/>
      <c r="E97" s="170"/>
      <c r="F97" s="170"/>
      <c r="G97" s="170"/>
      <c r="H97" s="170"/>
      <c r="R97"/>
      <c r="S97" s="16"/>
      <c r="T97"/>
      <c r="U97"/>
      <c r="V97" s="16"/>
    </row>
    <row r="98" spans="1:22" s="30" customFormat="1" ht="15.75" customHeight="1" x14ac:dyDescent="0.35">
      <c r="A98" s="70" t="s">
        <v>51</v>
      </c>
      <c r="B98" s="70"/>
      <c r="C98" s="78" t="s">
        <v>75</v>
      </c>
      <c r="D98" s="78"/>
      <c r="E98" s="77" t="s">
        <v>52</v>
      </c>
      <c r="F98" s="77"/>
      <c r="G98" s="70" t="s">
        <v>53</v>
      </c>
      <c r="H98" s="70"/>
      <c r="R98"/>
      <c r="S98" s="16"/>
      <c r="T98"/>
      <c r="U98" s="16"/>
      <c r="V98" s="16"/>
    </row>
    <row r="99" spans="1:22" s="30" customFormat="1" x14ac:dyDescent="0.35">
      <c r="A99" s="171" t="s">
        <v>321</v>
      </c>
      <c r="B99" s="171"/>
      <c r="C99" s="145">
        <f>COUNT(F111:F112)</f>
        <v>2</v>
      </c>
      <c r="D99" s="146"/>
      <c r="E99" s="117">
        <f>SUM(F111:F112)</f>
        <v>253.25539199999997</v>
      </c>
      <c r="F99" s="118"/>
      <c r="G99" s="117">
        <f>SUM(H111:H112)</f>
        <v>379.88308799999993</v>
      </c>
      <c r="H99" s="118"/>
      <c r="R99"/>
      <c r="S99" s="16"/>
      <c r="T99"/>
      <c r="U99" s="16"/>
      <c r="V99" s="16"/>
    </row>
    <row r="100" spans="1:22" s="30" customFormat="1" x14ac:dyDescent="0.35">
      <c r="A100" s="170" t="s">
        <v>147</v>
      </c>
      <c r="B100" s="170"/>
      <c r="C100" s="186">
        <f t="shared" ref="C100:G100" si="0">SUM(C99)</f>
        <v>2</v>
      </c>
      <c r="D100" s="78"/>
      <c r="E100" s="187">
        <f t="shared" si="0"/>
        <v>253.25539199999997</v>
      </c>
      <c r="F100" s="77"/>
      <c r="G100" s="70">
        <f t="shared" si="0"/>
        <v>379.88308799999993</v>
      </c>
      <c r="H100" s="70"/>
      <c r="R100"/>
      <c r="S100" s="16"/>
      <c r="T100"/>
      <c r="U100" s="16"/>
      <c r="V100" s="16"/>
    </row>
    <row r="101" spans="1:22" s="30" customFormat="1" x14ac:dyDescent="0.35">
      <c r="A101" s="170" t="s">
        <v>67</v>
      </c>
      <c r="B101" s="170"/>
      <c r="C101" s="170"/>
      <c r="D101" s="170"/>
      <c r="E101" s="170"/>
      <c r="F101" s="170"/>
      <c r="G101" s="170"/>
      <c r="H101" s="170"/>
      <c r="T101"/>
    </row>
    <row r="102" spans="1:22" s="30" customFormat="1" ht="15.75" customHeight="1" x14ac:dyDescent="0.35">
      <c r="A102" s="70" t="s">
        <v>51</v>
      </c>
      <c r="B102" s="70"/>
      <c r="C102" s="78" t="s">
        <v>75</v>
      </c>
      <c r="D102" s="78"/>
      <c r="E102" s="77" t="s">
        <v>52</v>
      </c>
      <c r="F102" s="77"/>
      <c r="G102" s="70" t="s">
        <v>53</v>
      </c>
      <c r="H102" s="70"/>
      <c r="T102"/>
    </row>
    <row r="103" spans="1:22" s="30" customFormat="1" x14ac:dyDescent="0.35">
      <c r="A103" s="171" t="s">
        <v>66</v>
      </c>
      <c r="B103" s="171"/>
      <c r="C103" s="146">
        <f>COUNT(F117:F119)+COUNT(F121:F123)*2+COUNT(F125:F127)+COUNT(F129:F131)+COUNT(F133,F135)</f>
        <v>17</v>
      </c>
      <c r="D103" s="146"/>
      <c r="E103" s="117">
        <f>SUM(F117:F119)+SUM(F121:F123)*2+SUM(F125:F127)+SUM(F129:F131)+SUM(F133,F135)</f>
        <v>5684.1831540000003</v>
      </c>
      <c r="F103" s="117"/>
      <c r="G103" s="117">
        <f>SUM(H117:H119)+SUM(H121:H123)*2+SUM(H125:H127)+SUM(H129:H131)+SUM(H133,H135)</f>
        <v>8669.1023970000006</v>
      </c>
      <c r="H103" s="117"/>
      <c r="T103"/>
    </row>
    <row r="104" spans="1:22" s="30" customFormat="1" ht="16" thickBot="1" x14ac:dyDescent="0.4">
      <c r="A104" s="183" t="s">
        <v>147</v>
      </c>
      <c r="B104" s="183"/>
      <c r="C104" s="119">
        <f t="shared" ref="C104:G104" si="1">SUM(C103)</f>
        <v>17</v>
      </c>
      <c r="D104" s="119"/>
      <c r="E104" s="184">
        <f t="shared" si="1"/>
        <v>5684.1831540000003</v>
      </c>
      <c r="F104" s="184"/>
      <c r="G104" s="185">
        <f t="shared" si="1"/>
        <v>8669.1023970000006</v>
      </c>
      <c r="H104" s="185"/>
      <c r="T104"/>
    </row>
    <row r="105" spans="1:22" s="30" customFormat="1" ht="16" thickBot="1" x14ac:dyDescent="0.4">
      <c r="A105" s="177" t="s">
        <v>163</v>
      </c>
      <c r="B105" s="178"/>
      <c r="C105" s="172">
        <f>C100+C104</f>
        <v>19</v>
      </c>
      <c r="D105" s="172"/>
      <c r="E105" s="176">
        <f>E100+E104</f>
        <v>5937.4385460000003</v>
      </c>
      <c r="F105" s="176"/>
      <c r="G105" s="174">
        <f>G100+G104</f>
        <v>9048.9854850000011</v>
      </c>
      <c r="H105" s="175"/>
      <c r="T105"/>
    </row>
    <row r="106" spans="1:22" s="29" customFormat="1" x14ac:dyDescent="0.35">
      <c r="A106" s="173" t="s">
        <v>54</v>
      </c>
      <c r="B106" s="173"/>
      <c r="C106" s="173"/>
      <c r="D106" s="173"/>
      <c r="E106" s="173"/>
      <c r="F106" s="173"/>
      <c r="G106" s="173"/>
      <c r="H106" s="173"/>
      <c r="I106" s="30"/>
      <c r="T106" s="30"/>
    </row>
    <row r="107" spans="1:22" x14ac:dyDescent="0.35">
      <c r="A107" s="69" t="s">
        <v>171</v>
      </c>
      <c r="B107" s="69"/>
      <c r="C107" s="69"/>
      <c r="D107" s="69"/>
      <c r="E107" s="69"/>
      <c r="F107" s="69"/>
      <c r="G107" s="69"/>
      <c r="H107" s="69"/>
      <c r="T107" s="30"/>
    </row>
    <row r="108" spans="1:22" ht="47.25" customHeight="1" x14ac:dyDescent="0.35">
      <c r="A108" s="143" t="s">
        <v>116</v>
      </c>
      <c r="B108" s="143" t="s">
        <v>172</v>
      </c>
      <c r="C108" s="143" t="s">
        <v>55</v>
      </c>
      <c r="D108" s="143" t="s">
        <v>228</v>
      </c>
      <c r="E108" s="152" t="s">
        <v>153</v>
      </c>
      <c r="F108" s="143" t="s">
        <v>56</v>
      </c>
      <c r="G108" s="152" t="s">
        <v>57</v>
      </c>
      <c r="H108" s="55" t="s">
        <v>146</v>
      </c>
      <c r="T108" s="30"/>
    </row>
    <row r="109" spans="1:22" s="32" customFormat="1" x14ac:dyDescent="0.35">
      <c r="A109" s="144"/>
      <c r="B109" s="144"/>
      <c r="C109" s="144"/>
      <c r="D109" s="144"/>
      <c r="E109" s="153"/>
      <c r="F109" s="144"/>
      <c r="G109" s="153"/>
      <c r="H109" s="56">
        <v>0.5</v>
      </c>
      <c r="I109" s="57">
        <v>10.763999999999999</v>
      </c>
      <c r="T109" s="30"/>
    </row>
    <row r="110" spans="1:22" s="32" customFormat="1" x14ac:dyDescent="0.35">
      <c r="A110" s="151" t="s">
        <v>306</v>
      </c>
      <c r="B110" s="151"/>
      <c r="C110" s="151"/>
      <c r="D110" s="151"/>
      <c r="E110" s="151"/>
      <c r="F110" s="151"/>
      <c r="G110" s="151"/>
      <c r="H110" s="151"/>
      <c r="J110" s="31"/>
      <c r="T110" s="30"/>
    </row>
    <row r="111" spans="1:22" s="32" customFormat="1" ht="15.75" customHeight="1" x14ac:dyDescent="0.35">
      <c r="A111" s="72">
        <v>1</v>
      </c>
      <c r="B111" s="72"/>
      <c r="C111" s="63" t="s">
        <v>321</v>
      </c>
      <c r="D111" s="57">
        <f>(13.592)*10.764</f>
        <v>146.30428799999999</v>
      </c>
      <c r="E111" s="63">
        <v>0</v>
      </c>
      <c r="F111" s="63">
        <f>D111+(IF(E111&lt;201,E111,IF(E111&lt;301,E111/2,E111/3)))</f>
        <v>146.30428799999999</v>
      </c>
      <c r="G111" s="63">
        <v>0</v>
      </c>
      <c r="H111" s="63">
        <f>(F111+(IF(G111&lt;101,G111,IF(G111&lt;201,G111/2,IF(G111&lt;=301,G111/3,G111/4)))))*(($H$109)+1)</f>
        <v>219.45643199999998</v>
      </c>
      <c r="I111" s="54">
        <f>2.4*5.6</f>
        <v>13.44</v>
      </c>
      <c r="L111" s="154"/>
      <c r="M111" s="154"/>
      <c r="N111" s="31"/>
      <c r="T111" s="30"/>
    </row>
    <row r="112" spans="1:22" s="32" customFormat="1" ht="15.75" customHeight="1" x14ac:dyDescent="0.35">
      <c r="A112" s="72">
        <f>A111+1</f>
        <v>2</v>
      </c>
      <c r="B112" s="72"/>
      <c r="C112" s="63" t="s">
        <v>321</v>
      </c>
      <c r="D112" s="57">
        <f>(9.936)*10.764</f>
        <v>106.95110399999999</v>
      </c>
      <c r="E112" s="63">
        <v>0</v>
      </c>
      <c r="F112" s="63">
        <f t="shared" ref="F112" si="2">D112+(IF(E112&lt;201,E112,IF(E112&lt;301,E112/2,E112/3)))</f>
        <v>106.95110399999999</v>
      </c>
      <c r="G112" s="63">
        <v>0</v>
      </c>
      <c r="H112" s="63">
        <f t="shared" ref="H112" si="3">(F112+(IF(G112&lt;101,G112,IF(G112&lt;201,G112/2,IF(G112&lt;=301,G112/3,G112/4)))))*(($H$109)+1)</f>
        <v>160.42665599999998</v>
      </c>
      <c r="I112" s="31">
        <f>3.55*3.46</f>
        <v>12.282999999999999</v>
      </c>
      <c r="L112" s="154"/>
      <c r="M112" s="154"/>
      <c r="N112" s="31"/>
      <c r="T112" s="29"/>
    </row>
    <row r="113" spans="1:20" s="32" customFormat="1" x14ac:dyDescent="0.35">
      <c r="A113" s="72"/>
      <c r="B113" s="72"/>
      <c r="C113" s="72"/>
      <c r="D113" s="72"/>
      <c r="E113" s="72"/>
      <c r="F113" s="72"/>
      <c r="G113" s="72"/>
      <c r="H113" s="72"/>
      <c r="I113" s="31"/>
      <c r="N113" s="31"/>
    </row>
    <row r="114" spans="1:20" ht="47.25" customHeight="1" x14ac:dyDescent="0.35">
      <c r="A114" s="116" t="s">
        <v>117</v>
      </c>
      <c r="B114" s="116" t="s">
        <v>173</v>
      </c>
      <c r="C114" s="116" t="s">
        <v>55</v>
      </c>
      <c r="D114" s="116" t="s">
        <v>228</v>
      </c>
      <c r="E114" s="116" t="s">
        <v>328</v>
      </c>
      <c r="F114" s="116" t="s">
        <v>56</v>
      </c>
      <c r="G114" s="147" t="s">
        <v>57</v>
      </c>
      <c r="H114" s="64" t="s">
        <v>146</v>
      </c>
      <c r="I114" s="31"/>
      <c r="T114" s="32"/>
    </row>
    <row r="115" spans="1:20" s="32" customFormat="1" x14ac:dyDescent="0.35">
      <c r="A115" s="116"/>
      <c r="B115" s="116"/>
      <c r="C115" s="116"/>
      <c r="D115" s="116"/>
      <c r="E115" s="116"/>
      <c r="F115" s="116"/>
      <c r="G115" s="147"/>
      <c r="H115" s="65">
        <v>0.5</v>
      </c>
      <c r="I115" s="31"/>
    </row>
    <row r="116" spans="1:20" s="32" customFormat="1" x14ac:dyDescent="0.35">
      <c r="A116" s="120" t="s">
        <v>307</v>
      </c>
      <c r="B116" s="121"/>
      <c r="C116" s="121"/>
      <c r="D116" s="121"/>
      <c r="E116" s="121"/>
      <c r="F116" s="121"/>
      <c r="G116" s="121"/>
      <c r="H116" s="122"/>
      <c r="J116" s="31"/>
    </row>
    <row r="117" spans="1:20" s="32" customFormat="1" ht="15.75" customHeight="1" x14ac:dyDescent="0.35">
      <c r="A117" s="114">
        <v>1</v>
      </c>
      <c r="B117" s="115"/>
      <c r="C117" s="37" t="s">
        <v>308</v>
      </c>
      <c r="D117" s="57">
        <f>(28.415)*10.764</f>
        <v>305.85906</v>
      </c>
      <c r="E117" s="57">
        <f>(2.7+2.2)*10.764</f>
        <v>52.743600000000001</v>
      </c>
      <c r="F117" s="37">
        <f>D117+E117</f>
        <v>358.60266000000001</v>
      </c>
      <c r="G117" s="37">
        <v>0</v>
      </c>
      <c r="H117" s="37">
        <f>F117*(($H$115)+1)+(IF(G117&lt;101,G117,IF(G117&lt;201,G117/2,IF(G117&lt;=301,G117/3,G117/4))))</f>
        <v>537.90399000000002</v>
      </c>
      <c r="L117" s="154"/>
      <c r="M117" s="154"/>
      <c r="N117" s="31"/>
    </row>
    <row r="118" spans="1:20" s="32" customFormat="1" ht="15.75" customHeight="1" x14ac:dyDescent="0.35">
      <c r="A118" s="114">
        <f>A117+1</f>
        <v>2</v>
      </c>
      <c r="B118" s="115"/>
      <c r="C118" s="37" t="s">
        <v>308</v>
      </c>
      <c r="D118" s="57">
        <f>(27.332)*10.764</f>
        <v>294.20164799999998</v>
      </c>
      <c r="E118" s="57">
        <f>(2.7+1.8)*10.764</f>
        <v>48.437999999999995</v>
      </c>
      <c r="F118" s="37">
        <f>D118+E118</f>
        <v>342.63964799999997</v>
      </c>
      <c r="G118" s="37">
        <v>0</v>
      </c>
      <c r="H118" s="37">
        <f>F118*(($H$115)+1)+(IF(G118&lt;101,G118,IF(G118&lt;201,G118/2,IF(G118&lt;=301,G118/3,G118/4))))</f>
        <v>513.95947200000001</v>
      </c>
      <c r="I118" s="54">
        <f>4.2*2.55+2.55*1.8+2.7*2.7+1.2*1.2+0.9*1.2+1.4</f>
        <v>26.509999999999998</v>
      </c>
      <c r="L118" s="154"/>
      <c r="M118" s="154"/>
      <c r="N118" s="31"/>
    </row>
    <row r="119" spans="1:20" s="32" customFormat="1" ht="15.75" customHeight="1" x14ac:dyDescent="0.35">
      <c r="A119" s="114">
        <f>A118+1</f>
        <v>3</v>
      </c>
      <c r="B119" s="115"/>
      <c r="C119" s="37" t="s">
        <v>308</v>
      </c>
      <c r="D119" s="57">
        <f>(28.596)*10.764</f>
        <v>307.807344</v>
      </c>
      <c r="E119" s="57">
        <f>(2.6)*10.764</f>
        <v>27.9864</v>
      </c>
      <c r="F119" s="37">
        <f>D119+E119</f>
        <v>335.793744</v>
      </c>
      <c r="G119" s="37">
        <v>0</v>
      </c>
      <c r="H119" s="37">
        <f>F119*(($H$115)+1)+(IF(G119&lt;101,G119,IF(G119&lt;201,G119/2,IF(G119&lt;=301,G119/3,G119/4))))</f>
        <v>503.69061599999998</v>
      </c>
      <c r="I119" s="54">
        <f>3.9*2.6+1.9*2.25+2.7*3+0.4*1.9+1.2*1.3+0.9*1.2+1.6*1.2</f>
        <v>27.835000000000001</v>
      </c>
      <c r="L119" s="154"/>
      <c r="M119" s="154"/>
      <c r="N119" s="31"/>
      <c r="T119" s="16"/>
    </row>
    <row r="120" spans="1:20" s="32" customFormat="1" x14ac:dyDescent="0.35">
      <c r="A120" s="120" t="s">
        <v>322</v>
      </c>
      <c r="B120" s="121"/>
      <c r="C120" s="121"/>
      <c r="D120" s="121"/>
      <c r="E120" s="121"/>
      <c r="F120" s="121"/>
      <c r="G120" s="121"/>
      <c r="H120" s="122"/>
      <c r="I120" s="31"/>
      <c r="N120" s="31"/>
    </row>
    <row r="121" spans="1:20" s="32" customFormat="1" ht="15.75" customHeight="1" x14ac:dyDescent="0.35">
      <c r="A121" s="114">
        <v>1</v>
      </c>
      <c r="B121" s="115"/>
      <c r="C121" s="37" t="s">
        <v>308</v>
      </c>
      <c r="D121" s="57">
        <f>(28.415)*10.764</f>
        <v>305.85906</v>
      </c>
      <c r="E121" s="57">
        <f>(2.7+2.2)*10.764</f>
        <v>52.743600000000001</v>
      </c>
      <c r="F121" s="37">
        <f>D121+E121</f>
        <v>358.60266000000001</v>
      </c>
      <c r="G121" s="37">
        <v>0</v>
      </c>
      <c r="H121" s="37">
        <f>F121*(($H$115)+1)+(IF(G121&lt;101,G121,IF(G121&lt;201,G121/2,IF(G121&lt;=301,G121/3,G121/4))))</f>
        <v>537.90399000000002</v>
      </c>
      <c r="I121" s="31"/>
      <c r="N121" s="31"/>
    </row>
    <row r="122" spans="1:20" s="32" customFormat="1" x14ac:dyDescent="0.35">
      <c r="A122" s="114">
        <f>A121+1</f>
        <v>2</v>
      </c>
      <c r="B122" s="115"/>
      <c r="C122" s="37" t="s">
        <v>308</v>
      </c>
      <c r="D122" s="57">
        <f>(27.332)*10.764</f>
        <v>294.20164799999998</v>
      </c>
      <c r="E122" s="57">
        <f>(2.7+1.8)*10.764</f>
        <v>48.437999999999995</v>
      </c>
      <c r="F122" s="37">
        <f>D122+E122</f>
        <v>342.63964799999997</v>
      </c>
      <c r="G122" s="37">
        <v>0</v>
      </c>
      <c r="H122" s="37">
        <f>F122*(($H$115)+1)+(IF(G122&lt;101,G122,IF(G122&lt;201,G122/2,IF(G122&lt;=301,G122/3,G122/4))))</f>
        <v>513.95947200000001</v>
      </c>
      <c r="I122" s="31"/>
      <c r="N122" s="31"/>
    </row>
    <row r="123" spans="1:20" s="32" customFormat="1" x14ac:dyDescent="0.35">
      <c r="A123" s="114">
        <f>A122+1</f>
        <v>3</v>
      </c>
      <c r="B123" s="115"/>
      <c r="C123" s="37" t="s">
        <v>308</v>
      </c>
      <c r="D123" s="57">
        <f>(28.596)*10.764</f>
        <v>307.807344</v>
      </c>
      <c r="E123" s="57">
        <f>(2.6+1.9)*10.764</f>
        <v>48.437999999999995</v>
      </c>
      <c r="F123" s="37">
        <f>D123+E123</f>
        <v>356.24534399999999</v>
      </c>
      <c r="G123" s="37">
        <v>0</v>
      </c>
      <c r="H123" s="37">
        <f>F123*(($H$115)+1)+(IF(G123&lt;101,G123,IF(G123&lt;201,G123/2,IF(G123&lt;=301,G123/3,G123/4))))</f>
        <v>534.36801600000001</v>
      </c>
      <c r="I123" s="31"/>
      <c r="N123" s="31"/>
    </row>
    <row r="124" spans="1:20" s="32" customFormat="1" x14ac:dyDescent="0.35">
      <c r="A124" s="120" t="s">
        <v>323</v>
      </c>
      <c r="B124" s="121"/>
      <c r="C124" s="121"/>
      <c r="D124" s="121"/>
      <c r="E124" s="121"/>
      <c r="F124" s="121"/>
      <c r="G124" s="121"/>
      <c r="H124" s="122"/>
      <c r="I124" s="31"/>
      <c r="N124" s="31"/>
    </row>
    <row r="125" spans="1:20" s="32" customFormat="1" ht="15.75" customHeight="1" x14ac:dyDescent="0.35">
      <c r="A125" s="114">
        <v>1</v>
      </c>
      <c r="B125" s="115"/>
      <c r="C125" s="37" t="s">
        <v>308</v>
      </c>
      <c r="D125" s="57">
        <f>(27.165)*10.764</f>
        <v>292.40405999999996</v>
      </c>
      <c r="E125" s="57">
        <v>0</v>
      </c>
      <c r="F125" s="37">
        <f>D125+E125</f>
        <v>292.40405999999996</v>
      </c>
      <c r="G125" s="37">
        <v>0</v>
      </c>
      <c r="H125" s="37">
        <f>F125*(($H$115)+1)+(IF(G125&lt;101,G125,IF(G125&lt;201,G125/2,IF(G125&lt;=301,G125/3,G125/4))))</f>
        <v>438.60608999999994</v>
      </c>
    </row>
    <row r="126" spans="1:20" s="32" customFormat="1" ht="15.75" customHeight="1" x14ac:dyDescent="0.35">
      <c r="A126" s="114">
        <f>A125+1</f>
        <v>2</v>
      </c>
      <c r="B126" s="115"/>
      <c r="C126" s="37" t="s">
        <v>308</v>
      </c>
      <c r="D126" s="57">
        <f>(24.432)*10.764</f>
        <v>262.98604799999998</v>
      </c>
      <c r="E126" s="57">
        <f>(2.55+1.8)*10.764</f>
        <v>46.823399999999992</v>
      </c>
      <c r="F126" s="37">
        <f>D126+E126</f>
        <v>309.80944799999997</v>
      </c>
      <c r="G126" s="37">
        <v>0</v>
      </c>
      <c r="H126" s="37">
        <f>F126*(($H$115)+1)+(IF(G126&lt;101,G126,IF(G126&lt;201,G126/2,IF(G126&lt;=301,G126/3,G126/4))))</f>
        <v>464.71417199999996</v>
      </c>
      <c r="I126" s="54">
        <f>4.2*2.55+2.55*1.8+2.7*2.7+1.2*1.2+0.9*1.2+1.4-(2.55*1)</f>
        <v>23.959999999999997</v>
      </c>
    </row>
    <row r="127" spans="1:20" s="32" customFormat="1" ht="15.75" customHeight="1" x14ac:dyDescent="0.35">
      <c r="A127" s="114">
        <f>A126+1</f>
        <v>3</v>
      </c>
      <c r="B127" s="115"/>
      <c r="C127" s="37" t="s">
        <v>308</v>
      </c>
      <c r="D127" s="57">
        <f>(28.596)*10.764</f>
        <v>307.807344</v>
      </c>
      <c r="E127" s="57">
        <f>(2.6+1.9)*10.764</f>
        <v>48.437999999999995</v>
      </c>
      <c r="F127" s="37">
        <f>D127+E127</f>
        <v>356.24534399999999</v>
      </c>
      <c r="G127" s="37">
        <v>0</v>
      </c>
      <c r="H127" s="37">
        <f>F127*(($H$115)+1)+(IF(G127&lt;101,G127,IF(G127&lt;201,G127/2,IF(G127&lt;=301,G127/3,G127/4))))</f>
        <v>534.36801600000001</v>
      </c>
      <c r="I127" s="31"/>
    </row>
    <row r="128" spans="1:20" s="32" customFormat="1" ht="15.75" customHeight="1" x14ac:dyDescent="0.35">
      <c r="A128" s="120" t="s">
        <v>324</v>
      </c>
      <c r="B128" s="121"/>
      <c r="C128" s="121"/>
      <c r="D128" s="121"/>
      <c r="E128" s="121"/>
      <c r="F128" s="121"/>
      <c r="G128" s="121"/>
      <c r="H128" s="122"/>
      <c r="I128" s="31"/>
    </row>
    <row r="129" spans="1:20" s="32" customFormat="1" ht="15.75" customHeight="1" x14ac:dyDescent="0.35">
      <c r="A129" s="114">
        <v>1</v>
      </c>
      <c r="B129" s="115"/>
      <c r="C129" s="37" t="s">
        <v>308</v>
      </c>
      <c r="D129" s="57">
        <f>(24.019)*10.764</f>
        <v>258.54051599999997</v>
      </c>
      <c r="E129" s="57">
        <f>(2.7)*10.764</f>
        <v>29.062799999999999</v>
      </c>
      <c r="F129" s="37">
        <f>D129+E129</f>
        <v>287.60331599999995</v>
      </c>
      <c r="G129" s="37">
        <v>0</v>
      </c>
      <c r="H129" s="37">
        <v>462</v>
      </c>
      <c r="I129" s="181" t="s">
        <v>337</v>
      </c>
      <c r="J129" s="182"/>
      <c r="K129" s="182"/>
      <c r="L129" s="182"/>
    </row>
    <row r="130" spans="1:20" s="32" customFormat="1" ht="15.75" customHeight="1" x14ac:dyDescent="0.35">
      <c r="A130" s="114">
        <f>A129+1</f>
        <v>2</v>
      </c>
      <c r="B130" s="115"/>
      <c r="C130" s="37" t="s">
        <v>308</v>
      </c>
      <c r="D130" s="57">
        <f>(20.706)*10.764</f>
        <v>222.87938399999999</v>
      </c>
      <c r="E130" s="57">
        <f>(2.55*1.4)*10.764</f>
        <v>38.427479999999989</v>
      </c>
      <c r="F130" s="37">
        <f>D130+E130</f>
        <v>261.30686399999996</v>
      </c>
      <c r="G130" s="57">
        <f>(1.8*1.2)*10.764</f>
        <v>23.250240000000002</v>
      </c>
      <c r="H130" s="37">
        <f>F130*(($H$115)+1)+(IF(G130&lt;101,G130,IF(G130&lt;201,G130/2,IF(G130&lt;=301,G130/3,G130/4))))</f>
        <v>415.21053599999999</v>
      </c>
      <c r="I130" s="31"/>
    </row>
    <row r="131" spans="1:20" s="32" customFormat="1" x14ac:dyDescent="0.35">
      <c r="A131" s="114">
        <f>A130+1</f>
        <v>3</v>
      </c>
      <c r="B131" s="115"/>
      <c r="C131" s="37" t="s">
        <v>308</v>
      </c>
      <c r="D131" s="57">
        <f>(26.386)*10.764</f>
        <v>284.01890399999996</v>
      </c>
      <c r="E131" s="57">
        <f>(2.6*2+1.9)*10.764</f>
        <v>76.424399999999991</v>
      </c>
      <c r="F131" s="37">
        <f>D131+E131</f>
        <v>360.44330399999996</v>
      </c>
      <c r="G131" s="37">
        <v>0</v>
      </c>
      <c r="H131" s="37">
        <f>F131*(($H$115)+1)+(IF(G131&lt;101,G131,IF(G131&lt;201,G131/2,IF(G131&lt;=301,G131/3,G131/4))))</f>
        <v>540.66495599999996</v>
      </c>
      <c r="I131" s="31"/>
    </row>
    <row r="132" spans="1:20" s="32" customFormat="1" ht="15.75" customHeight="1" x14ac:dyDescent="0.35">
      <c r="A132" s="120" t="s">
        <v>325</v>
      </c>
      <c r="B132" s="121"/>
      <c r="C132" s="121"/>
      <c r="D132" s="121"/>
      <c r="E132" s="121"/>
      <c r="F132" s="121"/>
      <c r="G132" s="121"/>
      <c r="H132" s="122"/>
      <c r="I132" s="31"/>
    </row>
    <row r="133" spans="1:20" s="32" customFormat="1" ht="15.75" customHeight="1" x14ac:dyDescent="0.35">
      <c r="A133" s="114">
        <v>1</v>
      </c>
      <c r="B133" s="115"/>
      <c r="C133" s="37" t="s">
        <v>308</v>
      </c>
      <c r="D133" s="57">
        <f>(26.935)*10.764</f>
        <v>289.92833999999999</v>
      </c>
      <c r="E133" s="57">
        <f>(2.7)*10.764</f>
        <v>29.062799999999999</v>
      </c>
      <c r="F133" s="37">
        <f>D133+E133</f>
        <v>318.99113999999997</v>
      </c>
      <c r="G133" s="57">
        <f>(2.2*2.2+3*1.4+3*2+1.2*2.4+0.7*1.2+1*2.8+1.8*1.8)*10.764</f>
        <v>266.94719999999995</v>
      </c>
      <c r="H133" s="37">
        <f>F133*(($H$115)+1)+(IF(G133&lt;101,G133,IF(G133&lt;201,G133/2,IF(G133&lt;=301,G133/3,G133/4))))</f>
        <v>567.46911</v>
      </c>
      <c r="I133" s="54">
        <f>4.3*2.7+2.7*2.4+3.1*2.7+1.75*1.2-(2.7)</f>
        <v>25.860000000000003</v>
      </c>
    </row>
    <row r="134" spans="1:20" s="32" customFormat="1" ht="15.75" customHeight="1" x14ac:dyDescent="0.35">
      <c r="A134" s="114">
        <v>2</v>
      </c>
      <c r="B134" s="115"/>
      <c r="C134" s="114" t="s">
        <v>326</v>
      </c>
      <c r="D134" s="188"/>
      <c r="E134" s="188"/>
      <c r="F134" s="188"/>
      <c r="G134" s="188"/>
      <c r="H134" s="115"/>
      <c r="I134" s="54"/>
    </row>
    <row r="135" spans="1:20" s="32" customFormat="1" ht="15.75" customHeight="1" x14ac:dyDescent="0.35">
      <c r="A135" s="114">
        <v>3</v>
      </c>
      <c r="B135" s="115"/>
      <c r="C135" s="37" t="s">
        <v>308</v>
      </c>
      <c r="D135" s="57">
        <f>(26.418)*10.764</f>
        <v>284.36335199999996</v>
      </c>
      <c r="E135" s="57">
        <f>(2.75*1.37+1.9)*10.764</f>
        <v>61.00497</v>
      </c>
      <c r="F135" s="37">
        <f>D135+E135</f>
        <v>345.36832199999998</v>
      </c>
      <c r="G135" s="37">
        <v>0</v>
      </c>
      <c r="H135" s="37">
        <f>F135*(($H$115)+1)+(IF(G135&lt;101,G135,IF(G135&lt;201,G135/2,IF(G135&lt;=301,G135/3,G135/4))))</f>
        <v>518.05248299999994</v>
      </c>
      <c r="I135" s="31"/>
    </row>
    <row r="136" spans="1:20" s="32" customFormat="1" ht="15.75" customHeight="1" x14ac:dyDescent="0.35">
      <c r="A136" s="114"/>
      <c r="B136" s="188"/>
      <c r="C136" s="188"/>
      <c r="D136" s="188"/>
      <c r="E136" s="188"/>
      <c r="F136" s="188"/>
      <c r="G136" s="188"/>
      <c r="H136" s="115"/>
      <c r="I136" s="31"/>
    </row>
    <row r="137" spans="1:20" s="30" customFormat="1" x14ac:dyDescent="0.35">
      <c r="A137" s="102" t="s">
        <v>65</v>
      </c>
      <c r="B137" s="102"/>
      <c r="C137" s="102"/>
      <c r="D137" s="102"/>
      <c r="E137" s="102"/>
      <c r="F137" s="102"/>
      <c r="G137" s="102"/>
      <c r="H137" s="102"/>
      <c r="T137" s="32"/>
    </row>
    <row r="138" spans="1:20" s="30" customFormat="1" x14ac:dyDescent="0.35">
      <c r="A138" s="39" t="s">
        <v>150</v>
      </c>
      <c r="B138" s="103" t="s">
        <v>340</v>
      </c>
      <c r="C138" s="104"/>
      <c r="D138" s="104"/>
      <c r="E138" s="104"/>
      <c r="F138" s="104"/>
      <c r="G138" s="104"/>
      <c r="H138" s="105"/>
      <c r="T138" s="32"/>
    </row>
    <row r="139" spans="1:20" s="30" customFormat="1" x14ac:dyDescent="0.35">
      <c r="A139" s="39" t="s">
        <v>150</v>
      </c>
      <c r="B139" s="103" t="str">
        <f>(IF(H114="Saleable area Loading :","We have considered Saleable area of Flats as per our Calculation.","We considered Saleable area of Flat as per Builder area Sheet."))</f>
        <v>We have considered Saleable area of Flats as per our Calculation.</v>
      </c>
      <c r="C139" s="104"/>
      <c r="D139" s="104"/>
      <c r="E139" s="104"/>
      <c r="F139" s="104"/>
      <c r="G139" s="104"/>
      <c r="H139" s="105"/>
      <c r="T139" s="32"/>
    </row>
    <row r="140" spans="1:20" s="30" customFormat="1" x14ac:dyDescent="0.35">
      <c r="A140" s="39" t="s">
        <v>150</v>
      </c>
      <c r="B140" s="103" t="str">
        <f>(IF(H108="Saleable area Loading :","We have considered Saleable area of Commercial as per our Calculation.","We considered Saleable area of Commercial as per Builder area Sheet."))</f>
        <v>We have considered Saleable area of Commercial as per our Calculation.</v>
      </c>
      <c r="C140" s="104"/>
      <c r="D140" s="104"/>
      <c r="E140" s="104"/>
      <c r="F140" s="104"/>
      <c r="G140" s="104"/>
      <c r="H140" s="105"/>
      <c r="T140" s="32"/>
    </row>
    <row r="141" spans="1:20" s="30" customFormat="1" x14ac:dyDescent="0.35">
      <c r="A141" s="39" t="s">
        <v>150</v>
      </c>
      <c r="B141" s="99" t="s">
        <v>120</v>
      </c>
      <c r="C141" s="100"/>
      <c r="D141" s="100"/>
      <c r="E141" s="100"/>
      <c r="F141" s="100"/>
      <c r="G141" s="100"/>
      <c r="H141" s="101"/>
      <c r="T141" s="32"/>
    </row>
    <row r="142" spans="1:20" s="30" customFormat="1" x14ac:dyDescent="0.35">
      <c r="A142" s="39" t="s">
        <v>150</v>
      </c>
      <c r="B142" s="99" t="s">
        <v>327</v>
      </c>
      <c r="C142" s="100"/>
      <c r="D142" s="100"/>
      <c r="E142" s="100"/>
      <c r="F142" s="100"/>
      <c r="G142" s="100"/>
      <c r="H142" s="101"/>
    </row>
    <row r="143" spans="1:20" s="30" customFormat="1" x14ac:dyDescent="0.35">
      <c r="A143" s="39" t="s">
        <v>150</v>
      </c>
      <c r="B143" s="99" t="s">
        <v>149</v>
      </c>
      <c r="C143" s="100"/>
      <c r="D143" s="100"/>
      <c r="E143" s="100"/>
      <c r="F143" s="100"/>
      <c r="G143" s="100"/>
      <c r="H143" s="101"/>
    </row>
    <row r="144" spans="1:20" s="30" customFormat="1" x14ac:dyDescent="0.35">
      <c r="A144" s="39" t="s">
        <v>150</v>
      </c>
      <c r="B144" s="99" t="s">
        <v>121</v>
      </c>
      <c r="C144" s="100"/>
      <c r="D144" s="100"/>
      <c r="E144" s="100"/>
      <c r="F144" s="100"/>
      <c r="G144" s="100"/>
      <c r="H144" s="101"/>
    </row>
    <row r="145" spans="1:20" s="30" customFormat="1" ht="35.25" customHeight="1" x14ac:dyDescent="0.35">
      <c r="A145" s="39" t="s">
        <v>150</v>
      </c>
      <c r="B145" s="99" t="s">
        <v>151</v>
      </c>
      <c r="C145" s="100"/>
      <c r="D145" s="100"/>
      <c r="E145" s="100"/>
      <c r="F145" s="100"/>
      <c r="G145" s="100"/>
      <c r="H145" s="101"/>
    </row>
    <row r="146" spans="1:20" s="30" customFormat="1" x14ac:dyDescent="0.35">
      <c r="A146" s="39" t="s">
        <v>150</v>
      </c>
      <c r="B146" s="99" t="s">
        <v>122</v>
      </c>
      <c r="C146" s="100"/>
      <c r="D146" s="100"/>
      <c r="E146" s="100"/>
      <c r="F146" s="100"/>
      <c r="G146" s="100"/>
      <c r="H146" s="101"/>
    </row>
    <row r="147" spans="1:20" s="30" customFormat="1" hidden="1" x14ac:dyDescent="0.35">
      <c r="A147" s="39" t="s">
        <v>150</v>
      </c>
      <c r="B147" s="125" t="s">
        <v>174</v>
      </c>
      <c r="C147" s="126"/>
      <c r="D147" s="126"/>
      <c r="E147" s="126"/>
      <c r="F147" s="126"/>
      <c r="G147" s="126"/>
      <c r="H147" s="127"/>
    </row>
    <row r="148" spans="1:20" hidden="1" x14ac:dyDescent="0.35">
      <c r="A148" s="39" t="s">
        <v>150</v>
      </c>
      <c r="B148" s="125" t="s">
        <v>229</v>
      </c>
      <c r="C148" s="126"/>
      <c r="D148" s="126"/>
      <c r="E148" s="126"/>
      <c r="F148" s="126"/>
      <c r="G148" s="126"/>
      <c r="H148" s="127"/>
      <c r="T148" s="30"/>
    </row>
    <row r="149" spans="1:20" x14ac:dyDescent="0.35">
      <c r="A149" s="87" t="s">
        <v>58</v>
      </c>
      <c r="B149" s="87"/>
      <c r="C149" s="87"/>
      <c r="D149" s="87"/>
      <c r="E149" s="87"/>
      <c r="F149" s="87"/>
      <c r="G149" s="87"/>
      <c r="H149" s="87"/>
      <c r="T149" s="30"/>
    </row>
    <row r="150" spans="1:20" ht="15.75" customHeight="1" x14ac:dyDescent="0.35">
      <c r="A150" s="71" t="s">
        <v>59</v>
      </c>
      <c r="B150" s="71"/>
      <c r="C150" s="71"/>
      <c r="D150" s="71"/>
      <c r="E150" s="71"/>
      <c r="F150" s="71"/>
      <c r="G150" s="71"/>
      <c r="H150" s="71"/>
      <c r="T150" s="30"/>
    </row>
    <row r="151" spans="1:20" x14ac:dyDescent="0.35">
      <c r="A151" s="128" t="s">
        <v>60</v>
      </c>
      <c r="B151" s="128"/>
      <c r="C151" s="128"/>
      <c r="D151" s="128"/>
      <c r="E151" s="128"/>
      <c r="F151" s="128"/>
      <c r="G151" s="128"/>
      <c r="H151" s="128"/>
      <c r="T151" s="30"/>
    </row>
    <row r="152" spans="1:20" x14ac:dyDescent="0.35">
      <c r="A152" s="71" t="s">
        <v>61</v>
      </c>
      <c r="B152" s="71"/>
      <c r="C152" s="71"/>
      <c r="D152" s="71"/>
      <c r="E152" s="71"/>
      <c r="F152" s="71"/>
      <c r="G152" s="71"/>
      <c r="H152" s="71"/>
      <c r="T152" s="30"/>
    </row>
    <row r="153" spans="1:20" x14ac:dyDescent="0.35">
      <c r="A153" s="71" t="s">
        <v>62</v>
      </c>
      <c r="B153" s="71"/>
      <c r="C153" s="71"/>
      <c r="D153" s="71"/>
      <c r="E153" s="71"/>
      <c r="F153" s="71"/>
      <c r="G153" s="71"/>
      <c r="H153" s="71"/>
      <c r="T153" s="30"/>
    </row>
    <row r="154" spans="1:20" x14ac:dyDescent="0.35">
      <c r="A154" s="71" t="s">
        <v>123</v>
      </c>
      <c r="B154" s="71"/>
      <c r="C154" s="71"/>
      <c r="D154" s="71"/>
      <c r="E154" s="71"/>
      <c r="F154" s="71"/>
      <c r="G154" s="71"/>
      <c r="H154" s="71"/>
    </row>
    <row r="155" spans="1:20" ht="34.5" customHeight="1" x14ac:dyDescent="0.35">
      <c r="A155" s="79" t="s">
        <v>124</v>
      </c>
      <c r="B155" s="79"/>
      <c r="C155" s="79"/>
      <c r="D155" s="79"/>
      <c r="E155" s="79"/>
      <c r="F155" s="79"/>
      <c r="G155" s="79"/>
      <c r="H155" s="79"/>
    </row>
    <row r="156" spans="1:20" x14ac:dyDescent="0.35">
      <c r="A156" s="124" t="s">
        <v>74</v>
      </c>
      <c r="B156" s="124"/>
      <c r="C156" s="124" t="s">
        <v>341</v>
      </c>
      <c r="D156" s="124"/>
      <c r="E156" s="124" t="s">
        <v>103</v>
      </c>
      <c r="F156" s="124"/>
      <c r="G156" s="124" t="s">
        <v>339</v>
      </c>
      <c r="H156" s="124"/>
    </row>
    <row r="157" spans="1:20" x14ac:dyDescent="0.35">
      <c r="A157" s="123" t="s">
        <v>76</v>
      </c>
      <c r="B157" s="123"/>
      <c r="C157" s="123"/>
      <c r="D157" s="123"/>
      <c r="E157" s="123"/>
      <c r="F157" s="123"/>
      <c r="G157" s="123"/>
      <c r="H157" s="123"/>
    </row>
    <row r="158" spans="1:20" x14ac:dyDescent="0.35">
      <c r="A158" s="123"/>
      <c r="B158" s="123"/>
      <c r="C158" s="123"/>
      <c r="D158" s="123"/>
      <c r="E158" s="123"/>
      <c r="F158" s="123"/>
      <c r="G158" s="123"/>
      <c r="H158" s="123"/>
    </row>
    <row r="159" spans="1:20" x14ac:dyDescent="0.35">
      <c r="A159" s="123"/>
      <c r="B159" s="123"/>
      <c r="C159" s="123"/>
      <c r="D159" s="123"/>
      <c r="E159" s="123"/>
      <c r="F159" s="123"/>
      <c r="G159" s="123"/>
      <c r="H159" s="123"/>
    </row>
    <row r="160" spans="1:20" x14ac:dyDescent="0.35">
      <c r="A160" s="123"/>
      <c r="B160" s="123"/>
      <c r="C160" s="123"/>
      <c r="D160" s="123"/>
      <c r="E160" s="123"/>
      <c r="F160" s="123"/>
      <c r="G160" s="123"/>
      <c r="H160" s="123"/>
    </row>
    <row r="161" spans="1:8" x14ac:dyDescent="0.35">
      <c r="A161" s="33" t="s">
        <v>63</v>
      </c>
      <c r="B161" s="34"/>
      <c r="C161" s="34"/>
      <c r="D161" s="33" t="str">
        <f>E9</f>
        <v>Aarsh Bhanudas</v>
      </c>
      <c r="F161" s="34"/>
      <c r="G161" s="34"/>
      <c r="H161" s="34"/>
    </row>
    <row r="162" spans="1:8" x14ac:dyDescent="0.35">
      <c r="A162" s="34"/>
      <c r="B162" s="34"/>
      <c r="C162" s="34"/>
      <c r="D162" s="34"/>
      <c r="E162" s="34"/>
      <c r="F162" s="34"/>
      <c r="G162" s="34"/>
      <c r="H162" s="34"/>
    </row>
    <row r="163" spans="1:8" ht="15" customHeight="1" x14ac:dyDescent="0.35">
      <c r="A163" s="34"/>
      <c r="B163" s="34"/>
      <c r="C163" s="34"/>
      <c r="D163" s="34"/>
      <c r="E163" s="34"/>
      <c r="F163" s="34"/>
      <c r="G163" s="34"/>
      <c r="H163" s="34"/>
    </row>
    <row r="203" spans="1:1" x14ac:dyDescent="0.35">
      <c r="A203" s="36" t="s">
        <v>160</v>
      </c>
    </row>
    <row r="245" spans="1:1" x14ac:dyDescent="0.35">
      <c r="A245" s="36" t="s">
        <v>64</v>
      </c>
    </row>
  </sheetData>
  <mergeCells count="295">
    <mergeCell ref="B139:H139"/>
    <mergeCell ref="I89:J89"/>
    <mergeCell ref="I129:L129"/>
    <mergeCell ref="A90:E90"/>
    <mergeCell ref="A104:B104"/>
    <mergeCell ref="E104:F104"/>
    <mergeCell ref="A94:E94"/>
    <mergeCell ref="G104:H104"/>
    <mergeCell ref="A100:B100"/>
    <mergeCell ref="C100:D100"/>
    <mergeCell ref="E100:F100"/>
    <mergeCell ref="G100:H100"/>
    <mergeCell ref="F89:H89"/>
    <mergeCell ref="A89:E89"/>
    <mergeCell ref="D108:D109"/>
    <mergeCell ref="L119:M119"/>
    <mergeCell ref="L117:M117"/>
    <mergeCell ref="L118:M118"/>
    <mergeCell ref="A136:H136"/>
    <mergeCell ref="A135:B135"/>
    <mergeCell ref="A134:B134"/>
    <mergeCell ref="C134:H134"/>
    <mergeCell ref="A132:H132"/>
    <mergeCell ref="A118:B118"/>
    <mergeCell ref="F87:H87"/>
    <mergeCell ref="F90:H90"/>
    <mergeCell ref="A117:B117"/>
    <mergeCell ref="A92:E92"/>
    <mergeCell ref="A91:E91"/>
    <mergeCell ref="A113:H113"/>
    <mergeCell ref="E102:F102"/>
    <mergeCell ref="A106:H106"/>
    <mergeCell ref="A114:A115"/>
    <mergeCell ref="G105:H105"/>
    <mergeCell ref="E105:F105"/>
    <mergeCell ref="A111:B111"/>
    <mergeCell ref="A105:B105"/>
    <mergeCell ref="G108:G109"/>
    <mergeCell ref="A119:B119"/>
    <mergeCell ref="A129:B129"/>
    <mergeCell ref="A124:H124"/>
    <mergeCell ref="A126:B126"/>
    <mergeCell ref="A128:H128"/>
    <mergeCell ref="A131:B131"/>
    <mergeCell ref="A127:B127"/>
    <mergeCell ref="A76:B76"/>
    <mergeCell ref="A79:B79"/>
    <mergeCell ref="A83:B83"/>
    <mergeCell ref="A97:H97"/>
    <mergeCell ref="A95:E95"/>
    <mergeCell ref="F95:H95"/>
    <mergeCell ref="A96:E96"/>
    <mergeCell ref="F96:H96"/>
    <mergeCell ref="A120:H120"/>
    <mergeCell ref="A103:B103"/>
    <mergeCell ref="A99:B99"/>
    <mergeCell ref="A101:H101"/>
    <mergeCell ref="G102:H102"/>
    <mergeCell ref="C108:C109"/>
    <mergeCell ref="B114:B115"/>
    <mergeCell ref="F114:F115"/>
    <mergeCell ref="C105:D105"/>
    <mergeCell ref="L112:M112"/>
    <mergeCell ref="L111:M111"/>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7:E87"/>
    <mergeCell ref="A85:B85"/>
    <mergeCell ref="A86:B86"/>
    <mergeCell ref="A45:D45"/>
    <mergeCell ref="A125:B125"/>
    <mergeCell ref="A122:B122"/>
    <mergeCell ref="A123:B123"/>
    <mergeCell ref="A133:B133"/>
    <mergeCell ref="A40:B40"/>
    <mergeCell ref="C40:H40"/>
    <mergeCell ref="F108:F109"/>
    <mergeCell ref="C99:D99"/>
    <mergeCell ref="E99:F99"/>
    <mergeCell ref="B108:B109"/>
    <mergeCell ref="A108:A109"/>
    <mergeCell ref="C114:C115"/>
    <mergeCell ref="G114:G115"/>
    <mergeCell ref="A49:B49"/>
    <mergeCell ref="C49:H49"/>
    <mergeCell ref="A84:B84"/>
    <mergeCell ref="C103:D103"/>
    <mergeCell ref="E103:F103"/>
    <mergeCell ref="G103:H103"/>
    <mergeCell ref="A88:E88"/>
    <mergeCell ref="A110:H110"/>
    <mergeCell ref="E108:E109"/>
    <mergeCell ref="A75:B7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B146:H146"/>
    <mergeCell ref="B144:H144"/>
    <mergeCell ref="A157:H160"/>
    <mergeCell ref="A156:B156"/>
    <mergeCell ref="E156:F156"/>
    <mergeCell ref="C156:D156"/>
    <mergeCell ref="G156:H156"/>
    <mergeCell ref="A152:H152"/>
    <mergeCell ref="A155:H155"/>
    <mergeCell ref="A153:H153"/>
    <mergeCell ref="A149:H149"/>
    <mergeCell ref="A150:H150"/>
    <mergeCell ref="B148:H148"/>
    <mergeCell ref="B145:H145"/>
    <mergeCell ref="A154:H154"/>
    <mergeCell ref="A151:H151"/>
    <mergeCell ref="B147:H147"/>
    <mergeCell ref="B143:H143"/>
    <mergeCell ref="B141:H141"/>
    <mergeCell ref="B142:H142"/>
    <mergeCell ref="A137:H137"/>
    <mergeCell ref="B140:H140"/>
    <mergeCell ref="B138:H138"/>
    <mergeCell ref="G51:H51"/>
    <mergeCell ref="A52:B53"/>
    <mergeCell ref="C53:H53"/>
    <mergeCell ref="C52:E52"/>
    <mergeCell ref="A65:C65"/>
    <mergeCell ref="D65:H65"/>
    <mergeCell ref="C51:E51"/>
    <mergeCell ref="A121:B121"/>
    <mergeCell ref="A102:B102"/>
    <mergeCell ref="D114:D115"/>
    <mergeCell ref="E114:E115"/>
    <mergeCell ref="F88:H88"/>
    <mergeCell ref="G99:H99"/>
    <mergeCell ref="F91:H91"/>
    <mergeCell ref="C98:D98"/>
    <mergeCell ref="C104:D104"/>
    <mergeCell ref="A116:H116"/>
    <mergeCell ref="A130:B130"/>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C55:H55"/>
    <mergeCell ref="I15:P15"/>
    <mergeCell ref="F94:H94"/>
    <mergeCell ref="F92:H92"/>
    <mergeCell ref="A107:H107"/>
    <mergeCell ref="G98:H98"/>
    <mergeCell ref="A93:E93"/>
    <mergeCell ref="A112:B112"/>
    <mergeCell ref="A60:B60"/>
    <mergeCell ref="C60:E60"/>
    <mergeCell ref="D62:H62"/>
    <mergeCell ref="F93:H93"/>
    <mergeCell ref="E98:F98"/>
    <mergeCell ref="A98:B98"/>
    <mergeCell ref="C102:D102"/>
    <mergeCell ref="D70:H70"/>
    <mergeCell ref="A71:C71"/>
    <mergeCell ref="E43:H43"/>
    <mergeCell ref="A43:D43"/>
    <mergeCell ref="A82:B82"/>
    <mergeCell ref="A50:B50"/>
    <mergeCell ref="C50:E50"/>
    <mergeCell ref="G50:H50"/>
    <mergeCell ref="G52:H52"/>
    <mergeCell ref="A51:B51"/>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08:E109">
      <formula1>"Attached Loft area,Attached Otla area,Attached Mezzanine area"</formula1>
    </dataValidation>
    <dataValidation type="list" allowBlank="1" showInputMessage="1" showErrorMessage="1" sqref="G156:H156">
      <formula1>"Gaurav Panchal,Kunal Kadam,Pranita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5:H95">
      <formula1>OFFSET($S$87,1,MATCH($G20,$S$87:$W$87,0)-1,15,1)</formula1>
    </dataValidation>
    <dataValidation type="list" allowBlank="1" showInputMessage="1" showErrorMessage="1" sqref="B108:B109">
      <formula1>"Shop No. (Sale Plan),Sale / Rehab,Sale / Mhada"</formula1>
    </dataValidation>
    <dataValidation type="list" allowBlank="1" showInputMessage="1" showErrorMessage="1" sqref="B114:B11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14:E115">
      <formula1>"Fungible area,Balcony  + Enclosed Balcony Area,Chajja Area,Cornice Area,AP Area,WS Area"</formula1>
    </dataValidation>
    <dataValidation type="list" allowBlank="1" showInputMessage="1" showErrorMessage="1" sqref="H109 H11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37" max="16383" man="1"/>
    <brk id="72" max="16383" man="1"/>
    <brk id="113" max="16383" man="1"/>
    <brk id="160" max="7" man="1"/>
    <brk id="202" max="7" man="1"/>
    <brk id="244"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89" t="s">
        <v>104</v>
      </c>
      <c r="C3" s="189"/>
      <c r="D3" s="189"/>
      <c r="E3" s="189"/>
      <c r="F3" s="189"/>
      <c r="G3" s="189"/>
      <c r="H3" s="189"/>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3"/>
      <c r="C4" s="43" t="s">
        <v>11</v>
      </c>
      <c r="D4" s="44" t="s">
        <v>175</v>
      </c>
      <c r="E4" s="44" t="s">
        <v>185</v>
      </c>
      <c r="F4" s="44" t="s">
        <v>169</v>
      </c>
      <c r="G4" s="44" t="s">
        <v>190</v>
      </c>
      <c r="H4" s="44" t="s">
        <v>208</v>
      </c>
      <c r="J4" t="s">
        <v>190</v>
      </c>
      <c r="K4" t="s">
        <v>206</v>
      </c>
    </row>
    <row r="5" spans="2:11" x14ac:dyDescent="0.35">
      <c r="B5" s="43"/>
      <c r="C5" s="43"/>
      <c r="D5" s="44" t="s">
        <v>176</v>
      </c>
      <c r="E5" s="44" t="s">
        <v>183</v>
      </c>
      <c r="F5" s="44" t="s">
        <v>205</v>
      </c>
      <c r="G5" s="44" t="s">
        <v>191</v>
      </c>
      <c r="H5" s="44" t="s">
        <v>209</v>
      </c>
    </row>
    <row r="6" spans="2:11" x14ac:dyDescent="0.35">
      <c r="B6" s="43"/>
      <c r="C6" s="43"/>
      <c r="D6" s="44" t="s">
        <v>177</v>
      </c>
      <c r="E6" s="44" t="s">
        <v>184</v>
      </c>
      <c r="F6" s="44" t="s">
        <v>206</v>
      </c>
      <c r="G6" s="44" t="s">
        <v>192</v>
      </c>
      <c r="H6" s="44" t="s">
        <v>222</v>
      </c>
    </row>
    <row r="7" spans="2:11" x14ac:dyDescent="0.35">
      <c r="B7" s="43"/>
      <c r="C7" s="43"/>
      <c r="D7" s="44" t="s">
        <v>178</v>
      </c>
      <c r="E7" s="44" t="s">
        <v>186</v>
      </c>
      <c r="F7" s="44" t="s">
        <v>207</v>
      </c>
      <c r="G7" s="44" t="s">
        <v>193</v>
      </c>
      <c r="H7" s="44" t="s">
        <v>210</v>
      </c>
    </row>
    <row r="8" spans="2:11" x14ac:dyDescent="0.35">
      <c r="B8" s="43"/>
      <c r="C8" s="43"/>
      <c r="D8" s="44" t="s">
        <v>179</v>
      </c>
      <c r="E8" s="44" t="s">
        <v>187</v>
      </c>
      <c r="F8" s="44"/>
      <c r="G8" s="44" t="s">
        <v>194</v>
      </c>
      <c r="H8" s="44" t="s">
        <v>211</v>
      </c>
    </row>
    <row r="9" spans="2:11" x14ac:dyDescent="0.35">
      <c r="B9" s="43"/>
      <c r="C9" s="43"/>
      <c r="D9" s="44" t="s">
        <v>180</v>
      </c>
      <c r="E9" s="44" t="s">
        <v>185</v>
      </c>
      <c r="F9" s="44"/>
      <c r="G9" s="44" t="s">
        <v>195</v>
      </c>
      <c r="H9" s="44" t="s">
        <v>212</v>
      </c>
    </row>
    <row r="10" spans="2:11" x14ac:dyDescent="0.35">
      <c r="B10" s="43"/>
      <c r="C10" s="43"/>
      <c r="D10" s="44" t="s">
        <v>181</v>
      </c>
      <c r="E10" s="44" t="s">
        <v>188</v>
      </c>
      <c r="F10" s="44"/>
      <c r="G10" s="44" t="s">
        <v>196</v>
      </c>
      <c r="H10" s="44" t="s">
        <v>213</v>
      </c>
    </row>
    <row r="11" spans="2:11" x14ac:dyDescent="0.35">
      <c r="B11" s="43"/>
      <c r="C11" s="43"/>
      <c r="D11" s="44" t="s">
        <v>182</v>
      </c>
      <c r="E11" s="44" t="s">
        <v>189</v>
      </c>
      <c r="F11" s="44"/>
      <c r="G11" s="44" t="s">
        <v>197</v>
      </c>
      <c r="H11" s="44" t="s">
        <v>214</v>
      </c>
    </row>
    <row r="12" spans="2:11" x14ac:dyDescent="0.35">
      <c r="B12" s="43"/>
      <c r="C12" s="43"/>
      <c r="D12" s="44"/>
      <c r="E12" s="44"/>
      <c r="F12" s="44"/>
      <c r="G12" s="44" t="s">
        <v>198</v>
      </c>
      <c r="H12" s="44" t="s">
        <v>215</v>
      </c>
    </row>
    <row r="13" spans="2:11" x14ac:dyDescent="0.35">
      <c r="B13" s="43"/>
      <c r="C13" s="43"/>
      <c r="D13" s="44"/>
      <c r="E13" s="44"/>
      <c r="F13" s="44"/>
      <c r="G13" s="44" t="s">
        <v>199</v>
      </c>
      <c r="H13" s="44" t="s">
        <v>216</v>
      </c>
    </row>
    <row r="14" spans="2:11" x14ac:dyDescent="0.35">
      <c r="B14" s="43"/>
      <c r="C14" s="43"/>
      <c r="D14" s="44"/>
      <c r="E14" s="44"/>
      <c r="F14" s="44"/>
      <c r="G14" s="44" t="s">
        <v>200</v>
      </c>
      <c r="H14" s="44" t="s">
        <v>217</v>
      </c>
    </row>
    <row r="15" spans="2:11" x14ac:dyDescent="0.35">
      <c r="B15" s="43"/>
      <c r="C15" s="43"/>
      <c r="D15" s="44"/>
      <c r="E15" s="44"/>
      <c r="F15" s="44"/>
      <c r="G15" s="44" t="s">
        <v>201</v>
      </c>
      <c r="H15" s="44" t="s">
        <v>218</v>
      </c>
    </row>
    <row r="16" spans="2:11" x14ac:dyDescent="0.35">
      <c r="B16" s="43"/>
      <c r="C16" s="43"/>
      <c r="D16" s="44"/>
      <c r="E16" s="44"/>
      <c r="F16" s="44"/>
      <c r="G16" s="44" t="s">
        <v>202</v>
      </c>
      <c r="H16" s="44" t="s">
        <v>219</v>
      </c>
    </row>
    <row r="17" spans="2:8" x14ac:dyDescent="0.35">
      <c r="B17" s="43"/>
      <c r="C17" s="43"/>
      <c r="D17" s="44"/>
      <c r="E17" s="44"/>
      <c r="F17" s="44"/>
      <c r="G17" s="44" t="s">
        <v>203</v>
      </c>
      <c r="H17" s="44" t="s">
        <v>220</v>
      </c>
    </row>
    <row r="18" spans="2:8" x14ac:dyDescent="0.35">
      <c r="B18" s="43"/>
      <c r="C18" s="43"/>
      <c r="D18" s="44"/>
      <c r="E18" s="44"/>
      <c r="F18" s="44"/>
      <c r="G18" s="44" t="s">
        <v>204</v>
      </c>
      <c r="H18" s="44" t="s">
        <v>221</v>
      </c>
    </row>
    <row r="24" spans="2:8" x14ac:dyDescent="0.35">
      <c r="C24" t="s">
        <v>166</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166</v>
      </c>
    </row>
    <row r="33" spans="3:11" x14ac:dyDescent="0.35">
      <c r="J33">
        <v>1</v>
      </c>
      <c r="K33">
        <v>2</v>
      </c>
    </row>
    <row r="34" spans="3:11" x14ac:dyDescent="0.35">
      <c r="C34" s="45" t="s">
        <v>233</v>
      </c>
      <c r="D34" s="44" t="s">
        <v>231</v>
      </c>
      <c r="E34" s="44" t="s">
        <v>236</v>
      </c>
      <c r="F34" s="44" t="s">
        <v>234</v>
      </c>
      <c r="G34" s="44" t="s">
        <v>235</v>
      </c>
      <c r="H34" s="44" t="s">
        <v>237</v>
      </c>
      <c r="J34" t="s">
        <v>190</v>
      </c>
      <c r="K34" t="s">
        <v>206</v>
      </c>
    </row>
    <row r="35" spans="3:11" x14ac:dyDescent="0.35">
      <c r="C35" s="43" t="s">
        <v>232</v>
      </c>
      <c r="D35" s="44" t="s">
        <v>167</v>
      </c>
      <c r="E35" s="44" t="s">
        <v>241</v>
      </c>
      <c r="F35" s="44" t="s">
        <v>243</v>
      </c>
      <c r="G35" s="44" t="s">
        <v>245</v>
      </c>
      <c r="H35" s="44"/>
    </row>
    <row r="36" spans="3:11" x14ac:dyDescent="0.35">
      <c r="C36" s="43"/>
      <c r="D36" s="44" t="s">
        <v>238</v>
      </c>
      <c r="E36" s="44" t="s">
        <v>242</v>
      </c>
      <c r="F36" s="44" t="s">
        <v>244</v>
      </c>
      <c r="G36" s="44" t="s">
        <v>246</v>
      </c>
      <c r="H36" s="44"/>
    </row>
    <row r="37" spans="3:11" x14ac:dyDescent="0.35">
      <c r="C37" s="43"/>
      <c r="D37" s="44" t="s">
        <v>239</v>
      </c>
      <c r="E37" s="44"/>
      <c r="F37" s="44"/>
      <c r="G37" s="44" t="s">
        <v>247</v>
      </c>
      <c r="H37" s="44"/>
    </row>
    <row r="38" spans="3:11" x14ac:dyDescent="0.35">
      <c r="C38" s="43"/>
      <c r="D38" s="44" t="s">
        <v>240</v>
      </c>
      <c r="E38" s="44"/>
      <c r="F38" s="44"/>
      <c r="G38" s="44" t="s">
        <v>247</v>
      </c>
      <c r="H38" s="44"/>
    </row>
    <row r="39" spans="3:11" x14ac:dyDescent="0.35">
      <c r="C39" s="43"/>
      <c r="D39" s="44"/>
      <c r="E39" s="44"/>
      <c r="F39" s="44"/>
      <c r="G39" s="44" t="s">
        <v>248</v>
      </c>
      <c r="H39" s="44"/>
    </row>
    <row r="40" spans="3:11" x14ac:dyDescent="0.35">
      <c r="C40" s="43"/>
      <c r="D40" s="44"/>
      <c r="E40" s="44"/>
      <c r="F40" s="44"/>
      <c r="G40" s="44" t="s">
        <v>249</v>
      </c>
      <c r="H40" s="44"/>
    </row>
    <row r="41" spans="3:11" x14ac:dyDescent="0.35">
      <c r="C41" s="43"/>
      <c r="D41" s="44"/>
      <c r="E41" s="44"/>
      <c r="F41" s="44"/>
      <c r="G41" s="44"/>
      <c r="H41" s="44"/>
    </row>
    <row r="43" spans="3:11" x14ac:dyDescent="0.35">
      <c r="C43" t="s">
        <v>250</v>
      </c>
    </row>
    <row r="44" spans="3:11" x14ac:dyDescent="0.35">
      <c r="C44" t="s">
        <v>169</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175</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190</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185</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6" sqref="C6"/>
    </sheetView>
  </sheetViews>
  <sheetFormatPr defaultRowHeight="14.5" x14ac:dyDescent="0.35"/>
  <cols>
    <col min="2" max="2" width="3" bestFit="1" customWidth="1"/>
    <col min="3" max="3" width="130" customWidth="1"/>
  </cols>
  <sheetData>
    <row r="2" spans="2:3" ht="15" customHeight="1" x14ac:dyDescent="0.35">
      <c r="B2" s="46">
        <v>1</v>
      </c>
      <c r="C2" s="48" t="s">
        <v>281</v>
      </c>
    </row>
    <row r="3" spans="2:3" x14ac:dyDescent="0.35">
      <c r="B3" s="46">
        <v>2</v>
      </c>
      <c r="C3" s="47" t="s">
        <v>282</v>
      </c>
    </row>
    <row r="4" spans="2:3" x14ac:dyDescent="0.35">
      <c r="B4" s="46">
        <v>3</v>
      </c>
      <c r="C4" s="46" t="s">
        <v>283</v>
      </c>
    </row>
    <row r="5" spans="2:3" x14ac:dyDescent="0.35">
      <c r="B5" s="46">
        <v>4</v>
      </c>
      <c r="C5" s="47" t="s">
        <v>284</v>
      </c>
    </row>
    <row r="6" spans="2:3" x14ac:dyDescent="0.35">
      <c r="B6" s="46">
        <v>5</v>
      </c>
      <c r="C6" s="46" t="s">
        <v>285</v>
      </c>
    </row>
    <row r="7" spans="2:3" ht="29" x14ac:dyDescent="0.35">
      <c r="B7" s="46">
        <v>6</v>
      </c>
      <c r="C7" s="47" t="s">
        <v>286</v>
      </c>
    </row>
    <row r="8" spans="2:3" ht="72.5" x14ac:dyDescent="0.35">
      <c r="B8" s="46">
        <v>7</v>
      </c>
      <c r="C8" s="47" t="s">
        <v>287</v>
      </c>
    </row>
    <row r="9" spans="2:3" x14ac:dyDescent="0.35">
      <c r="B9" s="46">
        <v>8</v>
      </c>
      <c r="C9" s="46" t="s">
        <v>288</v>
      </c>
    </row>
    <row r="10" spans="2:3" x14ac:dyDescent="0.35">
      <c r="B10" s="46">
        <v>9</v>
      </c>
      <c r="C10" s="46" t="s">
        <v>289</v>
      </c>
    </row>
    <row r="11" spans="2:3" x14ac:dyDescent="0.35">
      <c r="B11" s="46">
        <v>10</v>
      </c>
      <c r="C11" s="46" t="s">
        <v>290</v>
      </c>
    </row>
    <row r="12" spans="2:3" x14ac:dyDescent="0.35">
      <c r="B12" s="46">
        <v>11</v>
      </c>
      <c r="C12" s="46" t="s">
        <v>291</v>
      </c>
    </row>
    <row r="13" spans="2:3" x14ac:dyDescent="0.35">
      <c r="B13" s="46">
        <v>12</v>
      </c>
      <c r="C13" s="46" t="s">
        <v>292</v>
      </c>
    </row>
    <row r="14" spans="2:3" x14ac:dyDescent="0.35">
      <c r="B14" s="46">
        <v>13</v>
      </c>
      <c r="C14" s="46" t="s">
        <v>293</v>
      </c>
    </row>
    <row r="15" spans="2:3" x14ac:dyDescent="0.35">
      <c r="B15" s="46">
        <v>14</v>
      </c>
      <c r="C15" s="46"/>
    </row>
    <row r="16" spans="2:3" x14ac:dyDescent="0.35">
      <c r="B16" s="46">
        <v>15</v>
      </c>
      <c r="C16" s="46"/>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2025-07-11T04:28:49Z</cp:lastPrinted>
  <dcterms:created xsi:type="dcterms:W3CDTF">2019-07-16T09:29:46Z</dcterms:created>
  <dcterms:modified xsi:type="dcterms:W3CDTF">2025-07-11T04:29:27Z</dcterms:modified>
</cp:coreProperties>
</file>