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4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4" i="1" l="1"/>
  <c r="D144" i="1"/>
  <c r="D142" i="1"/>
  <c r="E142" i="1"/>
  <c r="D105" i="1"/>
  <c r="D104" i="1" l="1"/>
  <c r="D103" i="1"/>
  <c r="K115" i="1" l="1"/>
  <c r="K128" i="1"/>
  <c r="K140" i="1"/>
  <c r="K141" i="1"/>
  <c r="D114" i="1"/>
  <c r="D116" i="1"/>
  <c r="D112" i="1"/>
  <c r="E110" i="1"/>
  <c r="F144" i="1" l="1"/>
  <c r="K144" i="1" s="1"/>
  <c r="K143" i="1"/>
  <c r="F142" i="1"/>
  <c r="K142" i="1" s="1"/>
  <c r="A143" i="1"/>
  <c r="A144" i="1" s="1"/>
  <c r="G142" i="1"/>
  <c r="D139" i="1"/>
  <c r="F139" i="1" s="1"/>
  <c r="K139" i="1" s="1"/>
  <c r="D138" i="1"/>
  <c r="F138" i="1" s="1"/>
  <c r="K138" i="1" s="1"/>
  <c r="D137" i="1"/>
  <c r="F137" i="1" s="1"/>
  <c r="K137" i="1" s="1"/>
  <c r="D136" i="1"/>
  <c r="F136" i="1" s="1"/>
  <c r="K136" i="1" s="1"/>
  <c r="D135" i="1"/>
  <c r="F135" i="1" s="1"/>
  <c r="K135" i="1" s="1"/>
  <c r="D134" i="1"/>
  <c r="F134" i="1" s="1"/>
  <c r="K134" i="1" s="1"/>
  <c r="D133" i="1"/>
  <c r="F133" i="1" s="1"/>
  <c r="K133" i="1" s="1"/>
  <c r="D121" i="1"/>
  <c r="F121" i="1" s="1"/>
  <c r="K121" i="1" s="1"/>
  <c r="D120" i="1"/>
  <c r="F120" i="1" s="1"/>
  <c r="K120" i="1" s="1"/>
  <c r="D132" i="1"/>
  <c r="F132" i="1" s="1"/>
  <c r="K132" i="1" s="1"/>
  <c r="D119" i="1"/>
  <c r="F119" i="1" s="1"/>
  <c r="K119" i="1" s="1"/>
  <c r="D131" i="1"/>
  <c r="F131" i="1" s="1"/>
  <c r="K131" i="1" s="1"/>
  <c r="D118" i="1"/>
  <c r="F118" i="1" s="1"/>
  <c r="D130" i="1"/>
  <c r="F130" i="1" s="1"/>
  <c r="K130" i="1" s="1"/>
  <c r="D129" i="1"/>
  <c r="F129" i="1" s="1"/>
  <c r="K129" i="1" s="1"/>
  <c r="F116" i="1"/>
  <c r="K116" i="1" s="1"/>
  <c r="A130" i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G129" i="1"/>
  <c r="D127" i="1"/>
  <c r="F127" i="1" s="1"/>
  <c r="K127" i="1" s="1"/>
  <c r="D126" i="1"/>
  <c r="F126" i="1" s="1"/>
  <c r="K126" i="1" s="1"/>
  <c r="D125" i="1"/>
  <c r="F125" i="1" s="1"/>
  <c r="K125" i="1" s="1"/>
  <c r="D124" i="1"/>
  <c r="F124" i="1" s="1"/>
  <c r="K124" i="1" s="1"/>
  <c r="D123" i="1"/>
  <c r="F123" i="1" s="1"/>
  <c r="K123" i="1" s="1"/>
  <c r="D122" i="1"/>
  <c r="F122" i="1" s="1"/>
  <c r="K122" i="1" s="1"/>
  <c r="D117" i="1"/>
  <c r="F117" i="1" s="1"/>
  <c r="K117" i="1" s="1"/>
  <c r="A117" i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G116" i="1"/>
  <c r="F114" i="1"/>
  <c r="K114" i="1" s="1"/>
  <c r="D113" i="1"/>
  <c r="F113" i="1" s="1"/>
  <c r="E112" i="1"/>
  <c r="D111" i="1"/>
  <c r="F111" i="1" s="1"/>
  <c r="D110" i="1"/>
  <c r="F110" i="1" s="1"/>
  <c r="K110" i="1" s="1"/>
  <c r="D109" i="1"/>
  <c r="F109" i="1" s="1"/>
  <c r="D108" i="1"/>
  <c r="E107" i="1"/>
  <c r="D107" i="1"/>
  <c r="D106" i="1"/>
  <c r="E105" i="1"/>
  <c r="E96" i="1" l="1"/>
  <c r="C96" i="1"/>
  <c r="I109" i="1"/>
  <c r="K109" i="1"/>
  <c r="I118" i="1"/>
  <c r="K118" i="1"/>
  <c r="K113" i="1"/>
  <c r="I113" i="1"/>
  <c r="K111" i="1"/>
  <c r="I111" i="1"/>
  <c r="F112" i="1"/>
  <c r="K112" i="1" s="1"/>
  <c r="F104" i="1"/>
  <c r="K104" i="1" s="1"/>
  <c r="F103" i="1" l="1"/>
  <c r="K103" i="1" l="1"/>
  <c r="I103" i="1"/>
  <c r="F108" i="1"/>
  <c r="F107" i="1"/>
  <c r="K107" i="1" s="1"/>
  <c r="K108" i="1" l="1"/>
  <c r="I108" i="1"/>
  <c r="C14" i="1"/>
  <c r="E29" i="1" l="1"/>
  <c r="F105" i="1" l="1"/>
  <c r="F106" i="1"/>
  <c r="A104" i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G103" i="1"/>
  <c r="G96" i="1" l="1"/>
  <c r="J106" i="1"/>
  <c r="I106" i="1"/>
  <c r="K106" i="1"/>
  <c r="K105" i="1"/>
  <c r="F93" i="1"/>
  <c r="B147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9" i="1"/>
  <c r="J77" i="1"/>
  <c r="J76" i="1"/>
  <c r="J75" i="1"/>
  <c r="J74" i="1"/>
  <c r="C66" i="1"/>
  <c r="D55" i="1"/>
  <c r="G49" i="1"/>
  <c r="C49" i="1"/>
  <c r="E42" i="1"/>
  <c r="E43" i="1" s="1"/>
  <c r="E26" i="1"/>
  <c r="E24" i="1"/>
  <c r="E7" i="1"/>
  <c r="E3" i="1"/>
  <c r="H67" i="1"/>
  <c r="D60" i="1" l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l="1"/>
  <c r="D72" i="1"/>
  <c r="J68" i="1"/>
  <c r="D70" i="1"/>
  <c r="J79" i="1" l="1"/>
  <c r="C71" i="1" s="1"/>
  <c r="D71" i="1" l="1"/>
  <c r="I67" i="1" s="1"/>
  <c r="I68" i="1" s="1"/>
  <c r="G70" i="1"/>
  <c r="D64" i="1" s="1"/>
  <c r="E70" i="1"/>
  <c r="J67" i="1"/>
  <c r="F65" i="1" l="1"/>
  <c r="D65" i="1"/>
  <c r="I66" i="1"/>
  <c r="C68" i="1" s="1"/>
</calcChain>
</file>

<file path=xl/sharedStrings.xml><?xml version="1.0" encoding="utf-8"?>
<sst xmlns="http://schemas.openxmlformats.org/spreadsheetml/2006/main" count="250" uniqueCount="218">
  <si>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</si>
  <si>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</si>
  <si>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</si>
  <si>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</si>
  <si>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</si>
  <si>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</si>
  <si>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</si>
  <si>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</si>
  <si>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</si>
  <si>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</si>
  <si>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</si>
  <si>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</si>
  <si>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</si>
  <si>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</si>
  <si>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</si>
  <si>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</si>
  <si>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</si>
  <si>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</si>
  <si>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</si>
  <si>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</si>
  <si>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</si>
  <si>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</si>
  <si>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</si>
  <si>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</si>
  <si>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</si>
  <si>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</si>
  <si>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</si>
  <si>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</si>
  <si>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</si>
  <si>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</si>
  <si>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</si>
  <si>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</si>
  <si>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</si>
  <si>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</si>
  <si>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</si>
  <si>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</si>
  <si>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</si>
  <si>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</si>
  <si>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</si>
  <si>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</si>
  <si>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</si>
  <si>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</si>
  <si>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</si>
  <si>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</si>
  <si>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</si>
  <si>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</si>
  <si>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</si>
  <si>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</si>
  <si>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</si>
  <si>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</si>
  <si>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</si>
  <si>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</si>
  <si>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</si>
  <si>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</si>
  <si>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</si>
  <si>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</si>
  <si>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</si>
  <si>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</si>
  <si>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</si>
  <si>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</si>
  <si>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</si>
  <si>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</si>
  <si>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</si>
  <si>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</si>
  <si>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</si>
  <si>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</si>
  <si>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</si>
  <si>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</si>
  <si>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</si>
  <si>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</si>
  <si>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</si>
  <si>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</si>
  <si>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</si>
  <si>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</si>
  <si>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</si>
  <si>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</si>
  <si>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</si>
  <si>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</si>
  <si>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</si>
  <si>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</si>
  <si>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</si>
  <si>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</si>
  <si>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</si>
  <si>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</si>
  <si>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</si>
  <si>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</si>
  <si>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</si>
  <si>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</si>
  <si>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</si>
  <si>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</si>
  <si>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</si>
  <si>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</si>
  <si>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</si>
  <si>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</si>
  <si>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</si>
  <si>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</si>
  <si>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</si>
  <si>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</si>
  <si>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</si>
  <si>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</si>
  <si>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</si>
  <si>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</si>
  <si>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</si>
  <si>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</si>
  <si>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</si>
  <si>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</si>
  <si>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</si>
  <si>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</si>
  <si>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</si>
  <si>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</si>
  <si>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</si>
  <si>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</si>
  <si>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</si>
  <si>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</si>
  <si>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</si>
  <si>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</si>
  <si>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</si>
  <si>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</si>
  <si>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</si>
  <si>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</si>
  <si>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</si>
  <si>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</si>
  <si>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</si>
  <si>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</si>
  <si>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</si>
  <si>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</si>
  <si>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</si>
  <si>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</si>
  <si>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</si>
  <si>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</si>
  <si>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</si>
  <si>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</si>
  <si>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</si>
  <si>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</si>
  <si>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</si>
  <si>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</si>
  <si>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</si>
  <si>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</si>
  <si>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</si>
  <si>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</si>
  <si>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</si>
  <si>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</si>
  <si>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</si>
  <si>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</si>
  <si>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</si>
  <si>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</si>
  <si>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</si>
  <si>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</si>
  <si>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</si>
  <si>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</si>
  <si>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</si>
  <si>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</si>
  <si>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</si>
  <si>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</si>
  <si>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</si>
  <si>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</si>
  <si>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</si>
  <si>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</si>
  <si>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</si>
  <si>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</si>
  <si>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</si>
  <si>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</si>
  <si>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</si>
  <si>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</si>
  <si>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</si>
  <si>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</si>
  <si>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Shree Sai Developers</t>
  </si>
  <si>
    <t>Alampata</t>
  </si>
  <si>
    <t>1 Building</t>
  </si>
  <si>
    <t>P52000035080</t>
  </si>
  <si>
    <t>Approved Plans, CC, Sale Plans</t>
  </si>
  <si>
    <t>https://goo.gl/maps/W1V5cA9AHwP8LWVp6</t>
  </si>
  <si>
    <t>Shiddheshwar Shiv Mandir</t>
  </si>
  <si>
    <t>Taloja Malkur Village</t>
  </si>
  <si>
    <t>Internal Road</t>
  </si>
  <si>
    <t>Raigad</t>
  </si>
  <si>
    <t>Panvel</t>
  </si>
  <si>
    <t>Survey No</t>
  </si>
  <si>
    <t>Taloje Majkur</t>
  </si>
  <si>
    <t>Taloja</t>
  </si>
  <si>
    <t>Axis Sanpada</t>
  </si>
  <si>
    <t>2.6KM from Taloja Panchnand Railway Station</t>
  </si>
  <si>
    <t>Panvel Municipal Corporation</t>
  </si>
  <si>
    <t>As per RERA - 31/12/2026</t>
  </si>
  <si>
    <t>Ground Floor For Parking</t>
  </si>
  <si>
    <t>2nd, 4th, 6th Floor</t>
  </si>
  <si>
    <t>Refuge Area</t>
  </si>
  <si>
    <t>8th Floor (Part Refuge Area)</t>
  </si>
  <si>
    <t>We considered Gross carpet area = Net carpet + Enclose balcony + Balcony.</t>
  </si>
  <si>
    <t>Taloja River</t>
  </si>
  <si>
    <t>Neem Vatika Residency</t>
  </si>
  <si>
    <t>rate sheet</t>
  </si>
  <si>
    <t>visitor</t>
  </si>
  <si>
    <t xml:space="preserve">Builder </t>
  </si>
  <si>
    <t>Pro</t>
  </si>
  <si>
    <t>Builder</t>
  </si>
  <si>
    <t>pro</t>
  </si>
  <si>
    <t>Site Meet Contact Details ( Name &amp; Contact No.)</t>
  </si>
  <si>
    <t>Office No. 1031, Wing J, Akshar Business Park, Plot No. 03 Sector 25, Near APMC Market,
Vashi, Navi Mumbai, Maharashtra 400703 TEL: 022-46090378/79/80                                                                                             E mail : vsjcapf@gmail.com. Web site : www.vsjadon.com</t>
  </si>
  <si>
    <t>PMC/TP/Taloja Majkur/129/21-24/16031/1660/2024</t>
  </si>
  <si>
    <t>PMP/NRV/16031/1660/2024</t>
  </si>
  <si>
    <t>Gr./Stilt + 1st to 10th Floor</t>
  </si>
  <si>
    <t>1st, 3rd, 5th, 7th &amp; 9th Floor For Residential</t>
  </si>
  <si>
    <t>10th Floor (Part Terrace Area)</t>
  </si>
  <si>
    <t>Terrace Area</t>
  </si>
  <si>
    <t>Flats - 109</t>
  </si>
  <si>
    <t xml:space="preserve">We have updated revised approved floor plan &amp; C.C (on 28/09/2024).
</t>
  </si>
  <si>
    <t xml:space="preserve">CRZ </t>
  </si>
  <si>
    <t>As per the latest layout, Survey No. 129, on which the project is situated, falls under the CRZ II zone. Provide CRZ NOC.</t>
  </si>
  <si>
    <t>Mr. Prajwal : 9323789769</t>
  </si>
  <si>
    <t>As per conversation with bank official and builder, the revised proposed structure has been revised to Gr + 1st to 10th Floor. Therefore, we have changed the stage of construction as per the proposed structure. Architecture letter attached below.</t>
  </si>
  <si>
    <t>Remark No. 11</t>
  </si>
  <si>
    <t>Mr. Sunil Peravi</t>
  </si>
  <si>
    <t>Latitude,Longitude</t>
  </si>
  <si>
    <t>19.083344,73.0993068</t>
  </si>
  <si>
    <t>Construction work is in process at the time of visit. (labour found).</t>
  </si>
  <si>
    <t>Security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</si>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</sst>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20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298</xdr:row>
      <xdr:rowOff>0</xdr:rowOff>
    </xdr:from>
    <xdr:to>
      <xdr:col>7</xdr:col>
      <xdr:colOff>245025</xdr:colOff>
      <xdr:row>314</xdr:row>
      <xdr:rowOff>114601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0550" y="54473475"/>
          <a:ext cx="5760000" cy="33150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590550</xdr:colOff>
      <xdr:row>316</xdr:row>
      <xdr:rowOff>89534</xdr:rowOff>
    </xdr:from>
    <xdr:to>
      <xdr:col>7</xdr:col>
      <xdr:colOff>245025</xdr:colOff>
      <xdr:row>333</xdr:row>
      <xdr:rowOff>4109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0550" y="58163459"/>
          <a:ext cx="5760000" cy="33150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47625</xdr:colOff>
      <xdr:row>255</xdr:row>
      <xdr:rowOff>28575</xdr:rowOff>
    </xdr:from>
    <xdr:to>
      <xdr:col>7</xdr:col>
      <xdr:colOff>796871</xdr:colOff>
      <xdr:row>272</xdr:row>
      <xdr:rowOff>93675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0800000">
          <a:off x="47625" y="42529125"/>
          <a:ext cx="6445196" cy="3456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47627</xdr:colOff>
      <xdr:row>273</xdr:row>
      <xdr:rowOff>98495</xdr:rowOff>
    </xdr:from>
    <xdr:to>
      <xdr:col>7</xdr:col>
      <xdr:colOff>741092</xdr:colOff>
      <xdr:row>292</xdr:row>
      <xdr:rowOff>114020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7" y="46189970"/>
          <a:ext cx="6389415" cy="3816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512967</xdr:colOff>
      <xdr:row>280</xdr:row>
      <xdr:rowOff>152906</xdr:rowOff>
    </xdr:from>
    <xdr:to>
      <xdr:col>4</xdr:col>
      <xdr:colOff>112155</xdr:colOff>
      <xdr:row>287</xdr:row>
      <xdr:rowOff>106043</xdr:rowOff>
    </xdr:to>
    <xdr:sp macro="" textlink="">
      <xdr:nvSpPr>
        <xdr:cNvPr id="31" name="Freeform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075067" y="47644556"/>
          <a:ext cx="1389888" cy="1353312"/>
        </a:xfrm>
        <a:custGeom>
          <a:avLst/>
          <a:gdLst>
            <a:gd name="connsiteX0" fmla="*/ 201168 w 1389888"/>
            <a:gd name="connsiteY0" fmla="*/ 0 h 1353312"/>
            <a:gd name="connsiteX1" fmla="*/ 0 w 1389888"/>
            <a:gd name="connsiteY1" fmla="*/ 749808 h 1353312"/>
            <a:gd name="connsiteX2" fmla="*/ 182880 w 1389888"/>
            <a:gd name="connsiteY2" fmla="*/ 932688 h 1353312"/>
            <a:gd name="connsiteX3" fmla="*/ 420624 w 1389888"/>
            <a:gd name="connsiteY3" fmla="*/ 1042416 h 1353312"/>
            <a:gd name="connsiteX4" fmla="*/ 658368 w 1389888"/>
            <a:gd name="connsiteY4" fmla="*/ 1170432 h 1353312"/>
            <a:gd name="connsiteX5" fmla="*/ 1389888 w 1389888"/>
            <a:gd name="connsiteY5" fmla="*/ 1353312 h 1353312"/>
            <a:gd name="connsiteX6" fmla="*/ 310896 w 1389888"/>
            <a:gd name="connsiteY6" fmla="*/ 18288 h 13533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389888" h="1353312">
              <a:moveTo>
                <a:pt x="201168" y="0"/>
              </a:moveTo>
              <a:lnTo>
                <a:pt x="0" y="749808"/>
              </a:lnTo>
              <a:lnTo>
                <a:pt x="182880" y="932688"/>
              </a:lnTo>
              <a:lnTo>
                <a:pt x="420624" y="1042416"/>
              </a:lnTo>
              <a:lnTo>
                <a:pt x="658368" y="1170432"/>
              </a:lnTo>
              <a:lnTo>
                <a:pt x="1389888" y="1353312"/>
              </a:lnTo>
              <a:lnTo>
                <a:pt x="310896" y="18288"/>
              </a:lnTo>
            </a:path>
          </a:pathLst>
        </a:cu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3</xdr:col>
      <xdr:colOff>455668</xdr:colOff>
      <xdr:row>257</xdr:row>
      <xdr:rowOff>97148</xdr:rowOff>
    </xdr:from>
    <xdr:to>
      <xdr:col>4</xdr:col>
      <xdr:colOff>455342</xdr:colOff>
      <xdr:row>270</xdr:row>
      <xdr:rowOff>76642</xdr:rowOff>
    </xdr:to>
    <xdr:sp macro="" textlink="">
      <xdr:nvSpPr>
        <xdr:cNvPr id="32" name="Arc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 rot="17670142">
          <a:off x="2046908" y="43806808"/>
          <a:ext cx="2579819" cy="942649"/>
        </a:xfrm>
        <a:prstGeom prst="arc">
          <a:avLst>
            <a:gd name="adj1" fmla="val 10912650"/>
            <a:gd name="adj2" fmla="val 206086"/>
          </a:avLst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323828</xdr:colOff>
      <xdr:row>257</xdr:row>
      <xdr:rowOff>175839</xdr:rowOff>
    </xdr:from>
    <xdr:to>
      <xdr:col>7</xdr:col>
      <xdr:colOff>129246</xdr:colOff>
      <xdr:row>269</xdr:row>
      <xdr:rowOff>97824</xdr:rowOff>
    </xdr:to>
    <xdr:sp macro="" textlink="">
      <xdr:nvSpPr>
        <xdr:cNvPr id="33" name="Freeform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2733653" y="43066914"/>
          <a:ext cx="3091543" cy="2322285"/>
        </a:xfrm>
        <a:custGeom>
          <a:avLst/>
          <a:gdLst>
            <a:gd name="connsiteX0" fmla="*/ 1175657 w 3091543"/>
            <a:gd name="connsiteY0" fmla="*/ 43542 h 2322285"/>
            <a:gd name="connsiteX1" fmla="*/ 1117600 w 3091543"/>
            <a:gd name="connsiteY1" fmla="*/ 0 h 2322285"/>
            <a:gd name="connsiteX2" fmla="*/ 1654628 w 3091543"/>
            <a:gd name="connsiteY2" fmla="*/ 246742 h 2322285"/>
            <a:gd name="connsiteX3" fmla="*/ 2206171 w 3091543"/>
            <a:gd name="connsiteY3" fmla="*/ 333828 h 2322285"/>
            <a:gd name="connsiteX4" fmla="*/ 3091543 w 3091543"/>
            <a:gd name="connsiteY4" fmla="*/ 914400 h 2322285"/>
            <a:gd name="connsiteX5" fmla="*/ 1291771 w 3091543"/>
            <a:gd name="connsiteY5" fmla="*/ 1262742 h 2322285"/>
            <a:gd name="connsiteX6" fmla="*/ 0 w 3091543"/>
            <a:gd name="connsiteY6" fmla="*/ 2322285 h 2322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091543" h="2322285">
              <a:moveTo>
                <a:pt x="1175657" y="43542"/>
              </a:moveTo>
              <a:lnTo>
                <a:pt x="1117600" y="0"/>
              </a:lnTo>
              <a:lnTo>
                <a:pt x="1654628" y="246742"/>
              </a:lnTo>
              <a:lnTo>
                <a:pt x="2206171" y="333828"/>
              </a:lnTo>
              <a:lnTo>
                <a:pt x="3091543" y="914400"/>
              </a:lnTo>
              <a:lnTo>
                <a:pt x="1291771" y="1262742"/>
              </a:lnTo>
              <a:lnTo>
                <a:pt x="0" y="2322285"/>
              </a:lnTo>
            </a:path>
          </a:pathLst>
        </a:cu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11</xdr:col>
      <xdr:colOff>66675</xdr:colOff>
      <xdr:row>201</xdr:row>
      <xdr:rowOff>123825</xdr:rowOff>
    </xdr:from>
    <xdr:to>
      <xdr:col>13</xdr:col>
      <xdr:colOff>419100</xdr:colOff>
      <xdr:row>205</xdr:row>
      <xdr:rowOff>123825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20200" y="40938450"/>
          <a:ext cx="1847850" cy="800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 b="1">
            <a:solidFill>
              <a:srgbClr val="C00000"/>
            </a:solidFill>
          </a:endParaRPr>
        </a:p>
      </xdr:txBody>
    </xdr:sp>
    <xdr:clientData/>
  </xdr:twoCellAnchor>
  <xdr:twoCellAnchor editAs="oneCell">
    <xdr:from>
      <xdr:col>1</xdr:col>
      <xdr:colOff>400050</xdr:colOff>
      <xdr:row>213</xdr:row>
      <xdr:rowOff>24195</xdr:rowOff>
    </xdr:from>
    <xdr:to>
      <xdr:col>6</xdr:col>
      <xdr:colOff>323326</xdr:colOff>
      <xdr:row>241</xdr:row>
      <xdr:rowOff>193020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b="-1404"/>
        <a:stretch/>
      </xdr:blipFill>
      <xdr:spPr>
        <a:xfrm rot="16200000">
          <a:off x="320138" y="50472307"/>
          <a:ext cx="5760000" cy="407617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304800</xdr:colOff>
      <xdr:row>167</xdr:row>
      <xdr:rowOff>171450</xdr:rowOff>
    </xdr:from>
    <xdr:to>
      <xdr:col>15</xdr:col>
      <xdr:colOff>238388</xdr:colOff>
      <xdr:row>205</xdr:row>
      <xdr:rowOff>162765</xdr:rowOff>
    </xdr:to>
    <xdr:grpSp>
      <xdr:nvGrpSpPr>
        <xdr:cNvPr id="5" name="Group 4"/>
        <xdr:cNvGrpSpPr/>
      </xdr:nvGrpSpPr>
      <xdr:grpSpPr>
        <a:xfrm>
          <a:off x="7150100" y="33553400"/>
          <a:ext cx="5813688" cy="7465265"/>
          <a:chOff x="514350" y="34309050"/>
          <a:chExt cx="5553338" cy="7582740"/>
        </a:xfrm>
      </xdr:grpSpPr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4B2339DA-E4D9-41AA-81B0-B02C46330C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4350" y="34309050"/>
            <a:ext cx="269718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CAD79D-B0B1-428F-A7C0-718917C45E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0501" y="34314647"/>
            <a:ext cx="269718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C751749E-31EB-4A64-8F2C-E1AB9FA0D1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86215" y="38095347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1BD152D8-9EF2-40A0-9318-6DDFFD1C4B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40699" y="38095347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E0970074-FFC1-4897-A226-04D3C4CF1B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16515" y="38093390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0CA9C298-D7CF-43A7-8C7F-5A1E45123B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6914" y="40431005"/>
            <a:ext cx="1078875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66848723-0DB5-4761-9EF9-DE1545671F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80770" y="40450582"/>
            <a:ext cx="1078875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>
            <a:extLst>
              <a:ext uri="{FF2B5EF4-FFF2-40B4-BE49-F238E27FC236}">
                <a16:creationId xmlns:a16="http://schemas.microsoft.com/office/drawing/2014/main" id="{B8CCBE31-13A4-4897-9A83-28BD73B691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06876" y="40451790"/>
            <a:ext cx="1078875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165100</xdr:colOff>
      <xdr:row>169</xdr:row>
      <xdr:rowOff>82550</xdr:rowOff>
    </xdr:from>
    <xdr:to>
      <xdr:col>7</xdr:col>
      <xdr:colOff>701592</xdr:colOff>
      <xdr:row>208</xdr:row>
      <xdr:rowOff>136166</xdr:rowOff>
    </xdr:to>
    <xdr:grpSp>
      <xdr:nvGrpSpPr>
        <xdr:cNvPr id="6" name="Group 5"/>
        <xdr:cNvGrpSpPr/>
      </xdr:nvGrpSpPr>
      <xdr:grpSpPr>
        <a:xfrm>
          <a:off x="165100" y="33858200"/>
          <a:ext cx="6511842" cy="7724416"/>
          <a:chOff x="165100" y="33858200"/>
          <a:chExt cx="6511842" cy="7724416"/>
        </a:xfrm>
      </xdr:grpSpPr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39545" y="3953061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100" y="338582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8061" y="338582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3108" y="36694408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9104" y="338582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100" y="3953061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9104" y="36694408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100" y="3671946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1717" y="3953061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3889" y="3953061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4</xdr:col>
      <xdr:colOff>416030</xdr:colOff>
      <xdr:row>30</xdr:row>
      <xdr:rowOff>22500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868706"/>
          <a:ext cx="512250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32</xdr:row>
      <xdr:rowOff>36662</xdr:rowOff>
    </xdr:from>
    <xdr:to>
      <xdr:col>4</xdr:col>
      <xdr:colOff>416030</xdr:colOff>
      <xdr:row>47</xdr:row>
      <xdr:rowOff>59162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6143868"/>
          <a:ext cx="512250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W1V5cA9AHwP8LWVp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40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39" customWidth="1"/>
    <col min="2" max="2" width="12" style="39" customWidth="1"/>
    <col min="3" max="3" width="12.7265625" style="39" customWidth="1"/>
    <col min="4" max="4" width="14.1796875" style="39" customWidth="1"/>
    <col min="5" max="7" width="11.7265625" style="39" customWidth="1"/>
    <col min="8" max="8" width="12.453125" style="39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12" ht="46.5" customHeight="1" x14ac:dyDescent="0.35">
      <c r="A1" s="140" t="s">
        <v>198</v>
      </c>
      <c r="B1" s="140"/>
      <c r="C1" s="140"/>
      <c r="D1" s="140"/>
      <c r="E1" s="140"/>
      <c r="F1" s="140"/>
      <c r="G1" s="140"/>
      <c r="H1" s="140"/>
    </row>
    <row r="2" spans="1:12" ht="16.5" customHeight="1" x14ac:dyDescent="0.35">
      <c r="A2" s="119" t="s">
        <v>0</v>
      </c>
      <c r="B2" s="119"/>
      <c r="C2" s="119"/>
      <c r="D2" s="119"/>
      <c r="E2" s="119"/>
      <c r="F2" s="119"/>
      <c r="G2" s="119"/>
      <c r="H2" s="119"/>
    </row>
    <row r="3" spans="1:12" x14ac:dyDescent="0.35">
      <c r="A3" s="84" t="s">
        <v>1</v>
      </c>
      <c r="B3" s="84"/>
      <c r="C3" s="84"/>
      <c r="D3" s="84"/>
      <c r="E3" s="84" t="str">
        <f ca="1">TEXT(TODAY(),"DD/MM/YYYY")</f>
        <v>14/07/2025</v>
      </c>
      <c r="F3" s="84"/>
      <c r="G3" s="84"/>
      <c r="H3" s="84"/>
    </row>
    <row r="4" spans="1:12" ht="15" customHeight="1" x14ac:dyDescent="0.35">
      <c r="A4" s="84" t="s">
        <v>2</v>
      </c>
      <c r="B4" s="84"/>
      <c r="C4" s="84"/>
      <c r="D4" s="84"/>
      <c r="E4" s="84" t="s">
        <v>180</v>
      </c>
      <c r="F4" s="84"/>
      <c r="G4" s="84"/>
      <c r="H4" s="84"/>
    </row>
    <row r="5" spans="1:12" x14ac:dyDescent="0.35">
      <c r="A5" s="84" t="s">
        <v>3</v>
      </c>
      <c r="B5" s="84"/>
      <c r="C5" s="84"/>
      <c r="D5" s="84"/>
      <c r="E5" s="141">
        <v>45849</v>
      </c>
      <c r="F5" s="84"/>
      <c r="G5" s="84"/>
      <c r="H5" s="84"/>
    </row>
    <row r="6" spans="1:12" ht="16.5" customHeight="1" x14ac:dyDescent="0.35">
      <c r="A6" s="84" t="s">
        <v>4</v>
      </c>
      <c r="B6" s="84"/>
      <c r="C6" s="84"/>
      <c r="D6" s="84"/>
      <c r="E6" s="84" t="s">
        <v>166</v>
      </c>
      <c r="F6" s="84"/>
      <c r="G6" s="84"/>
      <c r="H6" s="84"/>
    </row>
    <row r="7" spans="1:12" ht="15" customHeight="1" x14ac:dyDescent="0.35">
      <c r="A7" s="84" t="s">
        <v>5</v>
      </c>
      <c r="B7" s="84"/>
      <c r="C7" s="84"/>
      <c r="D7" s="84"/>
      <c r="E7" s="84" t="str">
        <f>E6</f>
        <v>Shree Sai Developers</v>
      </c>
      <c r="F7" s="84"/>
      <c r="G7" s="84"/>
      <c r="H7" s="84"/>
    </row>
    <row r="8" spans="1:12" x14ac:dyDescent="0.35">
      <c r="A8" s="84" t="s">
        <v>6</v>
      </c>
      <c r="B8" s="84"/>
      <c r="C8" s="84"/>
      <c r="D8" s="84"/>
      <c r="E8" s="111" t="s">
        <v>167</v>
      </c>
      <c r="F8" s="111"/>
      <c r="G8" s="111"/>
      <c r="H8" s="111"/>
    </row>
    <row r="9" spans="1:12" x14ac:dyDescent="0.35">
      <c r="A9" s="84" t="s">
        <v>121</v>
      </c>
      <c r="B9" s="84"/>
      <c r="C9" s="84"/>
      <c r="D9" s="84"/>
      <c r="E9" s="84">
        <v>9323789769</v>
      </c>
      <c r="F9" s="84"/>
      <c r="G9" s="84"/>
      <c r="H9" s="84"/>
    </row>
    <row r="10" spans="1:12" x14ac:dyDescent="0.35">
      <c r="A10" s="84" t="s">
        <v>197</v>
      </c>
      <c r="B10" s="84"/>
      <c r="C10" s="84"/>
      <c r="D10" s="84"/>
      <c r="E10" s="84" t="s">
        <v>216</v>
      </c>
      <c r="F10" s="84"/>
      <c r="G10" s="84"/>
      <c r="H10" s="84"/>
      <c r="I10" s="84" t="s">
        <v>209</v>
      </c>
      <c r="J10" s="84"/>
      <c r="K10" s="84"/>
      <c r="L10" s="84"/>
    </row>
    <row r="11" spans="1:12" x14ac:dyDescent="0.35">
      <c r="A11" s="84" t="s">
        <v>7</v>
      </c>
      <c r="B11" s="84"/>
      <c r="C11" s="84"/>
      <c r="D11" s="84"/>
      <c r="E11" s="84" t="s">
        <v>168</v>
      </c>
      <c r="F11" s="84"/>
      <c r="G11" s="84"/>
      <c r="H11" s="84"/>
    </row>
    <row r="12" spans="1:12" ht="17.25" customHeight="1" x14ac:dyDescent="0.35">
      <c r="A12" s="63" t="s">
        <v>8</v>
      </c>
      <c r="B12" s="63"/>
      <c r="C12" s="63"/>
      <c r="D12" s="63"/>
      <c r="E12" s="83" t="s">
        <v>170</v>
      </c>
      <c r="F12" s="142"/>
      <c r="G12" s="142"/>
      <c r="H12" s="142"/>
    </row>
    <row r="13" spans="1:12" x14ac:dyDescent="0.35">
      <c r="A13" s="63" t="s">
        <v>9</v>
      </c>
      <c r="B13" s="63"/>
      <c r="C13" s="63"/>
      <c r="D13" s="63"/>
      <c r="E13" s="83" t="s">
        <v>169</v>
      </c>
      <c r="F13" s="84"/>
      <c r="G13" s="84"/>
      <c r="H13" s="84"/>
    </row>
    <row r="14" spans="1:12" ht="32.25" customHeight="1" x14ac:dyDescent="0.35">
      <c r="A14" s="94" t="s">
        <v>10</v>
      </c>
      <c r="B14" s="94"/>
      <c r="C14" s="94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Alampata, Survey No.129, near Neem Vatika Residency, Internal Road, , Taloje Majkur, Taloja, Panvel, Raigad - 410208.</v>
      </c>
      <c r="D14" s="94"/>
      <c r="E14" s="94"/>
      <c r="F14" s="94"/>
      <c r="G14" s="94"/>
      <c r="H14" s="94"/>
    </row>
    <row r="15" spans="1:12" x14ac:dyDescent="0.35">
      <c r="A15" s="83" t="s">
        <v>177</v>
      </c>
      <c r="B15" s="83"/>
      <c r="C15" s="83">
        <v>129</v>
      </c>
      <c r="D15" s="83"/>
      <c r="E15" s="83"/>
      <c r="F15" s="83"/>
      <c r="G15" s="83"/>
      <c r="H15" s="83"/>
    </row>
    <row r="16" spans="1:12" ht="15.75" hidden="1" customHeight="1" x14ac:dyDescent="0.35">
      <c r="A16" s="168" t="s">
        <v>163</v>
      </c>
      <c r="B16" s="169"/>
      <c r="C16" s="168" t="s">
        <v>30</v>
      </c>
      <c r="D16" s="170"/>
      <c r="E16" s="170"/>
      <c r="F16" s="170"/>
      <c r="G16" s="170"/>
      <c r="H16" s="169"/>
    </row>
    <row r="17" spans="1:8" ht="15.75" customHeight="1" x14ac:dyDescent="0.35">
      <c r="A17" s="94" t="s">
        <v>11</v>
      </c>
      <c r="B17" s="94"/>
      <c r="C17" s="84" t="s">
        <v>174</v>
      </c>
      <c r="D17" s="84"/>
      <c r="E17" s="94" t="s">
        <v>164</v>
      </c>
      <c r="F17" s="94"/>
      <c r="G17" s="83" t="s">
        <v>178</v>
      </c>
      <c r="H17" s="83"/>
    </row>
    <row r="18" spans="1:8" x14ac:dyDescent="0.35">
      <c r="A18" s="63" t="s">
        <v>13</v>
      </c>
      <c r="B18" s="63"/>
      <c r="C18" s="83" t="s">
        <v>179</v>
      </c>
      <c r="D18" s="83"/>
      <c r="E18" s="94" t="s">
        <v>12</v>
      </c>
      <c r="F18" s="94"/>
      <c r="G18" s="143" t="s">
        <v>175</v>
      </c>
      <c r="H18" s="143"/>
    </row>
    <row r="19" spans="1:8" x14ac:dyDescent="0.35">
      <c r="A19" s="63" t="s">
        <v>74</v>
      </c>
      <c r="B19" s="63"/>
      <c r="C19" s="83" t="s">
        <v>176</v>
      </c>
      <c r="D19" s="83"/>
      <c r="E19" s="94" t="s">
        <v>14</v>
      </c>
      <c r="F19" s="94"/>
      <c r="G19" s="83">
        <v>410208</v>
      </c>
      <c r="H19" s="83"/>
    </row>
    <row r="20" spans="1:8" ht="32.25" customHeight="1" x14ac:dyDescent="0.35">
      <c r="A20" s="63" t="s">
        <v>122</v>
      </c>
      <c r="B20" s="63"/>
      <c r="C20" s="83" t="s">
        <v>190</v>
      </c>
      <c r="D20" s="83"/>
      <c r="E20" s="94" t="s">
        <v>15</v>
      </c>
      <c r="F20" s="94"/>
      <c r="G20" s="83" t="s">
        <v>181</v>
      </c>
      <c r="H20" s="83"/>
    </row>
    <row r="21" spans="1:8" ht="15" customHeight="1" x14ac:dyDescent="0.35">
      <c r="A21" s="94" t="s">
        <v>76</v>
      </c>
      <c r="B21" s="94"/>
      <c r="C21" s="94"/>
      <c r="D21" s="94"/>
      <c r="E21" s="84" t="s">
        <v>16</v>
      </c>
      <c r="F21" s="84"/>
      <c r="G21" s="84"/>
      <c r="H21" s="84"/>
    </row>
    <row r="22" spans="1:8" ht="18.75" customHeight="1" x14ac:dyDescent="0.35">
      <c r="A22" s="94"/>
      <c r="B22" s="94"/>
      <c r="C22" s="94"/>
      <c r="D22" s="94"/>
      <c r="E22" s="84"/>
      <c r="F22" s="84"/>
      <c r="G22" s="84"/>
      <c r="H22" s="84"/>
    </row>
    <row r="23" spans="1:8" ht="15" customHeight="1" x14ac:dyDescent="0.35">
      <c r="A23" s="94" t="s">
        <v>17</v>
      </c>
      <c r="B23" s="94"/>
      <c r="C23" s="94"/>
      <c r="D23" s="94"/>
      <c r="E23" s="83" t="s">
        <v>18</v>
      </c>
      <c r="F23" s="83"/>
      <c r="G23" s="83"/>
      <c r="H23" s="83"/>
    </row>
    <row r="24" spans="1:8" ht="15" customHeight="1" x14ac:dyDescent="0.35">
      <c r="A24" s="63" t="s">
        <v>19</v>
      </c>
      <c r="B24" s="63"/>
      <c r="C24" s="63"/>
      <c r="D24" s="63"/>
      <c r="E24" s="83" t="str">
        <f>IF(AND(G18="Mumbai"),"Upper Class","Middle Class")</f>
        <v>Middle Class</v>
      </c>
      <c r="F24" s="83"/>
      <c r="G24" s="83"/>
      <c r="H24" s="83"/>
    </row>
    <row r="25" spans="1:8" x14ac:dyDescent="0.35">
      <c r="A25" s="63" t="s">
        <v>20</v>
      </c>
      <c r="B25" s="63"/>
      <c r="C25" s="63"/>
      <c r="D25" s="63"/>
      <c r="E25" s="83" t="s">
        <v>21</v>
      </c>
      <c r="F25" s="83"/>
      <c r="G25" s="83"/>
      <c r="H25" s="83"/>
    </row>
    <row r="26" spans="1:8" ht="15.75" customHeight="1" x14ac:dyDescent="0.35">
      <c r="A26" s="63" t="s">
        <v>22</v>
      </c>
      <c r="B26" s="63"/>
      <c r="C26" s="63"/>
      <c r="D26" s="63"/>
      <c r="E26" s="83" t="str">
        <f>IF(AND(G18="Mumbai"),"Developed","Developing")</f>
        <v>Developing</v>
      </c>
      <c r="F26" s="83"/>
      <c r="G26" s="83"/>
      <c r="H26" s="83"/>
    </row>
    <row r="27" spans="1:8" x14ac:dyDescent="0.35">
      <c r="A27" s="63" t="s">
        <v>23</v>
      </c>
      <c r="B27" s="63"/>
      <c r="C27" s="63"/>
      <c r="D27" s="63"/>
      <c r="E27" s="83" t="s">
        <v>24</v>
      </c>
      <c r="F27" s="83"/>
      <c r="G27" s="83"/>
      <c r="H27" s="83"/>
    </row>
    <row r="28" spans="1:8" ht="15.75" customHeight="1" x14ac:dyDescent="0.35">
      <c r="A28" s="63" t="s">
        <v>81</v>
      </c>
      <c r="B28" s="63"/>
      <c r="C28" s="63"/>
      <c r="D28" s="63"/>
      <c r="E28" s="83" t="s">
        <v>82</v>
      </c>
      <c r="F28" s="83"/>
      <c r="G28" s="83"/>
      <c r="H28" s="83"/>
    </row>
    <row r="29" spans="1:8" ht="15" customHeight="1" x14ac:dyDescent="0.35">
      <c r="A29" s="63" t="s">
        <v>33</v>
      </c>
      <c r="B29" s="63"/>
      <c r="C29" s="63"/>
      <c r="D29" s="63"/>
      <c r="E29" s="83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29" s="83"/>
      <c r="G29" s="83"/>
      <c r="H29" s="83"/>
    </row>
    <row r="30" spans="1:8" ht="15.75" customHeight="1" x14ac:dyDescent="0.35">
      <c r="A30" s="63" t="s">
        <v>93</v>
      </c>
      <c r="B30" s="63"/>
      <c r="C30" s="63"/>
      <c r="D30" s="63"/>
      <c r="E30" s="83" t="s">
        <v>34</v>
      </c>
      <c r="F30" s="83"/>
      <c r="G30" s="83"/>
      <c r="H30" s="83"/>
    </row>
    <row r="31" spans="1:8" s="22" customFormat="1" x14ac:dyDescent="0.35">
      <c r="A31" s="147" t="s">
        <v>94</v>
      </c>
      <c r="B31" s="147"/>
      <c r="C31" s="146" t="s">
        <v>29</v>
      </c>
      <c r="D31" s="146"/>
      <c r="E31" s="146"/>
      <c r="F31" s="146" t="s">
        <v>31</v>
      </c>
      <c r="G31" s="146"/>
      <c r="H31" s="146"/>
    </row>
    <row r="32" spans="1:8" s="22" customFormat="1" x14ac:dyDescent="0.35">
      <c r="A32" s="144" t="s">
        <v>25</v>
      </c>
      <c r="B32" s="144" t="s">
        <v>30</v>
      </c>
      <c r="C32" s="145" t="s">
        <v>30</v>
      </c>
      <c r="D32" s="145"/>
      <c r="E32" s="145"/>
      <c r="F32" s="145" t="s">
        <v>172</v>
      </c>
      <c r="G32" s="145"/>
      <c r="H32" s="145"/>
    </row>
    <row r="33" spans="1:8" x14ac:dyDescent="0.35">
      <c r="A33" s="144" t="s">
        <v>26</v>
      </c>
      <c r="B33" s="144" t="s">
        <v>30</v>
      </c>
      <c r="C33" s="145" t="s">
        <v>30</v>
      </c>
      <c r="D33" s="145"/>
      <c r="E33" s="145"/>
      <c r="F33" s="145" t="s">
        <v>190</v>
      </c>
      <c r="G33" s="145"/>
      <c r="H33" s="145"/>
    </row>
    <row r="34" spans="1:8" s="22" customFormat="1" x14ac:dyDescent="0.35">
      <c r="A34" s="144" t="s">
        <v>28</v>
      </c>
      <c r="B34" s="144" t="s">
        <v>30</v>
      </c>
      <c r="C34" s="145" t="s">
        <v>30</v>
      </c>
      <c r="D34" s="145"/>
      <c r="E34" s="145"/>
      <c r="F34" s="145" t="s">
        <v>173</v>
      </c>
      <c r="G34" s="145"/>
      <c r="H34" s="145"/>
    </row>
    <row r="35" spans="1:8" x14ac:dyDescent="0.35">
      <c r="A35" s="144" t="s">
        <v>27</v>
      </c>
      <c r="B35" s="144" t="s">
        <v>30</v>
      </c>
      <c r="C35" s="145" t="s">
        <v>30</v>
      </c>
      <c r="D35" s="145"/>
      <c r="E35" s="145"/>
      <c r="F35" s="145" t="s">
        <v>189</v>
      </c>
      <c r="G35" s="145"/>
      <c r="H35" s="145"/>
    </row>
    <row r="36" spans="1:8" x14ac:dyDescent="0.35">
      <c r="A36" s="63" t="s">
        <v>32</v>
      </c>
      <c r="B36" s="63"/>
      <c r="C36" s="63"/>
      <c r="D36" s="63"/>
      <c r="E36" s="63"/>
      <c r="F36" s="63"/>
      <c r="G36" s="63"/>
      <c r="H36" s="63"/>
    </row>
    <row r="37" spans="1:8" ht="15.75" customHeight="1" x14ac:dyDescent="0.35">
      <c r="A37" s="119" t="s">
        <v>213</v>
      </c>
      <c r="B37" s="119"/>
      <c r="C37" s="151" t="s">
        <v>214</v>
      </c>
      <c r="D37" s="152"/>
      <c r="E37" s="152"/>
      <c r="F37" s="152"/>
      <c r="G37" s="152"/>
      <c r="H37" s="153"/>
    </row>
    <row r="38" spans="1:8" x14ac:dyDescent="0.35">
      <c r="A38" s="119" t="s">
        <v>162</v>
      </c>
      <c r="B38" s="119"/>
      <c r="C38" s="171" t="s">
        <v>171</v>
      </c>
      <c r="D38" s="172"/>
      <c r="E38" s="172"/>
      <c r="F38" s="172"/>
      <c r="G38" s="172"/>
      <c r="H38" s="172"/>
    </row>
    <row r="39" spans="1:8" x14ac:dyDescent="0.35">
      <c r="A39" s="133" t="s">
        <v>35</v>
      </c>
      <c r="B39" s="133"/>
      <c r="C39" s="133"/>
      <c r="D39" s="133"/>
      <c r="E39" s="133"/>
      <c r="F39" s="133"/>
      <c r="G39" s="133"/>
      <c r="H39" s="133"/>
    </row>
    <row r="40" spans="1:8" x14ac:dyDescent="0.35">
      <c r="A40" s="63" t="s">
        <v>36</v>
      </c>
      <c r="B40" s="63"/>
      <c r="C40" s="63"/>
      <c r="D40" s="63"/>
      <c r="E40" s="148">
        <v>2320.1</v>
      </c>
      <c r="F40" s="148"/>
      <c r="G40" s="148"/>
      <c r="H40" s="148"/>
    </row>
    <row r="41" spans="1:8" x14ac:dyDescent="0.35">
      <c r="A41" s="63" t="s">
        <v>37</v>
      </c>
      <c r="B41" s="63"/>
      <c r="C41" s="63"/>
      <c r="D41" s="63"/>
      <c r="E41" s="62">
        <v>1.1000000000000001</v>
      </c>
      <c r="F41" s="62"/>
      <c r="G41" s="62"/>
      <c r="H41" s="62"/>
    </row>
    <row r="42" spans="1:8" x14ac:dyDescent="0.35">
      <c r="A42" s="63" t="s">
        <v>38</v>
      </c>
      <c r="B42" s="63"/>
      <c r="C42" s="63"/>
      <c r="D42" s="63"/>
      <c r="E42" s="62">
        <f>E44/E40-E41</f>
        <v>1.7643834317486315</v>
      </c>
      <c r="F42" s="62"/>
      <c r="G42" s="62"/>
      <c r="H42" s="62"/>
    </row>
    <row r="43" spans="1:8" x14ac:dyDescent="0.35">
      <c r="A43" s="63" t="s">
        <v>39</v>
      </c>
      <c r="B43" s="63"/>
      <c r="C43" s="63"/>
      <c r="D43" s="63"/>
      <c r="E43" s="62">
        <f>E41+E42</f>
        <v>2.8643834317486316</v>
      </c>
      <c r="F43" s="62"/>
      <c r="G43" s="62"/>
      <c r="H43" s="62"/>
    </row>
    <row r="44" spans="1:8" x14ac:dyDescent="0.35">
      <c r="A44" s="63" t="s">
        <v>92</v>
      </c>
      <c r="B44" s="63"/>
      <c r="C44" s="63"/>
      <c r="D44" s="63"/>
      <c r="E44" s="150">
        <v>6645.6559999999999</v>
      </c>
      <c r="F44" s="150"/>
      <c r="G44" s="150"/>
      <c r="H44" s="150"/>
    </row>
    <row r="45" spans="1:8" x14ac:dyDescent="0.35">
      <c r="A45" s="84" t="s">
        <v>40</v>
      </c>
      <c r="B45" s="84"/>
      <c r="C45" s="84"/>
      <c r="D45" s="84"/>
      <c r="E45" s="84" t="s">
        <v>168</v>
      </c>
      <c r="F45" s="84"/>
      <c r="G45" s="84"/>
      <c r="H45" s="84"/>
    </row>
    <row r="46" spans="1:8" x14ac:dyDescent="0.35">
      <c r="A46" s="133" t="s">
        <v>41</v>
      </c>
      <c r="B46" s="133"/>
      <c r="C46" s="133"/>
      <c r="D46" s="133"/>
      <c r="E46" s="133"/>
      <c r="F46" s="133"/>
      <c r="G46" s="133"/>
      <c r="H46" s="133"/>
    </row>
    <row r="47" spans="1:8" ht="33.75" customHeight="1" x14ac:dyDescent="0.35">
      <c r="A47" s="77" t="s">
        <v>151</v>
      </c>
      <c r="B47" s="78"/>
      <c r="C47" s="173" t="s">
        <v>182</v>
      </c>
      <c r="D47" s="174"/>
      <c r="E47" s="174"/>
      <c r="F47" s="174"/>
      <c r="G47" s="174"/>
      <c r="H47" s="175"/>
    </row>
    <row r="48" spans="1:8" ht="15.75" customHeight="1" x14ac:dyDescent="0.35">
      <c r="A48" s="77" t="s">
        <v>42</v>
      </c>
      <c r="B48" s="78"/>
      <c r="C48" s="77" t="s">
        <v>200</v>
      </c>
      <c r="D48" s="79"/>
      <c r="E48" s="78"/>
      <c r="F48" s="18" t="s">
        <v>43</v>
      </c>
      <c r="G48" s="80">
        <v>45462</v>
      </c>
      <c r="H48" s="78"/>
    </row>
    <row r="49" spans="1:14" x14ac:dyDescent="0.35">
      <c r="A49" s="77" t="s">
        <v>44</v>
      </c>
      <c r="B49" s="78"/>
      <c r="C49" s="77" t="str">
        <f>C48</f>
        <v>PMP/NRV/16031/1660/2024</v>
      </c>
      <c r="D49" s="79"/>
      <c r="E49" s="78"/>
      <c r="F49" s="18" t="s">
        <v>43</v>
      </c>
      <c r="G49" s="80">
        <f>G48</f>
        <v>45462</v>
      </c>
      <c r="H49" s="89"/>
    </row>
    <row r="50" spans="1:14" s="23" customFormat="1" ht="32.25" customHeight="1" x14ac:dyDescent="0.35">
      <c r="A50" s="90" t="s">
        <v>154</v>
      </c>
      <c r="B50" s="91"/>
      <c r="C50" s="77" t="s">
        <v>199</v>
      </c>
      <c r="D50" s="79"/>
      <c r="E50" s="78"/>
      <c r="F50" s="18" t="s">
        <v>43</v>
      </c>
      <c r="G50" s="80">
        <v>45462</v>
      </c>
      <c r="H50" s="78"/>
    </row>
    <row r="51" spans="1:14" s="23" customFormat="1" x14ac:dyDescent="0.35">
      <c r="A51" s="92"/>
      <c r="B51" s="93"/>
      <c r="C51" s="77" t="s">
        <v>201</v>
      </c>
      <c r="D51" s="79"/>
      <c r="E51" s="79"/>
      <c r="F51" s="79"/>
      <c r="G51" s="79"/>
      <c r="H51" s="78"/>
    </row>
    <row r="52" spans="1:14" hidden="1" x14ac:dyDescent="0.35">
      <c r="A52" s="98" t="s">
        <v>165</v>
      </c>
      <c r="B52" s="99"/>
      <c r="C52" s="85" t="s">
        <v>30</v>
      </c>
      <c r="D52" s="86"/>
      <c r="E52" s="87"/>
      <c r="F52" s="52" t="s">
        <v>43</v>
      </c>
      <c r="G52" s="96" t="s">
        <v>30</v>
      </c>
      <c r="H52" s="97"/>
    </row>
    <row r="53" spans="1:14" hidden="1" x14ac:dyDescent="0.35">
      <c r="A53" s="100"/>
      <c r="B53" s="101"/>
      <c r="C53" s="85" t="s">
        <v>30</v>
      </c>
      <c r="D53" s="86"/>
      <c r="E53" s="86"/>
      <c r="F53" s="86"/>
      <c r="G53" s="86"/>
      <c r="H53" s="87"/>
    </row>
    <row r="54" spans="1:14" x14ac:dyDescent="0.35">
      <c r="A54" s="102" t="s">
        <v>46</v>
      </c>
      <c r="B54" s="102"/>
      <c r="C54" s="102"/>
      <c r="D54" s="102"/>
      <c r="E54" s="102"/>
      <c r="F54" s="102"/>
      <c r="G54" s="102"/>
      <c r="H54" s="102"/>
    </row>
    <row r="55" spans="1:14" x14ac:dyDescent="0.35">
      <c r="A55" s="94" t="s">
        <v>91</v>
      </c>
      <c r="B55" s="94"/>
      <c r="C55" s="94"/>
      <c r="D55" s="63">
        <f>E44</f>
        <v>6645.6559999999999</v>
      </c>
      <c r="E55" s="63"/>
      <c r="F55" s="63"/>
      <c r="G55" s="63"/>
      <c r="H55" s="63"/>
    </row>
    <row r="56" spans="1:14" x14ac:dyDescent="0.35">
      <c r="A56" s="83" t="s">
        <v>47</v>
      </c>
      <c r="B56" s="84"/>
      <c r="C56" s="84"/>
      <c r="D56" s="84" t="s">
        <v>205</v>
      </c>
      <c r="E56" s="84"/>
      <c r="F56" s="84"/>
      <c r="G56" s="84"/>
      <c r="H56" s="84"/>
      <c r="I56" s="24"/>
    </row>
    <row r="57" spans="1:14" x14ac:dyDescent="0.35">
      <c r="A57" s="81" t="s">
        <v>48</v>
      </c>
      <c r="B57" s="82"/>
      <c r="C57" s="104"/>
      <c r="D57" s="95" t="s">
        <v>201</v>
      </c>
      <c r="E57" s="103"/>
      <c r="F57" s="103"/>
      <c r="G57" s="103"/>
      <c r="H57" s="103"/>
    </row>
    <row r="58" spans="1:14" ht="15.75" customHeight="1" x14ac:dyDescent="0.35">
      <c r="A58" s="81" t="s">
        <v>89</v>
      </c>
      <c r="B58" s="82"/>
      <c r="C58" s="82"/>
      <c r="D58" s="83" t="s">
        <v>201</v>
      </c>
      <c r="E58" s="84"/>
      <c r="F58" s="84"/>
      <c r="G58" s="84"/>
      <c r="H58" s="84"/>
    </row>
    <row r="59" spans="1:14" ht="15.75" customHeight="1" x14ac:dyDescent="0.35">
      <c r="A59" s="63" t="s">
        <v>45</v>
      </c>
      <c r="B59" s="63"/>
      <c r="C59" s="63"/>
      <c r="D59" s="149" t="s">
        <v>183</v>
      </c>
      <c r="E59" s="149"/>
      <c r="F59" s="149"/>
      <c r="G59" s="149"/>
      <c r="H59" s="149"/>
      <c r="J59" s="25"/>
      <c r="K59" s="24"/>
      <c r="N59" s="24"/>
    </row>
    <row r="60" spans="1:14" ht="15.75" customHeight="1" x14ac:dyDescent="0.35">
      <c r="A60" s="63" t="s">
        <v>87</v>
      </c>
      <c r="B60" s="63"/>
      <c r="C60" s="63"/>
      <c r="D60" s="88" t="str">
        <f>(IF(G52="NA","60 Years After Completion",IF(G52&lt;&gt;"NA",""&amp;60-ROUNDDOWN((E3-G52)/360,0)&amp;" Years"," ")))</f>
        <v>60 Years After Completion</v>
      </c>
      <c r="E60" s="88"/>
      <c r="F60" s="88"/>
      <c r="G60" s="88"/>
      <c r="H60" s="88"/>
      <c r="N60" s="24"/>
    </row>
    <row r="61" spans="1:14" ht="15.75" customHeight="1" x14ac:dyDescent="0.35">
      <c r="A61" s="63" t="s">
        <v>88</v>
      </c>
      <c r="B61" s="63"/>
      <c r="C61" s="63"/>
      <c r="D61" s="94" t="s">
        <v>24</v>
      </c>
      <c r="E61" s="94"/>
      <c r="F61" s="94"/>
      <c r="G61" s="94"/>
      <c r="H61" s="94"/>
      <c r="J61" s="26"/>
      <c r="K61" s="26"/>
    </row>
    <row r="62" spans="1:14" ht="15" hidden="1" customHeight="1" x14ac:dyDescent="0.35">
      <c r="A62" s="63" t="s">
        <v>75</v>
      </c>
      <c r="B62" s="63"/>
      <c r="C62" s="63"/>
      <c r="D62" s="83" t="s">
        <v>148</v>
      </c>
      <c r="E62" s="94"/>
      <c r="F62" s="94"/>
      <c r="G62" s="94"/>
      <c r="H62" s="94"/>
    </row>
    <row r="63" spans="1:14" x14ac:dyDescent="0.35">
      <c r="A63" s="94" t="s">
        <v>149</v>
      </c>
      <c r="B63" s="94"/>
      <c r="C63" s="94"/>
      <c r="D63" s="94" t="s">
        <v>30</v>
      </c>
      <c r="E63" s="94"/>
      <c r="F63" s="94"/>
      <c r="G63" s="94"/>
      <c r="H63" s="94"/>
      <c r="I63" s="27"/>
      <c r="J63" s="27"/>
      <c r="K63" s="27"/>
      <c r="L63" s="27"/>
      <c r="M63" s="27"/>
      <c r="N63" s="27"/>
    </row>
    <row r="64" spans="1:14" ht="15.75" customHeight="1" x14ac:dyDescent="0.35">
      <c r="A64" s="105" t="s">
        <v>86</v>
      </c>
      <c r="B64" s="105"/>
      <c r="C64" s="105"/>
      <c r="D64" s="95" t="str">
        <f ca="1">(IF(G70&gt;95%,"Nothing",IF(G70&gt;0%,"Cement, Aggregate, Steel, etc",IF(G70=0%,"Work not yet Started"))))</f>
        <v>Cement, Aggregate, Steel, etc</v>
      </c>
      <c r="E64" s="95"/>
      <c r="F64" s="95"/>
      <c r="G64" s="95"/>
      <c r="H64" s="95"/>
      <c r="J64" s="26"/>
    </row>
    <row r="65" spans="1:10" ht="33.75" customHeight="1" thickBot="1" x14ac:dyDescent="0.4">
      <c r="A65" s="124" t="s">
        <v>118</v>
      </c>
      <c r="B65" s="124"/>
      <c r="C65" s="124"/>
      <c r="D65" s="95" t="str">
        <f ca="1">(IF(D64="Nothing","Yes",IF(D64="Cement, Aggregate, Steel, etc","Under Construction",IF(D64="Work not yet Started","Work not yet Started"))))</f>
        <v>Under Construction</v>
      </c>
      <c r="E65" s="95"/>
      <c r="F65" s="95" t="str">
        <f ca="1">(IF(D64="Nothing","Yes",IF(D64="Cement, Aggregate, Steel, etc","Under Construction",IF(D64="Work not yet Started","Work not yet Started"))))</f>
        <v>Under Construction</v>
      </c>
      <c r="G65" s="95"/>
      <c r="H65" s="95"/>
    </row>
    <row r="66" spans="1:10" ht="15.75" customHeight="1" x14ac:dyDescent="0.35">
      <c r="A66" s="112" t="s">
        <v>140</v>
      </c>
      <c r="B66" s="113"/>
      <c r="C66" s="114" t="str">
        <f>D58</f>
        <v>Gr./Stilt + 1st to 10th Floor</v>
      </c>
      <c r="D66" s="115"/>
      <c r="E66" s="115"/>
      <c r="F66" s="115"/>
      <c r="G66" s="115"/>
      <c r="H66" s="116"/>
      <c r="I66" s="48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 Completed, Flooring upto 9 Floor, Painting upto 7 Floor Completed</v>
      </c>
      <c r="J66" s="49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Flooring upto 9 Floor, Painting upto 7 Floor</v>
      </c>
    </row>
    <row r="67" spans="1:10" x14ac:dyDescent="0.35">
      <c r="A67" s="16" t="s">
        <v>142</v>
      </c>
      <c r="B67" s="54">
        <v>0</v>
      </c>
      <c r="C67" s="54" t="s">
        <v>73</v>
      </c>
      <c r="D67" s="54">
        <v>1</v>
      </c>
      <c r="E67" s="54" t="s">
        <v>72</v>
      </c>
      <c r="F67" s="54">
        <v>0</v>
      </c>
      <c r="G67" s="46" t="s">
        <v>80</v>
      </c>
      <c r="H67" s="17">
        <f ca="1">--TRIM(RIGHT(SUBSTITUTE(LEFT(C66,_xlfn.AGGREGATE(16,6,FIND({0,1,2,3,4,5,6,7,8,9},C66,ROW(INDIRECT("1:"&amp;LEN(C66)))),1))," ",REPT(" ",LEN(C66))),LEN(C66)))</f>
        <v>10</v>
      </c>
      <c r="I67" s="50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</v>
      </c>
      <c r="J67" s="51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3.75" customHeight="1" x14ac:dyDescent="0.35">
      <c r="A68" s="110" t="s">
        <v>90</v>
      </c>
      <c r="B68" s="111"/>
      <c r="C68" s="117" t="str">
        <f ca="1">(IF($C$53=C66,"All work Completed. OC Received.",I66))</f>
        <v>Excavation, Plinth, RCC Slab, Brickwork, Internal Plaster, External Plaster Completed, Flooring upto 9 Floor, Painting upto 7 Floor Completed</v>
      </c>
      <c r="D68" s="117"/>
      <c r="E68" s="117"/>
      <c r="F68" s="117"/>
      <c r="G68" s="117"/>
      <c r="H68" s="118"/>
      <c r="I68" s="50" t="str">
        <f ca="1">IF(I67&lt;&gt;""," Completed","")</f>
        <v xml:space="preserve"> Completed</v>
      </c>
      <c r="J68" s="51" t="str">
        <f ca="1">IF(J66&lt;&gt;"","Completed","")</f>
        <v>Completed</v>
      </c>
    </row>
    <row r="69" spans="1:10" ht="15.75" customHeight="1" x14ac:dyDescent="0.35">
      <c r="A69" s="74" t="s">
        <v>49</v>
      </c>
      <c r="B69" s="75"/>
      <c r="C69" s="43" t="s">
        <v>139</v>
      </c>
      <c r="D69" s="43" t="s">
        <v>83</v>
      </c>
      <c r="E69" s="75" t="s">
        <v>85</v>
      </c>
      <c r="F69" s="75"/>
      <c r="G69" s="75" t="s">
        <v>84</v>
      </c>
      <c r="H69" s="106"/>
      <c r="I69" s="14" t="s">
        <v>141</v>
      </c>
      <c r="J69" s="28">
        <f ca="1">H67*25%</f>
        <v>2.5</v>
      </c>
    </row>
    <row r="70" spans="1:10" x14ac:dyDescent="0.35">
      <c r="A70" s="74" t="s">
        <v>128</v>
      </c>
      <c r="B70" s="75"/>
      <c r="C70" s="43">
        <f ca="1">J71</f>
        <v>10</v>
      </c>
      <c r="D70" s="19">
        <f ca="1">((100/H67)*C70)/100</f>
        <v>1</v>
      </c>
      <c r="E70" s="125">
        <f ca="1">(((C71/H67*10)+(40/(D67+F67+H67)*C72)+(7.5/(H67)*C73)+(7.5/(H67)*C74)+(10/H67*C75)+(10/H67*C76)+(5/H67*C77)+(5/H67*C78)+(5/H67*C79))/100)</f>
        <v>0.875</v>
      </c>
      <c r="F70" s="126"/>
      <c r="G70" s="125">
        <f ca="1">((((C70/H67)*20)+((C71/H67)*25)+(30/(H67+F67+D67)*C72)+(5/H67*C73)+(5/H67*C74)+(5/H67*C75)+(5/H67*C76)+(0/H67*C77)+(0/H67*C78)+(5/H67*C79))/100)</f>
        <v>0.94499999999999995</v>
      </c>
      <c r="H70" s="137"/>
      <c r="I70" s="14" t="s">
        <v>101</v>
      </c>
      <c r="J70" s="29">
        <f ca="1">H67*50%</f>
        <v>5</v>
      </c>
    </row>
    <row r="71" spans="1:10" x14ac:dyDescent="0.35">
      <c r="A71" s="74" t="s">
        <v>50</v>
      </c>
      <c r="B71" s="75"/>
      <c r="C71" s="55">
        <f ca="1">J79</f>
        <v>10</v>
      </c>
      <c r="D71" s="19">
        <f ca="1">((100/H67)*C71)/100</f>
        <v>1</v>
      </c>
      <c r="E71" s="127"/>
      <c r="F71" s="128"/>
      <c r="G71" s="127"/>
      <c r="H71" s="138"/>
      <c r="I71" s="14" t="s">
        <v>102</v>
      </c>
      <c r="J71" s="29">
        <f ca="1">H67</f>
        <v>10</v>
      </c>
    </row>
    <row r="72" spans="1:10" ht="15.75" customHeight="1" x14ac:dyDescent="0.35">
      <c r="A72" s="74" t="s">
        <v>129</v>
      </c>
      <c r="B72" s="75"/>
      <c r="C72" s="43">
        <v>11</v>
      </c>
      <c r="D72" s="19">
        <f ca="1">((100/(D67+F67+H67))*C72)/100</f>
        <v>1.0000000000000002</v>
      </c>
      <c r="E72" s="127"/>
      <c r="F72" s="128"/>
      <c r="G72" s="127"/>
      <c r="H72" s="138"/>
      <c r="I72" s="14" t="s">
        <v>103</v>
      </c>
      <c r="J72" s="30">
        <f ca="1">(IF(B67&gt;1,(H67/(B67+2)),H67/4))</f>
        <v>2.5</v>
      </c>
    </row>
    <row r="73" spans="1:10" ht="15.75" customHeight="1" x14ac:dyDescent="0.35">
      <c r="A73" s="74" t="s">
        <v>136</v>
      </c>
      <c r="B73" s="75" t="s">
        <v>130</v>
      </c>
      <c r="C73" s="43">
        <v>10</v>
      </c>
      <c r="D73" s="19">
        <f ca="1">((100/H67)*C73)/100</f>
        <v>1</v>
      </c>
      <c r="E73" s="127"/>
      <c r="F73" s="128"/>
      <c r="G73" s="127"/>
      <c r="H73" s="138"/>
      <c r="I73" s="14" t="s">
        <v>104</v>
      </c>
      <c r="J73" s="30">
        <f ca="1">(IF(B67&gt;1,(H67/(B67+2)+J72),H67/4+J72))</f>
        <v>5</v>
      </c>
    </row>
    <row r="74" spans="1:10" ht="15.75" customHeight="1" x14ac:dyDescent="0.35">
      <c r="A74" s="74" t="s">
        <v>137</v>
      </c>
      <c r="B74" s="75" t="s">
        <v>130</v>
      </c>
      <c r="C74" s="43">
        <v>10</v>
      </c>
      <c r="D74" s="19">
        <f ca="1">((100/H67)*C74)/100</f>
        <v>1</v>
      </c>
      <c r="E74" s="127"/>
      <c r="F74" s="128"/>
      <c r="G74" s="127"/>
      <c r="H74" s="138"/>
      <c r="I74" s="14" t="s">
        <v>146</v>
      </c>
      <c r="J74" s="30">
        <f>(IF(B67&gt;1,(H67/(B67+2)+J73),0))</f>
        <v>0</v>
      </c>
    </row>
    <row r="75" spans="1:10" ht="15" customHeight="1" x14ac:dyDescent="0.35">
      <c r="A75" s="74" t="s">
        <v>135</v>
      </c>
      <c r="B75" s="75" t="s">
        <v>132</v>
      </c>
      <c r="C75" s="43">
        <v>10</v>
      </c>
      <c r="D75" s="19">
        <f ca="1">((100/(H67))*C75)/100</f>
        <v>1</v>
      </c>
      <c r="E75" s="127"/>
      <c r="F75" s="128"/>
      <c r="G75" s="127"/>
      <c r="H75" s="138"/>
      <c r="I75" s="14" t="s">
        <v>143</v>
      </c>
      <c r="J75" s="30">
        <f>(IF(B67&gt;2,(H67/(B67+2)+J74),0))</f>
        <v>0</v>
      </c>
    </row>
    <row r="76" spans="1:10" ht="15.75" customHeight="1" x14ac:dyDescent="0.35">
      <c r="A76" s="74" t="s">
        <v>131</v>
      </c>
      <c r="B76" s="75" t="s">
        <v>131</v>
      </c>
      <c r="C76" s="43">
        <v>9</v>
      </c>
      <c r="D76" s="19">
        <f ca="1">((100/H67)*C76)/100</f>
        <v>0.9</v>
      </c>
      <c r="E76" s="127"/>
      <c r="F76" s="128"/>
      <c r="G76" s="127"/>
      <c r="H76" s="138"/>
      <c r="I76" s="14" t="s">
        <v>144</v>
      </c>
      <c r="J76" s="31">
        <f>(IF(B67&gt;3,(H67/(B67+2)+J75),0))</f>
        <v>0</v>
      </c>
    </row>
    <row r="77" spans="1:10" ht="15.75" customHeight="1" x14ac:dyDescent="0.35">
      <c r="A77" s="74" t="s">
        <v>138</v>
      </c>
      <c r="B77" s="75"/>
      <c r="C77" s="43">
        <v>7</v>
      </c>
      <c r="D77" s="19">
        <f ca="1">((100/H67)*C77)/100</f>
        <v>0.7</v>
      </c>
      <c r="E77" s="127"/>
      <c r="F77" s="128"/>
      <c r="G77" s="127"/>
      <c r="H77" s="138"/>
      <c r="I77" s="14" t="s">
        <v>145</v>
      </c>
      <c r="J77" s="30">
        <f>(IF(B67&gt;4,(H67/(B67+2)+J76),0))</f>
        <v>0</v>
      </c>
    </row>
    <row r="78" spans="1:10" ht="15.75" customHeight="1" x14ac:dyDescent="0.35">
      <c r="A78" s="74" t="s">
        <v>133</v>
      </c>
      <c r="B78" s="75" t="s">
        <v>133</v>
      </c>
      <c r="C78" s="43">
        <v>0</v>
      </c>
      <c r="D78" s="19">
        <f ca="1">((100/(H67))*C78)/100</f>
        <v>0</v>
      </c>
      <c r="E78" s="127"/>
      <c r="F78" s="128"/>
      <c r="G78" s="127"/>
      <c r="H78" s="138"/>
      <c r="I78" s="14" t="s">
        <v>147</v>
      </c>
      <c r="J78" s="30">
        <f ca="1">(IF(B67=1,(H67/(B67+3)+J73),IF(B67=0,(H67/4+J73),IF(B67&gt;1,0))))</f>
        <v>7.5</v>
      </c>
    </row>
    <row r="79" spans="1:10" ht="16" thickBot="1" x14ac:dyDescent="0.4">
      <c r="A79" s="122" t="s">
        <v>134</v>
      </c>
      <c r="B79" s="123"/>
      <c r="C79" s="44">
        <v>0</v>
      </c>
      <c r="D79" s="20">
        <f ca="1">((100/(H67))*C79)/100</f>
        <v>0</v>
      </c>
      <c r="E79" s="129"/>
      <c r="F79" s="130"/>
      <c r="G79" s="129"/>
      <c r="H79" s="139"/>
      <c r="I79" s="15" t="s">
        <v>105</v>
      </c>
      <c r="J79" s="32">
        <f ca="1">(IF(B67&gt;1.5,(H67/(B67+2)+J73+MAX(0,J74-J73)+MAX(0,J75-J74)+MAX(0,J76-J75)+MAX(0,J77-J76)+MAX(0,J78-J77)),IF(B67=1,(H67/(B67+3)+J78),IF(B67=0,H67/4+J78))))</f>
        <v>10</v>
      </c>
    </row>
    <row r="80" spans="1:10" x14ac:dyDescent="0.35">
      <c r="A80" s="154" t="s">
        <v>155</v>
      </c>
      <c r="B80" s="154"/>
      <c r="C80" s="154"/>
      <c r="D80" s="154"/>
      <c r="E80" s="154"/>
      <c r="F80" s="160" t="s">
        <v>160</v>
      </c>
      <c r="G80" s="160"/>
      <c r="H80" s="160"/>
    </row>
    <row r="81" spans="1:11" x14ac:dyDescent="0.35">
      <c r="A81" s="63" t="s">
        <v>158</v>
      </c>
      <c r="B81" s="63"/>
      <c r="C81" s="63"/>
      <c r="D81" s="63"/>
      <c r="E81" s="63"/>
      <c r="F81" s="76">
        <v>6000</v>
      </c>
      <c r="G81" s="76"/>
      <c r="H81" s="76"/>
    </row>
    <row r="82" spans="1:11" hidden="1" x14ac:dyDescent="0.35">
      <c r="A82" s="63" t="s">
        <v>157</v>
      </c>
      <c r="B82" s="63"/>
      <c r="C82" s="63"/>
      <c r="D82" s="63"/>
      <c r="E82" s="63"/>
      <c r="F82" s="76"/>
      <c r="G82" s="76"/>
      <c r="H82" s="76"/>
    </row>
    <row r="83" spans="1:11" hidden="1" x14ac:dyDescent="0.35">
      <c r="A83" s="63" t="s">
        <v>159</v>
      </c>
      <c r="B83" s="63"/>
      <c r="C83" s="63"/>
      <c r="D83" s="63"/>
      <c r="E83" s="63"/>
      <c r="F83" s="76"/>
      <c r="G83" s="76"/>
      <c r="H83" s="76"/>
    </row>
    <row r="84" spans="1:11" s="33" customFormat="1" hidden="1" x14ac:dyDescent="0.3">
      <c r="A84" s="63" t="s">
        <v>156</v>
      </c>
      <c r="B84" s="63"/>
      <c r="C84" s="63"/>
      <c r="D84" s="63"/>
      <c r="E84" s="63"/>
      <c r="F84" s="76"/>
      <c r="G84" s="76"/>
      <c r="H84" s="76"/>
    </row>
    <row r="85" spans="1:11" s="33" customFormat="1" hidden="1" x14ac:dyDescent="0.3">
      <c r="A85" s="63" t="s">
        <v>95</v>
      </c>
      <c r="B85" s="63"/>
      <c r="C85" s="63"/>
      <c r="D85" s="63"/>
      <c r="E85" s="63"/>
      <c r="F85" s="76"/>
      <c r="G85" s="76"/>
      <c r="H85" s="76"/>
    </row>
    <row r="86" spans="1:11" s="33" customFormat="1" hidden="1" x14ac:dyDescent="0.3">
      <c r="A86" s="63" t="s">
        <v>96</v>
      </c>
      <c r="B86" s="63"/>
      <c r="C86" s="63"/>
      <c r="D86" s="63"/>
      <c r="E86" s="63"/>
      <c r="F86" s="76"/>
      <c r="G86" s="76"/>
      <c r="H86" s="76"/>
    </row>
    <row r="87" spans="1:11" s="33" customFormat="1" hidden="1" x14ac:dyDescent="0.3">
      <c r="A87" s="63" t="s">
        <v>161</v>
      </c>
      <c r="B87" s="63"/>
      <c r="C87" s="63"/>
      <c r="D87" s="63"/>
      <c r="E87" s="63"/>
      <c r="F87" s="76"/>
      <c r="G87" s="76"/>
      <c r="H87" s="76"/>
    </row>
    <row r="88" spans="1:11" s="33" customFormat="1" hidden="1" x14ac:dyDescent="0.3">
      <c r="A88" s="63" t="s">
        <v>97</v>
      </c>
      <c r="B88" s="63"/>
      <c r="C88" s="63"/>
      <c r="D88" s="63"/>
      <c r="E88" s="63"/>
      <c r="F88" s="76"/>
      <c r="G88" s="76"/>
      <c r="H88" s="76"/>
    </row>
    <row r="89" spans="1:11" s="33" customFormat="1" hidden="1" x14ac:dyDescent="0.3">
      <c r="A89" s="63" t="s">
        <v>98</v>
      </c>
      <c r="B89" s="63"/>
      <c r="C89" s="63"/>
      <c r="D89" s="63"/>
      <c r="E89" s="63"/>
      <c r="F89" s="76"/>
      <c r="G89" s="76"/>
      <c r="H89" s="76"/>
    </row>
    <row r="90" spans="1:11" s="33" customFormat="1" hidden="1" x14ac:dyDescent="0.3">
      <c r="A90" s="63" t="s">
        <v>99</v>
      </c>
      <c r="B90" s="63"/>
      <c r="C90" s="63"/>
      <c r="D90" s="63"/>
      <c r="E90" s="63"/>
      <c r="F90" s="76"/>
      <c r="G90" s="76"/>
      <c r="H90" s="76"/>
    </row>
    <row r="91" spans="1:11" s="33" customFormat="1" hidden="1" x14ac:dyDescent="0.3">
      <c r="A91" s="63" t="s">
        <v>100</v>
      </c>
      <c r="B91" s="63"/>
      <c r="C91" s="63"/>
      <c r="D91" s="63"/>
      <c r="E91" s="63"/>
      <c r="F91" s="76"/>
      <c r="G91" s="76"/>
      <c r="H91" s="76"/>
    </row>
    <row r="92" spans="1:11" x14ac:dyDescent="0.35">
      <c r="A92" s="63" t="s">
        <v>51</v>
      </c>
      <c r="B92" s="63"/>
      <c r="C92" s="63"/>
      <c r="D92" s="63"/>
      <c r="E92" s="63"/>
      <c r="F92" s="76">
        <v>200000</v>
      </c>
      <c r="G92" s="76"/>
      <c r="H92" s="76"/>
    </row>
    <row r="93" spans="1:11" s="34" customFormat="1" x14ac:dyDescent="0.35">
      <c r="A93" s="133" t="s">
        <v>52</v>
      </c>
      <c r="B93" s="133"/>
      <c r="C93" s="133"/>
      <c r="D93" s="133"/>
      <c r="E93" s="133"/>
      <c r="F93" s="76">
        <f>F81*0.8</f>
        <v>4800</v>
      </c>
      <c r="G93" s="76"/>
      <c r="H93" s="76"/>
    </row>
    <row r="94" spans="1:11" s="35" customFormat="1" x14ac:dyDescent="0.35">
      <c r="A94" s="135" t="s">
        <v>71</v>
      </c>
      <c r="B94" s="135"/>
      <c r="C94" s="135"/>
      <c r="D94" s="135"/>
      <c r="E94" s="135"/>
      <c r="F94" s="135"/>
      <c r="G94" s="135"/>
      <c r="H94" s="135"/>
    </row>
    <row r="95" spans="1:11" s="35" customFormat="1" ht="15.75" customHeight="1" x14ac:dyDescent="0.35">
      <c r="A95" s="65" t="s">
        <v>53</v>
      </c>
      <c r="B95" s="65"/>
      <c r="C95" s="176" t="s">
        <v>78</v>
      </c>
      <c r="D95" s="176"/>
      <c r="E95" s="136" t="s">
        <v>54</v>
      </c>
      <c r="F95" s="136"/>
      <c r="G95" s="65" t="s">
        <v>55</v>
      </c>
      <c r="H95" s="65"/>
    </row>
    <row r="96" spans="1:11" s="35" customFormat="1" x14ac:dyDescent="0.35">
      <c r="A96" s="134" t="s">
        <v>70</v>
      </c>
      <c r="B96" s="134"/>
      <c r="C96" s="120">
        <f>COUNT(D103:D114)*5+COUNT(D116:D127)*3+COUNT(D129:D139)+COUNT(D142,D144)</f>
        <v>109</v>
      </c>
      <c r="D96" s="120"/>
      <c r="E96" s="121">
        <f>SUM(D103:D114)*5+SUM(D116:D127)*3+SUM(D129:D139)+SUM(D142,D144)</f>
        <v>48723.493571999985</v>
      </c>
      <c r="F96" s="121"/>
      <c r="G96" s="121">
        <f>SUM(F103:F114)*5+SUM(F116:F127)*3+SUM(F129:F139)+SUM(F142,F144)</f>
        <v>73714.127057999998</v>
      </c>
      <c r="H96" s="121"/>
      <c r="K96" s="35" t="s">
        <v>191</v>
      </c>
    </row>
    <row r="97" spans="1:14" s="34" customFormat="1" x14ac:dyDescent="0.35">
      <c r="A97" s="119" t="s">
        <v>56</v>
      </c>
      <c r="B97" s="119"/>
      <c r="C97" s="119"/>
      <c r="D97" s="119"/>
      <c r="E97" s="119"/>
      <c r="F97" s="119"/>
      <c r="G97" s="119"/>
      <c r="H97" s="119"/>
      <c r="K97" s="34" t="s">
        <v>192</v>
      </c>
      <c r="L97" s="34" t="s">
        <v>193</v>
      </c>
    </row>
    <row r="98" spans="1:14" x14ac:dyDescent="0.35">
      <c r="A98" s="119" t="s">
        <v>57</v>
      </c>
      <c r="B98" s="119"/>
      <c r="C98" s="119"/>
      <c r="D98" s="119"/>
      <c r="E98" s="119"/>
      <c r="F98" s="119"/>
      <c r="G98" s="119"/>
      <c r="H98" s="119"/>
      <c r="K98" s="21">
        <v>5000</v>
      </c>
      <c r="L98" s="21">
        <v>6700</v>
      </c>
    </row>
    <row r="99" spans="1:14" ht="47.25" customHeight="1" x14ac:dyDescent="0.35">
      <c r="A99" s="70" t="s">
        <v>119</v>
      </c>
      <c r="B99" s="70" t="s">
        <v>120</v>
      </c>
      <c r="C99" s="66" t="s">
        <v>58</v>
      </c>
      <c r="D99" s="66" t="s">
        <v>59</v>
      </c>
      <c r="E99" s="68" t="s">
        <v>60</v>
      </c>
      <c r="F99" s="42" t="s">
        <v>150</v>
      </c>
      <c r="G99" s="70" t="s">
        <v>61</v>
      </c>
      <c r="H99" s="71"/>
      <c r="I99" s="36"/>
    </row>
    <row r="100" spans="1:14" s="47" customFormat="1" x14ac:dyDescent="0.35">
      <c r="A100" s="72"/>
      <c r="B100" s="72"/>
      <c r="C100" s="67"/>
      <c r="D100" s="67"/>
      <c r="E100" s="69"/>
      <c r="F100" s="13">
        <v>0.5</v>
      </c>
      <c r="G100" s="72"/>
      <c r="H100" s="73"/>
      <c r="I100" s="36"/>
    </row>
    <row r="101" spans="1:14" s="47" customFormat="1" x14ac:dyDescent="0.35">
      <c r="A101" s="157" t="s">
        <v>184</v>
      </c>
      <c r="B101" s="158"/>
      <c r="C101" s="158"/>
      <c r="D101" s="158"/>
      <c r="E101" s="158"/>
      <c r="F101" s="158"/>
      <c r="G101" s="158"/>
      <c r="H101" s="159"/>
      <c r="I101" s="36"/>
    </row>
    <row r="102" spans="1:14" s="47" customFormat="1" x14ac:dyDescent="0.35">
      <c r="A102" s="107" t="s">
        <v>202</v>
      </c>
      <c r="B102" s="108"/>
      <c r="C102" s="108"/>
      <c r="D102" s="108"/>
      <c r="E102" s="108"/>
      <c r="F102" s="108"/>
      <c r="G102" s="108"/>
      <c r="H102" s="109"/>
      <c r="J102" s="36"/>
    </row>
    <row r="103" spans="1:14" s="47" customFormat="1" ht="15.75" customHeight="1" x14ac:dyDescent="0.35">
      <c r="A103" s="155">
        <v>1</v>
      </c>
      <c r="B103" s="156"/>
      <c r="C103" s="53">
        <v>2</v>
      </c>
      <c r="D103" s="41">
        <f>(4.3*3+2.05*2.3+2.75*2.3+3.25*3+1.2*2+1.2*2+2.7*0.9+2.1*1.5+2.05*1+2.75*1)*10.764</f>
        <v>526.03667999999982</v>
      </c>
      <c r="E103" s="41">
        <v>0</v>
      </c>
      <c r="F103" s="41">
        <f>D103*(($F$100)+1)+(IF(E103&lt;101,E103,IF(E103&lt;201,E103/2,IF(E103&lt;=301,E103/3,E103/4))))</f>
        <v>789.05501999999979</v>
      </c>
      <c r="G103" s="162" t="str">
        <f>A102</f>
        <v>1st, 3rd, 5th, 7th &amp; 9th Floor For Residential</v>
      </c>
      <c r="H103" s="163"/>
      <c r="I103" s="36">
        <f>2935000/F103</f>
        <v>3719.6392211027323</v>
      </c>
      <c r="J103" s="47" t="s">
        <v>196</v>
      </c>
      <c r="K103" s="47">
        <f>4700*F103</f>
        <v>3708558.5939999991</v>
      </c>
      <c r="L103" s="161"/>
      <c r="M103" s="161"/>
      <c r="N103" s="36"/>
    </row>
    <row r="104" spans="1:14" s="47" customFormat="1" x14ac:dyDescent="0.35">
      <c r="A104" s="155">
        <f t="shared" ref="A104:A114" si="0">A103+1</f>
        <v>2</v>
      </c>
      <c r="B104" s="156"/>
      <c r="C104" s="53">
        <v>2</v>
      </c>
      <c r="D104" s="41">
        <f>(4.3*3+1.05*1.6+2.05*2.3+2.75*2.3+3.4*3+1.2*2+2.1*1.48+1.2*0.9+2.1*1.5+2.05*1+2.75*1)*10.764</f>
        <v>542.05351199999973</v>
      </c>
      <c r="E104" s="41">
        <v>0</v>
      </c>
      <c r="F104" s="41">
        <f>D104*(($F$100)+1)+(IF(E104&lt;101,E104,IF(E104&lt;201,E104/2,IF(E104&lt;=301,E104/3,E104/4))))</f>
        <v>813.08026799999959</v>
      </c>
      <c r="G104" s="164"/>
      <c r="H104" s="165"/>
      <c r="I104" s="36"/>
      <c r="K104" s="47">
        <f t="shared" ref="K104:K144" si="1">4700*F104</f>
        <v>3821477.2595999981</v>
      </c>
      <c r="L104" s="161"/>
      <c r="M104" s="161"/>
      <c r="N104" s="36"/>
    </row>
    <row r="105" spans="1:14" s="47" customFormat="1" x14ac:dyDescent="0.35">
      <c r="A105" s="155">
        <f t="shared" si="0"/>
        <v>3</v>
      </c>
      <c r="B105" s="156"/>
      <c r="C105" s="53">
        <v>2</v>
      </c>
      <c r="D105" s="41">
        <f>(4.3*3+1.05*1.65+2.05*3.15+2.75*3.15+3.4*3+1.2*2+2.1*1.48+1.2*0.9)*10.764</f>
        <v>500.96194199999991</v>
      </c>
      <c r="E105" s="41">
        <f>(2.1*1.35)*10.764</f>
        <v>30.515940000000004</v>
      </c>
      <c r="F105" s="41">
        <f t="shared" ref="F105:F108" si="2">D105*(($F$100)+1)+(IF(E105&lt;101,E105,IF(E105&lt;201,E105/2,IF(E105&lt;=301,E105/3,E105/4))))</f>
        <v>781.95885299999986</v>
      </c>
      <c r="G105" s="164"/>
      <c r="H105" s="165"/>
      <c r="I105" s="36"/>
      <c r="K105" s="47">
        <f t="shared" si="1"/>
        <v>3675206.6090999995</v>
      </c>
      <c r="L105" s="161"/>
      <c r="M105" s="161"/>
      <c r="N105" s="36"/>
    </row>
    <row r="106" spans="1:14" s="47" customFormat="1" x14ac:dyDescent="0.35">
      <c r="A106" s="155">
        <f t="shared" si="0"/>
        <v>4</v>
      </c>
      <c r="B106" s="156"/>
      <c r="C106" s="53">
        <v>1</v>
      </c>
      <c r="D106" s="41">
        <f>(3*4.25+3.05*2.05+3.05*3.2+1.1*1.95+1.8*1.1+1.1*1.1)*10.764</f>
        <v>367.02548999999993</v>
      </c>
      <c r="E106" s="41">
        <v>0</v>
      </c>
      <c r="F106" s="41">
        <f t="shared" si="2"/>
        <v>550.53823499999987</v>
      </c>
      <c r="G106" s="164"/>
      <c r="H106" s="165"/>
      <c r="I106" s="36">
        <f>4000000/F106</f>
        <v>7265.6170738077817</v>
      </c>
      <c r="J106" s="47">
        <f>3000000/F106</f>
        <v>5449.2128053558363</v>
      </c>
      <c r="K106" s="47">
        <f t="shared" si="1"/>
        <v>2587529.7044999995</v>
      </c>
      <c r="L106" s="161"/>
      <c r="M106" s="161"/>
      <c r="N106" s="36"/>
    </row>
    <row r="107" spans="1:14" s="47" customFormat="1" x14ac:dyDescent="0.35">
      <c r="A107" s="155">
        <f t="shared" si="0"/>
        <v>5</v>
      </c>
      <c r="B107" s="156"/>
      <c r="C107" s="53">
        <v>1</v>
      </c>
      <c r="D107" s="41">
        <f>(3*4.25+3.05*2.05+3.05*3.2+1.1*1.95+1.8*1.1+1.1*1.1)*10.764</f>
        <v>367.02548999999993</v>
      </c>
      <c r="E107" s="41">
        <f>(2.05*0.85)*10.764</f>
        <v>18.756269999999997</v>
      </c>
      <c r="F107" s="41">
        <f t="shared" si="2"/>
        <v>569.29450499999984</v>
      </c>
      <c r="G107" s="164"/>
      <c r="H107" s="165"/>
      <c r="I107" s="36"/>
      <c r="K107" s="47">
        <f t="shared" si="1"/>
        <v>2675684.1734999991</v>
      </c>
      <c r="L107" s="161"/>
      <c r="M107" s="161"/>
      <c r="N107" s="36"/>
    </row>
    <row r="108" spans="1:14" s="47" customFormat="1" x14ac:dyDescent="0.35">
      <c r="A108" s="155">
        <f t="shared" si="0"/>
        <v>6</v>
      </c>
      <c r="B108" s="156"/>
      <c r="C108" s="53">
        <v>1</v>
      </c>
      <c r="D108" s="41">
        <f>(4.25*3+2.05*3.05+3.2*3.05+1.95*1.1+1.1*1.8+1.1*1.1+2.05*1)*10.764</f>
        <v>389.09168999999991</v>
      </c>
      <c r="E108" s="41">
        <v>0</v>
      </c>
      <c r="F108" s="41">
        <f t="shared" si="2"/>
        <v>583.63753499999984</v>
      </c>
      <c r="G108" s="164"/>
      <c r="H108" s="165"/>
      <c r="I108" s="36">
        <f>4000000/F108</f>
        <v>6853.5687993405036</v>
      </c>
      <c r="J108" s="47" t="s">
        <v>195</v>
      </c>
      <c r="K108" s="47">
        <f t="shared" si="1"/>
        <v>2743096.4144999995</v>
      </c>
      <c r="L108" s="161"/>
      <c r="M108" s="161"/>
      <c r="N108" s="36"/>
    </row>
    <row r="109" spans="1:14" s="47" customFormat="1" x14ac:dyDescent="0.35">
      <c r="A109" s="155">
        <f t="shared" si="0"/>
        <v>7</v>
      </c>
      <c r="B109" s="156"/>
      <c r="C109" s="53">
        <v>1</v>
      </c>
      <c r="D109" s="41">
        <f>(4.25*3+2.05*3.05+3.2*3.05+1.95*1.1+1.1*1.8+1.1*1.1+2.05*1)*10.764</f>
        <v>389.09168999999991</v>
      </c>
      <c r="E109" s="41">
        <v>0</v>
      </c>
      <c r="F109" s="41">
        <f>D109*(($F$100)+1)+(IF(E109&lt;101,E109,IF(E109&lt;201,E109/2,IF(E109&lt;=301,E109/3,E109/4))))</f>
        <v>583.63753499999984</v>
      </c>
      <c r="G109" s="164"/>
      <c r="H109" s="165"/>
      <c r="I109" s="36">
        <f>2162000/F109</f>
        <v>3704.353936043542</v>
      </c>
      <c r="J109" s="47" t="s">
        <v>194</v>
      </c>
      <c r="K109" s="47">
        <f t="shared" si="1"/>
        <v>2743096.4144999995</v>
      </c>
      <c r="L109" s="161"/>
      <c r="M109" s="161"/>
      <c r="N109" s="36"/>
    </row>
    <row r="110" spans="1:14" s="47" customFormat="1" x14ac:dyDescent="0.35">
      <c r="A110" s="155">
        <f t="shared" si="0"/>
        <v>8</v>
      </c>
      <c r="B110" s="156"/>
      <c r="C110" s="53">
        <v>1</v>
      </c>
      <c r="D110" s="41">
        <f>(3*4.25+3.05*2.05+3.05*3.2+1.1*1.95+1.8*1.1+1.1*1.1)*10.764</f>
        <v>367.02548999999993</v>
      </c>
      <c r="E110" s="41">
        <f>(2.05*0.85)*10.764</f>
        <v>18.756269999999997</v>
      </c>
      <c r="F110" s="41">
        <f>D110*(($F$100)+1)+(IF(E110&lt;101,E110,IF(E110&lt;201,E110/2,IF(E110&lt;=301,E110/3,E110/4))))</f>
        <v>569.29450499999984</v>
      </c>
      <c r="G110" s="164"/>
      <c r="H110" s="165"/>
      <c r="I110" s="36"/>
      <c r="K110" s="47">
        <f t="shared" si="1"/>
        <v>2675684.1734999991</v>
      </c>
      <c r="L110" s="161"/>
      <c r="M110" s="161"/>
      <c r="N110" s="36"/>
    </row>
    <row r="111" spans="1:14" s="47" customFormat="1" x14ac:dyDescent="0.35">
      <c r="A111" s="155">
        <f t="shared" si="0"/>
        <v>9</v>
      </c>
      <c r="B111" s="156"/>
      <c r="C111" s="53">
        <v>1</v>
      </c>
      <c r="D111" s="41">
        <f>(3*4.25+3.05*2.05+3.05*3.2+1.1*1.95+1.8*1.1+1.1*1.1)*10.764</f>
        <v>367.02548999999993</v>
      </c>
      <c r="E111" s="41">
        <v>0</v>
      </c>
      <c r="F111" s="41">
        <f t="shared" ref="F111:F114" si="3">D111*(($F$100)+1)+(IF(E111&lt;101,E111,IF(E111&lt;201,E111/2,IF(E111&lt;=301,E111/3,E111/4))))</f>
        <v>550.53823499999987</v>
      </c>
      <c r="G111" s="164"/>
      <c r="H111" s="165"/>
      <c r="I111" s="36">
        <f>1997000/F111</f>
        <v>3627.3593240985351</v>
      </c>
      <c r="J111" s="47" t="s">
        <v>194</v>
      </c>
      <c r="K111" s="47">
        <f t="shared" si="1"/>
        <v>2587529.7044999995</v>
      </c>
      <c r="L111" s="161"/>
      <c r="M111" s="161"/>
      <c r="N111" s="36"/>
    </row>
    <row r="112" spans="1:14" s="47" customFormat="1" x14ac:dyDescent="0.35">
      <c r="A112" s="155">
        <f t="shared" si="0"/>
        <v>10</v>
      </c>
      <c r="B112" s="156"/>
      <c r="C112" s="53">
        <v>2</v>
      </c>
      <c r="D112" s="41">
        <f>(4.3*3+1.05*1.65+2.05*3.15+2.75*3.15+3.4*3+1.2*2+2.1*1.48+1.2*0.9)*10.764</f>
        <v>500.96194199999991</v>
      </c>
      <c r="E112" s="41">
        <f>(2.1*1.35)*10.764</f>
        <v>30.515940000000004</v>
      </c>
      <c r="F112" s="41">
        <f t="shared" si="3"/>
        <v>781.95885299999986</v>
      </c>
      <c r="G112" s="164"/>
      <c r="H112" s="165"/>
      <c r="I112" s="36"/>
      <c r="K112" s="47">
        <f t="shared" si="1"/>
        <v>3675206.6090999995</v>
      </c>
      <c r="L112" s="161"/>
      <c r="M112" s="161"/>
      <c r="N112" s="36"/>
    </row>
    <row r="113" spans="1:14" s="47" customFormat="1" x14ac:dyDescent="0.35">
      <c r="A113" s="155">
        <f t="shared" si="0"/>
        <v>11</v>
      </c>
      <c r="B113" s="156"/>
      <c r="C113" s="53">
        <v>2</v>
      </c>
      <c r="D113" s="41">
        <f>(4.3*3+1.05*1.6+2.05*2.3+2.75*2.3+3.4*3+1.2*2+2.1*1.48+1.2*0.9+2.1*1.5+2.05*1+2.75*1)*10.764</f>
        <v>542.05351199999973</v>
      </c>
      <c r="E113" s="41">
        <v>0</v>
      </c>
      <c r="F113" s="41">
        <f t="shared" si="3"/>
        <v>813.08026799999959</v>
      </c>
      <c r="G113" s="164"/>
      <c r="H113" s="165"/>
      <c r="I113" s="36">
        <f>5000000/F113</f>
        <v>6149.4543611283434</v>
      </c>
      <c r="J113" s="47" t="s">
        <v>195</v>
      </c>
      <c r="K113" s="47">
        <f t="shared" si="1"/>
        <v>3821477.2595999981</v>
      </c>
      <c r="L113" s="161"/>
      <c r="M113" s="161"/>
      <c r="N113" s="36"/>
    </row>
    <row r="114" spans="1:14" s="47" customFormat="1" x14ac:dyDescent="0.35">
      <c r="A114" s="155">
        <f t="shared" si="0"/>
        <v>12</v>
      </c>
      <c r="B114" s="156"/>
      <c r="C114" s="53">
        <v>2</v>
      </c>
      <c r="D114" s="41">
        <f>(4.3*3+2.05*2.3+2.75*2.3+3.25*3+1.2*2+1.2*2+2.7*0.9+2.1*1.5+2.05*1+2.75*1)*10.764</f>
        <v>526.03667999999982</v>
      </c>
      <c r="E114" s="41">
        <v>0</v>
      </c>
      <c r="F114" s="41">
        <f t="shared" si="3"/>
        <v>789.05501999999979</v>
      </c>
      <c r="G114" s="166"/>
      <c r="H114" s="167"/>
      <c r="I114" s="36"/>
      <c r="K114" s="47">
        <f t="shared" si="1"/>
        <v>3708558.5939999991</v>
      </c>
      <c r="L114" s="161"/>
      <c r="M114" s="161"/>
      <c r="N114" s="36"/>
    </row>
    <row r="115" spans="1:14" s="47" customFormat="1" x14ac:dyDescent="0.35">
      <c r="A115" s="107" t="s">
        <v>185</v>
      </c>
      <c r="B115" s="108"/>
      <c r="C115" s="108"/>
      <c r="D115" s="108"/>
      <c r="E115" s="108"/>
      <c r="F115" s="108"/>
      <c r="G115" s="108"/>
      <c r="H115" s="109"/>
      <c r="J115" s="36"/>
      <c r="K115" s="47">
        <f t="shared" si="1"/>
        <v>0</v>
      </c>
    </row>
    <row r="116" spans="1:14" s="47" customFormat="1" ht="15.75" customHeight="1" x14ac:dyDescent="0.35">
      <c r="A116" s="155">
        <v>1</v>
      </c>
      <c r="B116" s="156"/>
      <c r="C116" s="53">
        <v>2</v>
      </c>
      <c r="D116" s="41">
        <f>(4.3*3+2.05*2.3+2.75*2.3+3.25*3+1.2*2+1.2*2+2.7*0.9+2.1*1.5+2.05*1+2.75*1)*10.764</f>
        <v>526.03667999999982</v>
      </c>
      <c r="E116" s="41">
        <v>0</v>
      </c>
      <c r="F116" s="41">
        <f>D116*(($F$100)+1)+(IF(E116&lt;101,E116,IF(E116&lt;201,E116/2,IF(E116&lt;=301,E116/3,E116/4))))</f>
        <v>789.05501999999979</v>
      </c>
      <c r="G116" s="162" t="str">
        <f>A115</f>
        <v>2nd, 4th, 6th Floor</v>
      </c>
      <c r="H116" s="163"/>
      <c r="I116" s="36"/>
      <c r="K116" s="47">
        <f t="shared" si="1"/>
        <v>3708558.5939999991</v>
      </c>
      <c r="L116" s="161"/>
      <c r="M116" s="161"/>
      <c r="N116" s="36"/>
    </row>
    <row r="117" spans="1:14" s="47" customFormat="1" x14ac:dyDescent="0.35">
      <c r="A117" s="155">
        <f t="shared" ref="A117:A127" si="4">A116+1</f>
        <v>2</v>
      </c>
      <c r="B117" s="156"/>
      <c r="C117" s="53">
        <v>2</v>
      </c>
      <c r="D117" s="41">
        <f>(4.3*3+1.05*1.65+2.05*2.3+2.75*2.3+3.4*3+2.1*1.48+1.2*2+1.2*0.9+2.1*1.5+2.05*1+2.75*1)*10.764</f>
        <v>542.61862199999985</v>
      </c>
      <c r="E117" s="41">
        <v>0</v>
      </c>
      <c r="F117" s="41">
        <f>D117*(($F$100)+1)+(IF(E117&lt;101,E117,IF(E117&lt;201,E117/2,IF(E117&lt;=301,E117/3,E117/4))))</f>
        <v>813.92793299999971</v>
      </c>
      <c r="G117" s="164"/>
      <c r="H117" s="165"/>
      <c r="I117" s="36"/>
      <c r="K117" s="47">
        <f t="shared" si="1"/>
        <v>3825461.2850999986</v>
      </c>
      <c r="L117" s="161"/>
      <c r="M117" s="161"/>
      <c r="N117" s="36"/>
    </row>
    <row r="118" spans="1:14" s="47" customFormat="1" x14ac:dyDescent="0.35">
      <c r="A118" s="155">
        <f t="shared" si="4"/>
        <v>3</v>
      </c>
      <c r="B118" s="156"/>
      <c r="C118" s="53">
        <v>2</v>
      </c>
      <c r="D118" s="41">
        <f>(4.3*3+1.05*1.65+2.05*3.15+2.75*3.15+3.4*3+1.2*2+2.1*1.48+1.2*0.9)*10.764</f>
        <v>500.96194199999991</v>
      </c>
      <c r="E118" s="41">
        <v>0</v>
      </c>
      <c r="F118" s="41">
        <f t="shared" ref="F118:F121" si="5">D118*(($F$100)+1)+(IF(E118&lt;101,E118,IF(E118&lt;201,E118/2,IF(E118&lt;=301,E118/3,E118/4))))</f>
        <v>751.44291299999986</v>
      </c>
      <c r="G118" s="164"/>
      <c r="H118" s="165"/>
      <c r="I118" s="36">
        <f>5000000/F118</f>
        <v>6653.8654014826016</v>
      </c>
      <c r="J118" s="47" t="s">
        <v>195</v>
      </c>
      <c r="K118" s="47">
        <f t="shared" si="1"/>
        <v>3531781.6910999995</v>
      </c>
      <c r="L118" s="161"/>
      <c r="M118" s="161"/>
      <c r="N118" s="36"/>
    </row>
    <row r="119" spans="1:14" s="47" customFormat="1" x14ac:dyDescent="0.35">
      <c r="A119" s="155">
        <f t="shared" si="4"/>
        <v>4</v>
      </c>
      <c r="B119" s="156"/>
      <c r="C119" s="53">
        <v>1</v>
      </c>
      <c r="D119" s="41">
        <f>(3*4.25+3.05*2.05+3.05*3.2+1.1*1.95+1.8*1.1+1.1*1.1)*10.764</f>
        <v>367.02548999999993</v>
      </c>
      <c r="E119" s="41">
        <v>0</v>
      </c>
      <c r="F119" s="41">
        <f t="shared" si="5"/>
        <v>550.53823499999987</v>
      </c>
      <c r="G119" s="164"/>
      <c r="H119" s="165"/>
      <c r="I119" s="36"/>
      <c r="K119" s="47">
        <f t="shared" si="1"/>
        <v>2587529.7044999995</v>
      </c>
      <c r="L119" s="161"/>
      <c r="M119" s="161"/>
      <c r="N119" s="36"/>
    </row>
    <row r="120" spans="1:14" s="47" customFormat="1" x14ac:dyDescent="0.35">
      <c r="A120" s="155">
        <f t="shared" si="4"/>
        <v>5</v>
      </c>
      <c r="B120" s="156"/>
      <c r="C120" s="53">
        <v>1</v>
      </c>
      <c r="D120" s="41">
        <f>(3*4.25+3.05*2.05+3.05*3.2+1.1*1.95+1.8*1.1+1.1*1.1)*10.764</f>
        <v>367.02548999999993</v>
      </c>
      <c r="E120" s="41">
        <v>0</v>
      </c>
      <c r="F120" s="41">
        <f t="shared" si="5"/>
        <v>550.53823499999987</v>
      </c>
      <c r="G120" s="164"/>
      <c r="H120" s="165"/>
      <c r="I120" s="36"/>
      <c r="K120" s="47">
        <f t="shared" si="1"/>
        <v>2587529.7044999995</v>
      </c>
      <c r="L120" s="161"/>
      <c r="M120" s="161"/>
      <c r="N120" s="36"/>
    </row>
    <row r="121" spans="1:14" s="47" customFormat="1" x14ac:dyDescent="0.35">
      <c r="A121" s="155">
        <f t="shared" si="4"/>
        <v>6</v>
      </c>
      <c r="B121" s="156"/>
      <c r="C121" s="53">
        <v>1</v>
      </c>
      <c r="D121" s="41">
        <f>(4.25*3+2.05*3.05+3.2*3.05+1.95*1.1+1.1*1.8+1.1*1.1+2.05*1)*10.764</f>
        <v>389.09168999999991</v>
      </c>
      <c r="E121" s="41">
        <v>0</v>
      </c>
      <c r="F121" s="41">
        <f t="shared" si="5"/>
        <v>583.63753499999984</v>
      </c>
      <c r="G121" s="164"/>
      <c r="H121" s="165"/>
      <c r="I121" s="36"/>
      <c r="K121" s="47">
        <f t="shared" si="1"/>
        <v>2743096.4144999995</v>
      </c>
      <c r="L121" s="161"/>
      <c r="M121" s="161"/>
      <c r="N121" s="36"/>
    </row>
    <row r="122" spans="1:14" s="47" customFormat="1" x14ac:dyDescent="0.35">
      <c r="A122" s="155">
        <f t="shared" si="4"/>
        <v>7</v>
      </c>
      <c r="B122" s="156"/>
      <c r="C122" s="53">
        <v>1</v>
      </c>
      <c r="D122" s="41">
        <f>(4.25*3+2.05*3.05+3.2*3.05+1.95*1.1+1.1*1.8+1.1*1.1+2.05*1)*10.764</f>
        <v>389.09168999999991</v>
      </c>
      <c r="E122" s="41">
        <v>0</v>
      </c>
      <c r="F122" s="41">
        <f>D122*(($F$100)+1)+(IF(E122&lt;101,E122,IF(E122&lt;201,E122/2,IF(E122&lt;=301,E122/3,E122/4))))</f>
        <v>583.63753499999984</v>
      </c>
      <c r="G122" s="164"/>
      <c r="H122" s="165"/>
      <c r="I122" s="36"/>
      <c r="K122" s="47">
        <f t="shared" si="1"/>
        <v>2743096.4144999995</v>
      </c>
      <c r="L122" s="161"/>
      <c r="M122" s="161"/>
      <c r="N122" s="36"/>
    </row>
    <row r="123" spans="1:14" s="47" customFormat="1" x14ac:dyDescent="0.35">
      <c r="A123" s="155">
        <f t="shared" si="4"/>
        <v>8</v>
      </c>
      <c r="B123" s="156"/>
      <c r="C123" s="53">
        <v>1</v>
      </c>
      <c r="D123" s="41">
        <f>(3*4.25+3.05*2.05+3.05*3.2+1.1*1.95+1.8*1.1+1.1*1.1)*10.764</f>
        <v>367.02548999999993</v>
      </c>
      <c r="E123" s="41">
        <v>0</v>
      </c>
      <c r="F123" s="41">
        <f>D123*(($F$100)+1)+(IF(E123&lt;101,E123,IF(E123&lt;201,E123/2,IF(E123&lt;=301,E123/3,E123/4))))</f>
        <v>550.53823499999987</v>
      </c>
      <c r="G123" s="164"/>
      <c r="H123" s="165"/>
      <c r="I123" s="36"/>
      <c r="K123" s="47">
        <f t="shared" si="1"/>
        <v>2587529.7044999995</v>
      </c>
      <c r="L123" s="161"/>
      <c r="M123" s="161"/>
      <c r="N123" s="36"/>
    </row>
    <row r="124" spans="1:14" s="47" customFormat="1" x14ac:dyDescent="0.35">
      <c r="A124" s="155">
        <f t="shared" si="4"/>
        <v>9</v>
      </c>
      <c r="B124" s="156"/>
      <c r="C124" s="53">
        <v>1</v>
      </c>
      <c r="D124" s="41">
        <f>(3*4.25+3.05*2.05+3.05*3.2+1.1*1.95+1.8*1.1+1.1*1.1)*10.764</f>
        <v>367.02548999999993</v>
      </c>
      <c r="E124" s="41">
        <v>0</v>
      </c>
      <c r="F124" s="41">
        <f t="shared" ref="F124:F127" si="6">D124*(($F$100)+1)+(IF(E124&lt;101,E124,IF(E124&lt;201,E124/2,IF(E124&lt;=301,E124/3,E124/4))))</f>
        <v>550.53823499999987</v>
      </c>
      <c r="G124" s="164"/>
      <c r="H124" s="165"/>
      <c r="I124" s="36"/>
      <c r="K124" s="47">
        <f t="shared" si="1"/>
        <v>2587529.7044999995</v>
      </c>
      <c r="L124" s="161"/>
      <c r="M124" s="161"/>
      <c r="N124" s="36"/>
    </row>
    <row r="125" spans="1:14" s="47" customFormat="1" x14ac:dyDescent="0.35">
      <c r="A125" s="155">
        <f t="shared" si="4"/>
        <v>10</v>
      </c>
      <c r="B125" s="156"/>
      <c r="C125" s="53">
        <v>2</v>
      </c>
      <c r="D125" s="41">
        <f>(4.3*3+1.05*1.65+2.05*3.15+2.75*3.15+3.4*3+1.2*2+2.1*1.43+1.2*0.9)*10.764</f>
        <v>499.83172199999996</v>
      </c>
      <c r="E125" s="41">
        <v>0</v>
      </c>
      <c r="F125" s="41">
        <f t="shared" si="6"/>
        <v>749.74758299999996</v>
      </c>
      <c r="G125" s="164"/>
      <c r="H125" s="165"/>
      <c r="I125" s="36"/>
      <c r="K125" s="47">
        <f t="shared" si="1"/>
        <v>3523813.6401</v>
      </c>
      <c r="L125" s="161"/>
      <c r="M125" s="161"/>
      <c r="N125" s="36"/>
    </row>
    <row r="126" spans="1:14" s="47" customFormat="1" x14ac:dyDescent="0.35">
      <c r="A126" s="155">
        <f t="shared" si="4"/>
        <v>11</v>
      </c>
      <c r="B126" s="156"/>
      <c r="C126" s="53">
        <v>2</v>
      </c>
      <c r="D126" s="41">
        <f>(4.3*3+1.05*1.65+2.05*2.3+2.75*2.3+3.4*3+2.1*1.48+1.2*2+1.2*0.9+2.1*1.5+2.05*1+2.75*1)*10.764</f>
        <v>542.61862199999985</v>
      </c>
      <c r="E126" s="41">
        <v>0</v>
      </c>
      <c r="F126" s="41">
        <f t="shared" si="6"/>
        <v>813.92793299999971</v>
      </c>
      <c r="G126" s="164"/>
      <c r="H126" s="165"/>
      <c r="I126" s="36"/>
      <c r="K126" s="47">
        <f t="shared" si="1"/>
        <v>3825461.2850999986</v>
      </c>
      <c r="L126" s="161"/>
      <c r="M126" s="161"/>
      <c r="N126" s="36"/>
    </row>
    <row r="127" spans="1:14" s="47" customFormat="1" x14ac:dyDescent="0.35">
      <c r="A127" s="155">
        <f t="shared" si="4"/>
        <v>12</v>
      </c>
      <c r="B127" s="156"/>
      <c r="C127" s="53">
        <v>2</v>
      </c>
      <c r="D127" s="41">
        <f>(4.3*3+2.05*2.3+2.75*2.3+3.25*3+1.2*2+1.2*2+2.7*0.9+2.1*1.5+2.05*1+2.75*1)*10.764</f>
        <v>526.03667999999982</v>
      </c>
      <c r="E127" s="41">
        <v>0</v>
      </c>
      <c r="F127" s="41">
        <f t="shared" si="6"/>
        <v>789.05501999999979</v>
      </c>
      <c r="G127" s="166"/>
      <c r="H127" s="167"/>
      <c r="I127" s="36"/>
      <c r="K127" s="47">
        <f t="shared" si="1"/>
        <v>3708558.5939999991</v>
      </c>
      <c r="L127" s="161"/>
      <c r="M127" s="161"/>
      <c r="N127" s="36"/>
    </row>
    <row r="128" spans="1:14" s="47" customFormat="1" x14ac:dyDescent="0.35">
      <c r="A128" s="107" t="s">
        <v>187</v>
      </c>
      <c r="B128" s="108"/>
      <c r="C128" s="108"/>
      <c r="D128" s="108"/>
      <c r="E128" s="108"/>
      <c r="F128" s="108"/>
      <c r="G128" s="108"/>
      <c r="H128" s="109"/>
      <c r="J128" s="36"/>
      <c r="K128" s="47">
        <f t="shared" si="1"/>
        <v>0</v>
      </c>
    </row>
    <row r="129" spans="1:14" s="47" customFormat="1" ht="15.75" customHeight="1" x14ac:dyDescent="0.35">
      <c r="A129" s="155">
        <v>1</v>
      </c>
      <c r="B129" s="156"/>
      <c r="C129" s="53">
        <v>2</v>
      </c>
      <c r="D129" s="41">
        <f>(4.3*3+2.05*2.3+2.75*2.3+3.25*3+1.2*2+1.2*2+2.7*0.9+2.1*1.5+2.05*1+2.75*1)*10.764</f>
        <v>526.03667999999982</v>
      </c>
      <c r="E129" s="41">
        <v>0</v>
      </c>
      <c r="F129" s="41">
        <f>D129*(($F$100)+1)+(IF(E129&lt;101,E129,IF(E129&lt;201,E129/2,IF(E129&lt;=301,E129/3,E129/4))))</f>
        <v>789.05501999999979</v>
      </c>
      <c r="G129" s="162" t="str">
        <f>A128</f>
        <v>8th Floor (Part Refuge Area)</v>
      </c>
      <c r="H129" s="163"/>
      <c r="I129" s="36"/>
      <c r="K129" s="47">
        <f t="shared" si="1"/>
        <v>3708558.5939999991</v>
      </c>
      <c r="L129" s="161"/>
      <c r="M129" s="161"/>
      <c r="N129" s="36"/>
    </row>
    <row r="130" spans="1:14" s="47" customFormat="1" x14ac:dyDescent="0.35">
      <c r="A130" s="155">
        <f t="shared" ref="A130:A140" si="7">A129+1</f>
        <v>2</v>
      </c>
      <c r="B130" s="156"/>
      <c r="C130" s="53">
        <v>2</v>
      </c>
      <c r="D130" s="41">
        <f>(4.3*3+1.05*1.65+2.05*2.3+2.75*2.3+3.4*3+2.1*1.48+1.2*2+1.2*0.9+2.1*1.5+2.05*1+2.75*1)*10.764</f>
        <v>542.61862199999985</v>
      </c>
      <c r="E130" s="41">
        <v>0</v>
      </c>
      <c r="F130" s="41">
        <f>D130*(($F$100)+1)+(IF(E130&lt;101,E130,IF(E130&lt;201,E130/2,IF(E130&lt;=301,E130/3,E130/4))))</f>
        <v>813.92793299999971</v>
      </c>
      <c r="G130" s="164"/>
      <c r="H130" s="165"/>
      <c r="I130" s="36"/>
      <c r="K130" s="47">
        <f t="shared" si="1"/>
        <v>3825461.2850999986</v>
      </c>
      <c r="L130" s="161"/>
      <c r="M130" s="161"/>
      <c r="N130" s="36"/>
    </row>
    <row r="131" spans="1:14" s="47" customFormat="1" x14ac:dyDescent="0.35">
      <c r="A131" s="155">
        <f t="shared" si="7"/>
        <v>3</v>
      </c>
      <c r="B131" s="156"/>
      <c r="C131" s="53">
        <v>2</v>
      </c>
      <c r="D131" s="41">
        <f>(4.3*3+1.05*1.65+2.05*3.15+2.75*3.15+3.4*3+1.2*2+2.1*1.48+1.2*0.9)*10.764</f>
        <v>500.96194199999991</v>
      </c>
      <c r="E131" s="41">
        <v>0</v>
      </c>
      <c r="F131" s="41">
        <f t="shared" ref="F131:F134" si="8">D131*(($F$100)+1)+(IF(E131&lt;101,E131,IF(E131&lt;201,E131/2,IF(E131&lt;=301,E131/3,E131/4))))</f>
        <v>751.44291299999986</v>
      </c>
      <c r="G131" s="164"/>
      <c r="H131" s="165"/>
      <c r="I131" s="36"/>
      <c r="K131" s="47">
        <f t="shared" si="1"/>
        <v>3531781.6910999995</v>
      </c>
      <c r="L131" s="161"/>
      <c r="M131" s="161"/>
      <c r="N131" s="36"/>
    </row>
    <row r="132" spans="1:14" s="47" customFormat="1" x14ac:dyDescent="0.35">
      <c r="A132" s="155">
        <f t="shared" si="7"/>
        <v>4</v>
      </c>
      <c r="B132" s="156"/>
      <c r="C132" s="53">
        <v>1</v>
      </c>
      <c r="D132" s="41">
        <f>(3*4.25+3.05*2.05+3.05*3.2+1.1*1.95+1.8*1.1+1.1*1.1)*10.764</f>
        <v>367.02548999999993</v>
      </c>
      <c r="E132" s="41">
        <v>0</v>
      </c>
      <c r="F132" s="41">
        <f t="shared" si="8"/>
        <v>550.53823499999987</v>
      </c>
      <c r="G132" s="164"/>
      <c r="H132" s="165"/>
      <c r="I132" s="36"/>
      <c r="K132" s="47">
        <f t="shared" si="1"/>
        <v>2587529.7044999995</v>
      </c>
      <c r="L132" s="161"/>
      <c r="M132" s="161"/>
      <c r="N132" s="36"/>
    </row>
    <row r="133" spans="1:14" s="47" customFormat="1" x14ac:dyDescent="0.35">
      <c r="A133" s="155">
        <f t="shared" si="7"/>
        <v>5</v>
      </c>
      <c r="B133" s="156"/>
      <c r="C133" s="53">
        <v>1</v>
      </c>
      <c r="D133" s="41">
        <f>(3*4.25+3.05*2.05+3.05*3.2+1.1*1.95+1.8*1.1+1.1*1.1)*10.764</f>
        <v>367.02548999999993</v>
      </c>
      <c r="E133" s="41">
        <v>0</v>
      </c>
      <c r="F133" s="41">
        <f t="shared" si="8"/>
        <v>550.53823499999987</v>
      </c>
      <c r="G133" s="164"/>
      <c r="H133" s="165"/>
      <c r="I133" s="36"/>
      <c r="K133" s="47">
        <f t="shared" si="1"/>
        <v>2587529.7044999995</v>
      </c>
      <c r="L133" s="161"/>
      <c r="M133" s="161"/>
      <c r="N133" s="36"/>
    </row>
    <row r="134" spans="1:14" s="47" customFormat="1" x14ac:dyDescent="0.35">
      <c r="A134" s="155">
        <f t="shared" si="7"/>
        <v>6</v>
      </c>
      <c r="B134" s="156"/>
      <c r="C134" s="53">
        <v>1</v>
      </c>
      <c r="D134" s="41">
        <f>(4.25*3+2.05*3.05+3.2*3.05+1.95*1.1+1.1*1.8+1.1*1.1+2.05*1)*10.764</f>
        <v>389.09168999999991</v>
      </c>
      <c r="E134" s="41">
        <v>0</v>
      </c>
      <c r="F134" s="41">
        <f t="shared" si="8"/>
        <v>583.63753499999984</v>
      </c>
      <c r="G134" s="164"/>
      <c r="H134" s="165"/>
      <c r="I134" s="36"/>
      <c r="K134" s="47">
        <f t="shared" si="1"/>
        <v>2743096.4144999995</v>
      </c>
      <c r="L134" s="161"/>
      <c r="M134" s="161"/>
      <c r="N134" s="36"/>
    </row>
    <row r="135" spans="1:14" s="47" customFormat="1" x14ac:dyDescent="0.35">
      <c r="A135" s="155">
        <f t="shared" si="7"/>
        <v>7</v>
      </c>
      <c r="B135" s="156"/>
      <c r="C135" s="53">
        <v>1</v>
      </c>
      <c r="D135" s="41">
        <f>(4.25*3+2.05*3.05+3.2*3.05+1.95*1.1+1.1*1.8+1.1*1.1+2.05*1)*10.764</f>
        <v>389.09168999999991</v>
      </c>
      <c r="E135" s="41">
        <v>0</v>
      </c>
      <c r="F135" s="41">
        <f>D135*(($F$100)+1)+(IF(E135&lt;101,E135,IF(E135&lt;201,E135/2,IF(E135&lt;=301,E135/3,E135/4))))</f>
        <v>583.63753499999984</v>
      </c>
      <c r="G135" s="164"/>
      <c r="H135" s="165"/>
      <c r="I135" s="36"/>
      <c r="K135" s="47">
        <f t="shared" si="1"/>
        <v>2743096.4144999995</v>
      </c>
      <c r="L135" s="161"/>
      <c r="M135" s="161"/>
      <c r="N135" s="36"/>
    </row>
    <row r="136" spans="1:14" s="47" customFormat="1" x14ac:dyDescent="0.35">
      <c r="A136" s="155">
        <f t="shared" si="7"/>
        <v>8</v>
      </c>
      <c r="B136" s="156"/>
      <c r="C136" s="53">
        <v>1</v>
      </c>
      <c r="D136" s="41">
        <f>(3*4.25+3.05*2.05+3.05*3.2+1.1*1.95+1.8*1.1+1.1*1.1)*10.764</f>
        <v>367.02548999999993</v>
      </c>
      <c r="E136" s="41">
        <v>0</v>
      </c>
      <c r="F136" s="41">
        <f>D136*(($F$100)+1)+(IF(E136&lt;101,E136,IF(E136&lt;201,E136/2,IF(E136&lt;=301,E136/3,E136/4))))</f>
        <v>550.53823499999987</v>
      </c>
      <c r="G136" s="164"/>
      <c r="H136" s="165"/>
      <c r="I136" s="36"/>
      <c r="K136" s="47">
        <f t="shared" si="1"/>
        <v>2587529.7044999995</v>
      </c>
      <c r="L136" s="161"/>
      <c r="M136" s="161"/>
      <c r="N136" s="36"/>
    </row>
    <row r="137" spans="1:14" s="47" customFormat="1" x14ac:dyDescent="0.35">
      <c r="A137" s="155">
        <f t="shared" si="7"/>
        <v>9</v>
      </c>
      <c r="B137" s="156"/>
      <c r="C137" s="53">
        <v>1</v>
      </c>
      <c r="D137" s="41">
        <f>(3*4.25+3.05*2.05+3.05*3.2+1.1*1.95+1.8*1.1+1.1*1.1)*10.764</f>
        <v>367.02548999999993</v>
      </c>
      <c r="E137" s="41">
        <v>0</v>
      </c>
      <c r="F137" s="41">
        <f>D137*(($F$100)+1)+(IF(E137&lt;101,E137,IF(E137&lt;201,E137/2,IF(E137&lt;=301,E137/3,E137/4))))</f>
        <v>550.53823499999987</v>
      </c>
      <c r="G137" s="164"/>
      <c r="H137" s="165"/>
      <c r="I137" s="36"/>
      <c r="K137" s="47">
        <f t="shared" si="1"/>
        <v>2587529.7044999995</v>
      </c>
      <c r="L137" s="161"/>
      <c r="M137" s="161"/>
      <c r="N137" s="36"/>
    </row>
    <row r="138" spans="1:14" s="47" customFormat="1" x14ac:dyDescent="0.35">
      <c r="A138" s="155">
        <f t="shared" si="7"/>
        <v>10</v>
      </c>
      <c r="B138" s="156"/>
      <c r="C138" s="53">
        <v>2</v>
      </c>
      <c r="D138" s="41">
        <f>(4.3*3+1.05*1.65+2.05*3.15+2.75*3.15+3.4*3+1.2*2+2.1*1.48+1.2*0.9)*10.764</f>
        <v>500.96194199999991</v>
      </c>
      <c r="E138" s="41">
        <v>0</v>
      </c>
      <c r="F138" s="41">
        <f>D138*(($F$100)+1)+(IF(E138&lt;101,E138,IF(E138&lt;201,E138/2,IF(E138&lt;=301,E138/3,E138/4))))</f>
        <v>751.44291299999986</v>
      </c>
      <c r="G138" s="164"/>
      <c r="H138" s="165"/>
      <c r="I138" s="36"/>
      <c r="K138" s="47">
        <f t="shared" si="1"/>
        <v>3531781.6910999995</v>
      </c>
      <c r="L138" s="161"/>
      <c r="M138" s="161"/>
      <c r="N138" s="36"/>
    </row>
    <row r="139" spans="1:14" s="47" customFormat="1" x14ac:dyDescent="0.35">
      <c r="A139" s="155">
        <f t="shared" si="7"/>
        <v>11</v>
      </c>
      <c r="B139" s="156"/>
      <c r="C139" s="53">
        <v>2</v>
      </c>
      <c r="D139" s="41">
        <f>(4.3*3+1.05*1.65+2.05*2.3+2.75*2.3+3.4*3+2.1*1.48+1.2*2+1.2*0.9+2.1*1.5+2.05*1+2.75*1)*10.764</f>
        <v>542.61862199999985</v>
      </c>
      <c r="E139" s="41">
        <v>0</v>
      </c>
      <c r="F139" s="41">
        <f>D139*(($F$100)+1)+(IF(E139&lt;101,E139,IF(E139&lt;201,E139/2,IF(E139&lt;=301,E139/3,E139/4))))</f>
        <v>813.92793299999971</v>
      </c>
      <c r="G139" s="164"/>
      <c r="H139" s="165"/>
      <c r="I139" s="36"/>
      <c r="K139" s="47">
        <f t="shared" si="1"/>
        <v>3825461.2850999986</v>
      </c>
      <c r="L139" s="161"/>
      <c r="M139" s="161"/>
      <c r="N139" s="36"/>
    </row>
    <row r="140" spans="1:14" s="47" customFormat="1" x14ac:dyDescent="0.35">
      <c r="A140" s="155">
        <f t="shared" si="7"/>
        <v>12</v>
      </c>
      <c r="B140" s="156"/>
      <c r="C140" s="177" t="s">
        <v>186</v>
      </c>
      <c r="D140" s="178"/>
      <c r="E140" s="178"/>
      <c r="F140" s="179"/>
      <c r="G140" s="166"/>
      <c r="H140" s="167"/>
      <c r="I140" s="36"/>
      <c r="K140" s="47">
        <f t="shared" si="1"/>
        <v>0</v>
      </c>
      <c r="L140" s="161"/>
      <c r="M140" s="161"/>
      <c r="N140" s="36"/>
    </row>
    <row r="141" spans="1:14" s="47" customFormat="1" x14ac:dyDescent="0.35">
      <c r="A141" s="107" t="s">
        <v>203</v>
      </c>
      <c r="B141" s="108"/>
      <c r="C141" s="108"/>
      <c r="D141" s="108"/>
      <c r="E141" s="108"/>
      <c r="F141" s="108"/>
      <c r="G141" s="108"/>
      <c r="H141" s="109"/>
      <c r="J141" s="36"/>
      <c r="K141" s="47">
        <f t="shared" si="1"/>
        <v>0</v>
      </c>
    </row>
    <row r="142" spans="1:14" s="47" customFormat="1" ht="15.75" customHeight="1" x14ac:dyDescent="0.35">
      <c r="A142" s="155">
        <v>1</v>
      </c>
      <c r="B142" s="156"/>
      <c r="C142" s="53">
        <v>1</v>
      </c>
      <c r="D142" s="41">
        <f>(4.3*3+2.05*2.3+3.25*3+1.2*2+1.2*2+2.7*0.9+2.05*1)*10.764</f>
        <v>394.44677999999993</v>
      </c>
      <c r="E142" s="41">
        <f>2.75*2.3*10.764</f>
        <v>68.082299999999989</v>
      </c>
      <c r="F142" s="41">
        <f>D142*(($F$100)+1)+(IF(E142&lt;101,E142,IF(E142&lt;201,E142/2,IF(E142&lt;=301,E142/3,E142/4))))</f>
        <v>659.7524699999999</v>
      </c>
      <c r="G142" s="162" t="str">
        <f>A141</f>
        <v>10th Floor (Part Terrace Area)</v>
      </c>
      <c r="H142" s="163"/>
      <c r="I142" s="36"/>
      <c r="K142" s="47">
        <f t="shared" si="1"/>
        <v>3100836.6089999997</v>
      </c>
      <c r="L142" s="161"/>
      <c r="M142" s="161"/>
      <c r="N142" s="36"/>
    </row>
    <row r="143" spans="1:14" s="47" customFormat="1" x14ac:dyDescent="0.35">
      <c r="A143" s="155">
        <f t="shared" ref="A143:A144" si="9">A142+1</f>
        <v>2</v>
      </c>
      <c r="B143" s="156"/>
      <c r="C143" s="177" t="s">
        <v>204</v>
      </c>
      <c r="D143" s="178"/>
      <c r="E143" s="178"/>
      <c r="F143" s="179"/>
      <c r="G143" s="164"/>
      <c r="H143" s="165"/>
      <c r="I143" s="36"/>
      <c r="K143" s="47">
        <f t="shared" si="1"/>
        <v>0</v>
      </c>
      <c r="L143" s="161"/>
      <c r="M143" s="161"/>
      <c r="N143" s="36"/>
    </row>
    <row r="144" spans="1:14" s="47" customFormat="1" x14ac:dyDescent="0.35">
      <c r="A144" s="155">
        <f t="shared" si="9"/>
        <v>3</v>
      </c>
      <c r="B144" s="156"/>
      <c r="C144" s="53">
        <v>1</v>
      </c>
      <c r="D144" s="41">
        <f>(4.3*3+2.05*2.3+3.25*3+1.2*2+1.2*2+2.7*0.9+2.05*1)*10.764</f>
        <v>394.44677999999993</v>
      </c>
      <c r="E144" s="41">
        <f>2.75*2.3*10.764</f>
        <v>68.082299999999989</v>
      </c>
      <c r="F144" s="41">
        <f t="shared" ref="F144" si="10">D144*(($F$100)+1)+(IF(E144&lt;101,E144,IF(E144&lt;201,E144/2,IF(E144&lt;=301,E144/3,E144/4))))</f>
        <v>659.7524699999999</v>
      </c>
      <c r="G144" s="164"/>
      <c r="H144" s="165"/>
      <c r="I144" s="36"/>
      <c r="K144" s="47">
        <f t="shared" si="1"/>
        <v>3100836.6089999997</v>
      </c>
      <c r="L144" s="161"/>
      <c r="M144" s="161"/>
      <c r="N144" s="36"/>
    </row>
    <row r="145" spans="1:8" s="35" customFormat="1" x14ac:dyDescent="0.35">
      <c r="A145" s="180" t="s">
        <v>69</v>
      </c>
      <c r="B145" s="180"/>
      <c r="C145" s="180"/>
      <c r="D145" s="180"/>
      <c r="E145" s="180"/>
      <c r="F145" s="180"/>
      <c r="G145" s="180"/>
      <c r="H145" s="180"/>
    </row>
    <row r="146" spans="1:8" s="35" customFormat="1" x14ac:dyDescent="0.35">
      <c r="A146" s="45">
        <v>1</v>
      </c>
      <c r="B146" s="181" t="s">
        <v>215</v>
      </c>
      <c r="C146" s="182"/>
      <c r="D146" s="182"/>
      <c r="E146" s="182"/>
      <c r="F146" s="182"/>
      <c r="G146" s="182"/>
      <c r="H146" s="183"/>
    </row>
    <row r="147" spans="1:8" s="35" customFormat="1" x14ac:dyDescent="0.35">
      <c r="A147" s="45">
        <v>2</v>
      </c>
      <c r="B147" s="181" t="str">
        <f>(IF(F99="Saleable area Loading :","We have considered Saleable area of Flats as per our Calculation.","We considered Saleable area of Flat as per Builder area Sheet."))</f>
        <v>We have considered Saleable area of Flats as per our Calculation.</v>
      </c>
      <c r="C147" s="182"/>
      <c r="D147" s="182"/>
      <c r="E147" s="182"/>
      <c r="F147" s="182"/>
      <c r="G147" s="182"/>
      <c r="H147" s="183"/>
    </row>
    <row r="148" spans="1:8" s="35" customFormat="1" x14ac:dyDescent="0.35">
      <c r="A148" s="45">
        <v>3</v>
      </c>
      <c r="B148" s="59" t="s">
        <v>123</v>
      </c>
      <c r="C148" s="60"/>
      <c r="D148" s="60"/>
      <c r="E148" s="60"/>
      <c r="F148" s="60"/>
      <c r="G148" s="60"/>
      <c r="H148" s="61"/>
    </row>
    <row r="149" spans="1:8" s="35" customFormat="1" x14ac:dyDescent="0.35">
      <c r="A149" s="45">
        <v>4</v>
      </c>
      <c r="B149" s="59" t="s">
        <v>188</v>
      </c>
      <c r="C149" s="60"/>
      <c r="D149" s="60"/>
      <c r="E149" s="60"/>
      <c r="F149" s="60"/>
      <c r="G149" s="60"/>
      <c r="H149" s="61"/>
    </row>
    <row r="150" spans="1:8" s="35" customFormat="1" x14ac:dyDescent="0.35">
      <c r="A150" s="45">
        <v>5</v>
      </c>
      <c r="B150" s="59" t="s">
        <v>152</v>
      </c>
      <c r="C150" s="60"/>
      <c r="D150" s="60"/>
      <c r="E150" s="60"/>
      <c r="F150" s="60"/>
      <c r="G150" s="60"/>
      <c r="H150" s="61"/>
    </row>
    <row r="151" spans="1:8" s="35" customFormat="1" x14ac:dyDescent="0.35">
      <c r="A151" s="45">
        <v>6</v>
      </c>
      <c r="B151" s="59" t="s">
        <v>124</v>
      </c>
      <c r="C151" s="60"/>
      <c r="D151" s="60"/>
      <c r="E151" s="60"/>
      <c r="F151" s="60"/>
      <c r="G151" s="60"/>
      <c r="H151" s="61"/>
    </row>
    <row r="152" spans="1:8" s="35" customFormat="1" ht="34.5" customHeight="1" x14ac:dyDescent="0.35">
      <c r="A152" s="45">
        <v>7</v>
      </c>
      <c r="B152" s="59" t="s">
        <v>153</v>
      </c>
      <c r="C152" s="60"/>
      <c r="D152" s="60"/>
      <c r="E152" s="60"/>
      <c r="F152" s="60"/>
      <c r="G152" s="60"/>
      <c r="H152" s="61"/>
    </row>
    <row r="153" spans="1:8" s="35" customFormat="1" x14ac:dyDescent="0.35">
      <c r="A153" s="45">
        <v>8</v>
      </c>
      <c r="B153" s="59" t="s">
        <v>125</v>
      </c>
      <c r="C153" s="60"/>
      <c r="D153" s="60"/>
      <c r="E153" s="60"/>
      <c r="F153" s="60"/>
      <c r="G153" s="60"/>
      <c r="H153" s="61"/>
    </row>
    <row r="154" spans="1:8" s="35" customFormat="1" ht="33" customHeight="1" x14ac:dyDescent="0.35">
      <c r="A154" s="56">
        <v>9</v>
      </c>
      <c r="B154" s="59" t="s">
        <v>208</v>
      </c>
      <c r="C154" s="60"/>
      <c r="D154" s="60"/>
      <c r="E154" s="60"/>
      <c r="F154" s="60"/>
      <c r="G154" s="60"/>
      <c r="H154" s="61"/>
    </row>
    <row r="155" spans="1:8" s="35" customFormat="1" x14ac:dyDescent="0.35">
      <c r="A155" s="57">
        <v>10</v>
      </c>
      <c r="B155" s="59" t="s">
        <v>206</v>
      </c>
      <c r="C155" s="60"/>
      <c r="D155" s="60"/>
      <c r="E155" s="60"/>
      <c r="F155" s="60"/>
      <c r="G155" s="60"/>
      <c r="H155" s="61"/>
    </row>
    <row r="156" spans="1:8" s="35" customFormat="1" ht="47.25" customHeight="1" x14ac:dyDescent="0.35">
      <c r="A156" s="56">
        <v>11</v>
      </c>
      <c r="B156" s="59" t="s">
        <v>210</v>
      </c>
      <c r="C156" s="60"/>
      <c r="D156" s="60"/>
      <c r="E156" s="60"/>
      <c r="F156" s="60"/>
      <c r="G156" s="60"/>
      <c r="H156" s="61"/>
    </row>
    <row r="157" spans="1:8" x14ac:dyDescent="0.35">
      <c r="A157" s="102" t="s">
        <v>62</v>
      </c>
      <c r="B157" s="102"/>
      <c r="C157" s="102"/>
      <c r="D157" s="102"/>
      <c r="E157" s="102"/>
      <c r="F157" s="102"/>
      <c r="G157" s="102"/>
      <c r="H157" s="102"/>
    </row>
    <row r="158" spans="1:8" x14ac:dyDescent="0.35">
      <c r="A158" s="63" t="s">
        <v>63</v>
      </c>
      <c r="B158" s="63"/>
      <c r="C158" s="63"/>
      <c r="D158" s="63"/>
      <c r="E158" s="63"/>
      <c r="F158" s="63"/>
      <c r="G158" s="63"/>
      <c r="H158" s="63"/>
    </row>
    <row r="159" spans="1:8" ht="15.75" customHeight="1" x14ac:dyDescent="0.35">
      <c r="A159" s="64" t="s">
        <v>64</v>
      </c>
      <c r="B159" s="64"/>
      <c r="C159" s="64"/>
      <c r="D159" s="64"/>
      <c r="E159" s="64"/>
      <c r="F159" s="64"/>
      <c r="G159" s="64"/>
      <c r="H159" s="64"/>
    </row>
    <row r="160" spans="1:8" x14ac:dyDescent="0.35">
      <c r="A160" s="63" t="s">
        <v>65</v>
      </c>
      <c r="B160" s="63"/>
      <c r="C160" s="63"/>
      <c r="D160" s="63"/>
      <c r="E160" s="63"/>
      <c r="F160" s="63"/>
      <c r="G160" s="63"/>
      <c r="H160" s="63"/>
    </row>
    <row r="161" spans="1:8" x14ac:dyDescent="0.35">
      <c r="A161" s="63" t="s">
        <v>66</v>
      </c>
      <c r="B161" s="63"/>
      <c r="C161" s="63"/>
      <c r="D161" s="63"/>
      <c r="E161" s="63"/>
      <c r="F161" s="63"/>
      <c r="G161" s="63"/>
      <c r="H161" s="63"/>
    </row>
    <row r="162" spans="1:8" x14ac:dyDescent="0.35">
      <c r="A162" s="63" t="s">
        <v>126</v>
      </c>
      <c r="B162" s="63"/>
      <c r="C162" s="63"/>
      <c r="D162" s="63"/>
      <c r="E162" s="63"/>
      <c r="F162" s="63"/>
      <c r="G162" s="63"/>
      <c r="H162" s="63"/>
    </row>
    <row r="163" spans="1:8" ht="35.25" customHeight="1" x14ac:dyDescent="0.35">
      <c r="A163" s="94" t="s">
        <v>127</v>
      </c>
      <c r="B163" s="94"/>
      <c r="C163" s="94"/>
      <c r="D163" s="94"/>
      <c r="E163" s="94"/>
      <c r="F163" s="94"/>
      <c r="G163" s="94"/>
      <c r="H163" s="94"/>
    </row>
    <row r="164" spans="1:8" x14ac:dyDescent="0.35">
      <c r="A164" s="132" t="s">
        <v>77</v>
      </c>
      <c r="B164" s="132"/>
      <c r="C164" s="132" t="s">
        <v>212</v>
      </c>
      <c r="D164" s="132"/>
      <c r="E164" s="132" t="s">
        <v>106</v>
      </c>
      <c r="F164" s="132"/>
      <c r="G164" s="132" t="s">
        <v>217</v>
      </c>
      <c r="H164" s="132"/>
    </row>
    <row r="165" spans="1:8" x14ac:dyDescent="0.35">
      <c r="A165" s="131" t="s">
        <v>79</v>
      </c>
      <c r="B165" s="131"/>
      <c r="C165" s="131"/>
      <c r="D165" s="131"/>
      <c r="E165" s="131"/>
      <c r="F165" s="131"/>
      <c r="G165" s="131"/>
      <c r="H165" s="131"/>
    </row>
    <row r="166" spans="1:8" x14ac:dyDescent="0.35">
      <c r="A166" s="131"/>
      <c r="B166" s="131"/>
      <c r="C166" s="131"/>
      <c r="D166" s="131"/>
      <c r="E166" s="131"/>
      <c r="F166" s="131"/>
      <c r="G166" s="131"/>
      <c r="H166" s="131"/>
    </row>
    <row r="167" spans="1:8" x14ac:dyDescent="0.35">
      <c r="A167" s="131"/>
      <c r="B167" s="131"/>
      <c r="C167" s="131"/>
      <c r="D167" s="131"/>
      <c r="E167" s="131"/>
      <c r="F167" s="131"/>
      <c r="G167" s="131"/>
      <c r="H167" s="131"/>
    </row>
    <row r="168" spans="1:8" x14ac:dyDescent="0.35">
      <c r="A168" s="131"/>
      <c r="B168" s="131"/>
      <c r="C168" s="131"/>
      <c r="D168" s="131"/>
      <c r="E168" s="131"/>
      <c r="F168" s="131"/>
      <c r="G168" s="131"/>
      <c r="H168" s="131"/>
    </row>
    <row r="169" spans="1:8" x14ac:dyDescent="0.35">
      <c r="A169" s="37" t="s">
        <v>67</v>
      </c>
      <c r="B169" s="38"/>
      <c r="C169" s="38"/>
      <c r="D169" s="37" t="str">
        <f>E8</f>
        <v>Alampata</v>
      </c>
      <c r="F169" s="38"/>
      <c r="G169" s="38"/>
      <c r="H169" s="38"/>
    </row>
    <row r="170" spans="1:8" x14ac:dyDescent="0.35">
      <c r="A170" s="38"/>
      <c r="B170" s="38"/>
      <c r="C170" s="38"/>
      <c r="D170" s="38"/>
      <c r="E170" s="38"/>
      <c r="F170" s="38"/>
      <c r="G170" s="38"/>
      <c r="H170" s="38"/>
    </row>
    <row r="171" spans="1:8" x14ac:dyDescent="0.35">
      <c r="A171" s="38"/>
      <c r="B171" s="38"/>
      <c r="C171" s="38"/>
      <c r="D171" s="38"/>
      <c r="E171" s="38"/>
      <c r="F171" s="38"/>
      <c r="G171" s="38"/>
      <c r="H171" s="38"/>
    </row>
    <row r="172" spans="1:8" ht="15" customHeight="1" x14ac:dyDescent="0.35"/>
    <row r="212" spans="1:8" x14ac:dyDescent="0.35">
      <c r="A212" s="58" t="s">
        <v>211</v>
      </c>
      <c r="B212" s="58"/>
      <c r="C212" s="38"/>
      <c r="D212" s="38"/>
      <c r="E212" s="38"/>
      <c r="F212" s="38"/>
      <c r="G212" s="38"/>
      <c r="H212" s="38"/>
    </row>
    <row r="213" spans="1:8" x14ac:dyDescent="0.35">
      <c r="A213" s="38"/>
      <c r="B213" s="38"/>
      <c r="C213" s="38"/>
      <c r="D213" s="38"/>
      <c r="E213" s="38"/>
      <c r="F213" s="38"/>
      <c r="G213" s="38"/>
      <c r="H213" s="38"/>
    </row>
    <row r="214" spans="1:8" ht="15" customHeight="1" x14ac:dyDescent="0.35"/>
    <row r="254" spans="1:8" x14ac:dyDescent="0.35">
      <c r="A254" s="37"/>
      <c r="B254" s="38"/>
      <c r="C254" s="38"/>
      <c r="D254" s="37"/>
      <c r="F254" s="38"/>
      <c r="G254" s="38"/>
      <c r="H254" s="38"/>
    </row>
    <row r="255" spans="1:8" x14ac:dyDescent="0.35">
      <c r="A255" s="38" t="s">
        <v>207</v>
      </c>
      <c r="B255" s="38"/>
      <c r="C255" s="38"/>
      <c r="D255" s="38"/>
      <c r="E255" s="38"/>
      <c r="F255" s="38"/>
      <c r="G255" s="38"/>
      <c r="H255" s="38"/>
    </row>
    <row r="256" spans="1:8" x14ac:dyDescent="0.35">
      <c r="A256" s="38"/>
      <c r="B256" s="38"/>
      <c r="C256" s="38"/>
      <c r="D256" s="38"/>
      <c r="E256" s="38"/>
      <c r="F256" s="38"/>
      <c r="G256" s="38"/>
      <c r="H256" s="38"/>
    </row>
    <row r="257" ht="15" customHeight="1" x14ac:dyDescent="0.35"/>
    <row r="297" spans="1:1" x14ac:dyDescent="0.35">
      <c r="A297" s="40" t="s">
        <v>68</v>
      </c>
    </row>
    <row r="337" hidden="1" x14ac:dyDescent="0.35"/>
    <row r="338" hidden="1" x14ac:dyDescent="0.35"/>
    <row r="339" hidden="1" x14ac:dyDescent="0.35"/>
    <row r="340" hidden="1" x14ac:dyDescent="0.35"/>
  </sheetData>
  <mergeCells count="316">
    <mergeCell ref="I10:L10"/>
    <mergeCell ref="B155:H155"/>
    <mergeCell ref="L139:M139"/>
    <mergeCell ref="A140:B140"/>
    <mergeCell ref="L140:M140"/>
    <mergeCell ref="C140:F140"/>
    <mergeCell ref="A141:H141"/>
    <mergeCell ref="A142:B142"/>
    <mergeCell ref="G142:H144"/>
    <mergeCell ref="L142:M142"/>
    <mergeCell ref="A143:B143"/>
    <mergeCell ref="L143:M143"/>
    <mergeCell ref="A144:B144"/>
    <mergeCell ref="L144:M144"/>
    <mergeCell ref="B148:H148"/>
    <mergeCell ref="B149:H149"/>
    <mergeCell ref="A145:H145"/>
    <mergeCell ref="B146:H146"/>
    <mergeCell ref="B147:H147"/>
    <mergeCell ref="B151:H151"/>
    <mergeCell ref="C143:F143"/>
    <mergeCell ref="A128:H128"/>
    <mergeCell ref="A129:B129"/>
    <mergeCell ref="G129:H140"/>
    <mergeCell ref="L129:M129"/>
    <mergeCell ref="A130:B130"/>
    <mergeCell ref="L130:M130"/>
    <mergeCell ref="A131:B131"/>
    <mergeCell ref="L131:M131"/>
    <mergeCell ref="A132:B132"/>
    <mergeCell ref="L132:M132"/>
    <mergeCell ref="A133:B133"/>
    <mergeCell ref="L133:M133"/>
    <mergeCell ref="A134:B134"/>
    <mergeCell ref="L134:M134"/>
    <mergeCell ref="A135:B135"/>
    <mergeCell ref="L135:M135"/>
    <mergeCell ref="A136:B136"/>
    <mergeCell ref="L136:M136"/>
    <mergeCell ref="A137:B137"/>
    <mergeCell ref="L137:M137"/>
    <mergeCell ref="A138:B138"/>
    <mergeCell ref="L138:M138"/>
    <mergeCell ref="A139:B139"/>
    <mergeCell ref="L116:M116"/>
    <mergeCell ref="A117:B117"/>
    <mergeCell ref="L117:M117"/>
    <mergeCell ref="A118:B118"/>
    <mergeCell ref="L118:M118"/>
    <mergeCell ref="A119:B119"/>
    <mergeCell ref="L119:M119"/>
    <mergeCell ref="A120:B120"/>
    <mergeCell ref="L120:M120"/>
    <mergeCell ref="G116:H127"/>
    <mergeCell ref="A121:B121"/>
    <mergeCell ref="A126:B126"/>
    <mergeCell ref="L121:M121"/>
    <mergeCell ref="A122:B122"/>
    <mergeCell ref="L122:M122"/>
    <mergeCell ref="A123:B123"/>
    <mergeCell ref="L123:M123"/>
    <mergeCell ref="A124:B124"/>
    <mergeCell ref="L124:M124"/>
    <mergeCell ref="A125:B125"/>
    <mergeCell ref="L125:M125"/>
    <mergeCell ref="L126:M126"/>
    <mergeCell ref="A127:B127"/>
    <mergeCell ref="L113:M113"/>
    <mergeCell ref="L127:M127"/>
    <mergeCell ref="A16:B16"/>
    <mergeCell ref="C16:H16"/>
    <mergeCell ref="A38:B38"/>
    <mergeCell ref="C38:H38"/>
    <mergeCell ref="B152:H152"/>
    <mergeCell ref="A47:B47"/>
    <mergeCell ref="C47:H47"/>
    <mergeCell ref="B150:H150"/>
    <mergeCell ref="F82:H82"/>
    <mergeCell ref="A82:E82"/>
    <mergeCell ref="A84:E84"/>
    <mergeCell ref="A110:B110"/>
    <mergeCell ref="A115:H115"/>
    <mergeCell ref="A116:B116"/>
    <mergeCell ref="F83:H83"/>
    <mergeCell ref="A88:E88"/>
    <mergeCell ref="A85:E85"/>
    <mergeCell ref="F84:H84"/>
    <mergeCell ref="F90:H90"/>
    <mergeCell ref="A106:B106"/>
    <mergeCell ref="A91:E91"/>
    <mergeCell ref="C95:D95"/>
    <mergeCell ref="F80:H80"/>
    <mergeCell ref="F85:H85"/>
    <mergeCell ref="F88:H88"/>
    <mergeCell ref="A86:E86"/>
    <mergeCell ref="A114:B114"/>
    <mergeCell ref="L114:M114"/>
    <mergeCell ref="G103:H114"/>
    <mergeCell ref="A109:B109"/>
    <mergeCell ref="L109:M109"/>
    <mergeCell ref="L110:M110"/>
    <mergeCell ref="A111:B111"/>
    <mergeCell ref="L111:M111"/>
    <mergeCell ref="A108:B108"/>
    <mergeCell ref="L108:M108"/>
    <mergeCell ref="A112:B112"/>
    <mergeCell ref="L112:M112"/>
    <mergeCell ref="L106:M106"/>
    <mergeCell ref="L103:M103"/>
    <mergeCell ref="A104:B104"/>
    <mergeCell ref="L104:M104"/>
    <mergeCell ref="A105:B105"/>
    <mergeCell ref="L105:M105"/>
    <mergeCell ref="A107:B107"/>
    <mergeCell ref="L107:M107"/>
    <mergeCell ref="F86:H86"/>
    <mergeCell ref="A87:E87"/>
    <mergeCell ref="A89:E89"/>
    <mergeCell ref="G95:H95"/>
    <mergeCell ref="A113:B113"/>
    <mergeCell ref="G96:H96"/>
    <mergeCell ref="F87:H87"/>
    <mergeCell ref="A81:E81"/>
    <mergeCell ref="A101:H101"/>
    <mergeCell ref="A99:A100"/>
    <mergeCell ref="A103:B103"/>
    <mergeCell ref="A36:H36"/>
    <mergeCell ref="A35:B35"/>
    <mergeCell ref="C35:E35"/>
    <mergeCell ref="A40:D40"/>
    <mergeCell ref="E40:H40"/>
    <mergeCell ref="F32:H32"/>
    <mergeCell ref="F33:H33"/>
    <mergeCell ref="A39:H39"/>
    <mergeCell ref="A59:C59"/>
    <mergeCell ref="D59:H59"/>
    <mergeCell ref="A42:D42"/>
    <mergeCell ref="E42:H42"/>
    <mergeCell ref="E43:H43"/>
    <mergeCell ref="E44:H44"/>
    <mergeCell ref="E45:H45"/>
    <mergeCell ref="A43:D43"/>
    <mergeCell ref="F35:H35"/>
    <mergeCell ref="A37:B37"/>
    <mergeCell ref="A44:D44"/>
    <mergeCell ref="A45:D45"/>
    <mergeCell ref="A46:H46"/>
    <mergeCell ref="C37:H37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65:C65"/>
    <mergeCell ref="E70:F79"/>
    <mergeCell ref="A165:H168"/>
    <mergeCell ref="A164:B164"/>
    <mergeCell ref="E164:F164"/>
    <mergeCell ref="C164:D164"/>
    <mergeCell ref="G164:H164"/>
    <mergeCell ref="A92:E92"/>
    <mergeCell ref="F92:H92"/>
    <mergeCell ref="A93:E93"/>
    <mergeCell ref="F93:H93"/>
    <mergeCell ref="A96:B96"/>
    <mergeCell ref="A160:H160"/>
    <mergeCell ref="A94:H94"/>
    <mergeCell ref="A163:H163"/>
    <mergeCell ref="A161:H161"/>
    <mergeCell ref="B99:B100"/>
    <mergeCell ref="A158:H158"/>
    <mergeCell ref="E95:F95"/>
    <mergeCell ref="B153:H153"/>
    <mergeCell ref="B154:H154"/>
    <mergeCell ref="A157:H157"/>
    <mergeCell ref="G70:H79"/>
    <mergeCell ref="A78:B78"/>
    <mergeCell ref="G69:H69"/>
    <mergeCell ref="C99:C100"/>
    <mergeCell ref="A102:H102"/>
    <mergeCell ref="A76:B76"/>
    <mergeCell ref="A69:B69"/>
    <mergeCell ref="A72:B72"/>
    <mergeCell ref="A68:B68"/>
    <mergeCell ref="A66:B66"/>
    <mergeCell ref="C66:H66"/>
    <mergeCell ref="A74:B74"/>
    <mergeCell ref="C68:H68"/>
    <mergeCell ref="A71:B71"/>
    <mergeCell ref="A73:B73"/>
    <mergeCell ref="E69:F69"/>
    <mergeCell ref="A97:H97"/>
    <mergeCell ref="A98:H98"/>
    <mergeCell ref="C96:D96"/>
    <mergeCell ref="E96:F96"/>
    <mergeCell ref="F91:H91"/>
    <mergeCell ref="F89:H89"/>
    <mergeCell ref="A90:E90"/>
    <mergeCell ref="A79:B79"/>
    <mergeCell ref="A83:E83"/>
    <mergeCell ref="A80:E80"/>
    <mergeCell ref="D60:H60"/>
    <mergeCell ref="A77:B77"/>
    <mergeCell ref="G49:H49"/>
    <mergeCell ref="A50:B51"/>
    <mergeCell ref="A61:C61"/>
    <mergeCell ref="D61:H61"/>
    <mergeCell ref="A62:C62"/>
    <mergeCell ref="D62:H62"/>
    <mergeCell ref="D65:H65"/>
    <mergeCell ref="D56:H56"/>
    <mergeCell ref="G52:H52"/>
    <mergeCell ref="A52:B53"/>
    <mergeCell ref="C53:H53"/>
    <mergeCell ref="C51:H51"/>
    <mergeCell ref="A54:H54"/>
    <mergeCell ref="A55:C55"/>
    <mergeCell ref="A56:C56"/>
    <mergeCell ref="D57:H57"/>
    <mergeCell ref="A57:C57"/>
    <mergeCell ref="A63:C63"/>
    <mergeCell ref="D63:H63"/>
    <mergeCell ref="A64:C64"/>
    <mergeCell ref="D64:H64"/>
    <mergeCell ref="A70:B70"/>
    <mergeCell ref="A212:B212"/>
    <mergeCell ref="B156:H156"/>
    <mergeCell ref="E41:H41"/>
    <mergeCell ref="A41:D41"/>
    <mergeCell ref="A162:H162"/>
    <mergeCell ref="A159:H159"/>
    <mergeCell ref="A95:B95"/>
    <mergeCell ref="D99:D100"/>
    <mergeCell ref="E99:E100"/>
    <mergeCell ref="G99:H100"/>
    <mergeCell ref="A75:B75"/>
    <mergeCell ref="F81:H81"/>
    <mergeCell ref="A48:B48"/>
    <mergeCell ref="C48:E48"/>
    <mergeCell ref="G48:H48"/>
    <mergeCell ref="G50:H50"/>
    <mergeCell ref="D55:H55"/>
    <mergeCell ref="C50:E50"/>
    <mergeCell ref="A58:C58"/>
    <mergeCell ref="D58:H58"/>
    <mergeCell ref="C49:E49"/>
    <mergeCell ref="C52:E52"/>
    <mergeCell ref="A49:B49"/>
    <mergeCell ref="A60:C60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68" max="16383" man="1"/>
    <brk id="211" max="16383" man="1"/>
    <brk id="253" max="16383" man="1"/>
    <brk id="29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6" sqref="B16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84" t="s">
        <v>107</v>
      </c>
      <c r="C3" s="184"/>
      <c r="D3" s="184"/>
      <c r="E3" s="184"/>
      <c r="F3" s="184"/>
      <c r="G3" s="184"/>
      <c r="H3" s="184"/>
    </row>
    <row r="4" spans="1:9" x14ac:dyDescent="0.35">
      <c r="A4" s="2"/>
      <c r="B4" s="3" t="s">
        <v>108</v>
      </c>
      <c r="C4" s="3" t="s">
        <v>109</v>
      </c>
      <c r="D4" s="3" t="s">
        <v>70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2025-07-14T13:24:29Z</cp:lastPrinted>
  <dcterms:created xsi:type="dcterms:W3CDTF">2019-07-16T09:29:46Z</dcterms:created>
  <dcterms:modified xsi:type="dcterms:W3CDTF">2025-07-14T13:25:02Z</dcterms:modified>
</cp:coreProperties>
</file>