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0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8" i="1" l="1"/>
  <c r="J117" i="1"/>
  <c r="J116" i="1"/>
  <c r="J115" i="1"/>
  <c r="H108" i="1"/>
  <c r="D120" i="1" l="1"/>
  <c r="D116" i="1"/>
  <c r="J111" i="1"/>
  <c r="D119" i="1"/>
  <c r="D115" i="1"/>
  <c r="D117" i="1"/>
  <c r="J112" i="1"/>
  <c r="C111" i="1" s="1"/>
  <c r="D111" i="1" s="1"/>
  <c r="D118" i="1"/>
  <c r="D114" i="1"/>
  <c r="J107" i="1"/>
  <c r="J109" i="1" s="1"/>
  <c r="J110" i="1"/>
  <c r="D113" i="1"/>
  <c r="J113" i="1"/>
  <c r="J90" i="1"/>
  <c r="J89" i="1"/>
  <c r="J88" i="1"/>
  <c r="J87" i="1"/>
  <c r="H80" i="1"/>
  <c r="J114" i="1" l="1"/>
  <c r="J84" i="1"/>
  <c r="C83" i="1" s="1"/>
  <c r="D83" i="1" s="1"/>
  <c r="J82" i="1"/>
  <c r="D92" i="1"/>
  <c r="D88" i="1"/>
  <c r="J85" i="1"/>
  <c r="J86" i="1" s="1"/>
  <c r="J91" i="1" s="1"/>
  <c r="D91" i="1"/>
  <c r="D87" i="1"/>
  <c r="J83" i="1"/>
  <c r="D89" i="1"/>
  <c r="J79" i="1"/>
  <c r="J81" i="1" s="1"/>
  <c r="D90" i="1"/>
  <c r="D86" i="1"/>
  <c r="D85" i="1"/>
  <c r="J104" i="1"/>
  <c r="J103" i="1"/>
  <c r="J102" i="1"/>
  <c r="J101" i="1"/>
  <c r="J119" i="1" l="1"/>
  <c r="J92" i="1"/>
  <c r="C84" i="1" s="1"/>
  <c r="E7" i="1"/>
  <c r="J120" i="1" l="1"/>
  <c r="C112" i="1" s="1"/>
  <c r="J108" i="1" s="1"/>
  <c r="E83" i="1"/>
  <c r="D84" i="1"/>
  <c r="I80" i="1" s="1"/>
  <c r="J80" i="1"/>
  <c r="G83" i="1"/>
  <c r="G111" i="1" l="1"/>
  <c r="D112" i="1"/>
  <c r="I108" i="1" s="1"/>
  <c r="I109" i="1" s="1"/>
  <c r="I107" i="1" s="1"/>
  <c r="C109" i="1" s="1"/>
  <c r="E111" i="1"/>
  <c r="I81" i="1"/>
  <c r="I79" i="1" s="1"/>
  <c r="C81" i="1" s="1"/>
  <c r="O154" i="1"/>
  <c r="O165" i="1"/>
  <c r="O175" i="1"/>
  <c r="O176" i="1"/>
  <c r="O177" i="1"/>
  <c r="O183" i="1"/>
  <c r="O193" i="1"/>
  <c r="O202" i="1"/>
  <c r="O203" i="1"/>
  <c r="O204" i="1"/>
  <c r="O211" i="1"/>
  <c r="O223" i="1"/>
  <c r="O234" i="1"/>
  <c r="O235" i="1"/>
  <c r="O236" i="1"/>
  <c r="O241" i="1"/>
  <c r="O251" i="1"/>
  <c r="D172" i="1" l="1"/>
  <c r="D162" i="1"/>
  <c r="J157" i="1" s="1"/>
  <c r="D259" i="1"/>
  <c r="F259" i="1" s="1"/>
  <c r="O259" i="1" s="1"/>
  <c r="D258" i="1"/>
  <c r="F258" i="1" s="1"/>
  <c r="O258" i="1" s="1"/>
  <c r="D257" i="1"/>
  <c r="F257" i="1" s="1"/>
  <c r="O257" i="1" s="1"/>
  <c r="D256" i="1"/>
  <c r="F256" i="1" s="1"/>
  <c r="D255" i="1"/>
  <c r="F255" i="1" s="1"/>
  <c r="O255" i="1" s="1"/>
  <c r="D254" i="1"/>
  <c r="F254" i="1" s="1"/>
  <c r="O254" i="1" s="1"/>
  <c r="D253" i="1"/>
  <c r="F253" i="1" s="1"/>
  <c r="O253" i="1" s="1"/>
  <c r="D252" i="1"/>
  <c r="F252" i="1" s="1"/>
  <c r="O252" i="1" s="1"/>
  <c r="D250" i="1"/>
  <c r="F250" i="1" s="1"/>
  <c r="O250" i="1" s="1"/>
  <c r="D249" i="1"/>
  <c r="F249" i="1" s="1"/>
  <c r="O249" i="1" s="1"/>
  <c r="D248" i="1"/>
  <c r="F248" i="1" s="1"/>
  <c r="O248" i="1" s="1"/>
  <c r="D247" i="1"/>
  <c r="F247" i="1" s="1"/>
  <c r="O247" i="1" s="1"/>
  <c r="D246" i="1"/>
  <c r="F246" i="1" s="1"/>
  <c r="O246" i="1" s="1"/>
  <c r="D245" i="1"/>
  <c r="F245" i="1" s="1"/>
  <c r="O245" i="1" s="1"/>
  <c r="D244" i="1"/>
  <c r="D243" i="1"/>
  <c r="F243" i="1" s="1"/>
  <c r="O243" i="1" s="1"/>
  <c r="D242" i="1"/>
  <c r="F242" i="1" s="1"/>
  <c r="O242" i="1" s="1"/>
  <c r="D240" i="1"/>
  <c r="F240" i="1" s="1"/>
  <c r="O240" i="1" s="1"/>
  <c r="D239" i="1"/>
  <c r="F239" i="1" s="1"/>
  <c r="O239" i="1" s="1"/>
  <c r="D238" i="1"/>
  <c r="F238" i="1" s="1"/>
  <c r="O238" i="1" s="1"/>
  <c r="D237" i="1"/>
  <c r="F237" i="1" s="1"/>
  <c r="O237" i="1" s="1"/>
  <c r="G252" i="1"/>
  <c r="F244" i="1"/>
  <c r="O244" i="1" s="1"/>
  <c r="G242" i="1"/>
  <c r="A238" i="1"/>
  <c r="A239" i="1" s="1"/>
  <c r="A240" i="1" s="1"/>
  <c r="G237" i="1"/>
  <c r="D233" i="1"/>
  <c r="F233" i="1" s="1"/>
  <c r="O233" i="1" s="1"/>
  <c r="D232" i="1"/>
  <c r="F232" i="1" s="1"/>
  <c r="O232" i="1" s="1"/>
  <c r="D231" i="1"/>
  <c r="F231" i="1" s="1"/>
  <c r="O231" i="1" s="1"/>
  <c r="D230" i="1"/>
  <c r="F230" i="1" s="1"/>
  <c r="O230" i="1" s="1"/>
  <c r="D229" i="1"/>
  <c r="F229" i="1" s="1"/>
  <c r="O229" i="1" s="1"/>
  <c r="D228" i="1"/>
  <c r="F228" i="1" s="1"/>
  <c r="O228" i="1" s="1"/>
  <c r="D227" i="1"/>
  <c r="F227" i="1" s="1"/>
  <c r="O227" i="1" s="1"/>
  <c r="D226" i="1"/>
  <c r="F226" i="1" s="1"/>
  <c r="O226" i="1" s="1"/>
  <c r="D225" i="1"/>
  <c r="F225" i="1" s="1"/>
  <c r="O225" i="1" s="1"/>
  <c r="D224" i="1"/>
  <c r="F224" i="1" s="1"/>
  <c r="O224" i="1" s="1"/>
  <c r="D222" i="1"/>
  <c r="F222" i="1" s="1"/>
  <c r="O222" i="1" s="1"/>
  <c r="D221" i="1"/>
  <c r="D220" i="1"/>
  <c r="F220" i="1" s="1"/>
  <c r="O220" i="1" s="1"/>
  <c r="D219" i="1"/>
  <c r="F219" i="1" s="1"/>
  <c r="O219" i="1" s="1"/>
  <c r="D218" i="1"/>
  <c r="F218" i="1" s="1"/>
  <c r="O218" i="1" s="1"/>
  <c r="D217" i="1"/>
  <c r="F217" i="1" s="1"/>
  <c r="O217" i="1" s="1"/>
  <c r="D216" i="1"/>
  <c r="F216" i="1" s="1"/>
  <c r="O216" i="1" s="1"/>
  <c r="D215" i="1"/>
  <c r="F215" i="1" s="1"/>
  <c r="O215" i="1" s="1"/>
  <c r="D214" i="1"/>
  <c r="F214" i="1" s="1"/>
  <c r="O214" i="1" s="1"/>
  <c r="D213" i="1"/>
  <c r="D212" i="1"/>
  <c r="F212" i="1" s="1"/>
  <c r="O212" i="1" s="1"/>
  <c r="D210" i="1"/>
  <c r="F210" i="1" s="1"/>
  <c r="O210" i="1" s="1"/>
  <c r="D209" i="1"/>
  <c r="F209" i="1" s="1"/>
  <c r="O209" i="1" s="1"/>
  <c r="D208" i="1"/>
  <c r="F208" i="1" s="1"/>
  <c r="O208" i="1" s="1"/>
  <c r="D207" i="1"/>
  <c r="F207" i="1" s="1"/>
  <c r="O207" i="1" s="1"/>
  <c r="D206" i="1"/>
  <c r="F206" i="1" s="1"/>
  <c r="O206" i="1" s="1"/>
  <c r="D205" i="1"/>
  <c r="F205" i="1" s="1"/>
  <c r="O205" i="1" s="1"/>
  <c r="G224" i="1"/>
  <c r="F221" i="1"/>
  <c r="O221" i="1" s="1"/>
  <c r="F213" i="1"/>
  <c r="O213" i="1" s="1"/>
  <c r="G212" i="1"/>
  <c r="A206" i="1"/>
  <c r="A207" i="1" s="1"/>
  <c r="A208" i="1" s="1"/>
  <c r="A209" i="1" s="1"/>
  <c r="A210" i="1" s="1"/>
  <c r="G205" i="1"/>
  <c r="D182" i="1"/>
  <c r="F182" i="1" s="1"/>
  <c r="O182" i="1" s="1"/>
  <c r="D201" i="1"/>
  <c r="F201" i="1" s="1"/>
  <c r="O201" i="1" s="1"/>
  <c r="D200" i="1"/>
  <c r="F200" i="1" s="1"/>
  <c r="O200" i="1" s="1"/>
  <c r="D199" i="1"/>
  <c r="F199" i="1" s="1"/>
  <c r="O199" i="1" s="1"/>
  <c r="D198" i="1"/>
  <c r="F198" i="1" s="1"/>
  <c r="O198" i="1" s="1"/>
  <c r="D197" i="1"/>
  <c r="F197" i="1" s="1"/>
  <c r="O197" i="1" s="1"/>
  <c r="D196" i="1"/>
  <c r="F196" i="1" s="1"/>
  <c r="O196" i="1" s="1"/>
  <c r="D195" i="1"/>
  <c r="F195" i="1" s="1"/>
  <c r="O195" i="1" s="1"/>
  <c r="D194" i="1"/>
  <c r="F194" i="1" s="1"/>
  <c r="O194" i="1" s="1"/>
  <c r="G194" i="1"/>
  <c r="D192" i="1"/>
  <c r="F192" i="1" s="1"/>
  <c r="O192" i="1" s="1"/>
  <c r="D191" i="1"/>
  <c r="F191" i="1" s="1"/>
  <c r="O191" i="1" s="1"/>
  <c r="D190" i="1"/>
  <c r="F190" i="1" s="1"/>
  <c r="O190" i="1" s="1"/>
  <c r="D189" i="1"/>
  <c r="F189" i="1" s="1"/>
  <c r="O189" i="1" s="1"/>
  <c r="D188" i="1"/>
  <c r="F188" i="1" s="1"/>
  <c r="O188" i="1" s="1"/>
  <c r="D187" i="1"/>
  <c r="F187" i="1" s="1"/>
  <c r="O187" i="1" s="1"/>
  <c r="D186" i="1"/>
  <c r="F186" i="1" s="1"/>
  <c r="O186" i="1" s="1"/>
  <c r="D185" i="1"/>
  <c r="F185" i="1" s="1"/>
  <c r="O185" i="1" s="1"/>
  <c r="D184" i="1"/>
  <c r="F184" i="1" s="1"/>
  <c r="J192" i="1"/>
  <c r="D178" i="1"/>
  <c r="F178" i="1" s="1"/>
  <c r="O178" i="1" s="1"/>
  <c r="K184" i="1"/>
  <c r="I184" i="1"/>
  <c r="J184" i="1"/>
  <c r="G184" i="1"/>
  <c r="D181" i="1"/>
  <c r="F181" i="1" s="1"/>
  <c r="O181" i="1" s="1"/>
  <c r="D180" i="1"/>
  <c r="F180" i="1" s="1"/>
  <c r="O180" i="1" s="1"/>
  <c r="D179" i="1"/>
  <c r="F179" i="1" s="1"/>
  <c r="O179" i="1" s="1"/>
  <c r="I179" i="1"/>
  <c r="A179" i="1"/>
  <c r="A180" i="1" s="1"/>
  <c r="A181" i="1" s="1"/>
  <c r="A182" i="1" s="1"/>
  <c r="G178" i="1"/>
  <c r="D174" i="1"/>
  <c r="D173" i="1"/>
  <c r="D171" i="1"/>
  <c r="D170" i="1"/>
  <c r="D169" i="1"/>
  <c r="D168" i="1"/>
  <c r="D167" i="1"/>
  <c r="D166" i="1"/>
  <c r="D164" i="1"/>
  <c r="J156" i="1" s="1"/>
  <c r="D163" i="1"/>
  <c r="J158" i="1" s="1"/>
  <c r="D161" i="1"/>
  <c r="D160" i="1"/>
  <c r="D159" i="1"/>
  <c r="J155" i="1" s="1"/>
  <c r="D158" i="1"/>
  <c r="D157" i="1"/>
  <c r="D156" i="1"/>
  <c r="D155" i="1"/>
  <c r="D153" i="1"/>
  <c r="D152" i="1"/>
  <c r="D151" i="1"/>
  <c r="D150" i="1"/>
  <c r="D149" i="1"/>
  <c r="E137" i="1" l="1"/>
  <c r="O184" i="1"/>
  <c r="K159" i="1"/>
  <c r="O256" i="1"/>
  <c r="M156" i="1"/>
  <c r="E139" i="1"/>
  <c r="C139" i="1"/>
  <c r="C137" i="1"/>
  <c r="E140" i="1"/>
  <c r="C140" i="1"/>
  <c r="E138" i="1"/>
  <c r="C138" i="1"/>
  <c r="G140" i="1"/>
  <c r="G138" i="1"/>
  <c r="G139" i="1"/>
  <c r="F169" i="1"/>
  <c r="F174" i="1"/>
  <c r="F173" i="1"/>
  <c r="O173" i="1" s="1"/>
  <c r="F172" i="1"/>
  <c r="O172" i="1" s="1"/>
  <c r="F171" i="1"/>
  <c r="O171" i="1" s="1"/>
  <c r="F170" i="1"/>
  <c r="O170" i="1" s="1"/>
  <c r="F168" i="1"/>
  <c r="O168" i="1" s="1"/>
  <c r="F167" i="1"/>
  <c r="O167" i="1" s="1"/>
  <c r="G166" i="1"/>
  <c r="F166" i="1"/>
  <c r="O166" i="1" s="1"/>
  <c r="F155" i="1"/>
  <c r="O155" i="1" s="1"/>
  <c r="F159" i="1"/>
  <c r="O159" i="1" s="1"/>
  <c r="F157" i="1"/>
  <c r="N155" i="1" s="1"/>
  <c r="F160" i="1"/>
  <c r="O160" i="1" s="1"/>
  <c r="I160" i="1"/>
  <c r="F164" i="1"/>
  <c r="F163" i="1"/>
  <c r="F162" i="1"/>
  <c r="O162" i="1" s="1"/>
  <c r="F161" i="1"/>
  <c r="F158" i="1"/>
  <c r="O158" i="1" s="1"/>
  <c r="F156" i="1"/>
  <c r="O156" i="1" s="1"/>
  <c r="G155" i="1"/>
  <c r="I149" i="1"/>
  <c r="O169" i="1" l="1"/>
  <c r="J170" i="1"/>
  <c r="E141" i="1"/>
  <c r="O157" i="1"/>
  <c r="K155" i="1"/>
  <c r="C141" i="1"/>
  <c r="O163" i="1"/>
  <c r="K158" i="1"/>
  <c r="M155" i="1"/>
  <c r="O164" i="1"/>
  <c r="K156" i="1"/>
  <c r="K157" i="1"/>
  <c r="O161" i="1"/>
  <c r="L155" i="1"/>
  <c r="O174" i="1"/>
  <c r="E42" i="1"/>
  <c r="E43" i="1" s="1"/>
  <c r="K160" i="1" l="1"/>
  <c r="C14" i="1"/>
  <c r="E29" i="1" l="1"/>
  <c r="F134" i="1" l="1"/>
  <c r="B262" i="1" l="1"/>
  <c r="F153" i="1" l="1"/>
  <c r="O153" i="1" s="1"/>
  <c r="F152" i="1"/>
  <c r="O152" i="1" s="1"/>
  <c r="F150" i="1"/>
  <c r="O150" i="1" s="1"/>
  <c r="F149" i="1"/>
  <c r="O149" i="1" s="1"/>
  <c r="F151" i="1"/>
  <c r="O151" i="1" s="1"/>
  <c r="G137" i="1" l="1"/>
  <c r="G141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82" i="1"/>
  <c r="G149" i="1"/>
  <c r="A150" i="1"/>
  <c r="A151" i="1" s="1"/>
  <c r="A152" i="1" s="1"/>
  <c r="A153" i="1" s="1"/>
  <c r="J76" i="1"/>
  <c r="J75" i="1"/>
  <c r="J74" i="1"/>
  <c r="J73" i="1"/>
  <c r="D54" i="1"/>
  <c r="G49" i="1"/>
  <c r="G50" i="1" s="1"/>
  <c r="C49" i="1"/>
  <c r="E26" i="1"/>
  <c r="E24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l="1"/>
  <c r="C70" i="1" s="1"/>
  <c r="E69" i="1" s="1"/>
  <c r="D71" i="1"/>
  <c r="J67" i="1"/>
  <c r="D69" i="1"/>
  <c r="H94" i="1"/>
  <c r="G69" i="1" l="1"/>
  <c r="D63" i="1" s="1"/>
  <c r="D64" i="1" s="1"/>
  <c r="D70" i="1"/>
  <c r="I66" i="1" s="1"/>
  <c r="J98" i="1"/>
  <c r="C97" i="1" s="1"/>
  <c r="D106" i="1"/>
  <c r="D104" i="1"/>
  <c r="D102" i="1"/>
  <c r="D100" i="1"/>
  <c r="J93" i="1"/>
  <c r="J95" i="1" s="1"/>
  <c r="J97" i="1"/>
  <c r="D101" i="1"/>
  <c r="J99" i="1"/>
  <c r="J96" i="1"/>
  <c r="D105" i="1"/>
  <c r="D103" i="1"/>
  <c r="D99" i="1"/>
  <c r="J66" i="1"/>
  <c r="J100" i="1" l="1"/>
  <c r="J105" i="1" s="1"/>
  <c r="D97" i="1"/>
  <c r="F64" i="1"/>
  <c r="I67" i="1"/>
  <c r="I65" i="1" s="1"/>
  <c r="C67" i="1" s="1"/>
  <c r="J106" i="1" l="1"/>
  <c r="C98" i="1" s="1"/>
  <c r="E97" i="1" s="1"/>
  <c r="J94" i="1" l="1"/>
  <c r="D98" i="1"/>
  <c r="I94" i="1" s="1"/>
  <c r="I95" i="1" s="1"/>
  <c r="G97" i="1"/>
  <c r="I93" i="1" l="1"/>
  <c r="C95" i="1" s="1"/>
</calcChain>
</file>

<file path=xl/sharedStrings.xml><?xml version="1.0" encoding="utf-8"?>
<sst xmlns="http://schemas.openxmlformats.org/spreadsheetml/2006/main" count="491" uniqueCount="233">
  <si>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</si>
  <si>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</si>
  <si>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</si>
  <si>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</si>
  <si>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</si>
  <si>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</si>
  <si>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</si>
  <si>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</si>
  <si>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</si>
  <si>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</si>
  <si>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</si>
  <si>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</si>
  <si>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</si>
  <si>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</si>
  <si>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</si>
  <si>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</si>
  <si>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</si>
  <si>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</si>
  <si>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</si>
  <si>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</si>
  <si>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</si>
  <si>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</si>
  <si>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</si>
  <si>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</si>
  <si>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</si>
  <si>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</si>
  <si>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</si>
  <si>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</si>
  <si>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</si>
  <si>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</si>
  <si>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</si>
  <si>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</si>
  <si>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</si>
  <si>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</si>
  <si>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</si>
  <si>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</si>
  <si>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</si>
  <si>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</si>
  <si>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</si>
  <si>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</si>
  <si>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</si>
  <si>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</si>
  <si>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</si>
  <si>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</si>
  <si>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</si>
  <si>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</si>
  <si>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</si>
  <si>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</si>
  <si>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</si>
  <si>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</si>
  <si>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</si>
  <si>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</si>
  <si>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</si>
  <si>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</si>
  <si>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</si>
  <si>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</si>
  <si>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</si>
  <si>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</si>
  <si>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</si>
  <si>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</si>
  <si>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</si>
  <si>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</si>
  <si>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</si>
  <si>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</si>
  <si>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</si>
  <si>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</si>
  <si>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</si>
  <si>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</si>
  <si>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</si>
  <si>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</si>
  <si>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</si>
  <si>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</si>
  <si>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</si>
  <si>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</si>
  <si>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</si>
  <si>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</si>
  <si>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</si>
  <si>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</si>
  <si>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</si>
  <si>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</si>
  <si>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</si>
  <si>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</si>
  <si>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</si>
  <si>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</si>
  <si>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</si>
  <si>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</si>
  <si>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</si>
  <si>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</si>
  <si>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</si>
  <si>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</si>
  <si>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</si>
  <si>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</si>
  <si>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</si>
  <si>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</si>
  <si>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</si>
  <si>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</si>
  <si>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</si>
  <si>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</si>
  <si>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</si>
  <si>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</si>
  <si>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</si>
  <si>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</si>
  <si>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</si>
  <si>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</si>
  <si>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</si>
  <si>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</si>
  <si>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</si>
  <si>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</si>
  <si>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</si>
  <si>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</si>
  <si>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</si>
  <si>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</si>
  <si>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</si>
  <si>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</si>
  <si>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</si>
  <si>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</si>
  <si>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</si>
  <si>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</si>
  <si>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</si>
  <si>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</si>
  <si>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</si>
  <si>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</si>
  <si>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</si>
  <si>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</si>
  <si>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</si>
  <si>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</si>
  <si>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</si>
  <si>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</si>
  <si>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</si>
  <si>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</si>
  <si>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</si>
  <si>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</si>
  <si>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</si>
  <si>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</si>
  <si>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</si>
  <si>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</si>
  <si>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</si>
  <si>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</si>
  <si>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</si>
  <si>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</si>
  <si>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</si>
  <si>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</si>
  <si>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</si>
  <si>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</si>
  <si>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</si>
  <si>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</si>
  <si>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</si>
  <si>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</si>
  <si>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</si>
  <si>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</si>
  <si>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</si>
  <si>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</si>
  <si>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</si>
  <si>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</si>
  <si>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</si>
  <si>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</si>
  <si>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</si>
  <si>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</si>
  <si>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</si>
  <si>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</si>
  <si>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</si>
  <si>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</si>
  <si>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</si>
  <si>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</si>
  <si>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</si>
  <si>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</si>
  <si>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</si>
  <si>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</si>
  <si>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</si>
  <si>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</si>
  <si>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</si>
  <si>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</si>
  <si>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Today Royal Infracon</t>
  </si>
  <si>
    <t>Aikyam</t>
  </si>
  <si>
    <t>Axis Sanpada</t>
  </si>
  <si>
    <t>P52000048020</t>
  </si>
  <si>
    <t>Survey No</t>
  </si>
  <si>
    <t>25, H. No.1</t>
  </si>
  <si>
    <t>Rohinjan</t>
  </si>
  <si>
    <t>Raigad</t>
  </si>
  <si>
    <t>Panvel</t>
  </si>
  <si>
    <t>Pisarve Road</t>
  </si>
  <si>
    <t>Panvel Municipal Corporation (PMC)</t>
  </si>
  <si>
    <t>PMC/16273/NRV/2593/2022</t>
  </si>
  <si>
    <t>A Wing = G + 1st to 14th Floor
B Wing = G + 1st to 14th Floor
C Wing = G + 1st to 14th Floor
D Wing = G + 1st to 14th Floor</t>
  </si>
  <si>
    <t>As per RERA - 31/10/2027</t>
  </si>
  <si>
    <t>Mahaavir Exotique</t>
  </si>
  <si>
    <t>Ground Floor For Parking</t>
  </si>
  <si>
    <t>A Wing</t>
  </si>
  <si>
    <t>2BHK</t>
  </si>
  <si>
    <t>1BHK</t>
  </si>
  <si>
    <t>2nd, 3rd, 4th, 5th, 6th, 7th, 9th,10th, 12th, 13th,14th Floor</t>
  </si>
  <si>
    <t xml:space="preserve">  </t>
  </si>
  <si>
    <t xml:space="preserve"> </t>
  </si>
  <si>
    <t>B Wing</t>
  </si>
  <si>
    <t>1st Floor For Residential &amp; Podium</t>
  </si>
  <si>
    <t>8th &amp; 11th Floor (Part Refuge Area)</t>
  </si>
  <si>
    <t>C Wing</t>
  </si>
  <si>
    <t>D Wing</t>
  </si>
  <si>
    <t>https://goo.gl/maps/YXrqodREDbpQ85QDA</t>
  </si>
  <si>
    <t>Open Plot</t>
  </si>
  <si>
    <t>1.9KM from Taloja Panchnand Railway Station</t>
  </si>
  <si>
    <t>Taloja Panchnand</t>
  </si>
  <si>
    <t>Upper kharghar</t>
  </si>
  <si>
    <t>Flats -519</t>
  </si>
  <si>
    <t>04 Building</t>
  </si>
  <si>
    <t>Mr.Sanket - 9638424248</t>
  </si>
  <si>
    <t>Wing A, B, C &amp; D</t>
  </si>
  <si>
    <t>1st Floor For Residential (Part Podium)</t>
  </si>
  <si>
    <t>We considered Gross carpet area = Net carpet + Balcony + D.B Area + Chajja</t>
  </si>
  <si>
    <t xml:space="preserve">Builder </t>
  </si>
  <si>
    <t>Sheet</t>
  </si>
  <si>
    <t>https://www.magicbricks.com/today-royal-aikyam-rohinjan-navi-mumbai-pdpid-4d4235333835353137</t>
  </si>
  <si>
    <t>Wing A, B, C &amp; D = G + 1st to 14th Floor</t>
  </si>
  <si>
    <t>Saleable area loading is below 1.45.</t>
  </si>
  <si>
    <t>Sunil Peravi</t>
  </si>
  <si>
    <t>Wing B  = G + 1st to 14th Floor</t>
  </si>
  <si>
    <t>Office No. 1031, Wing J, Akshar Business Park, Plot No. 03 Sector 25, Near APMC Market, Vashi, Navi
Mumbai, Maharashtra 400703 TEL: 022-46090378/79/80
Email : vsjcapf@gmail.com. Web site : www.vsjadon.com</t>
  </si>
  <si>
    <t>Wing C = G + 1st to 14th Floor</t>
  </si>
  <si>
    <t>Wing D = G + 1st to 14th Floor</t>
  </si>
  <si>
    <t>6000 to 6500</t>
  </si>
  <si>
    <t>smith</t>
  </si>
  <si>
    <t>Latitude,Longitude</t>
  </si>
  <si>
    <t>19.0917252,73.0804386</t>
  </si>
  <si>
    <t>PMC/TP/Rohinjan/25/1/21-22/16273/
2593/2022</t>
  </si>
  <si>
    <t>6500 to 6700</t>
  </si>
  <si>
    <t>Smith</t>
  </si>
  <si>
    <t>Recommended Rates/Other Charges of the Property have been revised on 08/05/2024.</t>
  </si>
  <si>
    <t>Wing A  = G + 1st to 14th Floor</t>
  </si>
  <si>
    <t>Mr. Sagar : 9920328169</t>
  </si>
  <si>
    <t>Sanket Patel 9638424248</t>
  </si>
  <si>
    <t>Wing A, B, C &amp; D = Construction work is in process at the time of visit.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</si>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</sst>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168" fontId="7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7" fontId="7" fillId="0" borderId="0" xfId="9" applyNumberFormat="1" applyFont="1" applyAlignment="1">
      <alignment horizontal="center" vertical="center"/>
    </xf>
    <xf numFmtId="167" fontId="10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26" fillId="0" borderId="0" xfId="10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10" fillId="0" borderId="0" xfId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4" fontId="16" fillId="0" borderId="0" xfId="1" applyNumberFormat="1" applyFont="1"/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10" fillId="0" borderId="1" xfId="1" applyFont="1" applyBorder="1" applyAlignment="1" applyProtection="1">
      <alignment horizontal="left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390</xdr:row>
      <xdr:rowOff>163830</xdr:rowOff>
    </xdr:from>
    <xdr:to>
      <xdr:col>7</xdr:col>
      <xdr:colOff>189985</xdr:colOff>
      <xdr:row>408</xdr:row>
      <xdr:rowOff>163379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2950" y="83707605"/>
          <a:ext cx="5562085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742950</xdr:colOff>
      <xdr:row>372</xdr:row>
      <xdr:rowOff>38100</xdr:rowOff>
    </xdr:from>
    <xdr:to>
      <xdr:col>7</xdr:col>
      <xdr:colOff>172924</xdr:colOff>
      <xdr:row>390</xdr:row>
      <xdr:rowOff>37651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2950" y="79981425"/>
          <a:ext cx="5545024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200025</xdr:colOff>
      <xdr:row>329</xdr:row>
      <xdr:rowOff>66675</xdr:rowOff>
    </xdr:from>
    <xdr:to>
      <xdr:col>6</xdr:col>
      <xdr:colOff>290974</xdr:colOff>
      <xdr:row>349</xdr:row>
      <xdr:rowOff>66228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025" y="66827400"/>
          <a:ext cx="4243849" cy="3600003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oneCellAnchor>
    <xdr:from>
      <xdr:col>9</xdr:col>
      <xdr:colOff>396875</xdr:colOff>
      <xdr:row>287</xdr:row>
      <xdr:rowOff>177800</xdr:rowOff>
    </xdr:from>
    <xdr:ext cx="634084" cy="280205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9026525" y="57702450"/>
          <a:ext cx="63408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/>
            <a:t>A Wing</a:t>
          </a:r>
        </a:p>
      </xdr:txBody>
    </xdr:sp>
    <xdr:clientData/>
  </xdr:oneCellAnchor>
  <xdr:oneCellAnchor>
    <xdr:from>
      <xdr:col>13</xdr:col>
      <xdr:colOff>166485</xdr:colOff>
      <xdr:row>287</xdr:row>
      <xdr:rowOff>177800</xdr:rowOff>
    </xdr:from>
    <xdr:ext cx="596574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1405985" y="5898515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A Wing</a:t>
          </a:r>
        </a:p>
      </xdr:txBody>
    </xdr:sp>
    <xdr:clientData/>
  </xdr:oneCellAnchor>
  <xdr:oneCellAnchor>
    <xdr:from>
      <xdr:col>15</xdr:col>
      <xdr:colOff>9120</xdr:colOff>
      <xdr:row>287</xdr:row>
      <xdr:rowOff>177800</xdr:rowOff>
    </xdr:from>
    <xdr:ext cx="596574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2744045" y="5898515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B Wing</a:t>
          </a:r>
        </a:p>
      </xdr:txBody>
    </xdr:sp>
    <xdr:clientData/>
  </xdr:oneCellAnchor>
  <xdr:oneCellAnchor>
    <xdr:from>
      <xdr:col>10</xdr:col>
      <xdr:colOff>263525</xdr:colOff>
      <xdr:row>302</xdr:row>
      <xdr:rowOff>82593</xdr:rowOff>
    </xdr:from>
    <xdr:ext cx="596574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9255125" y="61890318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B Wing</a:t>
          </a:r>
        </a:p>
      </xdr:txBody>
    </xdr:sp>
    <xdr:clientData/>
  </xdr:oneCellAnchor>
  <xdr:oneCellAnchor>
    <xdr:from>
      <xdr:col>12</xdr:col>
      <xdr:colOff>581354</xdr:colOff>
      <xdr:row>313</xdr:row>
      <xdr:rowOff>149061</xdr:rowOff>
    </xdr:from>
    <xdr:ext cx="596574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1030279" y="64157061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D Wing</a:t>
          </a:r>
        </a:p>
      </xdr:txBody>
    </xdr:sp>
    <xdr:clientData/>
  </xdr:oneCellAnchor>
  <xdr:twoCellAnchor>
    <xdr:from>
      <xdr:col>0</xdr:col>
      <xdr:colOff>469900</xdr:colOff>
      <xdr:row>282</xdr:row>
      <xdr:rowOff>120650</xdr:rowOff>
    </xdr:from>
    <xdr:to>
      <xdr:col>7</xdr:col>
      <xdr:colOff>922191</xdr:colOff>
      <xdr:row>322</xdr:row>
      <xdr:rowOff>127696</xdr:rowOff>
    </xdr:to>
    <xdr:grpSp>
      <xdr:nvGrpSpPr>
        <xdr:cNvPr id="2" name="Group 1"/>
        <xdr:cNvGrpSpPr/>
      </xdr:nvGrpSpPr>
      <xdr:grpSpPr>
        <a:xfrm>
          <a:off x="469900" y="56667400"/>
          <a:ext cx="6427641" cy="7874696"/>
          <a:chOff x="469900" y="56667400"/>
          <a:chExt cx="6427641" cy="7874696"/>
        </a:xfrm>
      </xdr:grpSpPr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76150" y="6238209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9900" y="56667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2535" y="6238209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58789" y="56667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47678" y="56667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9900" y="5952474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58788" y="5952474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9900" y="6238209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47678" y="5952474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1358900" y="5674995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/>
              <a:t>A Wing</a:t>
            </a:r>
          </a:p>
        </xdr:txBody>
      </xdr:sp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2785789" y="5702935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/>
              <a:t>B Wing</a:t>
            </a:r>
          </a:p>
        </xdr:txBody>
      </xdr: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5666828" y="5670550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/>
              <a:t>B Wing</a:t>
            </a:r>
          </a:p>
        </xdr:txBody>
      </xdr:sp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1123950" y="59905748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/>
              <a:t>C Wing</a:t>
            </a:r>
          </a:p>
        </xdr:txBody>
      </xdr: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3084238" y="59562848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/>
              <a:t>D Wing</a:t>
            </a:r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5215978" y="59823198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/>
              <a:t>D Wing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gicbricks.com/today-royal-aikyam-rohinjan-navi-mumbai-pdpid-4d4235333835353137" TargetMode="External"/><Relationship Id="rId1" Type="http://schemas.openxmlformats.org/officeDocument/2006/relationships/hyperlink" Target="https://goo.gl/maps/YXrqodREDbpQ85QDA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70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4.1796875" style="38" customWidth="1"/>
    <col min="5" max="7" width="11.7265625" style="38" customWidth="1"/>
    <col min="8" max="8" width="20.54296875" style="38" customWidth="1"/>
    <col min="9" max="9" width="17.453125" style="19" customWidth="1"/>
    <col min="10" max="10" width="11.453125" style="19" customWidth="1"/>
    <col min="11" max="11" width="11.26953125" style="19" bestFit="1" customWidth="1"/>
    <col min="12" max="12" width="10.54296875" style="19" customWidth="1"/>
    <col min="13" max="13" width="11.81640625" style="19" customWidth="1"/>
    <col min="14" max="14" width="12.54296875" style="19" customWidth="1"/>
    <col min="15" max="15" width="9.81640625" style="19" customWidth="1"/>
    <col min="16" max="16" width="11.7265625" style="19" customWidth="1"/>
    <col min="17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9" ht="46.5" customHeight="1" x14ac:dyDescent="0.35">
      <c r="A1" s="145" t="s">
        <v>217</v>
      </c>
      <c r="B1" s="145"/>
      <c r="C1" s="145"/>
      <c r="D1" s="145"/>
      <c r="E1" s="145"/>
      <c r="F1" s="145"/>
      <c r="G1" s="145"/>
      <c r="H1" s="145"/>
    </row>
    <row r="2" spans="1:9" ht="16.5" customHeight="1" x14ac:dyDescent="0.35">
      <c r="A2" s="122" t="s">
        <v>0</v>
      </c>
      <c r="B2" s="122"/>
      <c r="C2" s="122"/>
      <c r="D2" s="122"/>
      <c r="E2" s="122"/>
      <c r="F2" s="122"/>
      <c r="G2" s="122"/>
      <c r="H2" s="122"/>
    </row>
    <row r="3" spans="1:9" x14ac:dyDescent="0.35">
      <c r="A3" s="116" t="s">
        <v>1</v>
      </c>
      <c r="B3" s="116"/>
      <c r="C3" s="116"/>
      <c r="D3" s="116"/>
      <c r="E3" s="116" t="str">
        <f ca="1">TEXT(TODAY(),"DD/MM/YYYY")</f>
        <v>10/07/2025</v>
      </c>
      <c r="F3" s="116"/>
      <c r="G3" s="116"/>
      <c r="H3" s="116"/>
    </row>
    <row r="4" spans="1:9" ht="15" customHeight="1" x14ac:dyDescent="0.35">
      <c r="A4" s="116" t="s">
        <v>2</v>
      </c>
      <c r="B4" s="116"/>
      <c r="C4" s="116"/>
      <c r="D4" s="116"/>
      <c r="E4" s="116" t="s">
        <v>174</v>
      </c>
      <c r="F4" s="116"/>
      <c r="G4" s="116"/>
      <c r="H4" s="116"/>
    </row>
    <row r="5" spans="1:9" x14ac:dyDescent="0.35">
      <c r="A5" s="116" t="s">
        <v>3</v>
      </c>
      <c r="B5" s="116"/>
      <c r="C5" s="116"/>
      <c r="D5" s="116"/>
      <c r="E5" s="146">
        <v>45846</v>
      </c>
      <c r="F5" s="116"/>
      <c r="G5" s="116"/>
      <c r="H5" s="116"/>
    </row>
    <row r="6" spans="1:9" ht="16.5" customHeight="1" x14ac:dyDescent="0.35">
      <c r="A6" s="116" t="s">
        <v>4</v>
      </c>
      <c r="B6" s="116"/>
      <c r="C6" s="116"/>
      <c r="D6" s="116"/>
      <c r="E6" s="116" t="s">
        <v>172</v>
      </c>
      <c r="F6" s="116"/>
      <c r="G6" s="116"/>
      <c r="H6" s="116"/>
    </row>
    <row r="7" spans="1:9" ht="15" customHeight="1" x14ac:dyDescent="0.35">
      <c r="A7" s="116" t="s">
        <v>5</v>
      </c>
      <c r="B7" s="116"/>
      <c r="C7" s="116"/>
      <c r="D7" s="116"/>
      <c r="E7" s="116" t="str">
        <f>E6</f>
        <v>Today Royal Infracon</v>
      </c>
      <c r="F7" s="116"/>
      <c r="G7" s="116"/>
      <c r="H7" s="116"/>
    </row>
    <row r="8" spans="1:9" x14ac:dyDescent="0.35">
      <c r="A8" s="116" t="s">
        <v>6</v>
      </c>
      <c r="B8" s="116"/>
      <c r="C8" s="116"/>
      <c r="D8" s="116"/>
      <c r="E8" s="72" t="s">
        <v>173</v>
      </c>
      <c r="F8" s="72"/>
      <c r="G8" s="72"/>
      <c r="H8" s="72"/>
    </row>
    <row r="9" spans="1:9" x14ac:dyDescent="0.35">
      <c r="A9" s="116" t="s">
        <v>168</v>
      </c>
      <c r="B9" s="116"/>
      <c r="C9" s="116"/>
      <c r="D9" s="116"/>
      <c r="E9" s="116" t="s">
        <v>206</v>
      </c>
      <c r="F9" s="116"/>
      <c r="G9" s="116"/>
      <c r="H9" s="116"/>
    </row>
    <row r="10" spans="1:9" x14ac:dyDescent="0.35">
      <c r="A10" s="116" t="s">
        <v>169</v>
      </c>
      <c r="B10" s="116"/>
      <c r="C10" s="116"/>
      <c r="D10" s="116"/>
      <c r="E10" s="116" t="s">
        <v>230</v>
      </c>
      <c r="F10" s="116"/>
      <c r="G10" s="116"/>
      <c r="H10" s="116"/>
      <c r="I10" s="19" t="s">
        <v>229</v>
      </c>
    </row>
    <row r="11" spans="1:9" x14ac:dyDescent="0.35">
      <c r="A11" s="116" t="s">
        <v>7</v>
      </c>
      <c r="B11" s="116"/>
      <c r="C11" s="116"/>
      <c r="D11" s="116"/>
      <c r="E11" s="116" t="s">
        <v>207</v>
      </c>
      <c r="F11" s="116"/>
      <c r="G11" s="116"/>
      <c r="H11" s="116"/>
    </row>
    <row r="12" spans="1:9" ht="32.25" customHeight="1" x14ac:dyDescent="0.35">
      <c r="A12" s="97" t="s">
        <v>8</v>
      </c>
      <c r="B12" s="97"/>
      <c r="C12" s="97"/>
      <c r="D12" s="97"/>
      <c r="E12" s="98" t="s">
        <v>108</v>
      </c>
      <c r="F12" s="98"/>
      <c r="G12" s="98"/>
      <c r="H12" s="98"/>
    </row>
    <row r="13" spans="1:9" x14ac:dyDescent="0.35">
      <c r="A13" s="97" t="s">
        <v>9</v>
      </c>
      <c r="B13" s="97"/>
      <c r="C13" s="97"/>
      <c r="D13" s="97"/>
      <c r="E13" s="98" t="s">
        <v>175</v>
      </c>
      <c r="F13" s="116"/>
      <c r="G13" s="116"/>
      <c r="H13" s="116"/>
    </row>
    <row r="14" spans="1:9" ht="35.25" customHeight="1" x14ac:dyDescent="0.35">
      <c r="A14" s="115" t="s">
        <v>10</v>
      </c>
      <c r="B14" s="115"/>
      <c r="C14" s="11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Aikyam, Survey No.25, H. No.1, near Mahaavir Exotique, Pisarve Road, Upper kharghar, Rohinjan, Taloja Panchnand, Panvel, Raigad - 410208.</v>
      </c>
      <c r="D14" s="115"/>
      <c r="E14" s="115"/>
      <c r="F14" s="115"/>
      <c r="G14" s="115"/>
      <c r="H14" s="115"/>
    </row>
    <row r="15" spans="1:9" x14ac:dyDescent="0.35">
      <c r="A15" s="98" t="s">
        <v>176</v>
      </c>
      <c r="B15" s="98"/>
      <c r="C15" s="98" t="s">
        <v>177</v>
      </c>
      <c r="D15" s="98"/>
      <c r="E15" s="98"/>
      <c r="F15" s="98"/>
      <c r="G15" s="98"/>
      <c r="H15" s="98"/>
    </row>
    <row r="16" spans="1:9" ht="15.75" customHeight="1" x14ac:dyDescent="0.35">
      <c r="A16" s="98" t="s">
        <v>167</v>
      </c>
      <c r="B16" s="98"/>
      <c r="C16" s="98" t="s">
        <v>203</v>
      </c>
      <c r="D16" s="98"/>
      <c r="E16" s="98"/>
      <c r="F16" s="98"/>
      <c r="G16" s="98"/>
      <c r="H16" s="98"/>
    </row>
    <row r="17" spans="1:8" ht="15.75" customHeight="1" x14ac:dyDescent="0.35">
      <c r="A17" s="115" t="s">
        <v>11</v>
      </c>
      <c r="B17" s="115"/>
      <c r="C17" s="116" t="s">
        <v>181</v>
      </c>
      <c r="D17" s="116"/>
      <c r="E17" s="115" t="s">
        <v>75</v>
      </c>
      <c r="F17" s="115"/>
      <c r="G17" s="98" t="s">
        <v>178</v>
      </c>
      <c r="H17" s="98"/>
    </row>
    <row r="18" spans="1:8" x14ac:dyDescent="0.35">
      <c r="A18" s="97" t="s">
        <v>13</v>
      </c>
      <c r="B18" s="97"/>
      <c r="C18" s="98" t="s">
        <v>202</v>
      </c>
      <c r="D18" s="98"/>
      <c r="E18" s="115" t="s">
        <v>12</v>
      </c>
      <c r="F18" s="115"/>
      <c r="G18" s="147" t="s">
        <v>179</v>
      </c>
      <c r="H18" s="147"/>
    </row>
    <row r="19" spans="1:8" x14ac:dyDescent="0.35">
      <c r="A19" s="97" t="s">
        <v>76</v>
      </c>
      <c r="B19" s="97"/>
      <c r="C19" s="98" t="s">
        <v>180</v>
      </c>
      <c r="D19" s="98"/>
      <c r="E19" s="115" t="s">
        <v>14</v>
      </c>
      <c r="F19" s="115"/>
      <c r="G19" s="98">
        <v>410208</v>
      </c>
      <c r="H19" s="98"/>
    </row>
    <row r="20" spans="1:8" ht="48.75" customHeight="1" x14ac:dyDescent="0.35">
      <c r="A20" s="97" t="s">
        <v>125</v>
      </c>
      <c r="B20" s="97"/>
      <c r="C20" s="98" t="s">
        <v>186</v>
      </c>
      <c r="D20" s="98"/>
      <c r="E20" s="115" t="s">
        <v>15</v>
      </c>
      <c r="F20" s="115"/>
      <c r="G20" s="98" t="s">
        <v>201</v>
      </c>
      <c r="H20" s="98"/>
    </row>
    <row r="21" spans="1:8" ht="15" customHeight="1" x14ac:dyDescent="0.35">
      <c r="A21" s="115" t="s">
        <v>78</v>
      </c>
      <c r="B21" s="115"/>
      <c r="C21" s="115"/>
      <c r="D21" s="115"/>
      <c r="E21" s="116" t="s">
        <v>16</v>
      </c>
      <c r="F21" s="116"/>
      <c r="G21" s="116"/>
      <c r="H21" s="116"/>
    </row>
    <row r="22" spans="1:8" ht="18.75" customHeight="1" x14ac:dyDescent="0.35">
      <c r="A22" s="115"/>
      <c r="B22" s="115"/>
      <c r="C22" s="115"/>
      <c r="D22" s="115"/>
      <c r="E22" s="116"/>
      <c r="F22" s="116"/>
      <c r="G22" s="116"/>
      <c r="H22" s="116"/>
    </row>
    <row r="23" spans="1:8" ht="15" customHeight="1" x14ac:dyDescent="0.35">
      <c r="A23" s="115" t="s">
        <v>17</v>
      </c>
      <c r="B23" s="115"/>
      <c r="C23" s="115"/>
      <c r="D23" s="115"/>
      <c r="E23" s="98" t="s">
        <v>18</v>
      </c>
      <c r="F23" s="98"/>
      <c r="G23" s="98"/>
      <c r="H23" s="98"/>
    </row>
    <row r="24" spans="1:8" ht="15" customHeight="1" x14ac:dyDescent="0.35">
      <c r="A24" s="97" t="s">
        <v>19</v>
      </c>
      <c r="B24" s="97"/>
      <c r="C24" s="97"/>
      <c r="D24" s="97"/>
      <c r="E24" s="98" t="str">
        <f>IF(AND(G18="Mumbai"),"Upper Class","Middle Class")</f>
        <v>Middle Class</v>
      </c>
      <c r="F24" s="98"/>
      <c r="G24" s="98"/>
      <c r="H24" s="98"/>
    </row>
    <row r="25" spans="1:8" x14ac:dyDescent="0.35">
      <c r="A25" s="97" t="s">
        <v>20</v>
      </c>
      <c r="B25" s="97"/>
      <c r="C25" s="97"/>
      <c r="D25" s="97"/>
      <c r="E25" s="98" t="s">
        <v>21</v>
      </c>
      <c r="F25" s="98"/>
      <c r="G25" s="98"/>
      <c r="H25" s="98"/>
    </row>
    <row r="26" spans="1:8" ht="15.75" customHeight="1" x14ac:dyDescent="0.35">
      <c r="A26" s="97" t="s">
        <v>22</v>
      </c>
      <c r="B26" s="97"/>
      <c r="C26" s="97"/>
      <c r="D26" s="97"/>
      <c r="E26" s="98" t="str">
        <f>IF(AND(G18="Mumbai"),"Developed","Developing")</f>
        <v>Developing</v>
      </c>
      <c r="F26" s="98"/>
      <c r="G26" s="98"/>
      <c r="H26" s="98"/>
    </row>
    <row r="27" spans="1:8" x14ac:dyDescent="0.35">
      <c r="A27" s="97" t="s">
        <v>23</v>
      </c>
      <c r="B27" s="97"/>
      <c r="C27" s="97"/>
      <c r="D27" s="97"/>
      <c r="E27" s="98" t="s">
        <v>24</v>
      </c>
      <c r="F27" s="98"/>
      <c r="G27" s="98"/>
      <c r="H27" s="98"/>
    </row>
    <row r="28" spans="1:8" ht="15.75" customHeight="1" x14ac:dyDescent="0.35">
      <c r="A28" s="97" t="s">
        <v>83</v>
      </c>
      <c r="B28" s="97"/>
      <c r="C28" s="97"/>
      <c r="D28" s="97"/>
      <c r="E28" s="98" t="s">
        <v>84</v>
      </c>
      <c r="F28" s="98"/>
      <c r="G28" s="98"/>
      <c r="H28" s="98"/>
    </row>
    <row r="29" spans="1:8" ht="15" customHeight="1" x14ac:dyDescent="0.35">
      <c r="A29" s="97" t="s">
        <v>33</v>
      </c>
      <c r="B29" s="97"/>
      <c r="C29" s="97"/>
      <c r="D29" s="97"/>
      <c r="E29" s="98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98"/>
      <c r="G29" s="98"/>
      <c r="H29" s="98"/>
    </row>
    <row r="30" spans="1:8" ht="15.75" customHeight="1" x14ac:dyDescent="0.35">
      <c r="A30" s="97" t="s">
        <v>95</v>
      </c>
      <c r="B30" s="97"/>
      <c r="C30" s="97"/>
      <c r="D30" s="97"/>
      <c r="E30" s="98" t="s">
        <v>34</v>
      </c>
      <c r="F30" s="98"/>
      <c r="G30" s="98"/>
      <c r="H30" s="98"/>
    </row>
    <row r="31" spans="1:8" s="20" customFormat="1" x14ac:dyDescent="0.35">
      <c r="A31" s="151" t="s">
        <v>96</v>
      </c>
      <c r="B31" s="151"/>
      <c r="C31" s="150" t="s">
        <v>29</v>
      </c>
      <c r="D31" s="150"/>
      <c r="E31" s="150"/>
      <c r="F31" s="150" t="s">
        <v>31</v>
      </c>
      <c r="G31" s="150"/>
      <c r="H31" s="150"/>
    </row>
    <row r="32" spans="1:8" s="20" customFormat="1" x14ac:dyDescent="0.35">
      <c r="A32" s="148" t="s">
        <v>25</v>
      </c>
      <c r="B32" s="148" t="s">
        <v>30</v>
      </c>
      <c r="C32" s="149" t="s">
        <v>30</v>
      </c>
      <c r="D32" s="149"/>
      <c r="E32" s="149"/>
      <c r="F32" s="149" t="s">
        <v>200</v>
      </c>
      <c r="G32" s="149"/>
      <c r="H32" s="149"/>
    </row>
    <row r="33" spans="1:8" x14ac:dyDescent="0.35">
      <c r="A33" s="148" t="s">
        <v>26</v>
      </c>
      <c r="B33" s="148" t="s">
        <v>30</v>
      </c>
      <c r="C33" s="149" t="s">
        <v>30</v>
      </c>
      <c r="D33" s="149"/>
      <c r="E33" s="149"/>
      <c r="F33" s="149" t="s">
        <v>186</v>
      </c>
      <c r="G33" s="149"/>
      <c r="H33" s="149"/>
    </row>
    <row r="34" spans="1:8" s="20" customFormat="1" x14ac:dyDescent="0.35">
      <c r="A34" s="148" t="s">
        <v>28</v>
      </c>
      <c r="B34" s="148" t="s">
        <v>30</v>
      </c>
      <c r="C34" s="149" t="s">
        <v>30</v>
      </c>
      <c r="D34" s="149"/>
      <c r="E34" s="149"/>
      <c r="F34" s="149" t="s">
        <v>200</v>
      </c>
      <c r="G34" s="149"/>
      <c r="H34" s="149"/>
    </row>
    <row r="35" spans="1:8" x14ac:dyDescent="0.35">
      <c r="A35" s="148" t="s">
        <v>27</v>
      </c>
      <c r="B35" s="148" t="s">
        <v>30</v>
      </c>
      <c r="C35" s="149" t="s">
        <v>30</v>
      </c>
      <c r="D35" s="149"/>
      <c r="E35" s="149"/>
      <c r="F35" s="149" t="s">
        <v>181</v>
      </c>
      <c r="G35" s="149"/>
      <c r="H35" s="149"/>
    </row>
    <row r="36" spans="1:8" x14ac:dyDescent="0.35">
      <c r="A36" s="97" t="s">
        <v>32</v>
      </c>
      <c r="B36" s="97"/>
      <c r="C36" s="97"/>
      <c r="D36" s="97"/>
      <c r="E36" s="97"/>
      <c r="F36" s="97"/>
      <c r="G36" s="97"/>
      <c r="H36" s="97"/>
    </row>
    <row r="37" spans="1:8" ht="15.75" customHeight="1" x14ac:dyDescent="0.35">
      <c r="A37" s="97" t="s">
        <v>222</v>
      </c>
      <c r="B37" s="97"/>
      <c r="C37" s="173" t="s">
        <v>223</v>
      </c>
      <c r="D37" s="173"/>
      <c r="E37" s="173"/>
      <c r="F37" s="173"/>
      <c r="G37" s="173"/>
      <c r="H37" s="173"/>
    </row>
    <row r="38" spans="1:8" x14ac:dyDescent="0.35">
      <c r="A38" s="97" t="s">
        <v>166</v>
      </c>
      <c r="B38" s="97"/>
      <c r="C38" s="153" t="s">
        <v>199</v>
      </c>
      <c r="D38" s="98"/>
      <c r="E38" s="98"/>
      <c r="F38" s="98"/>
      <c r="G38" s="98"/>
      <c r="H38" s="98"/>
    </row>
    <row r="39" spans="1:8" x14ac:dyDescent="0.35">
      <c r="A39" s="138" t="s">
        <v>35</v>
      </c>
      <c r="B39" s="138"/>
      <c r="C39" s="138"/>
      <c r="D39" s="138"/>
      <c r="E39" s="138"/>
      <c r="F39" s="138"/>
      <c r="G39" s="138"/>
      <c r="H39" s="138"/>
    </row>
    <row r="40" spans="1:8" x14ac:dyDescent="0.35">
      <c r="A40" s="97" t="s">
        <v>36</v>
      </c>
      <c r="B40" s="97"/>
      <c r="C40" s="97"/>
      <c r="D40" s="97"/>
      <c r="E40" s="152">
        <v>12460</v>
      </c>
      <c r="F40" s="152"/>
      <c r="G40" s="152"/>
      <c r="H40" s="152"/>
    </row>
    <row r="41" spans="1:8" x14ac:dyDescent="0.35">
      <c r="A41" s="97" t="s">
        <v>37</v>
      </c>
      <c r="B41" s="97"/>
      <c r="C41" s="97"/>
      <c r="D41" s="97"/>
      <c r="E41" s="99">
        <v>1.1000000000000001</v>
      </c>
      <c r="F41" s="99"/>
      <c r="G41" s="99"/>
      <c r="H41" s="99"/>
    </row>
    <row r="42" spans="1:8" x14ac:dyDescent="0.35">
      <c r="A42" s="97" t="s">
        <v>38</v>
      </c>
      <c r="B42" s="97"/>
      <c r="C42" s="97"/>
      <c r="D42" s="97"/>
      <c r="E42" s="99">
        <f>E44/E40-E41</f>
        <v>1.455337640449438</v>
      </c>
      <c r="F42" s="99"/>
      <c r="G42" s="99"/>
      <c r="H42" s="99"/>
    </row>
    <row r="43" spans="1:8" x14ac:dyDescent="0.35">
      <c r="A43" s="97" t="s">
        <v>39</v>
      </c>
      <c r="B43" s="97"/>
      <c r="C43" s="97"/>
      <c r="D43" s="97"/>
      <c r="E43" s="99">
        <f>E41+E42</f>
        <v>2.5553376404494381</v>
      </c>
      <c r="F43" s="99"/>
      <c r="G43" s="99"/>
      <c r="H43" s="99"/>
    </row>
    <row r="44" spans="1:8" x14ac:dyDescent="0.35">
      <c r="A44" s="97" t="s">
        <v>94</v>
      </c>
      <c r="B44" s="97"/>
      <c r="C44" s="97"/>
      <c r="D44" s="97"/>
      <c r="E44" s="156">
        <v>31839.507000000001</v>
      </c>
      <c r="F44" s="156"/>
      <c r="G44" s="156"/>
      <c r="H44" s="156"/>
    </row>
    <row r="45" spans="1:8" x14ac:dyDescent="0.35">
      <c r="A45" s="116" t="s">
        <v>40</v>
      </c>
      <c r="B45" s="116"/>
      <c r="C45" s="116"/>
      <c r="D45" s="116"/>
      <c r="E45" s="116" t="s">
        <v>205</v>
      </c>
      <c r="F45" s="116"/>
      <c r="G45" s="116"/>
      <c r="H45" s="116"/>
    </row>
    <row r="46" spans="1:8" x14ac:dyDescent="0.35">
      <c r="A46" s="138" t="s">
        <v>41</v>
      </c>
      <c r="B46" s="138"/>
      <c r="C46" s="138"/>
      <c r="D46" s="138"/>
      <c r="E46" s="138"/>
      <c r="F46" s="138"/>
      <c r="G46" s="138"/>
      <c r="H46" s="138"/>
    </row>
    <row r="47" spans="1:8" ht="33.75" customHeight="1" x14ac:dyDescent="0.35">
      <c r="A47" s="100" t="s">
        <v>154</v>
      </c>
      <c r="B47" s="101"/>
      <c r="C47" s="169" t="s">
        <v>182</v>
      </c>
      <c r="D47" s="170"/>
      <c r="E47" s="170"/>
      <c r="F47" s="170"/>
      <c r="G47" s="170"/>
      <c r="H47" s="171"/>
    </row>
    <row r="48" spans="1:8" ht="15.75" customHeight="1" x14ac:dyDescent="0.35">
      <c r="A48" s="100" t="s">
        <v>42</v>
      </c>
      <c r="B48" s="101"/>
      <c r="C48" s="100" t="s">
        <v>183</v>
      </c>
      <c r="D48" s="102"/>
      <c r="E48" s="101"/>
      <c r="F48" s="18" t="s">
        <v>43</v>
      </c>
      <c r="G48" s="106">
        <v>44854</v>
      </c>
      <c r="H48" s="101"/>
    </row>
    <row r="49" spans="1:14" x14ac:dyDescent="0.35">
      <c r="A49" s="100" t="s">
        <v>44</v>
      </c>
      <c r="B49" s="101"/>
      <c r="C49" s="100" t="str">
        <f>C48</f>
        <v>PMC/16273/NRV/2593/2022</v>
      </c>
      <c r="D49" s="102"/>
      <c r="E49" s="101"/>
      <c r="F49" s="18" t="s">
        <v>43</v>
      </c>
      <c r="G49" s="106">
        <f>G48</f>
        <v>44854</v>
      </c>
      <c r="H49" s="107"/>
    </row>
    <row r="50" spans="1:14" s="21" customFormat="1" ht="33" customHeight="1" x14ac:dyDescent="0.35">
      <c r="A50" s="158" t="s">
        <v>158</v>
      </c>
      <c r="B50" s="159"/>
      <c r="C50" s="100" t="s">
        <v>224</v>
      </c>
      <c r="D50" s="102"/>
      <c r="E50" s="101"/>
      <c r="F50" s="18" t="s">
        <v>43</v>
      </c>
      <c r="G50" s="106">
        <f>G49</f>
        <v>44854</v>
      </c>
      <c r="H50" s="107"/>
    </row>
    <row r="51" spans="1:14" s="21" customFormat="1" ht="65.25" customHeight="1" x14ac:dyDescent="0.35">
      <c r="A51" s="160"/>
      <c r="B51" s="161"/>
      <c r="C51" s="100" t="s">
        <v>184</v>
      </c>
      <c r="D51" s="102"/>
      <c r="E51" s="102"/>
      <c r="F51" s="102"/>
      <c r="G51" s="102"/>
      <c r="H51" s="101"/>
    </row>
    <row r="52" spans="1:14" x14ac:dyDescent="0.35">
      <c r="A52" s="111" t="s">
        <v>45</v>
      </c>
      <c r="B52" s="112"/>
      <c r="C52" s="111" t="s">
        <v>109</v>
      </c>
      <c r="D52" s="113"/>
      <c r="E52" s="112"/>
      <c r="F52" s="42" t="s">
        <v>43</v>
      </c>
      <c r="G52" s="117" t="s">
        <v>30</v>
      </c>
      <c r="H52" s="118"/>
    </row>
    <row r="53" spans="1:14" x14ac:dyDescent="0.35">
      <c r="A53" s="114" t="s">
        <v>47</v>
      </c>
      <c r="B53" s="114"/>
      <c r="C53" s="114"/>
      <c r="D53" s="114"/>
      <c r="E53" s="114"/>
      <c r="F53" s="114"/>
      <c r="G53" s="114"/>
      <c r="H53" s="114"/>
    </row>
    <row r="54" spans="1:14" x14ac:dyDescent="0.35">
      <c r="A54" s="115" t="s">
        <v>93</v>
      </c>
      <c r="B54" s="115"/>
      <c r="C54" s="115"/>
      <c r="D54" s="97">
        <f>E44</f>
        <v>31839.507000000001</v>
      </c>
      <c r="E54" s="97"/>
      <c r="F54" s="97"/>
      <c r="G54" s="97"/>
      <c r="H54" s="97"/>
    </row>
    <row r="55" spans="1:14" x14ac:dyDescent="0.35">
      <c r="A55" s="98" t="s">
        <v>48</v>
      </c>
      <c r="B55" s="116"/>
      <c r="C55" s="116"/>
      <c r="D55" s="116" t="s">
        <v>204</v>
      </c>
      <c r="E55" s="116"/>
      <c r="F55" s="116"/>
      <c r="G55" s="116"/>
      <c r="H55" s="116"/>
      <c r="I55" s="22"/>
    </row>
    <row r="56" spans="1:14" x14ac:dyDescent="0.35">
      <c r="A56" s="103" t="s">
        <v>49</v>
      </c>
      <c r="B56" s="104"/>
      <c r="C56" s="105"/>
      <c r="D56" s="143" t="s">
        <v>213</v>
      </c>
      <c r="E56" s="157"/>
      <c r="F56" s="157"/>
      <c r="G56" s="157"/>
      <c r="H56" s="157"/>
    </row>
    <row r="57" spans="1:14" ht="15.75" customHeight="1" x14ac:dyDescent="0.35">
      <c r="A57" s="103" t="s">
        <v>91</v>
      </c>
      <c r="B57" s="104"/>
      <c r="C57" s="105"/>
      <c r="D57" s="108" t="s">
        <v>213</v>
      </c>
      <c r="E57" s="109"/>
      <c r="F57" s="109"/>
      <c r="G57" s="109"/>
      <c r="H57" s="110"/>
    </row>
    <row r="58" spans="1:14" ht="15.75" customHeight="1" x14ac:dyDescent="0.35">
      <c r="A58" s="97" t="s">
        <v>46</v>
      </c>
      <c r="B58" s="97"/>
      <c r="C58" s="97"/>
      <c r="D58" s="154" t="s">
        <v>185</v>
      </c>
      <c r="E58" s="154"/>
      <c r="F58" s="154"/>
      <c r="G58" s="154"/>
      <c r="H58" s="154"/>
      <c r="J58" s="23"/>
      <c r="K58" s="22"/>
      <c r="N58" s="22"/>
    </row>
    <row r="59" spans="1:14" ht="15.75" customHeight="1" x14ac:dyDescent="0.35">
      <c r="A59" s="97" t="s">
        <v>89</v>
      </c>
      <c r="B59" s="97"/>
      <c r="C59" s="97"/>
      <c r="D59" s="155" t="str">
        <f>(IF(G52="NA","60 Years After Completion",IF(G52&lt;&gt;"NA",""&amp;60-ROUNDDOWN((E3-G52)/360,0)&amp;" Years"," ")))</f>
        <v>60 Years After Completion</v>
      </c>
      <c r="E59" s="155"/>
      <c r="F59" s="155"/>
      <c r="G59" s="155"/>
      <c r="H59" s="155"/>
      <c r="N59" s="22"/>
    </row>
    <row r="60" spans="1:14" ht="15.75" customHeight="1" x14ac:dyDescent="0.35">
      <c r="A60" s="97" t="s">
        <v>90</v>
      </c>
      <c r="B60" s="97"/>
      <c r="C60" s="97"/>
      <c r="D60" s="115" t="s">
        <v>24</v>
      </c>
      <c r="E60" s="115"/>
      <c r="F60" s="115"/>
      <c r="G60" s="115"/>
      <c r="H60" s="115"/>
      <c r="J60" s="24"/>
      <c r="K60" s="24"/>
    </row>
    <row r="61" spans="1:14" ht="30" hidden="1" customHeight="1" x14ac:dyDescent="0.35">
      <c r="A61" s="97" t="s">
        <v>77</v>
      </c>
      <c r="B61" s="97"/>
      <c r="C61" s="97"/>
      <c r="D61" s="98" t="s">
        <v>171</v>
      </c>
      <c r="E61" s="115"/>
      <c r="F61" s="115"/>
      <c r="G61" s="115"/>
      <c r="H61" s="115"/>
    </row>
    <row r="62" spans="1:14" x14ac:dyDescent="0.35">
      <c r="A62" s="115" t="s">
        <v>151</v>
      </c>
      <c r="B62" s="115"/>
      <c r="C62" s="115"/>
      <c r="D62" s="115" t="s">
        <v>30</v>
      </c>
      <c r="E62" s="115"/>
      <c r="F62" s="115"/>
      <c r="G62" s="115"/>
      <c r="H62" s="115"/>
      <c r="I62" s="25"/>
      <c r="J62" s="25"/>
      <c r="K62" s="25"/>
      <c r="L62" s="25"/>
      <c r="M62" s="25"/>
      <c r="N62" s="25"/>
    </row>
    <row r="63" spans="1:14" ht="15.75" customHeight="1" x14ac:dyDescent="0.35">
      <c r="A63" s="144" t="s">
        <v>88</v>
      </c>
      <c r="B63" s="144"/>
      <c r="C63" s="144"/>
      <c r="D63" s="143" t="str">
        <f ca="1">(IF(G69&gt;95%,"Nothing",IF(G69&gt;0%,"Cement, Aggregate, Steel, etc",IF(G69=0%,"Work not yet Started"))))</f>
        <v>Cement, Aggregate, Steel, etc</v>
      </c>
      <c r="E63" s="143"/>
      <c r="F63" s="143"/>
      <c r="G63" s="143"/>
      <c r="H63" s="143"/>
      <c r="J63" s="24"/>
    </row>
    <row r="64" spans="1:14" ht="33.75" customHeight="1" thickBot="1" x14ac:dyDescent="0.4">
      <c r="A64" s="142" t="s">
        <v>122</v>
      </c>
      <c r="B64" s="142"/>
      <c r="C64" s="142"/>
      <c r="D64" s="143" t="str">
        <f ca="1">(IF(D63="Nothing","Yes",IF(D63="Cement, Aggregate, Steel, etc","Under Construction",IF(D63="Work not yet Started","Work not yet Started"))))</f>
        <v>Under Construction</v>
      </c>
      <c r="E64" s="143"/>
      <c r="F64" s="143" t="str">
        <f ca="1">(IF(D63="Nothing","Yes",IF(D63="Cement, Aggregate, Steel, etc","Under Construction",IF(D63="Work not yet Started","Work not yet Started"))))</f>
        <v>Under Construction</v>
      </c>
      <c r="G64" s="143"/>
      <c r="H64" s="143"/>
    </row>
    <row r="65" spans="1:10" ht="15.75" customHeight="1" x14ac:dyDescent="0.35">
      <c r="A65" s="66" t="s">
        <v>143</v>
      </c>
      <c r="B65" s="67"/>
      <c r="C65" s="68" t="s">
        <v>228</v>
      </c>
      <c r="D65" s="69"/>
      <c r="E65" s="69"/>
      <c r="F65" s="69"/>
      <c r="G65" s="69"/>
      <c r="H65" s="70"/>
      <c r="I65" s="43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 Completed, External Plaster upto 10 Floor Completed</v>
      </c>
      <c r="J65" s="44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External Plaster upto 10 Floor</v>
      </c>
    </row>
    <row r="66" spans="1:10" x14ac:dyDescent="0.35">
      <c r="A66" s="16" t="s">
        <v>145</v>
      </c>
      <c r="B66" s="48">
        <v>0</v>
      </c>
      <c r="C66" s="48" t="s">
        <v>74</v>
      </c>
      <c r="D66" s="48">
        <v>1</v>
      </c>
      <c r="E66" s="48" t="s">
        <v>73</v>
      </c>
      <c r="F66" s="48">
        <v>0</v>
      </c>
      <c r="G66" s="48" t="s">
        <v>82</v>
      </c>
      <c r="H66" s="17">
        <f ca="1">--TRIM(RIGHT(SUBSTITUTE(LEFT(C65,_xlfn.AGGREGATE(16,6,FIND({0,1,2,3,4,5,6,7,8,9},C65,ROW(INDIRECT("1:"&amp;LEN(C65)))),1))," ",REPT(" ",LEN(C65))),LEN(C65)))</f>
        <v>14</v>
      </c>
      <c r="I66" s="45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</v>
      </c>
      <c r="J66" s="46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0.75" customHeight="1" x14ac:dyDescent="0.35">
      <c r="A67" s="71" t="s">
        <v>92</v>
      </c>
      <c r="B67" s="72"/>
      <c r="C67" s="73" t="str">
        <f ca="1">I65</f>
        <v>Excavation, Plinth, RCC Slab, Brickwork, Internal Plaster Completed, External Plaster upto 10 Floor Completed</v>
      </c>
      <c r="D67" s="73"/>
      <c r="E67" s="73"/>
      <c r="F67" s="73"/>
      <c r="G67" s="73"/>
      <c r="H67" s="74"/>
      <c r="I67" s="45" t="str">
        <f ca="1">IF(I66&lt;&gt;""," Completed","")</f>
        <v xml:space="preserve"> Completed</v>
      </c>
      <c r="J67" s="46" t="str">
        <f ca="1">IF(J65&lt;&gt;"","Completed","")</f>
        <v>Completed</v>
      </c>
    </row>
    <row r="68" spans="1:10" ht="15.75" customHeight="1" x14ac:dyDescent="0.35">
      <c r="A68" s="75" t="s">
        <v>50</v>
      </c>
      <c r="B68" s="76"/>
      <c r="C68" s="56" t="s">
        <v>142</v>
      </c>
      <c r="D68" s="56" t="s">
        <v>85</v>
      </c>
      <c r="E68" s="76" t="s">
        <v>87</v>
      </c>
      <c r="F68" s="76"/>
      <c r="G68" s="76" t="s">
        <v>86</v>
      </c>
      <c r="H68" s="77"/>
      <c r="I68" s="14" t="s">
        <v>144</v>
      </c>
      <c r="J68" s="26">
        <f ca="1">H66*25%</f>
        <v>3.5</v>
      </c>
    </row>
    <row r="69" spans="1:10" x14ac:dyDescent="0.35">
      <c r="A69" s="75" t="s">
        <v>131</v>
      </c>
      <c r="B69" s="76"/>
      <c r="C69" s="56">
        <f ca="1">J70</f>
        <v>14</v>
      </c>
      <c r="D69" s="57">
        <f ca="1">((100/H66)*C69)/100</f>
        <v>1</v>
      </c>
      <c r="E69" s="78">
        <f ca="1">(((C70/H66*10)+(40/(D66+F66+H66)*C71)+(7.5/(H66)*C72)+(7.5/(H66)*C73)+(10/H66*C74)+(10/H66*C75)+(5/H66*C76)+(5/H66*C77)+(5/H66*C78))/100)</f>
        <v>0.72142857142857142</v>
      </c>
      <c r="F69" s="79"/>
      <c r="G69" s="78">
        <f ca="1">((((C69/H66)*20)+((C70/H66)*25)+(30/(H66+F66+D66)*C71)+(5/H66*C72)+(5/H66*C73)+(5/H66*C74)+(5/H66*C75)+(0/H66*C76)+(0/H66*C77)+(5/H66*C78))/100)</f>
        <v>0.88571428571428568</v>
      </c>
      <c r="H69" s="84"/>
      <c r="I69" s="14" t="s">
        <v>103</v>
      </c>
      <c r="J69" s="27">
        <f ca="1">H66*50%</f>
        <v>7</v>
      </c>
    </row>
    <row r="70" spans="1:10" x14ac:dyDescent="0.35">
      <c r="A70" s="75" t="s">
        <v>51</v>
      </c>
      <c r="B70" s="76"/>
      <c r="C70" s="61">
        <f ca="1">J78</f>
        <v>14</v>
      </c>
      <c r="D70" s="57">
        <f ca="1">((100/H66)*C70)/100</f>
        <v>1</v>
      </c>
      <c r="E70" s="80"/>
      <c r="F70" s="81"/>
      <c r="G70" s="80"/>
      <c r="H70" s="85"/>
      <c r="I70" s="14" t="s">
        <v>104</v>
      </c>
      <c r="J70" s="27">
        <f ca="1">H66</f>
        <v>14</v>
      </c>
    </row>
    <row r="71" spans="1:10" ht="15.75" customHeight="1" x14ac:dyDescent="0.35">
      <c r="A71" s="75" t="s">
        <v>132</v>
      </c>
      <c r="B71" s="76"/>
      <c r="C71" s="56">
        <v>15</v>
      </c>
      <c r="D71" s="57">
        <f ca="1">((100/(D66+F66+H66))*C71)/100</f>
        <v>1</v>
      </c>
      <c r="E71" s="80"/>
      <c r="F71" s="81"/>
      <c r="G71" s="80"/>
      <c r="H71" s="85"/>
      <c r="I71" s="14" t="s">
        <v>105</v>
      </c>
      <c r="J71" s="28">
        <f ca="1">(IF(B66&gt;1,(H66/(B66+2)),H66/4))</f>
        <v>3.5</v>
      </c>
    </row>
    <row r="72" spans="1:10" ht="15.75" customHeight="1" x14ac:dyDescent="0.35">
      <c r="A72" s="75" t="s">
        <v>139</v>
      </c>
      <c r="B72" s="76" t="s">
        <v>133</v>
      </c>
      <c r="C72" s="56">
        <v>14</v>
      </c>
      <c r="D72" s="57">
        <f ca="1">((100/H66)*C72)/100</f>
        <v>1</v>
      </c>
      <c r="E72" s="80"/>
      <c r="F72" s="81"/>
      <c r="G72" s="80"/>
      <c r="H72" s="85"/>
      <c r="I72" s="14" t="s">
        <v>106</v>
      </c>
      <c r="J72" s="28">
        <f ca="1">(IF(B66&gt;1,(H66/(B66+2)+J71),H66/4+J71))</f>
        <v>7</v>
      </c>
    </row>
    <row r="73" spans="1:10" ht="15.75" customHeight="1" x14ac:dyDescent="0.35">
      <c r="A73" s="75" t="s">
        <v>140</v>
      </c>
      <c r="B73" s="76" t="s">
        <v>133</v>
      </c>
      <c r="C73" s="56">
        <v>14</v>
      </c>
      <c r="D73" s="57">
        <f ca="1">((100/H66)*C73)/100</f>
        <v>1</v>
      </c>
      <c r="E73" s="80"/>
      <c r="F73" s="81"/>
      <c r="G73" s="80"/>
      <c r="H73" s="85"/>
      <c r="I73" s="14" t="s">
        <v>149</v>
      </c>
      <c r="J73" s="28">
        <f>(IF(B66&gt;1,(H66/(B66+2)+J72),0))</f>
        <v>0</v>
      </c>
    </row>
    <row r="74" spans="1:10" ht="15" customHeight="1" x14ac:dyDescent="0.35">
      <c r="A74" s="75" t="s">
        <v>138</v>
      </c>
      <c r="B74" s="76" t="s">
        <v>135</v>
      </c>
      <c r="C74" s="56">
        <v>10</v>
      </c>
      <c r="D74" s="57">
        <f ca="1">((100/(H66))*C74)/100</f>
        <v>0.7142857142857143</v>
      </c>
      <c r="E74" s="80"/>
      <c r="F74" s="81"/>
      <c r="G74" s="80"/>
      <c r="H74" s="85"/>
      <c r="I74" s="14" t="s">
        <v>146</v>
      </c>
      <c r="J74" s="28">
        <f>(IF(B66&gt;2,(H66/(B66+2)+J73),0))</f>
        <v>0</v>
      </c>
    </row>
    <row r="75" spans="1:10" ht="15.75" customHeight="1" x14ac:dyDescent="0.35">
      <c r="A75" s="75" t="s">
        <v>134</v>
      </c>
      <c r="B75" s="76" t="s">
        <v>134</v>
      </c>
      <c r="C75" s="56">
        <v>0</v>
      </c>
      <c r="D75" s="57">
        <f ca="1">((100/H66)*C75)/100</f>
        <v>0</v>
      </c>
      <c r="E75" s="80"/>
      <c r="F75" s="81"/>
      <c r="G75" s="80"/>
      <c r="H75" s="85"/>
      <c r="I75" s="14" t="s">
        <v>147</v>
      </c>
      <c r="J75" s="29">
        <f>(IF(B66&gt;3,(H66/(B66+2)+J74),0))</f>
        <v>0</v>
      </c>
    </row>
    <row r="76" spans="1:10" ht="15.75" customHeight="1" x14ac:dyDescent="0.35">
      <c r="A76" s="75" t="s">
        <v>141</v>
      </c>
      <c r="B76" s="76"/>
      <c r="C76" s="56">
        <v>0</v>
      </c>
      <c r="D76" s="57">
        <f ca="1">((100/H66)*C76)/100</f>
        <v>0</v>
      </c>
      <c r="E76" s="80"/>
      <c r="F76" s="81"/>
      <c r="G76" s="80"/>
      <c r="H76" s="85"/>
      <c r="I76" s="14" t="s">
        <v>148</v>
      </c>
      <c r="J76" s="28">
        <f>(IF(B66&gt;4,(H66/(B66+2)+J75),0))</f>
        <v>0</v>
      </c>
    </row>
    <row r="77" spans="1:10" ht="15.75" customHeight="1" x14ac:dyDescent="0.35">
      <c r="A77" s="75" t="s">
        <v>136</v>
      </c>
      <c r="B77" s="76" t="s">
        <v>136</v>
      </c>
      <c r="C77" s="56">
        <v>0</v>
      </c>
      <c r="D77" s="57">
        <f ca="1">((100/(H66))*C77)/100</f>
        <v>0</v>
      </c>
      <c r="E77" s="80"/>
      <c r="F77" s="81"/>
      <c r="G77" s="80"/>
      <c r="H77" s="85"/>
      <c r="I77" s="14" t="s">
        <v>150</v>
      </c>
      <c r="J77" s="28">
        <f ca="1">(IF(B66=1,(H66/(B66+3)+J72),IF(B66=0,(H66/4+J72),IF(B66&gt;1,0))))</f>
        <v>10.5</v>
      </c>
    </row>
    <row r="78" spans="1:10" ht="16" thickBot="1" x14ac:dyDescent="0.4">
      <c r="A78" s="87" t="s">
        <v>137</v>
      </c>
      <c r="B78" s="88"/>
      <c r="C78" s="58">
        <v>0</v>
      </c>
      <c r="D78" s="59">
        <f ca="1">((100/(H66))*C78)/100</f>
        <v>0</v>
      </c>
      <c r="E78" s="82"/>
      <c r="F78" s="83"/>
      <c r="G78" s="82"/>
      <c r="H78" s="86"/>
      <c r="I78" s="15" t="s">
        <v>107</v>
      </c>
      <c r="J78" s="30">
        <f ca="1">(IF(B66&gt;1.5,(H66/(B66+2)+J72+MAX(0,J73-J72)+MAX(0,J74-J73)+MAX(0,J75-J74)+MAX(0,J76-J75)+MAX(0,J77-J76)),IF(B66=1,(H66/(B66+3)+J77),IF(B66=0,H66/4+J77))))</f>
        <v>14</v>
      </c>
    </row>
    <row r="79" spans="1:10" ht="15.75" customHeight="1" x14ac:dyDescent="0.35">
      <c r="A79" s="66" t="s">
        <v>143</v>
      </c>
      <c r="B79" s="67"/>
      <c r="C79" s="68" t="s">
        <v>216</v>
      </c>
      <c r="D79" s="69"/>
      <c r="E79" s="69"/>
      <c r="F79" s="69"/>
      <c r="G79" s="69"/>
      <c r="H79" s="70"/>
      <c r="I79" s="43" t="str">
        <f ca="1">IF(D92=100%,"All work Completed. Possession granted to the Building.",IF(D91=100%,"All work Completed, Waiting for OC",I80&amp;""&amp;I81&amp;""&amp;J80&amp;""&amp;J79&amp;" "&amp;J81))</f>
        <v>Excavation, Plinth, RCC Slab, Brickwork, Internal Plaster Completed, External Plaster upto 5 Floor Completed</v>
      </c>
      <c r="J79" s="44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, External Plaster upto 5 Floor</v>
      </c>
    </row>
    <row r="80" spans="1:10" x14ac:dyDescent="0.35">
      <c r="A80" s="16" t="s">
        <v>145</v>
      </c>
      <c r="B80" s="48">
        <v>0</v>
      </c>
      <c r="C80" s="48" t="s">
        <v>74</v>
      </c>
      <c r="D80" s="48">
        <v>1</v>
      </c>
      <c r="E80" s="48" t="s">
        <v>73</v>
      </c>
      <c r="F80" s="48">
        <v>0</v>
      </c>
      <c r="G80" s="48" t="s">
        <v>82</v>
      </c>
      <c r="H80" s="17">
        <f ca="1">--TRIM(RIGHT(SUBSTITUTE(LEFT(C79,_xlfn.AGGREGATE(16,6,FIND({0,1,2,3,4,5,6,7,8,9},C79,ROW(INDIRECT("1:"&amp;LEN(C79)))),1))," ",REPT(" ",LEN(C79))),LEN(C79)))</f>
        <v>14</v>
      </c>
      <c r="I80" s="45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Plinth, RCC Slab, Brickwork, Internal Plaster</v>
      </c>
      <c r="J80" s="46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0" ht="31.5" customHeight="1" x14ac:dyDescent="0.35">
      <c r="A81" s="71" t="s">
        <v>92</v>
      </c>
      <c r="B81" s="72"/>
      <c r="C81" s="73" t="str">
        <f ca="1">I79</f>
        <v>Excavation, Plinth, RCC Slab, Brickwork, Internal Plaster Completed, External Plaster upto 5 Floor Completed</v>
      </c>
      <c r="D81" s="73"/>
      <c r="E81" s="73"/>
      <c r="F81" s="73"/>
      <c r="G81" s="73"/>
      <c r="H81" s="74"/>
      <c r="I81" s="45" t="str">
        <f ca="1">IF(I80&lt;&gt;""," Completed","")</f>
        <v xml:space="preserve"> Completed</v>
      </c>
      <c r="J81" s="46" t="str">
        <f ca="1">IF(J79&lt;&gt;"","Completed","")</f>
        <v>Completed</v>
      </c>
    </row>
    <row r="82" spans="1:10" ht="15.75" customHeight="1" x14ac:dyDescent="0.35">
      <c r="A82" s="75" t="s">
        <v>50</v>
      </c>
      <c r="B82" s="76"/>
      <c r="C82" s="56" t="s">
        <v>142</v>
      </c>
      <c r="D82" s="56" t="s">
        <v>85</v>
      </c>
      <c r="E82" s="76" t="s">
        <v>87</v>
      </c>
      <c r="F82" s="76"/>
      <c r="G82" s="76" t="s">
        <v>86</v>
      </c>
      <c r="H82" s="77"/>
      <c r="I82" s="14" t="s">
        <v>144</v>
      </c>
      <c r="J82" s="26">
        <f ca="1">H80*25%</f>
        <v>3.5</v>
      </c>
    </row>
    <row r="83" spans="1:10" x14ac:dyDescent="0.35">
      <c r="A83" s="75" t="s">
        <v>131</v>
      </c>
      <c r="B83" s="76"/>
      <c r="C83" s="56">
        <f ca="1">J84</f>
        <v>14</v>
      </c>
      <c r="D83" s="57">
        <f ca="1">((100/H80)*C83)/100</f>
        <v>1</v>
      </c>
      <c r="E83" s="78">
        <f ca="1">(((C84/H80*10)+(40/(D80+F80+H80)*C85)+(7.5/(H80)*C86)+(7.5/(H80)*C87)+(10/H80*C88)+(10/H80*C89)+(5/H80*C90)+(5/H80*C91)+(5/H80*C92))/100)</f>
        <v>0.68571428571428572</v>
      </c>
      <c r="F83" s="79"/>
      <c r="G83" s="78">
        <f ca="1">((((C83/H80)*20)+((C84/H80)*25)+(30/(H80+F80+D80)*C85)+(5/H80*C86)+(5/H80*C87)+(5/H80*C88)+(5/H80*C89)+(0/H80*C90)+(0/H80*C91)+(5/H80*C92))/100)</f>
        <v>0.86785714285714288</v>
      </c>
      <c r="H83" s="84"/>
      <c r="I83" s="14" t="s">
        <v>103</v>
      </c>
      <c r="J83" s="27">
        <f ca="1">H80*50%</f>
        <v>7</v>
      </c>
    </row>
    <row r="84" spans="1:10" x14ac:dyDescent="0.35">
      <c r="A84" s="75" t="s">
        <v>51</v>
      </c>
      <c r="B84" s="76"/>
      <c r="C84" s="61">
        <f ca="1">J92</f>
        <v>14</v>
      </c>
      <c r="D84" s="57">
        <f ca="1">((100/H80)*C84)/100</f>
        <v>1</v>
      </c>
      <c r="E84" s="80"/>
      <c r="F84" s="81"/>
      <c r="G84" s="80"/>
      <c r="H84" s="85"/>
      <c r="I84" s="14" t="s">
        <v>104</v>
      </c>
      <c r="J84" s="27">
        <f ca="1">H80</f>
        <v>14</v>
      </c>
    </row>
    <row r="85" spans="1:10" ht="15.75" customHeight="1" x14ac:dyDescent="0.35">
      <c r="A85" s="75" t="s">
        <v>132</v>
      </c>
      <c r="B85" s="76"/>
      <c r="C85" s="56">
        <v>15</v>
      </c>
      <c r="D85" s="57">
        <f ca="1">((100/(D80+F80+H80))*C85)/100</f>
        <v>1</v>
      </c>
      <c r="E85" s="80"/>
      <c r="F85" s="81"/>
      <c r="G85" s="80"/>
      <c r="H85" s="85"/>
      <c r="I85" s="14" t="s">
        <v>105</v>
      </c>
      <c r="J85" s="28">
        <f ca="1">(IF(B80&gt;1,(H80/(B80+2)),H80/4))</f>
        <v>3.5</v>
      </c>
    </row>
    <row r="86" spans="1:10" ht="15.75" customHeight="1" x14ac:dyDescent="0.35">
      <c r="A86" s="75" t="s">
        <v>139</v>
      </c>
      <c r="B86" s="76" t="s">
        <v>133</v>
      </c>
      <c r="C86" s="56">
        <v>14</v>
      </c>
      <c r="D86" s="57">
        <f ca="1">((100/H80)*C86)/100</f>
        <v>1</v>
      </c>
      <c r="E86" s="80"/>
      <c r="F86" s="81"/>
      <c r="G86" s="80"/>
      <c r="H86" s="85"/>
      <c r="I86" s="14" t="s">
        <v>106</v>
      </c>
      <c r="J86" s="28">
        <f ca="1">(IF(B80&gt;1,(H80/(B80+2)+J85),H80/4+J85))</f>
        <v>7</v>
      </c>
    </row>
    <row r="87" spans="1:10" ht="15.75" customHeight="1" x14ac:dyDescent="0.35">
      <c r="A87" s="75" t="s">
        <v>140</v>
      </c>
      <c r="B87" s="76" t="s">
        <v>133</v>
      </c>
      <c r="C87" s="56">
        <v>14</v>
      </c>
      <c r="D87" s="57">
        <f ca="1">((100/H80)*C87)/100</f>
        <v>1</v>
      </c>
      <c r="E87" s="80"/>
      <c r="F87" s="81"/>
      <c r="G87" s="80"/>
      <c r="H87" s="85"/>
      <c r="I87" s="14" t="s">
        <v>149</v>
      </c>
      <c r="J87" s="28">
        <f>(IF(B80&gt;1,(H80/(B80+2)+J86),0))</f>
        <v>0</v>
      </c>
    </row>
    <row r="88" spans="1:10" ht="15" customHeight="1" x14ac:dyDescent="0.35">
      <c r="A88" s="75" t="s">
        <v>138</v>
      </c>
      <c r="B88" s="76" t="s">
        <v>135</v>
      </c>
      <c r="C88" s="56">
        <v>5</v>
      </c>
      <c r="D88" s="57">
        <f ca="1">((100/(H80))*C88)/100</f>
        <v>0.35714285714285715</v>
      </c>
      <c r="E88" s="80"/>
      <c r="F88" s="81"/>
      <c r="G88" s="80"/>
      <c r="H88" s="85"/>
      <c r="I88" s="14" t="s">
        <v>146</v>
      </c>
      <c r="J88" s="28">
        <f>(IF(B80&gt;2,(H80/(B80+2)+J87),0))</f>
        <v>0</v>
      </c>
    </row>
    <row r="89" spans="1:10" ht="15.75" customHeight="1" x14ac:dyDescent="0.35">
      <c r="A89" s="75" t="s">
        <v>134</v>
      </c>
      <c r="B89" s="76" t="s">
        <v>134</v>
      </c>
      <c r="C89" s="56">
        <v>0</v>
      </c>
      <c r="D89" s="57">
        <f ca="1">((100/H80)*C89)/100</f>
        <v>0</v>
      </c>
      <c r="E89" s="80"/>
      <c r="F89" s="81"/>
      <c r="G89" s="80"/>
      <c r="H89" s="85"/>
      <c r="I89" s="14" t="s">
        <v>147</v>
      </c>
      <c r="J89" s="29">
        <f>(IF(B80&gt;3,(H80/(B80+2)+J88),0))</f>
        <v>0</v>
      </c>
    </row>
    <row r="90" spans="1:10" ht="15.75" customHeight="1" x14ac:dyDescent="0.35">
      <c r="A90" s="75" t="s">
        <v>141</v>
      </c>
      <c r="B90" s="76"/>
      <c r="C90" s="56">
        <v>0</v>
      </c>
      <c r="D90" s="57">
        <f ca="1">((100/H80)*C90)/100</f>
        <v>0</v>
      </c>
      <c r="E90" s="80"/>
      <c r="F90" s="81"/>
      <c r="G90" s="80"/>
      <c r="H90" s="85"/>
      <c r="I90" s="14" t="s">
        <v>148</v>
      </c>
      <c r="J90" s="28">
        <f>(IF(B80&gt;4,(H80/(B80+2)+J89),0))</f>
        <v>0</v>
      </c>
    </row>
    <row r="91" spans="1:10" ht="15.75" customHeight="1" x14ac:dyDescent="0.35">
      <c r="A91" s="75" t="s">
        <v>136</v>
      </c>
      <c r="B91" s="76" t="s">
        <v>136</v>
      </c>
      <c r="C91" s="56">
        <v>0</v>
      </c>
      <c r="D91" s="57">
        <f ca="1">((100/(H80))*C91)/100</f>
        <v>0</v>
      </c>
      <c r="E91" s="80"/>
      <c r="F91" s="81"/>
      <c r="G91" s="80"/>
      <c r="H91" s="85"/>
      <c r="I91" s="14" t="s">
        <v>150</v>
      </c>
      <c r="J91" s="28">
        <f ca="1">(IF(B80=1,(H80/(B80+3)+J86),IF(B80=0,(H80/4+J86),IF(B80&gt;1,0))))</f>
        <v>10.5</v>
      </c>
    </row>
    <row r="92" spans="1:10" ht="16" thickBot="1" x14ac:dyDescent="0.4">
      <c r="A92" s="87" t="s">
        <v>137</v>
      </c>
      <c r="B92" s="88"/>
      <c r="C92" s="58">
        <v>0</v>
      </c>
      <c r="D92" s="59">
        <f ca="1">((100/(H80))*C92)/100</f>
        <v>0</v>
      </c>
      <c r="E92" s="82"/>
      <c r="F92" s="83"/>
      <c r="G92" s="82"/>
      <c r="H92" s="86"/>
      <c r="I92" s="15" t="s">
        <v>107</v>
      </c>
      <c r="J92" s="30">
        <f ca="1">(IF(B80&gt;1.5,(H80/(B80+2)+J86+MAX(0,J87-J86)+MAX(0,J88-J87)+MAX(0,J89-J88)+MAX(0,J90-J89)+MAX(0,J91-J90)),IF(B80=1,(H80/(B80+3)+J91),IF(B80=0,H80/4+J91))))</f>
        <v>14</v>
      </c>
    </row>
    <row r="93" spans="1:10" ht="15.75" customHeight="1" x14ac:dyDescent="0.35">
      <c r="A93" s="66" t="s">
        <v>143</v>
      </c>
      <c r="B93" s="67"/>
      <c r="C93" s="68" t="s">
        <v>218</v>
      </c>
      <c r="D93" s="69"/>
      <c r="E93" s="69"/>
      <c r="F93" s="69"/>
      <c r="G93" s="69"/>
      <c r="H93" s="70"/>
      <c r="I93" s="43" t="str">
        <f ca="1">IF(D106=100%,"All work Completed. Possession granted to the Building.",IF(D105=100%,"All work Completed, Waiting for OC",I94&amp;""&amp;I95&amp;""&amp;J94&amp;""&amp;J93&amp;" "&amp;J95))</f>
        <v>Excavation, Plinth Completed, RCC upto 9 Slab, Brickwork upto 4 Floor Completed</v>
      </c>
      <c r="J93" s="44" t="str">
        <f ca="1">(IF(C99=(D94+F94+H94),"",IF(C99&gt;0,", RCC upto "&amp;C99&amp;" Slab","")))&amp;(IF(C100=H94,"",IF(C100&gt;0,", Brickwork upto "&amp;C100&amp;" Floor","")))&amp;(IF(C101=H94,"",IF(C101&gt;0,", Internal Plaster upto "&amp;C101&amp;" Floor","")))&amp;(IF(C102=H94,"",IF(C102&gt;0,", External Plaster upto "&amp;C102&amp;" Floor","")))&amp;(IF(C103=H94,"",IF(C103&gt;0,", Flooring upto "&amp;C103&amp;" Floor","")))&amp;(IF(C104=H94,"",IF(C104&gt;0,", Painting upto "&amp;C104&amp;" Floor","")))&amp;(IF(C105=H94,"",IF(C105&gt;0,", Finishing upto "&amp;C105&amp;" Floor","")))&amp;(IF(C106=H94,"",IF(C106&gt;0,", Possession upto "&amp;C106&amp;" Floor","")))</f>
        <v>, RCC upto 9 Slab, Brickwork upto 4 Floor</v>
      </c>
    </row>
    <row r="94" spans="1:10" x14ac:dyDescent="0.35">
      <c r="A94" s="16" t="s">
        <v>145</v>
      </c>
      <c r="B94" s="48">
        <v>0</v>
      </c>
      <c r="C94" s="48" t="s">
        <v>74</v>
      </c>
      <c r="D94" s="48">
        <v>1</v>
      </c>
      <c r="E94" s="48" t="s">
        <v>73</v>
      </c>
      <c r="F94" s="48">
        <v>0</v>
      </c>
      <c r="G94" s="48" t="s">
        <v>82</v>
      </c>
      <c r="H94" s="17">
        <f ca="1">--TRIM(RIGHT(SUBSTITUTE(LEFT(C93,_xlfn.AGGREGATE(16,6,FIND({0,1,2,3,4,5,6,7,8,9},C93,ROW(INDIRECT("1:"&amp;LEN(C93)))),1))," ",REPT(" ",LEN(C93))),LEN(C93)))</f>
        <v>14</v>
      </c>
      <c r="I94" s="45" t="str">
        <f ca="1">IF(D97=100%,"Excavation","")&amp;IF(D98=100%,", Plinth","")&amp;IF(D99=100%,", RCC Slab","")&amp;IF(D100=100%,", Brickwork","")&amp;IF(D101=100%,", Internal Plaster","")&amp;IF(D102=100%,", External Plaster","")&amp;IF(D103=100%,", Flooring","")&amp;IF(D104=100%,", Painting","")&amp;IF(D105=100%,", Building common Amenities","")</f>
        <v>Excavation, Plinth</v>
      </c>
      <c r="J94" s="46" t="str">
        <f ca="1">(IF(C97=0,"Work not yet Started.",IF(D97=25%,"Piling work in process",IF(D97=50%,"Excavation work in process",IF(D97=100%,"","0")))))&amp;(IF(C98=0%,"",IF(C98=J99,", Footing work is process",IF(C98=J100,", Footing work Completed",IF(C98=J101,", 1st Basement Completed",IF(C98=J102,", 1st &amp; 2nd Basement Completed",IF(C98=J103,", 1st to 3rd Basement Completed",IF(C98=J104,", 1st to 4th Basement Completed",IF(C98=J105,", Plinth work is process",IF(C98=J106,"","0"))))))))))</f>
        <v/>
      </c>
    </row>
    <row r="95" spans="1:10" x14ac:dyDescent="0.35">
      <c r="A95" s="71" t="s">
        <v>92</v>
      </c>
      <c r="B95" s="72"/>
      <c r="C95" s="73" t="str">
        <f ca="1">I93</f>
        <v>Excavation, Plinth Completed, RCC upto 9 Slab, Brickwork upto 4 Floor Completed</v>
      </c>
      <c r="D95" s="73"/>
      <c r="E95" s="73"/>
      <c r="F95" s="73"/>
      <c r="G95" s="73"/>
      <c r="H95" s="74"/>
      <c r="I95" s="45" t="str">
        <f ca="1">IF(I94&lt;&gt;""," Completed","")</f>
        <v xml:space="preserve"> Completed</v>
      </c>
      <c r="J95" s="46" t="str">
        <f ca="1">IF(J93&lt;&gt;"","Completed","")</f>
        <v>Completed</v>
      </c>
    </row>
    <row r="96" spans="1:10" ht="15.75" customHeight="1" x14ac:dyDescent="0.35">
      <c r="A96" s="75" t="s">
        <v>50</v>
      </c>
      <c r="B96" s="76"/>
      <c r="C96" s="56" t="s">
        <v>142</v>
      </c>
      <c r="D96" s="56" t="s">
        <v>85</v>
      </c>
      <c r="E96" s="76" t="s">
        <v>87</v>
      </c>
      <c r="F96" s="76"/>
      <c r="G96" s="76" t="s">
        <v>86</v>
      </c>
      <c r="H96" s="77"/>
      <c r="I96" s="14" t="s">
        <v>144</v>
      </c>
      <c r="J96" s="26">
        <f ca="1">H94*25%</f>
        <v>3.5</v>
      </c>
    </row>
    <row r="97" spans="1:10" x14ac:dyDescent="0.35">
      <c r="A97" s="75" t="s">
        <v>131</v>
      </c>
      <c r="B97" s="76"/>
      <c r="C97" s="56">
        <f ca="1">J98</f>
        <v>14</v>
      </c>
      <c r="D97" s="57">
        <f ca="1">((100/H94)*C97)/100</f>
        <v>1</v>
      </c>
      <c r="E97" s="78">
        <f ca="1">(((C98/H94*10)+(40/(D94+F94+H94)*C99)+(7.5/(H94)*C100)+(7.5/(H94)*C101)+(10/H94*C102)+(10/H94*C103)+(5/H94*C104)+(5/H94*C105)+(5/H94*C106))/100)</f>
        <v>0.36142857142857143</v>
      </c>
      <c r="F97" s="79"/>
      <c r="G97" s="78">
        <f ca="1">((((C97/H94)*20)+((C98/H94)*25)+(30/(H94+F94+D94)*C99)+(5/H94*C100)+(5/H94*C101)+(5/H94*C102)+(5/H94*C103)+(0/H94*C104)+(0/H94*C105)+(5/H94*C106))/100)</f>
        <v>0.64428571428571435</v>
      </c>
      <c r="H97" s="84"/>
      <c r="I97" s="14" t="s">
        <v>103</v>
      </c>
      <c r="J97" s="27">
        <f ca="1">H94*50%</f>
        <v>7</v>
      </c>
    </row>
    <row r="98" spans="1:10" x14ac:dyDescent="0.35">
      <c r="A98" s="75" t="s">
        <v>51</v>
      </c>
      <c r="B98" s="76"/>
      <c r="C98" s="61">
        <f ca="1">J106</f>
        <v>14</v>
      </c>
      <c r="D98" s="57">
        <f ca="1">((100/H94)*C98)/100</f>
        <v>1</v>
      </c>
      <c r="E98" s="80"/>
      <c r="F98" s="81"/>
      <c r="G98" s="80"/>
      <c r="H98" s="85"/>
      <c r="I98" s="14" t="s">
        <v>104</v>
      </c>
      <c r="J98" s="27">
        <f ca="1">H94</f>
        <v>14</v>
      </c>
    </row>
    <row r="99" spans="1:10" ht="15.75" customHeight="1" x14ac:dyDescent="0.35">
      <c r="A99" s="75" t="s">
        <v>132</v>
      </c>
      <c r="B99" s="76"/>
      <c r="C99" s="56">
        <v>9</v>
      </c>
      <c r="D99" s="57">
        <f ca="1">((100/(D94+F94+H94))*C99)/100</f>
        <v>0.6</v>
      </c>
      <c r="E99" s="80"/>
      <c r="F99" s="81"/>
      <c r="G99" s="80"/>
      <c r="H99" s="85"/>
      <c r="I99" s="14" t="s">
        <v>105</v>
      </c>
      <c r="J99" s="28">
        <f ca="1">(IF(B94&gt;1,(H94/(B94+2)),H94/4))</f>
        <v>3.5</v>
      </c>
    </row>
    <row r="100" spans="1:10" ht="15.75" customHeight="1" x14ac:dyDescent="0.35">
      <c r="A100" s="75" t="s">
        <v>139</v>
      </c>
      <c r="B100" s="76" t="s">
        <v>133</v>
      </c>
      <c r="C100" s="56">
        <v>4</v>
      </c>
      <c r="D100" s="57">
        <f ca="1">((100/H94)*C100)/100</f>
        <v>0.28571428571428575</v>
      </c>
      <c r="E100" s="80"/>
      <c r="F100" s="81"/>
      <c r="G100" s="80"/>
      <c r="H100" s="85"/>
      <c r="I100" s="14" t="s">
        <v>106</v>
      </c>
      <c r="J100" s="28">
        <f ca="1">(IF(B94&gt;1,(H94/(B94+2)+J99),H94/4+J99))</f>
        <v>7</v>
      </c>
    </row>
    <row r="101" spans="1:10" ht="15.75" customHeight="1" x14ac:dyDescent="0.35">
      <c r="A101" s="75" t="s">
        <v>140</v>
      </c>
      <c r="B101" s="76" t="s">
        <v>133</v>
      </c>
      <c r="C101" s="56">
        <v>0</v>
      </c>
      <c r="D101" s="57">
        <f ca="1">((100/H94)*C101)/100</f>
        <v>0</v>
      </c>
      <c r="E101" s="80"/>
      <c r="F101" s="81"/>
      <c r="G101" s="80"/>
      <c r="H101" s="85"/>
      <c r="I101" s="14" t="s">
        <v>149</v>
      </c>
      <c r="J101" s="28">
        <f>(IF(B94&gt;1,(H94/(B94+2)+J100),0))</f>
        <v>0</v>
      </c>
    </row>
    <row r="102" spans="1:10" ht="15" customHeight="1" x14ac:dyDescent="0.35">
      <c r="A102" s="75" t="s">
        <v>138</v>
      </c>
      <c r="B102" s="76" t="s">
        <v>135</v>
      </c>
      <c r="C102" s="56">
        <v>0</v>
      </c>
      <c r="D102" s="57">
        <f ca="1">((100/(H94))*C102)/100</f>
        <v>0</v>
      </c>
      <c r="E102" s="80"/>
      <c r="F102" s="81"/>
      <c r="G102" s="80"/>
      <c r="H102" s="85"/>
      <c r="I102" s="14" t="s">
        <v>146</v>
      </c>
      <c r="J102" s="28">
        <f>(IF(B94&gt;2,(H94/(B94+2)+J101),0))</f>
        <v>0</v>
      </c>
    </row>
    <row r="103" spans="1:10" ht="15.75" customHeight="1" x14ac:dyDescent="0.35">
      <c r="A103" s="75" t="s">
        <v>134</v>
      </c>
      <c r="B103" s="76" t="s">
        <v>134</v>
      </c>
      <c r="C103" s="56">
        <v>0</v>
      </c>
      <c r="D103" s="57">
        <f ca="1">((100/H94)*C103)/100</f>
        <v>0</v>
      </c>
      <c r="E103" s="80"/>
      <c r="F103" s="81"/>
      <c r="G103" s="80"/>
      <c r="H103" s="85"/>
      <c r="I103" s="14" t="s">
        <v>147</v>
      </c>
      <c r="J103" s="29">
        <f>(IF(B94&gt;3,(H94/(B94+2)+J102),0))</f>
        <v>0</v>
      </c>
    </row>
    <row r="104" spans="1:10" ht="15.75" customHeight="1" x14ac:dyDescent="0.35">
      <c r="A104" s="75" t="s">
        <v>141</v>
      </c>
      <c r="B104" s="76"/>
      <c r="C104" s="56">
        <v>0</v>
      </c>
      <c r="D104" s="57">
        <f ca="1">((100/H94)*C104)/100</f>
        <v>0</v>
      </c>
      <c r="E104" s="80"/>
      <c r="F104" s="81"/>
      <c r="G104" s="80"/>
      <c r="H104" s="85"/>
      <c r="I104" s="14" t="s">
        <v>148</v>
      </c>
      <c r="J104" s="28">
        <f>(IF(B94&gt;4,(H94/(B94+2)+J103),0))</f>
        <v>0</v>
      </c>
    </row>
    <row r="105" spans="1:10" ht="15.75" customHeight="1" x14ac:dyDescent="0.35">
      <c r="A105" s="75" t="s">
        <v>136</v>
      </c>
      <c r="B105" s="76" t="s">
        <v>136</v>
      </c>
      <c r="C105" s="56">
        <v>0</v>
      </c>
      <c r="D105" s="57">
        <f ca="1">((100/(H94))*C105)/100</f>
        <v>0</v>
      </c>
      <c r="E105" s="80"/>
      <c r="F105" s="81"/>
      <c r="G105" s="80"/>
      <c r="H105" s="85"/>
      <c r="I105" s="14" t="s">
        <v>150</v>
      </c>
      <c r="J105" s="28">
        <f ca="1">(IF(B94=1,(H94/(B94+3)+J100),IF(B94=0,(H94/4+J100),IF(B94&gt;1,0))))</f>
        <v>10.5</v>
      </c>
    </row>
    <row r="106" spans="1:10" ht="16" thickBot="1" x14ac:dyDescent="0.4">
      <c r="A106" s="87" t="s">
        <v>137</v>
      </c>
      <c r="B106" s="88"/>
      <c r="C106" s="58">
        <v>0</v>
      </c>
      <c r="D106" s="59">
        <f ca="1">((100/(H94))*C106)/100</f>
        <v>0</v>
      </c>
      <c r="E106" s="82"/>
      <c r="F106" s="83"/>
      <c r="G106" s="82"/>
      <c r="H106" s="86"/>
      <c r="I106" s="15" t="s">
        <v>107</v>
      </c>
      <c r="J106" s="30">
        <f ca="1">(IF(B94&gt;1.5,(H94/(B94+2)+J100+MAX(0,J101-J100)+MAX(0,J102-J101)+MAX(0,J103-J102)+MAX(0,J104-J103)+MAX(0,J105-J104)),IF(B94=1,(H94/(B94+3)+J105),IF(B94=0,H94/4+J105))))</f>
        <v>14</v>
      </c>
    </row>
    <row r="107" spans="1:10" ht="15.75" customHeight="1" x14ac:dyDescent="0.35">
      <c r="A107" s="66" t="s">
        <v>143</v>
      </c>
      <c r="B107" s="67"/>
      <c r="C107" s="68" t="s">
        <v>219</v>
      </c>
      <c r="D107" s="69"/>
      <c r="E107" s="69"/>
      <c r="F107" s="69"/>
      <c r="G107" s="69"/>
      <c r="H107" s="70"/>
      <c r="I107" s="43" t="str">
        <f ca="1">IF(D120=100%,"All work Completed. Possession granted to the Building.",IF(D119=100%,"All work Completed, Waiting for OC",I108&amp;""&amp;I109&amp;""&amp;J108&amp;""&amp;J107&amp;" "&amp;J109))</f>
        <v>Excavation, Plinth Completed, RCC upto 12 Slab, Brickwork upto 7 Floor Completed</v>
      </c>
      <c r="J107" s="44" t="str">
        <f ca="1">(IF(C113=(D108+F108+H108),"",IF(C113&gt;0,", RCC upto "&amp;C113&amp;" Slab","")))&amp;(IF(C114=H108,"",IF(C114&gt;0,", Brickwork upto "&amp;C114&amp;" Floor","")))&amp;(IF(C115=H108,"",IF(C115&gt;0,", Internal Plaster upto "&amp;C115&amp;" Floor","")))&amp;(IF(C116=H108,"",IF(C116&gt;0,", External Plaster upto "&amp;C116&amp;" Floor","")))&amp;(IF(C117=H108,"",IF(C117&gt;0,", Flooring upto "&amp;C117&amp;" Floor","")))&amp;(IF(C118=H108,"",IF(C118&gt;0,", Painting upto "&amp;C118&amp;" Floor","")))&amp;(IF(C119=H108,"",IF(C119&gt;0,", Finishing upto "&amp;C119&amp;" Floor","")))&amp;(IF(C120=H108,"",IF(C120&gt;0,", Possession upto "&amp;C120&amp;" Floor","")))</f>
        <v>, RCC upto 12 Slab, Brickwork upto 7 Floor</v>
      </c>
    </row>
    <row r="108" spans="1:10" x14ac:dyDescent="0.35">
      <c r="A108" s="16" t="s">
        <v>145</v>
      </c>
      <c r="B108" s="48">
        <v>0</v>
      </c>
      <c r="C108" s="48" t="s">
        <v>74</v>
      </c>
      <c r="D108" s="48">
        <v>1</v>
      </c>
      <c r="E108" s="48" t="s">
        <v>73</v>
      </c>
      <c r="F108" s="48">
        <v>0</v>
      </c>
      <c r="G108" s="48" t="s">
        <v>82</v>
      </c>
      <c r="H108" s="17">
        <f ca="1">--TRIM(RIGHT(SUBSTITUTE(LEFT(C107,_xlfn.AGGREGATE(16,6,FIND({0,1,2,3,4,5,6,7,8,9},C107,ROW(INDIRECT("1:"&amp;LEN(C107)))),1))," ",REPT(" ",LEN(C107))),LEN(C107)))</f>
        <v>14</v>
      </c>
      <c r="I108" s="45" t="str">
        <f ca="1">IF(D111=100%,"Excavation","")&amp;IF(D112=100%,", Plinth","")&amp;IF(D113=100%,", RCC Slab","")&amp;IF(D114=100%,", Brickwork","")&amp;IF(D115=100%,", Internal Plaster","")&amp;IF(D116=100%,", External Plaster","")&amp;IF(D117=100%,", Flooring","")&amp;IF(D118=100%,", Painting","")&amp;IF(D119=100%,", Building common Amenities","")</f>
        <v>Excavation, Plinth</v>
      </c>
      <c r="J108" s="46" t="str">
        <f ca="1">(IF(C111=0,"Work not yet Started.",IF(D111=25%,"Piling work in process",IF(D111=50%,"Excavation work in process",IF(D111=100%,"","0")))))&amp;(IF(C112=0%,"",IF(C112=J113,", Footing work is process",IF(C112=J114,", Footing work Completed",IF(C112=J115,", 1st Basement Completed",IF(C112=J116,", 1st &amp; 2nd Basement Completed",IF(C112=J117,", 1st to 3rd Basement Completed",IF(C112=J118,", 1st to 4th Basement Completed",IF(C112=J119,", Plinth work is process",IF(C112=J120,"","0"))))))))))</f>
        <v/>
      </c>
    </row>
    <row r="109" spans="1:10" x14ac:dyDescent="0.35">
      <c r="A109" s="71" t="s">
        <v>92</v>
      </c>
      <c r="B109" s="72"/>
      <c r="C109" s="73" t="str">
        <f ca="1">I107</f>
        <v>Excavation, Plinth Completed, RCC upto 12 Slab, Brickwork upto 7 Floor Completed</v>
      </c>
      <c r="D109" s="73"/>
      <c r="E109" s="73"/>
      <c r="F109" s="73"/>
      <c r="G109" s="73"/>
      <c r="H109" s="74"/>
      <c r="I109" s="45" t="str">
        <f ca="1">IF(I108&lt;&gt;""," Completed","")</f>
        <v xml:space="preserve"> Completed</v>
      </c>
      <c r="J109" s="46" t="str">
        <f ca="1">IF(J107&lt;&gt;"","Completed","")</f>
        <v>Completed</v>
      </c>
    </row>
    <row r="110" spans="1:10" ht="15.75" customHeight="1" x14ac:dyDescent="0.35">
      <c r="A110" s="75" t="s">
        <v>50</v>
      </c>
      <c r="B110" s="76"/>
      <c r="C110" s="56" t="s">
        <v>142</v>
      </c>
      <c r="D110" s="56" t="s">
        <v>85</v>
      </c>
      <c r="E110" s="76" t="s">
        <v>87</v>
      </c>
      <c r="F110" s="76"/>
      <c r="G110" s="76" t="s">
        <v>86</v>
      </c>
      <c r="H110" s="77"/>
      <c r="I110" s="14" t="s">
        <v>144</v>
      </c>
      <c r="J110" s="26">
        <f ca="1">H108*25%</f>
        <v>3.5</v>
      </c>
    </row>
    <row r="111" spans="1:10" x14ac:dyDescent="0.35">
      <c r="A111" s="76" t="s">
        <v>131</v>
      </c>
      <c r="B111" s="76"/>
      <c r="C111" s="63">
        <f ca="1">J112</f>
        <v>14</v>
      </c>
      <c r="D111" s="57">
        <f ca="1">((100/H108)*C111)/100</f>
        <v>1</v>
      </c>
      <c r="E111" s="174">
        <f ca="1">(((C112/H108*10)+(40/(D108+F108+H108)*C113)+(7.5/(H108)*C114)+(7.5/(H108)*C115)+(10/H108*C116)+(10/H108*C117)+(5/H108*C118)+(5/H108*C119)+(5/H108*C120))/100)</f>
        <v>0.45750000000000002</v>
      </c>
      <c r="F111" s="174"/>
      <c r="G111" s="174">
        <f ca="1">((((C111/H108)*20)+((C112/H108)*25)+(30/(H108+F108+D108)*C113)+(5/H108*C114)+(5/H108*C115)+(5/H108*C116)+(5/H108*C117)+(0/H108*C118)+(0/H108*C119)+(5/H108*C120))/100)</f>
        <v>0.71499999999999997</v>
      </c>
      <c r="H111" s="174"/>
      <c r="I111" s="14" t="s">
        <v>103</v>
      </c>
      <c r="J111" s="27">
        <f ca="1">H108*50%</f>
        <v>7</v>
      </c>
    </row>
    <row r="112" spans="1:10" x14ac:dyDescent="0.35">
      <c r="A112" s="76" t="s">
        <v>51</v>
      </c>
      <c r="B112" s="76"/>
      <c r="C112" s="61">
        <f ca="1">J120</f>
        <v>14</v>
      </c>
      <c r="D112" s="57">
        <f ca="1">((100/H108)*C112)/100</f>
        <v>1</v>
      </c>
      <c r="E112" s="174"/>
      <c r="F112" s="174"/>
      <c r="G112" s="174"/>
      <c r="H112" s="174"/>
      <c r="I112" s="14" t="s">
        <v>104</v>
      </c>
      <c r="J112" s="27">
        <f ca="1">H108</f>
        <v>14</v>
      </c>
    </row>
    <row r="113" spans="1:11" ht="15.75" customHeight="1" x14ac:dyDescent="0.35">
      <c r="A113" s="76" t="s">
        <v>132</v>
      </c>
      <c r="B113" s="76"/>
      <c r="C113" s="63">
        <v>12</v>
      </c>
      <c r="D113" s="57">
        <f ca="1">((100/(D108+F108+H108))*C113)/100</f>
        <v>0.8</v>
      </c>
      <c r="E113" s="174"/>
      <c r="F113" s="174"/>
      <c r="G113" s="174"/>
      <c r="H113" s="174"/>
      <c r="I113" s="14" t="s">
        <v>105</v>
      </c>
      <c r="J113" s="28">
        <f ca="1">(IF(B108&gt;1,(H108/(B108+2)),H108/4))</f>
        <v>3.5</v>
      </c>
    </row>
    <row r="114" spans="1:11" ht="15.75" customHeight="1" x14ac:dyDescent="0.35">
      <c r="A114" s="76" t="s">
        <v>139</v>
      </c>
      <c r="B114" s="76" t="s">
        <v>133</v>
      </c>
      <c r="C114" s="63">
        <v>7</v>
      </c>
      <c r="D114" s="57">
        <f ca="1">((100/H108)*C114)/100</f>
        <v>0.5</v>
      </c>
      <c r="E114" s="174"/>
      <c r="F114" s="174"/>
      <c r="G114" s="174"/>
      <c r="H114" s="174"/>
      <c r="I114" s="14" t="s">
        <v>106</v>
      </c>
      <c r="J114" s="28">
        <f ca="1">(IF(B108&gt;1,(H108/(B108+2)+J113),H108/4+J113))</f>
        <v>7</v>
      </c>
    </row>
    <row r="115" spans="1:11" ht="15.75" customHeight="1" x14ac:dyDescent="0.35">
      <c r="A115" s="76" t="s">
        <v>140</v>
      </c>
      <c r="B115" s="76" t="s">
        <v>133</v>
      </c>
      <c r="C115" s="63">
        <v>0</v>
      </c>
      <c r="D115" s="57">
        <f ca="1">((100/H108)*C115)/100</f>
        <v>0</v>
      </c>
      <c r="E115" s="174"/>
      <c r="F115" s="174"/>
      <c r="G115" s="174"/>
      <c r="H115" s="174"/>
      <c r="I115" s="14" t="s">
        <v>149</v>
      </c>
      <c r="J115" s="28">
        <f>(IF(B108&gt;1,(H108/(B108+2)+J114),0))</f>
        <v>0</v>
      </c>
    </row>
    <row r="116" spans="1:11" ht="15" customHeight="1" x14ac:dyDescent="0.35">
      <c r="A116" s="76" t="s">
        <v>138</v>
      </c>
      <c r="B116" s="76" t="s">
        <v>135</v>
      </c>
      <c r="C116" s="63">
        <v>0</v>
      </c>
      <c r="D116" s="57">
        <f ca="1">((100/(H108))*C116)/100</f>
        <v>0</v>
      </c>
      <c r="E116" s="174"/>
      <c r="F116" s="174"/>
      <c r="G116" s="174"/>
      <c r="H116" s="174"/>
      <c r="I116" s="14" t="s">
        <v>146</v>
      </c>
      <c r="J116" s="28">
        <f>(IF(B108&gt;2,(H108/(B108+2)+J115),0))</f>
        <v>0</v>
      </c>
    </row>
    <row r="117" spans="1:11" ht="15.75" customHeight="1" x14ac:dyDescent="0.35">
      <c r="A117" s="76" t="s">
        <v>134</v>
      </c>
      <c r="B117" s="76" t="s">
        <v>134</v>
      </c>
      <c r="C117" s="63">
        <v>0</v>
      </c>
      <c r="D117" s="57">
        <f ca="1">((100/H108)*C117)/100</f>
        <v>0</v>
      </c>
      <c r="E117" s="174"/>
      <c r="F117" s="174"/>
      <c r="G117" s="174"/>
      <c r="H117" s="174"/>
      <c r="I117" s="14" t="s">
        <v>147</v>
      </c>
      <c r="J117" s="29">
        <f>(IF(B108&gt;3,(H108/(B108+2)+J116),0))</f>
        <v>0</v>
      </c>
    </row>
    <row r="118" spans="1:11" ht="15.75" customHeight="1" x14ac:dyDescent="0.35">
      <c r="A118" s="76" t="s">
        <v>141</v>
      </c>
      <c r="B118" s="76"/>
      <c r="C118" s="63">
        <v>0</v>
      </c>
      <c r="D118" s="57">
        <f ca="1">((100/H108)*C118)/100</f>
        <v>0</v>
      </c>
      <c r="E118" s="174"/>
      <c r="F118" s="174"/>
      <c r="G118" s="174"/>
      <c r="H118" s="174"/>
      <c r="I118" s="14" t="s">
        <v>148</v>
      </c>
      <c r="J118" s="28">
        <f>(IF(B108&gt;4,(H108/(B108+2)+J117),0))</f>
        <v>0</v>
      </c>
    </row>
    <row r="119" spans="1:11" ht="15.75" customHeight="1" x14ac:dyDescent="0.35">
      <c r="A119" s="76" t="s">
        <v>136</v>
      </c>
      <c r="B119" s="76" t="s">
        <v>136</v>
      </c>
      <c r="C119" s="63">
        <v>0</v>
      </c>
      <c r="D119" s="57">
        <f ca="1">((100/(H108))*C119)/100</f>
        <v>0</v>
      </c>
      <c r="E119" s="174"/>
      <c r="F119" s="174"/>
      <c r="G119" s="174"/>
      <c r="H119" s="174"/>
      <c r="I119" s="14" t="s">
        <v>150</v>
      </c>
      <c r="J119" s="28">
        <f ca="1">(IF(B108=1,(H108/(B108+3)+J114),IF(B108=0,(H108/4+J114),IF(B108&gt;1,0))))</f>
        <v>10.5</v>
      </c>
    </row>
    <row r="120" spans="1:11" ht="16" thickBot="1" x14ac:dyDescent="0.4">
      <c r="A120" s="76" t="s">
        <v>137</v>
      </c>
      <c r="B120" s="76"/>
      <c r="C120" s="63">
        <v>0</v>
      </c>
      <c r="D120" s="57">
        <f ca="1">((100/(H108))*C120)/100</f>
        <v>0</v>
      </c>
      <c r="E120" s="174"/>
      <c r="F120" s="174"/>
      <c r="G120" s="174"/>
      <c r="H120" s="174"/>
      <c r="I120" s="15" t="s">
        <v>107</v>
      </c>
      <c r="J120" s="30">
        <f ca="1">(IF(B108&gt;1.5,(H108/(B108+2)+J114+MAX(0,J115-J114)+MAX(0,J116-J115)+MAX(0,J117-J116)+MAX(0,J118-J117)+MAX(0,J119-J118)),IF(B108=1,(H108/(B108+3)+J119),IF(B108=0,H108/4+J119))))</f>
        <v>14</v>
      </c>
    </row>
    <row r="121" spans="1:11" x14ac:dyDescent="0.35">
      <c r="A121" s="138" t="s">
        <v>159</v>
      </c>
      <c r="B121" s="138"/>
      <c r="C121" s="138"/>
      <c r="D121" s="138"/>
      <c r="E121" s="138"/>
      <c r="F121" s="122" t="s">
        <v>164</v>
      </c>
      <c r="G121" s="122"/>
      <c r="H121" s="122"/>
    </row>
    <row r="122" spans="1:11" x14ac:dyDescent="0.35">
      <c r="A122" s="97" t="s">
        <v>162</v>
      </c>
      <c r="B122" s="97"/>
      <c r="C122" s="97"/>
      <c r="D122" s="97"/>
      <c r="E122" s="97"/>
      <c r="F122" s="119">
        <v>6700</v>
      </c>
      <c r="G122" s="119"/>
      <c r="H122" s="119"/>
      <c r="I122" s="19" t="s">
        <v>220</v>
      </c>
      <c r="J122" s="19" t="s">
        <v>221</v>
      </c>
      <c r="K122" s="23">
        <v>45338</v>
      </c>
    </row>
    <row r="123" spans="1:11" hidden="1" x14ac:dyDescent="0.35">
      <c r="A123" s="97" t="s">
        <v>161</v>
      </c>
      <c r="B123" s="97"/>
      <c r="C123" s="97"/>
      <c r="D123" s="97"/>
      <c r="E123" s="97"/>
      <c r="F123" s="89"/>
      <c r="G123" s="89"/>
      <c r="H123" s="89"/>
    </row>
    <row r="124" spans="1:11" hidden="1" x14ac:dyDescent="0.35">
      <c r="A124" s="97" t="s">
        <v>163</v>
      </c>
      <c r="B124" s="97"/>
      <c r="C124" s="97"/>
      <c r="D124" s="97"/>
      <c r="E124" s="97"/>
      <c r="F124" s="89"/>
      <c r="G124" s="89"/>
      <c r="H124" s="89"/>
    </row>
    <row r="125" spans="1:11" s="31" customFormat="1" hidden="1" x14ac:dyDescent="0.3">
      <c r="A125" s="97" t="s">
        <v>160</v>
      </c>
      <c r="B125" s="97"/>
      <c r="C125" s="97"/>
      <c r="D125" s="97"/>
      <c r="E125" s="97"/>
      <c r="F125" s="89"/>
      <c r="G125" s="89"/>
      <c r="H125" s="89"/>
    </row>
    <row r="126" spans="1:11" s="31" customFormat="1" x14ac:dyDescent="0.3">
      <c r="A126" s="97" t="s">
        <v>97</v>
      </c>
      <c r="B126" s="97"/>
      <c r="C126" s="97"/>
      <c r="D126" s="97"/>
      <c r="E126" s="97"/>
      <c r="F126" s="89">
        <v>250000</v>
      </c>
      <c r="G126" s="89"/>
      <c r="H126" s="89"/>
      <c r="I126" s="31" t="s">
        <v>225</v>
      </c>
      <c r="J126" s="31" t="s">
        <v>226</v>
      </c>
      <c r="K126" s="62">
        <v>45420</v>
      </c>
    </row>
    <row r="127" spans="1:11" s="31" customFormat="1" hidden="1" x14ac:dyDescent="0.3">
      <c r="A127" s="97" t="s">
        <v>98</v>
      </c>
      <c r="B127" s="97"/>
      <c r="C127" s="97"/>
      <c r="D127" s="97"/>
      <c r="E127" s="97"/>
      <c r="F127" s="89"/>
      <c r="G127" s="89"/>
      <c r="H127" s="89"/>
    </row>
    <row r="128" spans="1:11" s="31" customFormat="1" hidden="1" x14ac:dyDescent="0.3">
      <c r="A128" s="97" t="s">
        <v>165</v>
      </c>
      <c r="B128" s="97"/>
      <c r="C128" s="97"/>
      <c r="D128" s="97"/>
      <c r="E128" s="97"/>
      <c r="F128" s="89">
        <v>40000</v>
      </c>
      <c r="G128" s="89"/>
      <c r="H128" s="89"/>
    </row>
    <row r="129" spans="1:9" s="31" customFormat="1" hidden="1" x14ac:dyDescent="0.3">
      <c r="A129" s="97" t="s">
        <v>99</v>
      </c>
      <c r="B129" s="97"/>
      <c r="C129" s="97"/>
      <c r="D129" s="97"/>
      <c r="E129" s="97"/>
      <c r="F129" s="89"/>
      <c r="G129" s="89"/>
      <c r="H129" s="89"/>
    </row>
    <row r="130" spans="1:9" s="31" customFormat="1" hidden="1" x14ac:dyDescent="0.3">
      <c r="A130" s="97" t="s">
        <v>100</v>
      </c>
      <c r="B130" s="97"/>
      <c r="C130" s="97"/>
      <c r="D130" s="97"/>
      <c r="E130" s="97"/>
      <c r="F130" s="89"/>
      <c r="G130" s="89"/>
      <c r="H130" s="89"/>
    </row>
    <row r="131" spans="1:9" s="31" customFormat="1" x14ac:dyDescent="0.3">
      <c r="A131" s="97" t="s">
        <v>101</v>
      </c>
      <c r="B131" s="97"/>
      <c r="C131" s="97"/>
      <c r="D131" s="97"/>
      <c r="E131" s="97"/>
      <c r="F131" s="89">
        <v>50000</v>
      </c>
      <c r="G131" s="89"/>
      <c r="H131" s="89"/>
    </row>
    <row r="132" spans="1:9" s="31" customFormat="1" hidden="1" x14ac:dyDescent="0.3">
      <c r="A132" s="97" t="s">
        <v>102</v>
      </c>
      <c r="B132" s="97"/>
      <c r="C132" s="97"/>
      <c r="D132" s="97"/>
      <c r="E132" s="97"/>
      <c r="F132" s="89"/>
      <c r="G132" s="89"/>
      <c r="H132" s="89"/>
    </row>
    <row r="133" spans="1:9" x14ac:dyDescent="0.35">
      <c r="A133" s="97" t="s">
        <v>52</v>
      </c>
      <c r="B133" s="97"/>
      <c r="C133" s="97"/>
      <c r="D133" s="97"/>
      <c r="E133" s="97"/>
      <c r="F133" s="89">
        <v>250000</v>
      </c>
      <c r="G133" s="89"/>
      <c r="H133" s="89"/>
    </row>
    <row r="134" spans="1:9" s="32" customFormat="1" x14ac:dyDescent="0.35">
      <c r="A134" s="138" t="s">
        <v>53</v>
      </c>
      <c r="B134" s="138"/>
      <c r="C134" s="138"/>
      <c r="D134" s="138"/>
      <c r="E134" s="138"/>
      <c r="F134" s="89">
        <f>F122*0.8</f>
        <v>5360</v>
      </c>
      <c r="G134" s="89"/>
      <c r="H134" s="89"/>
    </row>
    <row r="135" spans="1:9" s="33" customFormat="1" x14ac:dyDescent="0.35">
      <c r="A135" s="94" t="s">
        <v>72</v>
      </c>
      <c r="B135" s="94"/>
      <c r="C135" s="94"/>
      <c r="D135" s="94"/>
      <c r="E135" s="94"/>
      <c r="F135" s="94"/>
      <c r="G135" s="94"/>
      <c r="H135" s="94"/>
    </row>
    <row r="136" spans="1:9" s="33" customFormat="1" ht="15.75" customHeight="1" x14ac:dyDescent="0.35">
      <c r="A136" s="93" t="s">
        <v>54</v>
      </c>
      <c r="B136" s="93"/>
      <c r="C136" s="92" t="s">
        <v>80</v>
      </c>
      <c r="D136" s="92"/>
      <c r="E136" s="141" t="s">
        <v>55</v>
      </c>
      <c r="F136" s="141"/>
      <c r="G136" s="93" t="s">
        <v>56</v>
      </c>
      <c r="H136" s="93"/>
    </row>
    <row r="137" spans="1:9" s="33" customFormat="1" x14ac:dyDescent="0.35">
      <c r="A137" s="96" t="s">
        <v>188</v>
      </c>
      <c r="B137" s="96"/>
      <c r="C137" s="90">
        <f>COUNT(D149:D153)+COUNT(D155:D164)*11+COUNT(D166:D174)*2</f>
        <v>133</v>
      </c>
      <c r="D137" s="90"/>
      <c r="E137" s="91">
        <f>SUM(D149:D153)+SUM(D155:D164)*11+SUM(D166:D174)*2</f>
        <v>63930.210785999996</v>
      </c>
      <c r="F137" s="91"/>
      <c r="G137" s="91">
        <f>SUM(F149:F153)+SUM(F155:F164)*11+SUM(F166:F174)*2</f>
        <v>95895.316178999972</v>
      </c>
      <c r="H137" s="91"/>
    </row>
    <row r="138" spans="1:9" s="33" customFormat="1" x14ac:dyDescent="0.35">
      <c r="A138" s="96" t="s">
        <v>194</v>
      </c>
      <c r="B138" s="96"/>
      <c r="C138" s="90">
        <f>COUNT(D178:D182)+COUNT(D184:D192)*11+COUNT(D194:D201)*2</f>
        <v>120</v>
      </c>
      <c r="D138" s="90"/>
      <c r="E138" s="91">
        <f>SUM(D178:D182)+SUM(D184:D192)*11+SUM(D194:D201)*2</f>
        <v>64784.091995999996</v>
      </c>
      <c r="F138" s="91"/>
      <c r="G138" s="91">
        <f>SUM(F178:F182)+SUM(F184:F192)*11+SUM(F194:F201)*2</f>
        <v>97176.13799399999</v>
      </c>
      <c r="H138" s="91"/>
    </row>
    <row r="139" spans="1:9" s="33" customFormat="1" x14ac:dyDescent="0.35">
      <c r="A139" s="96" t="s">
        <v>197</v>
      </c>
      <c r="B139" s="96"/>
      <c r="C139" s="90">
        <f>COUNT(D205:D210)+COUNT(D212:D222)*11+COUNT(D224:D233)*2</f>
        <v>147</v>
      </c>
      <c r="D139" s="90"/>
      <c r="E139" s="91">
        <f>SUM(D205:D210)+SUM(D212:D222)*11+SUM(D224:D233)*2</f>
        <v>86000.850936000003</v>
      </c>
      <c r="F139" s="91"/>
      <c r="G139" s="91">
        <f>SUM(F205:F210)+SUM(F212:F222)*11+SUM(F224:F233)*2</f>
        <v>129001.27640399997</v>
      </c>
      <c r="H139" s="91"/>
    </row>
    <row r="140" spans="1:9" s="33" customFormat="1" x14ac:dyDescent="0.35">
      <c r="A140" s="96" t="s">
        <v>198</v>
      </c>
      <c r="B140" s="96"/>
      <c r="C140" s="90">
        <f>COUNT(D237:D240)+COUNT(D242:D250)*11+COUNT(D252:D259)*2</f>
        <v>119</v>
      </c>
      <c r="D140" s="90"/>
      <c r="E140" s="91">
        <f>SUM(D237:D240)+SUM(D242:D250)*11+SUM(D252:D259)*2</f>
        <v>74853.631007999997</v>
      </c>
      <c r="F140" s="91"/>
      <c r="G140" s="91">
        <f>SUM(F237:F240)+SUM(F242:F250)*11+SUM(F252:F259)*2</f>
        <v>112280.44651199999</v>
      </c>
      <c r="H140" s="91"/>
    </row>
    <row r="141" spans="1:9" s="33" customFormat="1" x14ac:dyDescent="0.35">
      <c r="A141" s="94" t="s">
        <v>153</v>
      </c>
      <c r="B141" s="94"/>
      <c r="C141" s="95">
        <f>SUM(C137:C140)</f>
        <v>519</v>
      </c>
      <c r="D141" s="92"/>
      <c r="E141" s="95">
        <f t="shared" ref="E141" si="0">SUM(E137:E140)</f>
        <v>289568.78472599998</v>
      </c>
      <c r="F141" s="92"/>
      <c r="G141" s="95">
        <f t="shared" ref="G141" si="1">SUM(G137:G140)</f>
        <v>434353.17708899995</v>
      </c>
      <c r="H141" s="92"/>
    </row>
    <row r="142" spans="1:9" s="32" customFormat="1" x14ac:dyDescent="0.35">
      <c r="A142" s="122" t="s">
        <v>57</v>
      </c>
      <c r="B142" s="122"/>
      <c r="C142" s="122"/>
      <c r="D142" s="122"/>
      <c r="E142" s="122"/>
      <c r="F142" s="122"/>
      <c r="G142" s="122"/>
      <c r="H142" s="122"/>
    </row>
    <row r="143" spans="1:9" x14ac:dyDescent="0.35">
      <c r="A143" s="122" t="s">
        <v>58</v>
      </c>
      <c r="B143" s="122"/>
      <c r="C143" s="122"/>
      <c r="D143" s="122"/>
      <c r="E143" s="122"/>
      <c r="F143" s="122"/>
      <c r="G143" s="122"/>
      <c r="H143" s="122"/>
    </row>
    <row r="144" spans="1:9" ht="47.25" customHeight="1" x14ac:dyDescent="0.35">
      <c r="A144" s="129" t="s">
        <v>123</v>
      </c>
      <c r="B144" s="129" t="s">
        <v>124</v>
      </c>
      <c r="C144" s="125" t="s">
        <v>59</v>
      </c>
      <c r="D144" s="125" t="s">
        <v>60</v>
      </c>
      <c r="E144" s="127" t="s">
        <v>61</v>
      </c>
      <c r="F144" s="41" t="s">
        <v>152</v>
      </c>
      <c r="G144" s="129" t="s">
        <v>62</v>
      </c>
      <c r="H144" s="130"/>
      <c r="I144" s="34"/>
    </row>
    <row r="145" spans="1:15" s="35" customFormat="1" x14ac:dyDescent="0.35">
      <c r="A145" s="131"/>
      <c r="B145" s="131"/>
      <c r="C145" s="126"/>
      <c r="D145" s="126"/>
      <c r="E145" s="128"/>
      <c r="F145" s="13">
        <v>0.5</v>
      </c>
      <c r="G145" s="131"/>
      <c r="H145" s="132"/>
      <c r="I145" s="34"/>
    </row>
    <row r="146" spans="1:15" s="35" customFormat="1" x14ac:dyDescent="0.35">
      <c r="A146" s="133" t="s">
        <v>188</v>
      </c>
      <c r="B146" s="134"/>
      <c r="C146" s="134"/>
      <c r="D146" s="134"/>
      <c r="E146" s="134"/>
      <c r="F146" s="134"/>
      <c r="G146" s="134"/>
      <c r="H146" s="134"/>
      <c r="I146" s="34"/>
      <c r="J146" s="34"/>
    </row>
    <row r="147" spans="1:15" s="35" customFormat="1" x14ac:dyDescent="0.35">
      <c r="A147" s="133" t="s">
        <v>187</v>
      </c>
      <c r="B147" s="134"/>
      <c r="C147" s="134"/>
      <c r="D147" s="134"/>
      <c r="E147" s="134"/>
      <c r="F147" s="134"/>
      <c r="G147" s="134"/>
      <c r="H147" s="135"/>
      <c r="J147" s="34"/>
    </row>
    <row r="148" spans="1:15" s="35" customFormat="1" x14ac:dyDescent="0.35">
      <c r="A148" s="139" t="s">
        <v>208</v>
      </c>
      <c r="B148" s="139"/>
      <c r="C148" s="139"/>
      <c r="D148" s="139"/>
      <c r="E148" s="139"/>
      <c r="F148" s="139"/>
      <c r="G148" s="139"/>
      <c r="H148" s="139"/>
      <c r="I148" s="34"/>
      <c r="L148" s="162"/>
      <c r="M148" s="162"/>
    </row>
    <row r="149" spans="1:15" s="35" customFormat="1" ht="15.75" customHeight="1" x14ac:dyDescent="0.35">
      <c r="A149" s="124">
        <v>1</v>
      </c>
      <c r="B149" s="124"/>
      <c r="C149" s="40" t="s">
        <v>189</v>
      </c>
      <c r="D149" s="47">
        <f>(43.413+0.6*(2.75+2.75+3.05))*(10.764)</f>
        <v>522.51685199999997</v>
      </c>
      <c r="E149" s="40">
        <v>0</v>
      </c>
      <c r="F149" s="40">
        <f t="shared" ref="F149:F150" si="2">D149*(($F$145)+1)+(IF(E149&lt;101,E149,IF(E149&lt;201,E149/2,IF(E149&lt;=301,E149/3,E149/4))))</f>
        <v>783.77527799999996</v>
      </c>
      <c r="G149" s="163" t="str">
        <f>A148</f>
        <v>1st Floor For Residential (Part Podium)</v>
      </c>
      <c r="H149" s="164"/>
      <c r="I149" s="34">
        <f>2.75*4.55+2.75*2.75+3.05*2.75+1.2*2.2+1.8*1.2+1.8*3.2+2.8*0.9</f>
        <v>41.542500000000004</v>
      </c>
      <c r="J149" s="50"/>
      <c r="N149" s="34"/>
      <c r="O149" s="35">
        <f>5800*F149</f>
        <v>4545896.6124</v>
      </c>
    </row>
    <row r="150" spans="1:15" s="35" customFormat="1" ht="15.75" customHeight="1" x14ac:dyDescent="0.35">
      <c r="A150" s="124">
        <f>A149+1</f>
        <v>2</v>
      </c>
      <c r="B150" s="124"/>
      <c r="C150" s="40" t="s">
        <v>190</v>
      </c>
      <c r="D150" s="47">
        <f>(33.748+0.6*(2.85+2.1+2.75))*(10.764)</f>
        <v>412.9931519999999</v>
      </c>
      <c r="E150" s="40">
        <v>0</v>
      </c>
      <c r="F150" s="40">
        <f t="shared" si="2"/>
        <v>619.48972799999979</v>
      </c>
      <c r="G150" s="165"/>
      <c r="H150" s="166"/>
      <c r="I150" s="34"/>
      <c r="N150" s="34"/>
      <c r="O150" s="35">
        <f t="shared" ref="O150:O213" si="3">5800*F150</f>
        <v>3593040.4223999986</v>
      </c>
    </row>
    <row r="151" spans="1:15" s="35" customFormat="1" ht="15.75" customHeight="1" x14ac:dyDescent="0.35">
      <c r="A151" s="124">
        <f>A150+1</f>
        <v>3</v>
      </c>
      <c r="B151" s="124"/>
      <c r="C151" s="40" t="s">
        <v>190</v>
      </c>
      <c r="D151" s="47">
        <f>(33.748+0.6*(2.85+2.1+2.75))*(10.764)</f>
        <v>412.9931519999999</v>
      </c>
      <c r="E151" s="40">
        <v>0</v>
      </c>
      <c r="F151" s="40">
        <f>D151*(($F$145)+1)+(IF(E151&lt;101,E151,IF(E151&lt;201,E151/2,IF(E151&lt;=301,E151/3,E151/4))))</f>
        <v>619.48972799999979</v>
      </c>
      <c r="G151" s="165"/>
      <c r="H151" s="166"/>
      <c r="I151" s="34"/>
      <c r="N151" s="34"/>
      <c r="O151" s="35">
        <f t="shared" si="3"/>
        <v>3593040.4223999986</v>
      </c>
    </row>
    <row r="152" spans="1:15" s="35" customFormat="1" ht="15.75" customHeight="1" x14ac:dyDescent="0.35">
      <c r="A152" s="124">
        <f>A151+1</f>
        <v>4</v>
      </c>
      <c r="B152" s="124"/>
      <c r="C152" s="40" t="s">
        <v>190</v>
      </c>
      <c r="D152" s="47">
        <f>(33.748+0.6*(2.85+2.1+2.75))*(10.764)</f>
        <v>412.9931519999999</v>
      </c>
      <c r="E152" s="40">
        <v>0</v>
      </c>
      <c r="F152" s="40">
        <f>D152*(($F$145)+1)+(IF(E152&lt;101,E152,IF(E152&lt;201,E152/2,IF(E152&lt;=301,E152/3,E152/4))))</f>
        <v>619.48972799999979</v>
      </c>
      <c r="G152" s="165"/>
      <c r="H152" s="166"/>
      <c r="I152" s="34"/>
      <c r="J152" s="55" t="s">
        <v>212</v>
      </c>
      <c r="N152" s="34"/>
      <c r="O152" s="35">
        <f t="shared" si="3"/>
        <v>3593040.4223999986</v>
      </c>
    </row>
    <row r="153" spans="1:15" s="35" customFormat="1" ht="15.75" customHeight="1" x14ac:dyDescent="0.35">
      <c r="A153" s="124">
        <f>A152+1</f>
        <v>5</v>
      </c>
      <c r="B153" s="124"/>
      <c r="C153" s="40" t="s">
        <v>189</v>
      </c>
      <c r="D153" s="47">
        <f>(43.413+0.6*(2.75+2.75+3.05))*(10.764)</f>
        <v>522.51685199999997</v>
      </c>
      <c r="E153" s="40">
        <v>0</v>
      </c>
      <c r="F153" s="40">
        <f>D153*(($F$145)+1)+(IF(E153&lt;101,E153,IF(E153&lt;201,E153/2,IF(E153&lt;=301,E153/3,E153/4))))</f>
        <v>783.77527799999996</v>
      </c>
      <c r="G153" s="167"/>
      <c r="H153" s="168"/>
      <c r="I153" s="34"/>
      <c r="J153" s="60" t="s">
        <v>214</v>
      </c>
      <c r="N153" s="34"/>
      <c r="O153" s="35">
        <f t="shared" si="3"/>
        <v>4545896.6124</v>
      </c>
    </row>
    <row r="154" spans="1:15" s="35" customFormat="1" ht="15.75" customHeight="1" x14ac:dyDescent="0.35">
      <c r="A154" s="133" t="s">
        <v>191</v>
      </c>
      <c r="B154" s="134"/>
      <c r="C154" s="134"/>
      <c r="D154" s="134"/>
      <c r="E154" s="134"/>
      <c r="F154" s="134"/>
      <c r="G154" s="134"/>
      <c r="H154" s="135"/>
      <c r="I154" s="34"/>
      <c r="K154" s="54" t="s">
        <v>210</v>
      </c>
      <c r="M154" s="54" t="s">
        <v>211</v>
      </c>
      <c r="N154" s="35" t="s">
        <v>116</v>
      </c>
      <c r="O154" s="35">
        <f t="shared" si="3"/>
        <v>0</v>
      </c>
    </row>
    <row r="155" spans="1:15" s="35" customFormat="1" ht="15.75" customHeight="1" x14ac:dyDescent="0.35">
      <c r="A155" s="120">
        <v>1</v>
      </c>
      <c r="B155" s="121"/>
      <c r="C155" s="40" t="s">
        <v>189</v>
      </c>
      <c r="D155" s="47">
        <f>(43.412+0.75*(2.85+2.75+3.05))*(10.764)</f>
        <v>537.11821799999996</v>
      </c>
      <c r="E155" s="40">
        <v>0</v>
      </c>
      <c r="F155" s="40">
        <f t="shared" ref="F155:F164" si="4">D155*(($F$145)+1)+(IF(E155&lt;101,E155,IF(E155&lt;201,E155/2,IF(E155&lt;=301,E155/3,E155/4))))</f>
        <v>805.67732699999988</v>
      </c>
      <c r="G155" s="163" t="str">
        <f>A154</f>
        <v>2nd, 3rd, 4th, 5th, 6th, 7th, 9th,10th, 12th, 13th,14th Floor</v>
      </c>
      <c r="H155" s="164"/>
      <c r="I155" s="34"/>
      <c r="J155" s="50">
        <f>585/D159</f>
        <v>1.4164883779961566</v>
      </c>
      <c r="K155" s="52">
        <f>4352564/F157</f>
        <v>6820.7214711891693</v>
      </c>
      <c r="L155" s="52">
        <f>3550000/F174</f>
        <v>5247.7134500350312</v>
      </c>
      <c r="M155" s="52">
        <f>3700000/F164</f>
        <v>5469.4478211632722</v>
      </c>
      <c r="N155" s="34">
        <f>3820000/F157</f>
        <v>5986.1626434310037</v>
      </c>
      <c r="O155" s="35">
        <f t="shared" si="3"/>
        <v>4672928.4965999993</v>
      </c>
    </row>
    <row r="156" spans="1:15" s="35" customFormat="1" ht="15.75" customHeight="1" x14ac:dyDescent="0.35">
      <c r="A156" s="120">
        <v>2</v>
      </c>
      <c r="B156" s="121"/>
      <c r="C156" s="40" t="s">
        <v>189</v>
      </c>
      <c r="D156" s="47">
        <f>(43.412+0.6*(2.75+2.75+3.05))*(10.764)</f>
        <v>522.50608799999998</v>
      </c>
      <c r="E156" s="40">
        <v>0</v>
      </c>
      <c r="F156" s="40">
        <f t="shared" si="4"/>
        <v>783.75913199999991</v>
      </c>
      <c r="G156" s="165"/>
      <c r="H156" s="166"/>
      <c r="I156" s="34"/>
      <c r="J156" s="50">
        <f>645/D164</f>
        <v>1.4301866937771528</v>
      </c>
      <c r="K156" s="52">
        <f>4770608/F164</f>
        <v>7052.0517651956961</v>
      </c>
      <c r="M156" s="52">
        <f>4800000/F256</f>
        <v>4988.3759616248226</v>
      </c>
      <c r="O156" s="35">
        <f t="shared" si="3"/>
        <v>4545802.9655999998</v>
      </c>
    </row>
    <row r="157" spans="1:15" s="35" customFormat="1" ht="15.75" customHeight="1" x14ac:dyDescent="0.35">
      <c r="A157" s="120">
        <v>3</v>
      </c>
      <c r="B157" s="121"/>
      <c r="C157" s="40" t="s">
        <v>190</v>
      </c>
      <c r="D157" s="47">
        <f>(33.748+0.75*(2.85+2.1+2.75))*(10.764)</f>
        <v>425.42557199999993</v>
      </c>
      <c r="E157" s="40">
        <v>0</v>
      </c>
      <c r="F157" s="40">
        <f t="shared" si="4"/>
        <v>638.13835799999993</v>
      </c>
      <c r="G157" s="165"/>
      <c r="H157" s="166"/>
      <c r="I157" s="34"/>
      <c r="J157" s="50">
        <f>760/D162</f>
        <v>1.4215821929980836</v>
      </c>
      <c r="K157" s="52">
        <f>5747812/F161</f>
        <v>7333.6459702009579</v>
      </c>
      <c r="O157" s="35">
        <f t="shared" si="3"/>
        <v>3701202.4763999996</v>
      </c>
    </row>
    <row r="158" spans="1:15" s="35" customFormat="1" ht="15.75" customHeight="1" x14ac:dyDescent="0.35">
      <c r="A158" s="120">
        <v>4</v>
      </c>
      <c r="B158" s="121"/>
      <c r="C158" s="40" t="s">
        <v>190</v>
      </c>
      <c r="D158" s="47">
        <f>(33.748+0.6*(2.85+2.1+2.75))*(10.764)</f>
        <v>412.9931519999999</v>
      </c>
      <c r="E158" s="40">
        <v>0</v>
      </c>
      <c r="F158" s="40">
        <f t="shared" si="4"/>
        <v>619.48972799999979</v>
      </c>
      <c r="G158" s="165"/>
      <c r="H158" s="166"/>
      <c r="I158" s="34"/>
      <c r="J158" s="50">
        <f>840/D163</f>
        <v>1.4162187925314531</v>
      </c>
      <c r="K158" s="52">
        <f>6399964/F163</f>
        <v>7193.4518161307687</v>
      </c>
      <c r="O158" s="35">
        <f t="shared" si="3"/>
        <v>3593040.4223999986</v>
      </c>
    </row>
    <row r="159" spans="1:15" s="35" customFormat="1" ht="15.75" customHeight="1" x14ac:dyDescent="0.35">
      <c r="A159" s="120">
        <v>5</v>
      </c>
      <c r="B159" s="121"/>
      <c r="C159" s="40" t="s">
        <v>190</v>
      </c>
      <c r="D159" s="47">
        <f>(33.748+0.6*(2.85+2.1+2.75))*(10.764)</f>
        <v>412.9931519999999</v>
      </c>
      <c r="E159" s="40">
        <v>0</v>
      </c>
      <c r="F159" s="40">
        <f t="shared" si="4"/>
        <v>619.48972799999979</v>
      </c>
      <c r="G159" s="165"/>
      <c r="H159" s="166"/>
      <c r="I159" s="34"/>
      <c r="J159" s="49"/>
      <c r="K159" s="52">
        <f>7165510/F184</f>
        <v>7446.7203826629757</v>
      </c>
      <c r="O159" s="35">
        <f t="shared" si="3"/>
        <v>3593040.4223999986</v>
      </c>
    </row>
    <row r="160" spans="1:15" s="35" customFormat="1" x14ac:dyDescent="0.35">
      <c r="A160" s="120">
        <v>6</v>
      </c>
      <c r="B160" s="121"/>
      <c r="C160" s="40" t="s">
        <v>190</v>
      </c>
      <c r="D160" s="47">
        <f>(33.748+0.6*(2.85+2.1+2.75))*(10.764)</f>
        <v>412.9931519999999</v>
      </c>
      <c r="E160" s="40">
        <v>0</v>
      </c>
      <c r="F160" s="40">
        <f t="shared" si="4"/>
        <v>619.48972799999979</v>
      </c>
      <c r="G160" s="165"/>
      <c r="H160" s="166"/>
      <c r="I160" s="34">
        <f>2.85*4.55+2.1*3.05+2.75*3.05+1.5*1+1.2*0.3+1.2*1.725+0.75*0.925</f>
        <v>32.383749999999999</v>
      </c>
      <c r="J160" s="49"/>
      <c r="K160" s="53">
        <f>AVERAGE(K155:K159)</f>
        <v>7169.3182810759126</v>
      </c>
      <c r="O160" s="35">
        <f t="shared" si="3"/>
        <v>3593040.4223999986</v>
      </c>
    </row>
    <row r="161" spans="1:15" s="35" customFormat="1" x14ac:dyDescent="0.35">
      <c r="A161" s="120">
        <v>7</v>
      </c>
      <c r="B161" s="121"/>
      <c r="C161" s="40" t="s">
        <v>189</v>
      </c>
      <c r="D161" s="47">
        <f>(43.412+0.6*(2.75+2.75+3.05))*(10.764)</f>
        <v>522.50608799999998</v>
      </c>
      <c r="E161" s="40">
        <v>0</v>
      </c>
      <c r="F161" s="40">
        <f t="shared" si="4"/>
        <v>783.75913199999991</v>
      </c>
      <c r="G161" s="165"/>
      <c r="H161" s="166"/>
      <c r="I161" s="34"/>
      <c r="J161" s="49"/>
      <c r="O161" s="35">
        <f t="shared" si="3"/>
        <v>4545802.9655999998</v>
      </c>
    </row>
    <row r="162" spans="1:15" s="35" customFormat="1" ht="15.75" customHeight="1" x14ac:dyDescent="0.35">
      <c r="A162" s="120">
        <v>8</v>
      </c>
      <c r="B162" s="121"/>
      <c r="C162" s="40" t="s">
        <v>189</v>
      </c>
      <c r="D162" s="47">
        <f>(43.412+0.6*(2.75+2.75+3.05)+0.45*(1.5+1))*(10.764)</f>
        <v>534.615588</v>
      </c>
      <c r="E162" s="40">
        <v>0</v>
      </c>
      <c r="F162" s="40">
        <f t="shared" si="4"/>
        <v>801.92338199999995</v>
      </c>
      <c r="G162" s="165"/>
      <c r="H162" s="166"/>
      <c r="I162" s="34"/>
      <c r="J162" s="49"/>
      <c r="O162" s="35">
        <f t="shared" si="3"/>
        <v>4651155.6156000001</v>
      </c>
    </row>
    <row r="163" spans="1:15" s="35" customFormat="1" ht="15.75" customHeight="1" x14ac:dyDescent="0.35">
      <c r="A163" s="120">
        <v>9</v>
      </c>
      <c r="B163" s="121"/>
      <c r="C163" s="40" t="s">
        <v>189</v>
      </c>
      <c r="D163" s="47">
        <f>(48.803+0.6*(2.85+2.1+2.8+2.75))*(10.764)</f>
        <v>593.12869199999989</v>
      </c>
      <c r="E163" s="40">
        <v>0</v>
      </c>
      <c r="F163" s="40">
        <f t="shared" si="4"/>
        <v>889.69303799999989</v>
      </c>
      <c r="G163" s="165"/>
      <c r="H163" s="166"/>
      <c r="I163" s="34" t="s">
        <v>193</v>
      </c>
      <c r="J163" s="49"/>
      <c r="O163" s="35">
        <f t="shared" si="3"/>
        <v>5160219.6203999994</v>
      </c>
    </row>
    <row r="164" spans="1:15" s="35" customFormat="1" ht="15.75" customHeight="1" x14ac:dyDescent="0.35">
      <c r="A164" s="120">
        <v>10</v>
      </c>
      <c r="B164" s="121"/>
      <c r="C164" s="40" t="s">
        <v>190</v>
      </c>
      <c r="D164" s="47">
        <f>(37.248+0.6*(2.8+2.1+2.85))*(10.764)</f>
        <v>450.99007199999994</v>
      </c>
      <c r="E164" s="40">
        <v>0</v>
      </c>
      <c r="F164" s="40">
        <f t="shared" si="4"/>
        <v>676.48510799999985</v>
      </c>
      <c r="G164" s="167"/>
      <c r="H164" s="168"/>
      <c r="I164" s="34"/>
      <c r="J164" s="49"/>
      <c r="O164" s="35">
        <f t="shared" si="3"/>
        <v>3923613.626399999</v>
      </c>
    </row>
    <row r="165" spans="1:15" s="35" customFormat="1" x14ac:dyDescent="0.35">
      <c r="A165" s="139" t="s">
        <v>196</v>
      </c>
      <c r="B165" s="139"/>
      <c r="C165" s="139"/>
      <c r="D165" s="139"/>
      <c r="E165" s="139"/>
      <c r="F165" s="139"/>
      <c r="G165" s="139"/>
      <c r="H165" s="139"/>
      <c r="I165" s="34"/>
      <c r="O165" s="35">
        <f t="shared" si="3"/>
        <v>0</v>
      </c>
    </row>
    <row r="166" spans="1:15" s="35" customFormat="1" ht="15.75" customHeight="1" x14ac:dyDescent="0.35">
      <c r="A166" s="124">
        <v>1</v>
      </c>
      <c r="B166" s="124"/>
      <c r="C166" s="64" t="s">
        <v>189</v>
      </c>
      <c r="D166" s="47">
        <f>(43.412+0.6*(2.85+2.75+3.05))*(10.764)</f>
        <v>523.15192799999988</v>
      </c>
      <c r="E166" s="64">
        <v>0</v>
      </c>
      <c r="F166" s="64">
        <f t="shared" ref="F166:F174" si="5">D166*(($F$145)+1)+(IF(E166&lt;101,E166,IF(E166&lt;201,E166/2,IF(E166&lt;=301,E166/3,E166/4))))</f>
        <v>784.72789199999988</v>
      </c>
      <c r="G166" s="124" t="str">
        <f>A165</f>
        <v>8th &amp; 11th Floor (Part Refuge Area)</v>
      </c>
      <c r="H166" s="124"/>
      <c r="I166" s="51"/>
      <c r="O166" s="35">
        <f t="shared" si="3"/>
        <v>4551421.773599999</v>
      </c>
    </row>
    <row r="167" spans="1:15" s="35" customFormat="1" ht="15.75" customHeight="1" x14ac:dyDescent="0.35">
      <c r="A167" s="124">
        <v>2</v>
      </c>
      <c r="B167" s="124"/>
      <c r="C167" s="64" t="s">
        <v>190</v>
      </c>
      <c r="D167" s="47">
        <f>(33.748+0.6*(2.85+2.1+2.75))*(10.764)</f>
        <v>412.9931519999999</v>
      </c>
      <c r="E167" s="64">
        <v>0</v>
      </c>
      <c r="F167" s="64">
        <f t="shared" si="5"/>
        <v>619.48972799999979</v>
      </c>
      <c r="G167" s="124"/>
      <c r="H167" s="124"/>
      <c r="I167" s="34"/>
      <c r="O167" s="35">
        <f t="shared" si="3"/>
        <v>3593040.4223999986</v>
      </c>
    </row>
    <row r="168" spans="1:15" s="35" customFormat="1" ht="15.75" customHeight="1" x14ac:dyDescent="0.35">
      <c r="A168" s="124">
        <v>3</v>
      </c>
      <c r="B168" s="124"/>
      <c r="C168" s="64" t="s">
        <v>190</v>
      </c>
      <c r="D168" s="47">
        <f>(33.748+0.6*(2.85+2.1+2.75))*(10.764)</f>
        <v>412.9931519999999</v>
      </c>
      <c r="E168" s="64">
        <v>0</v>
      </c>
      <c r="F168" s="64">
        <f t="shared" si="5"/>
        <v>619.48972799999979</v>
      </c>
      <c r="G168" s="124"/>
      <c r="H168" s="124"/>
      <c r="I168" s="34"/>
      <c r="O168" s="35">
        <f t="shared" si="3"/>
        <v>3593040.4223999986</v>
      </c>
    </row>
    <row r="169" spans="1:15" s="35" customFormat="1" ht="15.75" customHeight="1" x14ac:dyDescent="0.35">
      <c r="A169" s="124">
        <v>4</v>
      </c>
      <c r="B169" s="124"/>
      <c r="C169" s="64" t="s">
        <v>190</v>
      </c>
      <c r="D169" s="47">
        <f>(33.748+0.6*(2.85+2.1+2.75))*(10.764)</f>
        <v>412.9931519999999</v>
      </c>
      <c r="E169" s="64">
        <v>0</v>
      </c>
      <c r="F169" s="64">
        <f t="shared" si="5"/>
        <v>619.48972799999979</v>
      </c>
      <c r="G169" s="124"/>
      <c r="H169" s="124"/>
      <c r="I169" s="34"/>
      <c r="O169" s="35">
        <f t="shared" si="3"/>
        <v>3593040.4223999986</v>
      </c>
    </row>
    <row r="170" spans="1:15" s="35" customFormat="1" ht="15.75" customHeight="1" x14ac:dyDescent="0.35">
      <c r="A170" s="124">
        <v>5</v>
      </c>
      <c r="B170" s="124"/>
      <c r="C170" s="64" t="s">
        <v>190</v>
      </c>
      <c r="D170" s="47">
        <f>(33.748+0.6*(2.85+2.1+2.75))*(10.764)</f>
        <v>412.9931519999999</v>
      </c>
      <c r="E170" s="64">
        <v>0</v>
      </c>
      <c r="F170" s="64">
        <f t="shared" si="5"/>
        <v>619.48972799999979</v>
      </c>
      <c r="G170" s="124"/>
      <c r="H170" s="124"/>
      <c r="I170" s="34"/>
      <c r="J170" s="35">
        <f>3750000/F169</f>
        <v>6053.3691367357123</v>
      </c>
      <c r="O170" s="35">
        <f t="shared" si="3"/>
        <v>3593040.4223999986</v>
      </c>
    </row>
    <row r="171" spans="1:15" s="35" customFormat="1" ht="15.75" customHeight="1" x14ac:dyDescent="0.35">
      <c r="A171" s="124">
        <v>6</v>
      </c>
      <c r="B171" s="124"/>
      <c r="C171" s="64" t="s">
        <v>189</v>
      </c>
      <c r="D171" s="47">
        <f>(43.412+0.6*(2.75+2.75+3.05+1.2))*(10.764)</f>
        <v>530.256168</v>
      </c>
      <c r="E171" s="64">
        <v>0</v>
      </c>
      <c r="F171" s="64">
        <f t="shared" si="5"/>
        <v>795.38425200000006</v>
      </c>
      <c r="G171" s="124"/>
      <c r="H171" s="124"/>
      <c r="I171" s="34"/>
      <c r="O171" s="35">
        <f t="shared" si="3"/>
        <v>4613228.6616000002</v>
      </c>
    </row>
    <row r="172" spans="1:15" s="35" customFormat="1" ht="15.75" customHeight="1" x14ac:dyDescent="0.35">
      <c r="A172" s="124">
        <v>7</v>
      </c>
      <c r="B172" s="124"/>
      <c r="C172" s="64" t="s">
        <v>189</v>
      </c>
      <c r="D172" s="47">
        <f>(43.412+0.6*(2.75+2.75+3.05)+0.45*(1.5+1))*(10.764)</f>
        <v>534.615588</v>
      </c>
      <c r="E172" s="64">
        <v>0</v>
      </c>
      <c r="F172" s="64">
        <f t="shared" si="5"/>
        <v>801.92338199999995</v>
      </c>
      <c r="G172" s="124"/>
      <c r="H172" s="124"/>
      <c r="I172" s="34"/>
      <c r="O172" s="35">
        <f t="shared" si="3"/>
        <v>4651155.6156000001</v>
      </c>
    </row>
    <row r="173" spans="1:15" s="35" customFormat="1" ht="15.75" customHeight="1" x14ac:dyDescent="0.35">
      <c r="A173" s="124">
        <v>8</v>
      </c>
      <c r="B173" s="124"/>
      <c r="C173" s="64" t="s">
        <v>189</v>
      </c>
      <c r="D173" s="47">
        <f>(48.803+0.6*(2.85+2.1+2.8+2.75))*(10.764)</f>
        <v>593.12869199999989</v>
      </c>
      <c r="E173" s="64">
        <v>0</v>
      </c>
      <c r="F173" s="64">
        <f t="shared" si="5"/>
        <v>889.69303799999989</v>
      </c>
      <c r="G173" s="124"/>
      <c r="H173" s="124"/>
      <c r="I173" s="34"/>
      <c r="O173" s="35">
        <f t="shared" si="3"/>
        <v>5160219.6203999994</v>
      </c>
    </row>
    <row r="174" spans="1:15" s="35" customFormat="1" ht="15.75" customHeight="1" x14ac:dyDescent="0.35">
      <c r="A174" s="124">
        <v>9</v>
      </c>
      <c r="B174" s="124"/>
      <c r="C174" s="64" t="s">
        <v>190</v>
      </c>
      <c r="D174" s="47">
        <f>(37.248+0.6*(2.85+2.1+2.8))*(10.764)</f>
        <v>450.99007199999994</v>
      </c>
      <c r="E174" s="64">
        <v>0</v>
      </c>
      <c r="F174" s="64">
        <f t="shared" si="5"/>
        <v>676.48510799999985</v>
      </c>
      <c r="G174" s="124"/>
      <c r="H174" s="124"/>
      <c r="I174" s="34"/>
      <c r="O174" s="35">
        <f t="shared" si="3"/>
        <v>3923613.626399999</v>
      </c>
    </row>
    <row r="175" spans="1:15" s="35" customFormat="1" x14ac:dyDescent="0.35">
      <c r="A175" s="139" t="s">
        <v>194</v>
      </c>
      <c r="B175" s="139"/>
      <c r="C175" s="139"/>
      <c r="D175" s="139"/>
      <c r="E175" s="139"/>
      <c r="F175" s="139"/>
      <c r="G175" s="139"/>
      <c r="H175" s="139"/>
      <c r="I175" s="34"/>
      <c r="O175" s="35">
        <f t="shared" si="3"/>
        <v>0</v>
      </c>
    </row>
    <row r="176" spans="1:15" s="35" customFormat="1" x14ac:dyDescent="0.35">
      <c r="A176" s="133" t="s">
        <v>187</v>
      </c>
      <c r="B176" s="134"/>
      <c r="C176" s="134"/>
      <c r="D176" s="134"/>
      <c r="E176" s="134"/>
      <c r="F176" s="134"/>
      <c r="G176" s="134"/>
      <c r="H176" s="135"/>
      <c r="I176" s="34"/>
      <c r="O176" s="35">
        <f t="shared" si="3"/>
        <v>0</v>
      </c>
    </row>
    <row r="177" spans="1:15" s="35" customFormat="1" x14ac:dyDescent="0.35">
      <c r="A177" s="139" t="s">
        <v>195</v>
      </c>
      <c r="B177" s="139"/>
      <c r="C177" s="139"/>
      <c r="D177" s="139"/>
      <c r="E177" s="139"/>
      <c r="F177" s="139"/>
      <c r="G177" s="139"/>
      <c r="H177" s="139"/>
      <c r="I177" s="34"/>
      <c r="L177" s="162"/>
      <c r="M177" s="162"/>
      <c r="O177" s="35">
        <f t="shared" si="3"/>
        <v>0</v>
      </c>
    </row>
    <row r="178" spans="1:15" s="35" customFormat="1" ht="15.75" customHeight="1" x14ac:dyDescent="0.35">
      <c r="A178" s="124">
        <v>1</v>
      </c>
      <c r="B178" s="124"/>
      <c r="C178" s="40" t="s">
        <v>189</v>
      </c>
      <c r="D178" s="47">
        <f>(43.412+0.6*(2.75+2.75+3.05)+0.45*(1.7+1))*(10.764)</f>
        <v>535.58434799999998</v>
      </c>
      <c r="E178" s="40">
        <v>0</v>
      </c>
      <c r="F178" s="40">
        <f t="shared" ref="F178:F179" si="6">D178*(($F$145)+1)+(IF(E178&lt;101,E178,IF(E178&lt;201,E178/2,IF(E178&lt;=301,E178/3,E178/4))))</f>
        <v>803.37652200000002</v>
      </c>
      <c r="G178" s="163" t="str">
        <f>A177</f>
        <v>1st Floor For Residential &amp; Podium</v>
      </c>
      <c r="H178" s="164"/>
      <c r="I178" s="34"/>
      <c r="N178" s="34"/>
      <c r="O178" s="35">
        <f t="shared" si="3"/>
        <v>4659583.8276000004</v>
      </c>
    </row>
    <row r="179" spans="1:15" s="35" customFormat="1" ht="15.75" customHeight="1" x14ac:dyDescent="0.35">
      <c r="A179" s="124">
        <f>A178+1</f>
        <v>2</v>
      </c>
      <c r="B179" s="124"/>
      <c r="C179" s="40" t="s">
        <v>190</v>
      </c>
      <c r="D179" s="47">
        <f>(36.79+0.6*(2.85+2.1+2.8))*(10.764)</f>
        <v>446.06015999999994</v>
      </c>
      <c r="E179" s="40">
        <v>0</v>
      </c>
      <c r="F179" s="40">
        <f t="shared" si="6"/>
        <v>669.09023999999988</v>
      </c>
      <c r="G179" s="165"/>
      <c r="H179" s="166"/>
      <c r="I179" s="34">
        <f>2.75*4.55+1.8*3.2+1.8*1.2+2.75*2.75+3.05*2.75+2.8*0.9+1.2*2.2</f>
        <v>41.542500000000004</v>
      </c>
      <c r="J179" s="34"/>
      <c r="N179" s="34"/>
      <c r="O179" s="35">
        <f t="shared" si="3"/>
        <v>3880723.3919999995</v>
      </c>
    </row>
    <row r="180" spans="1:15" s="35" customFormat="1" ht="15.75" customHeight="1" x14ac:dyDescent="0.35">
      <c r="A180" s="124">
        <f>A179+1</f>
        <v>3</v>
      </c>
      <c r="B180" s="124"/>
      <c r="C180" s="40" t="s">
        <v>190</v>
      </c>
      <c r="D180" s="47">
        <f>(36.79+0.6*(2.85+2.1+2.8))*(10.764)</f>
        <v>446.06015999999994</v>
      </c>
      <c r="E180" s="40">
        <v>0</v>
      </c>
      <c r="F180" s="40">
        <f>D180*(($F$145)+1)+(IF(E180&lt;101,E180,IF(E180&lt;201,E180/2,IF(E180&lt;=301,E180/3,E180/4))))</f>
        <v>669.09023999999988</v>
      </c>
      <c r="G180" s="165"/>
      <c r="H180" s="166"/>
      <c r="I180" s="34"/>
      <c r="N180" s="34"/>
      <c r="O180" s="35">
        <f t="shared" si="3"/>
        <v>3880723.3919999995</v>
      </c>
    </row>
    <row r="181" spans="1:15" s="35" customFormat="1" ht="15.75" customHeight="1" x14ac:dyDescent="0.35">
      <c r="A181" s="124">
        <f>A180+1</f>
        <v>4</v>
      </c>
      <c r="B181" s="124"/>
      <c r="C181" s="40" t="s">
        <v>189</v>
      </c>
      <c r="D181" s="47">
        <f>(48.803+0.6*(2.85+2.1+2.8+2.75))*(10.764)</f>
        <v>593.12869199999989</v>
      </c>
      <c r="E181" s="40">
        <v>0</v>
      </c>
      <c r="F181" s="40">
        <f>D181*(($F$145)+1)+(IF(E181&lt;101,E181,IF(E181&lt;201,E181/2,IF(E181&lt;=301,E181/3,E181/4))))</f>
        <v>889.69303799999989</v>
      </c>
      <c r="G181" s="165"/>
      <c r="H181" s="166"/>
      <c r="I181" s="34"/>
      <c r="N181" s="34"/>
      <c r="O181" s="35">
        <f t="shared" si="3"/>
        <v>5160219.6203999994</v>
      </c>
    </row>
    <row r="182" spans="1:15" s="35" customFormat="1" ht="15.75" customHeight="1" x14ac:dyDescent="0.35">
      <c r="A182" s="124">
        <f>A181+1</f>
        <v>5</v>
      </c>
      <c r="B182" s="124"/>
      <c r="C182" s="40" t="s">
        <v>189</v>
      </c>
      <c r="D182" s="47">
        <f>(47.994+0.6*(2.85+2.1+2.8+2.75))*(10.764)</f>
        <v>584.42061599999988</v>
      </c>
      <c r="E182" s="40">
        <v>0</v>
      </c>
      <c r="F182" s="40">
        <f>D182*(($F$145)+1)+(IF(E182&lt;101,E182,IF(E182&lt;201,E182/2,IF(E182&lt;=301,E182/3,E182/4))))</f>
        <v>876.63092399999982</v>
      </c>
      <c r="G182" s="167"/>
      <c r="H182" s="168"/>
      <c r="I182" s="34"/>
      <c r="N182" s="34"/>
      <c r="O182" s="35">
        <f t="shared" si="3"/>
        <v>5084459.3591999989</v>
      </c>
    </row>
    <row r="183" spans="1:15" s="35" customFormat="1" ht="15.75" customHeight="1" x14ac:dyDescent="0.35">
      <c r="A183" s="133" t="s">
        <v>191</v>
      </c>
      <c r="B183" s="134"/>
      <c r="C183" s="134"/>
      <c r="D183" s="134"/>
      <c r="E183" s="134"/>
      <c r="F183" s="134"/>
      <c r="G183" s="134"/>
      <c r="H183" s="135"/>
      <c r="I183" s="34"/>
      <c r="O183" s="35">
        <f t="shared" si="3"/>
        <v>0</v>
      </c>
    </row>
    <row r="184" spans="1:15" s="35" customFormat="1" ht="15.75" customHeight="1" x14ac:dyDescent="0.35">
      <c r="A184" s="120">
        <v>1</v>
      </c>
      <c r="B184" s="121"/>
      <c r="C184" s="40" t="s">
        <v>189</v>
      </c>
      <c r="D184" s="47">
        <f>(52.156+0.6*(2.1+3.05+2.75)+2.7)*(10.764)</f>
        <v>641.49134400000003</v>
      </c>
      <c r="E184" s="40">
        <v>0</v>
      </c>
      <c r="F184" s="40">
        <f t="shared" ref="F184:F192" si="7">D184*(($F$145)+1)+(IF(E184&lt;101,E184,IF(E184&lt;201,E184/2,IF(E184&lt;=301,E184/3,E184/4))))</f>
        <v>962.23701600000004</v>
      </c>
      <c r="G184" s="163" t="str">
        <f>A183</f>
        <v>2nd, 3rd, 4th, 5th, 6th, 7th, 9th,10th, 12th, 13th,14th Floor</v>
      </c>
      <c r="H184" s="164"/>
      <c r="I184" s="49">
        <f>2.75*4.55+0.85*2.425+2.1*3.775+3.05*2.775+2.75*3.775+2.25*0.9+2.05*1.2+0.9*1.65+1.2*0.5+1.2*1.8</f>
        <v>50.076250000000002</v>
      </c>
      <c r="J184" s="35">
        <f>0.6*(2.75+3.05+2.1)</f>
        <v>4.74</v>
      </c>
      <c r="K184" s="35">
        <f>2.7*1</f>
        <v>2.7</v>
      </c>
      <c r="O184" s="35">
        <f t="shared" si="3"/>
        <v>5580974.6928000003</v>
      </c>
    </row>
    <row r="185" spans="1:15" s="35" customFormat="1" ht="15.75" customHeight="1" x14ac:dyDescent="0.35">
      <c r="A185" s="120">
        <v>2</v>
      </c>
      <c r="B185" s="121"/>
      <c r="C185" s="40" t="s">
        <v>189</v>
      </c>
      <c r="D185" s="47">
        <f>(52.156+0.6*(2.1+3.05+2.75)+2.7)*(10.764)</f>
        <v>641.49134400000003</v>
      </c>
      <c r="E185" s="40">
        <v>0</v>
      </c>
      <c r="F185" s="40">
        <f t="shared" si="7"/>
        <v>962.23701600000004</v>
      </c>
      <c r="G185" s="165"/>
      <c r="H185" s="166"/>
      <c r="I185" s="34"/>
      <c r="O185" s="35">
        <f t="shared" si="3"/>
        <v>5580974.6928000003</v>
      </c>
    </row>
    <row r="186" spans="1:15" s="35" customFormat="1" ht="15.75" customHeight="1" x14ac:dyDescent="0.35">
      <c r="A186" s="120">
        <v>3</v>
      </c>
      <c r="B186" s="121"/>
      <c r="C186" s="40" t="s">
        <v>189</v>
      </c>
      <c r="D186" s="47">
        <f>(43.412+0.6*(2.75+2.75+3.05)+0.45*(1.7+1))*(10.764)</f>
        <v>535.58434799999998</v>
      </c>
      <c r="E186" s="40">
        <v>0</v>
      </c>
      <c r="F186" s="40">
        <f t="shared" si="7"/>
        <v>803.37652200000002</v>
      </c>
      <c r="G186" s="165"/>
      <c r="H186" s="166"/>
      <c r="I186" s="34"/>
      <c r="O186" s="35">
        <f t="shared" si="3"/>
        <v>4659583.8276000004</v>
      </c>
    </row>
    <row r="187" spans="1:15" s="35" customFormat="1" ht="15.75" customHeight="1" x14ac:dyDescent="0.35">
      <c r="A187" s="120">
        <v>4</v>
      </c>
      <c r="B187" s="121"/>
      <c r="C187" s="40" t="s">
        <v>190</v>
      </c>
      <c r="D187" s="47">
        <f>(36.79+0.6*(2.85+2.1+2.8))*(10.764)</f>
        <v>446.06015999999994</v>
      </c>
      <c r="E187" s="40">
        <v>0</v>
      </c>
      <c r="F187" s="40">
        <f t="shared" si="7"/>
        <v>669.09023999999988</v>
      </c>
      <c r="G187" s="165"/>
      <c r="H187" s="166"/>
      <c r="I187" s="34"/>
      <c r="L187" s="35" t="s">
        <v>192</v>
      </c>
      <c r="O187" s="35">
        <f t="shared" si="3"/>
        <v>3880723.3919999995</v>
      </c>
    </row>
    <row r="188" spans="1:15" s="35" customFormat="1" ht="15.75" customHeight="1" x14ac:dyDescent="0.35">
      <c r="A188" s="120">
        <v>5</v>
      </c>
      <c r="B188" s="121"/>
      <c r="C188" s="40" t="s">
        <v>190</v>
      </c>
      <c r="D188" s="47">
        <f>(36.79+0.6*(2.85+2.1+2.8))*(10.764)</f>
        <v>446.06015999999994</v>
      </c>
      <c r="E188" s="40">
        <v>0</v>
      </c>
      <c r="F188" s="40">
        <f t="shared" si="7"/>
        <v>669.09023999999988</v>
      </c>
      <c r="G188" s="165"/>
      <c r="H188" s="166"/>
      <c r="I188" s="34"/>
      <c r="O188" s="35">
        <f t="shared" si="3"/>
        <v>3880723.3919999995</v>
      </c>
    </row>
    <row r="189" spans="1:15" s="35" customFormat="1" ht="15.75" customHeight="1" x14ac:dyDescent="0.35">
      <c r="A189" s="120">
        <v>6</v>
      </c>
      <c r="B189" s="121"/>
      <c r="C189" s="40" t="s">
        <v>190</v>
      </c>
      <c r="D189" s="47">
        <f>(37.248+0.6*(2.85+2.1+2.8))*(10.764)</f>
        <v>450.99007199999994</v>
      </c>
      <c r="E189" s="40">
        <v>0</v>
      </c>
      <c r="F189" s="40">
        <f t="shared" si="7"/>
        <v>676.48510799999985</v>
      </c>
      <c r="G189" s="165"/>
      <c r="H189" s="166"/>
      <c r="I189" s="34"/>
      <c r="L189" s="35" t="s">
        <v>192</v>
      </c>
      <c r="O189" s="35">
        <f t="shared" si="3"/>
        <v>3923613.626399999</v>
      </c>
    </row>
    <row r="190" spans="1:15" s="35" customFormat="1" ht="15.75" customHeight="1" x14ac:dyDescent="0.35">
      <c r="A190" s="120">
        <v>7</v>
      </c>
      <c r="B190" s="121"/>
      <c r="C190" s="40" t="s">
        <v>189</v>
      </c>
      <c r="D190" s="47">
        <f>(48.803+0.6*(2.85+2.1+2.8+2.75))*(10.764)</f>
        <v>593.12869199999989</v>
      </c>
      <c r="E190" s="40">
        <v>0</v>
      </c>
      <c r="F190" s="40">
        <f t="shared" si="7"/>
        <v>889.69303799999989</v>
      </c>
      <c r="G190" s="165"/>
      <c r="H190" s="166"/>
      <c r="I190" s="34"/>
      <c r="O190" s="35">
        <f t="shared" si="3"/>
        <v>5160219.6203999994</v>
      </c>
    </row>
    <row r="191" spans="1:15" s="35" customFormat="1" ht="15.75" customHeight="1" x14ac:dyDescent="0.35">
      <c r="A191" s="120">
        <v>8</v>
      </c>
      <c r="B191" s="121"/>
      <c r="C191" s="40" t="s">
        <v>189</v>
      </c>
      <c r="D191" s="47">
        <f>(47.994+0.6*(2.85+2.1+2.8+2.75))*(10.764)</f>
        <v>584.42061599999988</v>
      </c>
      <c r="E191" s="40">
        <v>0</v>
      </c>
      <c r="F191" s="40">
        <f t="shared" si="7"/>
        <v>876.63092399999982</v>
      </c>
      <c r="G191" s="165"/>
      <c r="H191" s="166"/>
      <c r="I191" s="34"/>
      <c r="L191" s="35" t="s">
        <v>192</v>
      </c>
      <c r="O191" s="35">
        <f t="shared" si="3"/>
        <v>5084459.3591999989</v>
      </c>
    </row>
    <row r="192" spans="1:15" s="35" customFormat="1" ht="15.75" customHeight="1" x14ac:dyDescent="0.35">
      <c r="A192" s="120">
        <v>9</v>
      </c>
      <c r="B192" s="121"/>
      <c r="C192" s="40" t="s">
        <v>189</v>
      </c>
      <c r="D192" s="47">
        <f>(43.412+0.6*(2.85+2.75+3.05)+0.45*(1.5+1))*(10.764)</f>
        <v>535.26142799999991</v>
      </c>
      <c r="E192" s="40">
        <v>0</v>
      </c>
      <c r="F192" s="40">
        <f t="shared" si="7"/>
        <v>802.89214199999992</v>
      </c>
      <c r="G192" s="167"/>
      <c r="H192" s="168"/>
      <c r="I192" s="34"/>
      <c r="J192" s="50">
        <f>0.6*(2.75+2.75+3.05)+0.45*(1.5+1)</f>
        <v>6.2549999999999999</v>
      </c>
      <c r="K192" s="50"/>
      <c r="O192" s="35">
        <f t="shared" si="3"/>
        <v>4656774.4235999994</v>
      </c>
    </row>
    <row r="193" spans="1:15" s="35" customFormat="1" x14ac:dyDescent="0.35">
      <c r="A193" s="133" t="s">
        <v>196</v>
      </c>
      <c r="B193" s="134"/>
      <c r="C193" s="134"/>
      <c r="D193" s="134"/>
      <c r="E193" s="134"/>
      <c r="F193" s="134"/>
      <c r="G193" s="134"/>
      <c r="H193" s="135"/>
      <c r="I193" s="34"/>
      <c r="O193" s="35">
        <f t="shared" si="3"/>
        <v>0</v>
      </c>
    </row>
    <row r="194" spans="1:15" s="35" customFormat="1" ht="15.75" customHeight="1" x14ac:dyDescent="0.35">
      <c r="A194" s="120">
        <v>1</v>
      </c>
      <c r="B194" s="121"/>
      <c r="C194" s="40" t="s">
        <v>189</v>
      </c>
      <c r="D194" s="47">
        <f>(52.156+0.6*(2.1+3.05+2.75)+2.7)*(10.764)</f>
        <v>641.49134400000003</v>
      </c>
      <c r="E194" s="40">
        <v>0</v>
      </c>
      <c r="F194" s="40">
        <f t="shared" ref="F194:F201" si="8">D194*(($F$145)+1)+(IF(E194&lt;101,E194,IF(E194&lt;201,E194/2,IF(E194&lt;=301,E194/3,E194/4))))</f>
        <v>962.23701600000004</v>
      </c>
      <c r="G194" s="163" t="str">
        <f>A193</f>
        <v>8th &amp; 11th Floor (Part Refuge Area)</v>
      </c>
      <c r="H194" s="164"/>
      <c r="I194" s="34"/>
      <c r="O194" s="35">
        <f t="shared" si="3"/>
        <v>5580974.6928000003</v>
      </c>
    </row>
    <row r="195" spans="1:15" s="35" customFormat="1" ht="15.75" customHeight="1" x14ac:dyDescent="0.35">
      <c r="A195" s="120">
        <v>2</v>
      </c>
      <c r="B195" s="121"/>
      <c r="C195" s="40" t="s">
        <v>189</v>
      </c>
      <c r="D195" s="47">
        <f>(52.156+0.6*(2.1+3.05+2.75)+2.7)*(10.764)</f>
        <v>641.49134400000003</v>
      </c>
      <c r="E195" s="40">
        <v>0</v>
      </c>
      <c r="F195" s="40">
        <f t="shared" si="8"/>
        <v>962.23701600000004</v>
      </c>
      <c r="G195" s="165"/>
      <c r="H195" s="166"/>
      <c r="I195" s="34"/>
      <c r="O195" s="35">
        <f t="shared" si="3"/>
        <v>5580974.6928000003</v>
      </c>
    </row>
    <row r="196" spans="1:15" s="35" customFormat="1" ht="15.75" customHeight="1" x14ac:dyDescent="0.35">
      <c r="A196" s="120">
        <v>3</v>
      </c>
      <c r="B196" s="121"/>
      <c r="C196" s="40" t="s">
        <v>189</v>
      </c>
      <c r="D196" s="47">
        <f>(43.412+0.6*(2.75+2.75+3.05)+0.45*(1.7*1))*(10.764)</f>
        <v>530.74054799999999</v>
      </c>
      <c r="E196" s="40">
        <v>0</v>
      </c>
      <c r="F196" s="40">
        <f t="shared" si="8"/>
        <v>796.11082199999998</v>
      </c>
      <c r="G196" s="165"/>
      <c r="H196" s="166"/>
      <c r="I196" s="34"/>
      <c r="O196" s="35">
        <f t="shared" si="3"/>
        <v>4617442.7675999999</v>
      </c>
    </row>
    <row r="197" spans="1:15" s="35" customFormat="1" ht="15.75" customHeight="1" x14ac:dyDescent="0.35">
      <c r="A197" s="120">
        <v>4</v>
      </c>
      <c r="B197" s="121"/>
      <c r="C197" s="40" t="s">
        <v>190</v>
      </c>
      <c r="D197" s="47">
        <f>(36.79+0.6*(2.85+2.1+2.8))*(10.764)</f>
        <v>446.06015999999994</v>
      </c>
      <c r="E197" s="40">
        <v>0</v>
      </c>
      <c r="F197" s="40">
        <f t="shared" si="8"/>
        <v>669.09023999999988</v>
      </c>
      <c r="G197" s="165"/>
      <c r="H197" s="166"/>
      <c r="I197" s="34"/>
      <c r="O197" s="35">
        <f t="shared" si="3"/>
        <v>3880723.3919999995</v>
      </c>
    </row>
    <row r="198" spans="1:15" s="35" customFormat="1" ht="15.75" customHeight="1" x14ac:dyDescent="0.35">
      <c r="A198" s="120">
        <v>5</v>
      </c>
      <c r="B198" s="121"/>
      <c r="C198" s="40" t="s">
        <v>190</v>
      </c>
      <c r="D198" s="47">
        <f>(36.79+0.6*(2.85+2.1+2.8))*(10.764)</f>
        <v>446.06015999999994</v>
      </c>
      <c r="E198" s="40">
        <v>0</v>
      </c>
      <c r="F198" s="40">
        <f t="shared" si="8"/>
        <v>669.09023999999988</v>
      </c>
      <c r="G198" s="165"/>
      <c r="H198" s="166"/>
      <c r="I198" s="34"/>
      <c r="O198" s="35">
        <f t="shared" si="3"/>
        <v>3880723.3919999995</v>
      </c>
    </row>
    <row r="199" spans="1:15" s="35" customFormat="1" ht="15.75" customHeight="1" x14ac:dyDescent="0.35">
      <c r="A199" s="120">
        <v>6</v>
      </c>
      <c r="B199" s="121"/>
      <c r="C199" s="40" t="s">
        <v>190</v>
      </c>
      <c r="D199" s="47">
        <f>(37.248+0.6*(2.85+2.1+2.8))*(10.764)</f>
        <v>450.99007199999994</v>
      </c>
      <c r="E199" s="40">
        <v>0</v>
      </c>
      <c r="F199" s="40">
        <f t="shared" si="8"/>
        <v>676.48510799999985</v>
      </c>
      <c r="G199" s="165"/>
      <c r="H199" s="166"/>
      <c r="I199" s="34"/>
      <c r="O199" s="35">
        <f t="shared" si="3"/>
        <v>3923613.626399999</v>
      </c>
    </row>
    <row r="200" spans="1:15" s="35" customFormat="1" ht="15.75" customHeight="1" x14ac:dyDescent="0.35">
      <c r="A200" s="120">
        <v>7</v>
      </c>
      <c r="B200" s="121"/>
      <c r="C200" s="40" t="s">
        <v>189</v>
      </c>
      <c r="D200" s="47">
        <f>(48.803+0.6*(2.85+2.1+2.8+2.75))*(10.764)</f>
        <v>593.12869199999989</v>
      </c>
      <c r="E200" s="40">
        <v>0</v>
      </c>
      <c r="F200" s="40">
        <f t="shared" si="8"/>
        <v>889.69303799999989</v>
      </c>
      <c r="G200" s="165"/>
      <c r="H200" s="166"/>
      <c r="I200" s="34"/>
      <c r="O200" s="35">
        <f t="shared" si="3"/>
        <v>5160219.6203999994</v>
      </c>
    </row>
    <row r="201" spans="1:15" s="35" customFormat="1" ht="15.75" customHeight="1" x14ac:dyDescent="0.35">
      <c r="A201" s="120">
        <v>8</v>
      </c>
      <c r="B201" s="121"/>
      <c r="C201" s="40" t="s">
        <v>189</v>
      </c>
      <c r="D201" s="47">
        <f>(43.412+0.6*(2.75+2.75+3.05)+0.45*(1.5*1))*(10.764)</f>
        <v>529.7717879999999</v>
      </c>
      <c r="E201" s="40">
        <v>0</v>
      </c>
      <c r="F201" s="40">
        <f t="shared" si="8"/>
        <v>794.6576819999998</v>
      </c>
      <c r="G201" s="165"/>
      <c r="H201" s="166"/>
      <c r="I201" s="34"/>
      <c r="O201" s="35">
        <f t="shared" si="3"/>
        <v>4609014.5555999987</v>
      </c>
    </row>
    <row r="202" spans="1:15" s="35" customFormat="1" x14ac:dyDescent="0.35">
      <c r="A202" s="133" t="s">
        <v>197</v>
      </c>
      <c r="B202" s="134"/>
      <c r="C202" s="134"/>
      <c r="D202" s="134"/>
      <c r="E202" s="134"/>
      <c r="F202" s="134"/>
      <c r="G202" s="134"/>
      <c r="H202" s="135"/>
      <c r="I202" s="34"/>
      <c r="O202" s="35">
        <f t="shared" si="3"/>
        <v>0</v>
      </c>
    </row>
    <row r="203" spans="1:15" s="35" customFormat="1" x14ac:dyDescent="0.35">
      <c r="A203" s="133" t="s">
        <v>187</v>
      </c>
      <c r="B203" s="134"/>
      <c r="C203" s="134"/>
      <c r="D203" s="134"/>
      <c r="E203" s="134"/>
      <c r="F203" s="134"/>
      <c r="G203" s="134"/>
      <c r="H203" s="135"/>
      <c r="I203" s="34"/>
      <c r="O203" s="35">
        <f t="shared" si="3"/>
        <v>0</v>
      </c>
    </row>
    <row r="204" spans="1:15" s="35" customFormat="1" x14ac:dyDescent="0.35">
      <c r="A204" s="139" t="s">
        <v>195</v>
      </c>
      <c r="B204" s="139"/>
      <c r="C204" s="139"/>
      <c r="D204" s="139"/>
      <c r="E204" s="139"/>
      <c r="F204" s="139"/>
      <c r="G204" s="139"/>
      <c r="H204" s="139"/>
      <c r="I204" s="34"/>
      <c r="L204" s="162"/>
      <c r="M204" s="162"/>
      <c r="O204" s="35">
        <f t="shared" si="3"/>
        <v>0</v>
      </c>
    </row>
    <row r="205" spans="1:15" s="35" customFormat="1" ht="15.75" customHeight="1" x14ac:dyDescent="0.35">
      <c r="A205" s="124">
        <v>1</v>
      </c>
      <c r="B205" s="124"/>
      <c r="C205" s="40" t="s">
        <v>189</v>
      </c>
      <c r="D205" s="47">
        <f>(52.156+0.6*(2.1+3.05+2.75)+2.7)*(10.764)</f>
        <v>641.49134400000003</v>
      </c>
      <c r="E205" s="40">
        <v>0</v>
      </c>
      <c r="F205" s="40">
        <f t="shared" ref="F205:F206" si="9">D205*(($F$145)+1)+(IF(E205&lt;101,E205,IF(E205&lt;201,E205/2,IF(E205&lt;=301,E205/3,E205/4))))</f>
        <v>962.23701600000004</v>
      </c>
      <c r="G205" s="163" t="str">
        <f>A204</f>
        <v>1st Floor For Residential &amp; Podium</v>
      </c>
      <c r="H205" s="164"/>
      <c r="I205" s="34"/>
      <c r="N205" s="34"/>
      <c r="O205" s="35">
        <f t="shared" si="3"/>
        <v>5580974.6928000003</v>
      </c>
    </row>
    <row r="206" spans="1:15" s="35" customFormat="1" ht="15.75" customHeight="1" x14ac:dyDescent="0.35">
      <c r="A206" s="124">
        <f>A205+1</f>
        <v>2</v>
      </c>
      <c r="B206" s="124"/>
      <c r="C206" s="40" t="s">
        <v>189</v>
      </c>
      <c r="D206" s="47">
        <f>(52.156+0.6*(2.1+3.05+2.75)+2.7)*(10.764)</f>
        <v>641.49134400000003</v>
      </c>
      <c r="E206" s="40">
        <v>0</v>
      </c>
      <c r="F206" s="40">
        <f t="shared" si="9"/>
        <v>962.23701600000004</v>
      </c>
      <c r="G206" s="165"/>
      <c r="H206" s="166"/>
      <c r="I206" s="34"/>
      <c r="N206" s="34"/>
      <c r="O206" s="35">
        <f t="shared" si="3"/>
        <v>5580974.6928000003</v>
      </c>
    </row>
    <row r="207" spans="1:15" s="35" customFormat="1" ht="15.75" customHeight="1" x14ac:dyDescent="0.35">
      <c r="A207" s="124">
        <f>A206+1</f>
        <v>3</v>
      </c>
      <c r="B207" s="124"/>
      <c r="C207" s="40" t="s">
        <v>189</v>
      </c>
      <c r="D207" s="47">
        <f>(52.156+0.6*(2.1+3.05+2.75)+2.7)*(10.764)</f>
        <v>641.49134400000003</v>
      </c>
      <c r="E207" s="40">
        <v>0</v>
      </c>
      <c r="F207" s="40">
        <f>D207*(($F$145)+1)+(IF(E207&lt;101,E207,IF(E207&lt;201,E207/2,IF(E207&lt;=301,E207/3,E207/4))))</f>
        <v>962.23701600000004</v>
      </c>
      <c r="G207" s="165"/>
      <c r="H207" s="166"/>
      <c r="I207" s="34"/>
      <c r="N207" s="34"/>
      <c r="O207" s="35">
        <f t="shared" si="3"/>
        <v>5580974.6928000003</v>
      </c>
    </row>
    <row r="208" spans="1:15" s="35" customFormat="1" ht="15.75" customHeight="1" x14ac:dyDescent="0.35">
      <c r="A208" s="124">
        <f>A207+1</f>
        <v>4</v>
      </c>
      <c r="B208" s="124"/>
      <c r="C208" s="40" t="s">
        <v>189</v>
      </c>
      <c r="D208" s="47">
        <f>(47.994+0.6*(2.85+2.1+2.8+2.75))*(10.764)</f>
        <v>584.42061599999988</v>
      </c>
      <c r="E208" s="40">
        <v>0</v>
      </c>
      <c r="F208" s="40">
        <f>D208*(($F$145)+1)+(IF(E208&lt;101,E208,IF(E208&lt;201,E208/2,IF(E208&lt;=301,E208/3,E208/4))))</f>
        <v>876.63092399999982</v>
      </c>
      <c r="G208" s="165"/>
      <c r="H208" s="166"/>
      <c r="I208" s="34"/>
      <c r="N208" s="34"/>
      <c r="O208" s="35">
        <f t="shared" si="3"/>
        <v>5084459.3591999989</v>
      </c>
    </row>
    <row r="209" spans="1:15" s="35" customFormat="1" ht="15.75" customHeight="1" x14ac:dyDescent="0.35">
      <c r="A209" s="124">
        <f>A208+1</f>
        <v>5</v>
      </c>
      <c r="B209" s="124"/>
      <c r="C209" s="40" t="s">
        <v>189</v>
      </c>
      <c r="D209" s="47">
        <f>(47.994+0.6*(2.85+2.1+2.8+2.75))*(10.764)</f>
        <v>584.42061599999988</v>
      </c>
      <c r="E209" s="40">
        <v>0</v>
      </c>
      <c r="F209" s="40">
        <f>D209*(($F$145)+1)+(IF(E209&lt;101,E209,IF(E209&lt;201,E209/2,IF(E209&lt;=301,E209/3,E209/4))))</f>
        <v>876.63092399999982</v>
      </c>
      <c r="G209" s="165"/>
      <c r="H209" s="166"/>
      <c r="I209" s="34"/>
      <c r="N209" s="34"/>
      <c r="O209" s="35">
        <f t="shared" si="3"/>
        <v>5084459.3591999989</v>
      </c>
    </row>
    <row r="210" spans="1:15" s="35" customFormat="1" ht="15.75" customHeight="1" x14ac:dyDescent="0.35">
      <c r="A210" s="124">
        <f>A209+1</f>
        <v>6</v>
      </c>
      <c r="B210" s="124"/>
      <c r="C210" s="40" t="s">
        <v>189</v>
      </c>
      <c r="D210" s="47">
        <f>(43.412+0.6*(2.75+2.75+3.05+1.5+1))*(10.764)</f>
        <v>538.65208799999994</v>
      </c>
      <c r="E210" s="40">
        <v>0</v>
      </c>
      <c r="F210" s="40">
        <f>D210*(($F$145)+1)+(IF(E210&lt;101,E210,IF(E210&lt;201,E210/2,IF(E210&lt;=301,E210/3,E210/4))))</f>
        <v>807.97813199999996</v>
      </c>
      <c r="G210" s="167"/>
      <c r="H210" s="168"/>
      <c r="I210" s="34"/>
      <c r="N210" s="34"/>
      <c r="O210" s="35">
        <f t="shared" si="3"/>
        <v>4686273.1655999999</v>
      </c>
    </row>
    <row r="211" spans="1:15" s="35" customFormat="1" ht="15.75" customHeight="1" x14ac:dyDescent="0.35">
      <c r="A211" s="139" t="s">
        <v>191</v>
      </c>
      <c r="B211" s="139"/>
      <c r="C211" s="139"/>
      <c r="D211" s="139"/>
      <c r="E211" s="139"/>
      <c r="F211" s="139"/>
      <c r="G211" s="139"/>
      <c r="H211" s="139"/>
      <c r="I211" s="34"/>
      <c r="O211" s="35">
        <f t="shared" si="3"/>
        <v>0</v>
      </c>
    </row>
    <row r="212" spans="1:15" s="35" customFormat="1" ht="15.75" customHeight="1" x14ac:dyDescent="0.35">
      <c r="A212" s="124">
        <v>1</v>
      </c>
      <c r="B212" s="124"/>
      <c r="C212" s="64" t="s">
        <v>189</v>
      </c>
      <c r="D212" s="47">
        <f>(43.412+0.6*(2.84+2.75+3.05))*(10.764)</f>
        <v>523.08734399999992</v>
      </c>
      <c r="E212" s="64">
        <v>0</v>
      </c>
      <c r="F212" s="64">
        <f t="shared" ref="F212:F222" si="10">D212*(($F$145)+1)+(IF(E212&lt;101,E212,IF(E212&lt;201,E212/2,IF(E212&lt;=301,E212/3,E212/4))))</f>
        <v>784.63101599999982</v>
      </c>
      <c r="G212" s="124" t="str">
        <f>A211</f>
        <v>2nd, 3rd, 4th, 5th, 6th, 7th, 9th,10th, 12th, 13th,14th Floor</v>
      </c>
      <c r="H212" s="124"/>
      <c r="I212" s="34"/>
      <c r="O212" s="35">
        <f t="shared" si="3"/>
        <v>4550859.8927999986</v>
      </c>
    </row>
    <row r="213" spans="1:15" s="35" customFormat="1" ht="15.75" customHeight="1" x14ac:dyDescent="0.35">
      <c r="A213" s="124">
        <v>2</v>
      </c>
      <c r="B213" s="124"/>
      <c r="C213" s="64" t="s">
        <v>189</v>
      </c>
      <c r="D213" s="47">
        <f>(47.412+0.6*(2.9+2.1+2.8+2.8))*(10.764)</f>
        <v>578.80180799999994</v>
      </c>
      <c r="E213" s="64">
        <v>0</v>
      </c>
      <c r="F213" s="64">
        <f t="shared" si="10"/>
        <v>868.20271199999991</v>
      </c>
      <c r="G213" s="124"/>
      <c r="H213" s="124"/>
      <c r="I213" s="34"/>
      <c r="O213" s="35">
        <f t="shared" si="3"/>
        <v>5035575.7295999993</v>
      </c>
    </row>
    <row r="214" spans="1:15" s="35" customFormat="1" ht="15.75" customHeight="1" x14ac:dyDescent="0.35">
      <c r="A214" s="124">
        <v>3</v>
      </c>
      <c r="B214" s="124"/>
      <c r="C214" s="64" t="s">
        <v>189</v>
      </c>
      <c r="D214" s="47">
        <f>(52.156+0.6*(2.1+3.05+2.75)+2.7)*(10.764)</f>
        <v>641.49134400000003</v>
      </c>
      <c r="E214" s="64">
        <v>0</v>
      </c>
      <c r="F214" s="64">
        <f t="shared" si="10"/>
        <v>962.23701600000004</v>
      </c>
      <c r="G214" s="124"/>
      <c r="H214" s="124"/>
      <c r="I214" s="34"/>
      <c r="O214" s="35">
        <f t="shared" ref="O214:O259" si="11">5800*F214</f>
        <v>5580974.6928000003</v>
      </c>
    </row>
    <row r="215" spans="1:15" s="35" customFormat="1" ht="15.75" customHeight="1" x14ac:dyDescent="0.35">
      <c r="A215" s="124">
        <v>4</v>
      </c>
      <c r="B215" s="124"/>
      <c r="C215" s="64" t="s">
        <v>189</v>
      </c>
      <c r="D215" s="47">
        <f>(52.156+0.6*(2.1+3.05+2.75)+2.7)*(10.764)</f>
        <v>641.49134400000003</v>
      </c>
      <c r="E215" s="64">
        <v>0</v>
      </c>
      <c r="F215" s="64">
        <f t="shared" si="10"/>
        <v>962.23701600000004</v>
      </c>
      <c r="G215" s="124"/>
      <c r="H215" s="124"/>
      <c r="I215" s="34"/>
      <c r="L215" s="35" t="s">
        <v>192</v>
      </c>
      <c r="O215" s="35">
        <f t="shared" si="11"/>
        <v>5580974.6928000003</v>
      </c>
    </row>
    <row r="216" spans="1:15" s="35" customFormat="1" ht="15.75" customHeight="1" x14ac:dyDescent="0.35">
      <c r="A216" s="124">
        <v>5</v>
      </c>
      <c r="B216" s="124"/>
      <c r="C216" s="64" t="s">
        <v>189</v>
      </c>
      <c r="D216" s="47">
        <f>(52.156+0.6*(2.1+3.05+2.75)+2.7)*(10.764)</f>
        <v>641.49134400000003</v>
      </c>
      <c r="E216" s="64">
        <v>0</v>
      </c>
      <c r="F216" s="64">
        <f t="shared" si="10"/>
        <v>962.23701600000004</v>
      </c>
      <c r="G216" s="124"/>
      <c r="H216" s="124"/>
      <c r="I216" s="34"/>
      <c r="O216" s="35">
        <f t="shared" si="11"/>
        <v>5580974.6928000003</v>
      </c>
    </row>
    <row r="217" spans="1:15" s="35" customFormat="1" x14ac:dyDescent="0.35">
      <c r="A217" s="124">
        <v>6</v>
      </c>
      <c r="B217" s="124"/>
      <c r="C217" s="64" t="s">
        <v>189</v>
      </c>
      <c r="D217" s="47">
        <f>(47.994+0.6*(2.85+2.1+2.8+2.75))*(10.764)</f>
        <v>584.42061599999988</v>
      </c>
      <c r="E217" s="64">
        <v>0</v>
      </c>
      <c r="F217" s="64">
        <f t="shared" si="10"/>
        <v>876.63092399999982</v>
      </c>
      <c r="G217" s="124"/>
      <c r="H217" s="124"/>
      <c r="I217" s="34"/>
      <c r="O217" s="35">
        <f t="shared" si="11"/>
        <v>5084459.3591999989</v>
      </c>
    </row>
    <row r="218" spans="1:15" s="35" customFormat="1" x14ac:dyDescent="0.35">
      <c r="A218" s="124">
        <v>7</v>
      </c>
      <c r="B218" s="124"/>
      <c r="C218" s="64" t="s">
        <v>189</v>
      </c>
      <c r="D218" s="47">
        <f>(47.994+0.6*(2.85+2.1+2.8+2.75))*(10.764)</f>
        <v>584.42061599999988</v>
      </c>
      <c r="E218" s="64">
        <v>0</v>
      </c>
      <c r="F218" s="64">
        <f t="shared" si="10"/>
        <v>876.63092399999982</v>
      </c>
      <c r="G218" s="124"/>
      <c r="H218" s="124"/>
      <c r="I218" s="34"/>
      <c r="O218" s="35">
        <f t="shared" si="11"/>
        <v>5084459.3591999989</v>
      </c>
    </row>
    <row r="219" spans="1:15" s="35" customFormat="1" ht="15.75" customHeight="1" x14ac:dyDescent="0.35">
      <c r="A219" s="124">
        <v>8</v>
      </c>
      <c r="B219" s="124"/>
      <c r="C219" s="64" t="s">
        <v>189</v>
      </c>
      <c r="D219" s="47">
        <f>(47.994+0.6*(2.85+2.1+2.8+2.75))*(10.764)</f>
        <v>584.42061599999988</v>
      </c>
      <c r="E219" s="64">
        <v>0</v>
      </c>
      <c r="F219" s="64">
        <f t="shared" si="10"/>
        <v>876.63092399999982</v>
      </c>
      <c r="G219" s="124"/>
      <c r="H219" s="124"/>
      <c r="I219" s="34"/>
      <c r="O219" s="35">
        <f t="shared" si="11"/>
        <v>5084459.3591999989</v>
      </c>
    </row>
    <row r="220" spans="1:15" s="35" customFormat="1" ht="15.75" customHeight="1" x14ac:dyDescent="0.35">
      <c r="A220" s="124">
        <v>9</v>
      </c>
      <c r="B220" s="124"/>
      <c r="C220" s="64" t="s">
        <v>189</v>
      </c>
      <c r="D220" s="47">
        <f>(43.412+0.6*(2.75+2.75+3.05+1.5+1))*(10.764)</f>
        <v>538.65208799999994</v>
      </c>
      <c r="E220" s="64">
        <v>0</v>
      </c>
      <c r="F220" s="64">
        <f t="shared" si="10"/>
        <v>807.97813199999996</v>
      </c>
      <c r="G220" s="124"/>
      <c r="H220" s="124"/>
      <c r="I220" s="34"/>
      <c r="L220" s="35" t="s">
        <v>192</v>
      </c>
      <c r="O220" s="35">
        <f t="shared" si="11"/>
        <v>4686273.1655999999</v>
      </c>
    </row>
    <row r="221" spans="1:15" s="35" customFormat="1" ht="15.75" customHeight="1" x14ac:dyDescent="0.35">
      <c r="A221" s="124">
        <v>10</v>
      </c>
      <c r="B221" s="124"/>
      <c r="C221" s="64" t="s">
        <v>189</v>
      </c>
      <c r="D221" s="47">
        <f>(47.994+0.6*(2.85+2.1+2.8+2.75))*(10.764)</f>
        <v>584.42061599999988</v>
      </c>
      <c r="E221" s="64">
        <v>0</v>
      </c>
      <c r="F221" s="64">
        <f t="shared" si="10"/>
        <v>876.63092399999982</v>
      </c>
      <c r="G221" s="124"/>
      <c r="H221" s="124"/>
      <c r="I221" s="34"/>
      <c r="O221" s="35">
        <f t="shared" si="11"/>
        <v>5084459.3591999989</v>
      </c>
    </row>
    <row r="222" spans="1:15" s="35" customFormat="1" ht="15.75" customHeight="1" x14ac:dyDescent="0.35">
      <c r="A222" s="124">
        <v>11</v>
      </c>
      <c r="B222" s="124"/>
      <c r="C222" s="64" t="s">
        <v>189</v>
      </c>
      <c r="D222" s="47">
        <f>(43.412+0.6*(2.75+2.75+3.05))*(10.764)</f>
        <v>522.50608799999998</v>
      </c>
      <c r="E222" s="64">
        <v>0</v>
      </c>
      <c r="F222" s="64">
        <f t="shared" si="10"/>
        <v>783.75913199999991</v>
      </c>
      <c r="G222" s="124"/>
      <c r="H222" s="124"/>
      <c r="I222" s="34"/>
      <c r="O222" s="35">
        <f t="shared" si="11"/>
        <v>4545802.9655999998</v>
      </c>
    </row>
    <row r="223" spans="1:15" s="35" customFormat="1" x14ac:dyDescent="0.35">
      <c r="A223" s="133" t="s">
        <v>196</v>
      </c>
      <c r="B223" s="134"/>
      <c r="C223" s="134"/>
      <c r="D223" s="134"/>
      <c r="E223" s="134"/>
      <c r="F223" s="134"/>
      <c r="G223" s="134"/>
      <c r="H223" s="135"/>
      <c r="I223" s="34"/>
      <c r="O223" s="35">
        <f t="shared" si="11"/>
        <v>0</v>
      </c>
    </row>
    <row r="224" spans="1:15" s="35" customFormat="1" ht="15.75" customHeight="1" x14ac:dyDescent="0.35">
      <c r="A224" s="120">
        <v>1</v>
      </c>
      <c r="B224" s="121"/>
      <c r="C224" s="40" t="s">
        <v>189</v>
      </c>
      <c r="D224" s="47">
        <f>(43.412+0.6*(2.75+2.75+3.05))*(10.764)</f>
        <v>522.50608799999998</v>
      </c>
      <c r="E224" s="40">
        <v>0</v>
      </c>
      <c r="F224" s="40">
        <f t="shared" ref="F224:F232" si="12">D224*(($F$145)+1)+(IF(E224&lt;101,E224,IF(E224&lt;201,E224/2,IF(E224&lt;=301,E224/3,E224/4))))</f>
        <v>783.75913199999991</v>
      </c>
      <c r="G224" s="163" t="str">
        <f>A223</f>
        <v>8th &amp; 11th Floor (Part Refuge Area)</v>
      </c>
      <c r="H224" s="164"/>
      <c r="I224" s="34"/>
      <c r="O224" s="35">
        <f t="shared" si="11"/>
        <v>4545802.9655999998</v>
      </c>
    </row>
    <row r="225" spans="1:15" s="35" customFormat="1" ht="15.75" customHeight="1" x14ac:dyDescent="0.35">
      <c r="A225" s="120">
        <v>2</v>
      </c>
      <c r="B225" s="121"/>
      <c r="C225" s="40" t="s">
        <v>189</v>
      </c>
      <c r="D225" s="47">
        <f>(47.994+0.6*(2.85+2.1+2.8+2.75))*(10.764)</f>
        <v>584.42061599999988</v>
      </c>
      <c r="E225" s="40">
        <v>0</v>
      </c>
      <c r="F225" s="40">
        <f t="shared" si="12"/>
        <v>876.63092399999982</v>
      </c>
      <c r="G225" s="165"/>
      <c r="H225" s="166"/>
      <c r="I225" s="34"/>
      <c r="O225" s="35">
        <f t="shared" si="11"/>
        <v>5084459.3591999989</v>
      </c>
    </row>
    <row r="226" spans="1:15" s="35" customFormat="1" ht="15.75" customHeight="1" x14ac:dyDescent="0.35">
      <c r="A226" s="120">
        <v>3</v>
      </c>
      <c r="B226" s="121"/>
      <c r="C226" s="40" t="s">
        <v>189</v>
      </c>
      <c r="D226" s="47">
        <f>(52.156+0.6*(2.1+3.05+2.75)+2.7)*(10.764)</f>
        <v>641.49134400000003</v>
      </c>
      <c r="E226" s="40">
        <v>0</v>
      </c>
      <c r="F226" s="40">
        <f t="shared" si="12"/>
        <v>962.23701600000004</v>
      </c>
      <c r="G226" s="165"/>
      <c r="H226" s="166"/>
      <c r="I226" s="34"/>
      <c r="O226" s="35">
        <f t="shared" si="11"/>
        <v>5580974.6928000003</v>
      </c>
    </row>
    <row r="227" spans="1:15" s="35" customFormat="1" ht="15.75" customHeight="1" x14ac:dyDescent="0.35">
      <c r="A227" s="120">
        <v>4</v>
      </c>
      <c r="B227" s="121"/>
      <c r="C227" s="40" t="s">
        <v>189</v>
      </c>
      <c r="D227" s="47">
        <f>(52.156+0.6*(2.1+3.05+2.75)+2.7)*(10.764)</f>
        <v>641.49134400000003</v>
      </c>
      <c r="E227" s="40">
        <v>0</v>
      </c>
      <c r="F227" s="40">
        <f t="shared" si="12"/>
        <v>962.23701600000004</v>
      </c>
      <c r="G227" s="165"/>
      <c r="H227" s="166"/>
      <c r="I227" s="34"/>
      <c r="O227" s="35">
        <f t="shared" si="11"/>
        <v>5580974.6928000003</v>
      </c>
    </row>
    <row r="228" spans="1:15" s="35" customFormat="1" ht="15.75" customHeight="1" x14ac:dyDescent="0.35">
      <c r="A228" s="120">
        <v>5</v>
      </c>
      <c r="B228" s="121"/>
      <c r="C228" s="40" t="s">
        <v>189</v>
      </c>
      <c r="D228" s="47">
        <f>(52.156+0.6*(2.1+3.05+2.75)+2.7)*(10.764)</f>
        <v>641.49134400000003</v>
      </c>
      <c r="E228" s="40">
        <v>0</v>
      </c>
      <c r="F228" s="40">
        <f t="shared" si="12"/>
        <v>962.23701600000004</v>
      </c>
      <c r="G228" s="165"/>
      <c r="H228" s="166"/>
      <c r="I228" s="34"/>
      <c r="O228" s="35">
        <f t="shared" si="11"/>
        <v>5580974.6928000003</v>
      </c>
    </row>
    <row r="229" spans="1:15" s="35" customFormat="1" ht="15.75" customHeight="1" x14ac:dyDescent="0.35">
      <c r="A229" s="120">
        <v>6</v>
      </c>
      <c r="B229" s="121"/>
      <c r="C229" s="40" t="s">
        <v>189</v>
      </c>
      <c r="D229" s="47">
        <f>(47.994+0.6*(2.85+2.1+2.8+2.75))*(10.764)</f>
        <v>584.42061599999988</v>
      </c>
      <c r="E229" s="40">
        <v>0</v>
      </c>
      <c r="F229" s="40">
        <f t="shared" si="12"/>
        <v>876.63092399999982</v>
      </c>
      <c r="G229" s="165"/>
      <c r="H229" s="166"/>
      <c r="I229" s="34"/>
      <c r="O229" s="35">
        <f t="shared" si="11"/>
        <v>5084459.3591999989</v>
      </c>
    </row>
    <row r="230" spans="1:15" s="35" customFormat="1" ht="15.75" customHeight="1" x14ac:dyDescent="0.35">
      <c r="A230" s="120">
        <v>7</v>
      </c>
      <c r="B230" s="121"/>
      <c r="C230" s="40" t="s">
        <v>189</v>
      </c>
      <c r="D230" s="47">
        <f>(47.994+0.6*(2.85+2.1+2.8+2.75))*(10.764)</f>
        <v>584.42061599999988</v>
      </c>
      <c r="E230" s="40">
        <v>0</v>
      </c>
      <c r="F230" s="40">
        <f t="shared" si="12"/>
        <v>876.63092399999982</v>
      </c>
      <c r="G230" s="165"/>
      <c r="H230" s="166"/>
      <c r="I230" s="34"/>
      <c r="O230" s="35">
        <f t="shared" si="11"/>
        <v>5084459.3591999989</v>
      </c>
    </row>
    <row r="231" spans="1:15" s="35" customFormat="1" ht="15.75" customHeight="1" x14ac:dyDescent="0.35">
      <c r="A231" s="120">
        <v>8</v>
      </c>
      <c r="B231" s="121"/>
      <c r="C231" s="40" t="s">
        <v>189</v>
      </c>
      <c r="D231" s="47">
        <f>(43.412+0.6*(2.75+2.75+3.05+1.5+1))*(10.764)</f>
        <v>538.65208799999994</v>
      </c>
      <c r="E231" s="40">
        <v>0</v>
      </c>
      <c r="F231" s="40">
        <f t="shared" si="12"/>
        <v>807.97813199999996</v>
      </c>
      <c r="G231" s="165"/>
      <c r="H231" s="166"/>
      <c r="I231" s="34"/>
      <c r="O231" s="35">
        <f t="shared" si="11"/>
        <v>4686273.1655999999</v>
      </c>
    </row>
    <row r="232" spans="1:15" s="35" customFormat="1" ht="15.75" customHeight="1" x14ac:dyDescent="0.35">
      <c r="A232" s="120">
        <v>9</v>
      </c>
      <c r="B232" s="121"/>
      <c r="C232" s="40" t="s">
        <v>189</v>
      </c>
      <c r="D232" s="47">
        <f>(47.994+0.6*(2.85+2.1+2.8+2.75))*(10.764)</f>
        <v>584.42061599999988</v>
      </c>
      <c r="E232" s="40">
        <v>0</v>
      </c>
      <c r="F232" s="40">
        <f t="shared" si="12"/>
        <v>876.63092399999982</v>
      </c>
      <c r="G232" s="165"/>
      <c r="H232" s="166"/>
      <c r="I232" s="34"/>
      <c r="O232" s="35">
        <f t="shared" si="11"/>
        <v>5084459.3591999989</v>
      </c>
    </row>
    <row r="233" spans="1:15" s="35" customFormat="1" ht="15.75" customHeight="1" x14ac:dyDescent="0.35">
      <c r="A233" s="120">
        <v>10</v>
      </c>
      <c r="B233" s="121"/>
      <c r="C233" s="40" t="s">
        <v>189</v>
      </c>
      <c r="D233" s="47">
        <f>(43.412+0.6*(2.75+2.75+3.05))*(10.764)</f>
        <v>522.50608799999998</v>
      </c>
      <c r="E233" s="40">
        <v>0</v>
      </c>
      <c r="F233" s="40">
        <f t="shared" ref="F233" si="13">D233*(($F$145)+1)+(IF(E233&lt;101,E233,IF(E233&lt;201,E233/2,IF(E233&lt;=301,E233/3,E233/4))))</f>
        <v>783.75913199999991</v>
      </c>
      <c r="G233" s="167"/>
      <c r="H233" s="168"/>
      <c r="I233" s="34"/>
      <c r="O233" s="35">
        <f t="shared" si="11"/>
        <v>4545802.9655999998</v>
      </c>
    </row>
    <row r="234" spans="1:15" s="35" customFormat="1" x14ac:dyDescent="0.35">
      <c r="A234" s="133" t="s">
        <v>198</v>
      </c>
      <c r="B234" s="134"/>
      <c r="C234" s="134"/>
      <c r="D234" s="134"/>
      <c r="E234" s="134"/>
      <c r="F234" s="134"/>
      <c r="G234" s="134"/>
      <c r="H234" s="135"/>
      <c r="I234" s="34"/>
      <c r="O234" s="35">
        <f t="shared" si="11"/>
        <v>0</v>
      </c>
    </row>
    <row r="235" spans="1:15" s="35" customFormat="1" x14ac:dyDescent="0.35">
      <c r="A235" s="133" t="s">
        <v>187</v>
      </c>
      <c r="B235" s="134"/>
      <c r="C235" s="134"/>
      <c r="D235" s="134"/>
      <c r="E235" s="134"/>
      <c r="F235" s="134"/>
      <c r="G235" s="134"/>
      <c r="H235" s="135"/>
      <c r="I235" s="34"/>
      <c r="O235" s="35">
        <f t="shared" si="11"/>
        <v>0</v>
      </c>
    </row>
    <row r="236" spans="1:15" s="35" customFormat="1" x14ac:dyDescent="0.35">
      <c r="A236" s="139" t="s">
        <v>195</v>
      </c>
      <c r="B236" s="139"/>
      <c r="C236" s="139"/>
      <c r="D236" s="139"/>
      <c r="E236" s="139"/>
      <c r="F236" s="139"/>
      <c r="G236" s="139"/>
      <c r="H236" s="139"/>
      <c r="I236" s="34"/>
      <c r="L236" s="162"/>
      <c r="M236" s="162"/>
      <c r="O236" s="35">
        <f t="shared" si="11"/>
        <v>0</v>
      </c>
    </row>
    <row r="237" spans="1:15" s="35" customFormat="1" ht="15.75" customHeight="1" x14ac:dyDescent="0.35">
      <c r="A237" s="124">
        <v>1</v>
      </c>
      <c r="B237" s="124"/>
      <c r="C237" s="40" t="s">
        <v>189</v>
      </c>
      <c r="D237" s="47">
        <f>(52.156+0.6*(2.1+3.05+2.75)+2.7)*(10.764)</f>
        <v>641.49134400000003</v>
      </c>
      <c r="E237" s="40">
        <v>0</v>
      </c>
      <c r="F237" s="40">
        <f t="shared" ref="F237:F238" si="14">D237*(($F$145)+1)+(IF(E237&lt;101,E237,IF(E237&lt;201,E237/2,IF(E237&lt;=301,E237/3,E237/4))))</f>
        <v>962.23701600000004</v>
      </c>
      <c r="G237" s="163" t="str">
        <f>A236</f>
        <v>1st Floor For Residential &amp; Podium</v>
      </c>
      <c r="H237" s="164"/>
      <c r="I237" s="34"/>
      <c r="N237" s="34"/>
      <c r="O237" s="35">
        <f t="shared" si="11"/>
        <v>5580974.6928000003</v>
      </c>
    </row>
    <row r="238" spans="1:15" s="35" customFormat="1" ht="15.75" customHeight="1" x14ac:dyDescent="0.35">
      <c r="A238" s="124">
        <f>A237+1</f>
        <v>2</v>
      </c>
      <c r="B238" s="124"/>
      <c r="C238" s="40" t="s">
        <v>189</v>
      </c>
      <c r="D238" s="47">
        <f>(52.156+0.6*(2.1+3.05+2.75)+2.7)*(10.764)</f>
        <v>641.49134400000003</v>
      </c>
      <c r="E238" s="40">
        <v>0</v>
      </c>
      <c r="F238" s="40">
        <f t="shared" si="14"/>
        <v>962.23701600000004</v>
      </c>
      <c r="G238" s="165"/>
      <c r="H238" s="166"/>
      <c r="I238" s="34"/>
      <c r="N238" s="34"/>
      <c r="O238" s="35">
        <f t="shared" si="11"/>
        <v>5580974.6928000003</v>
      </c>
    </row>
    <row r="239" spans="1:15" s="35" customFormat="1" ht="15.75" customHeight="1" x14ac:dyDescent="0.35">
      <c r="A239" s="124">
        <f>A238+1</f>
        <v>3</v>
      </c>
      <c r="B239" s="124"/>
      <c r="C239" s="40" t="s">
        <v>189</v>
      </c>
      <c r="D239" s="47">
        <f>(52.156+0.6*(2.1+3.05+2.75)+2.7)*(10.764)</f>
        <v>641.49134400000003</v>
      </c>
      <c r="E239" s="40">
        <v>0</v>
      </c>
      <c r="F239" s="40">
        <f>D239*(($F$145)+1)+(IF(E239&lt;101,E239,IF(E239&lt;201,E239/2,IF(E239&lt;=301,E239/3,E239/4))))</f>
        <v>962.23701600000004</v>
      </c>
      <c r="G239" s="165"/>
      <c r="H239" s="166"/>
      <c r="I239" s="34"/>
      <c r="N239" s="34"/>
      <c r="O239" s="35">
        <f t="shared" si="11"/>
        <v>5580974.6928000003</v>
      </c>
    </row>
    <row r="240" spans="1:15" s="35" customFormat="1" ht="15.75" customHeight="1" x14ac:dyDescent="0.35">
      <c r="A240" s="124">
        <f>A239+1</f>
        <v>4</v>
      </c>
      <c r="B240" s="124"/>
      <c r="C240" s="40" t="s">
        <v>189</v>
      </c>
      <c r="D240" s="47">
        <f>(52.156+0.6*(2.1+3.05+2.75)+2.7)*(10.764)</f>
        <v>641.49134400000003</v>
      </c>
      <c r="E240" s="40">
        <v>0</v>
      </c>
      <c r="F240" s="40">
        <f>D240*(($F$145)+1)+(IF(E240&lt;101,E240,IF(E240&lt;201,E240/2,IF(E240&lt;=301,E240/3,E240/4))))</f>
        <v>962.23701600000004</v>
      </c>
      <c r="G240" s="167"/>
      <c r="H240" s="168"/>
      <c r="I240" s="34"/>
      <c r="N240" s="34"/>
      <c r="O240" s="35">
        <f t="shared" si="11"/>
        <v>5580974.6928000003</v>
      </c>
    </row>
    <row r="241" spans="1:15" s="35" customFormat="1" ht="15.75" customHeight="1" x14ac:dyDescent="0.35">
      <c r="A241" s="133" t="s">
        <v>191</v>
      </c>
      <c r="B241" s="134"/>
      <c r="C241" s="134"/>
      <c r="D241" s="134"/>
      <c r="E241" s="134"/>
      <c r="F241" s="134"/>
      <c r="G241" s="134"/>
      <c r="H241" s="135"/>
      <c r="I241" s="34"/>
      <c r="O241" s="35">
        <f t="shared" si="11"/>
        <v>0</v>
      </c>
    </row>
    <row r="242" spans="1:15" s="35" customFormat="1" ht="15.75" customHeight="1" x14ac:dyDescent="0.35">
      <c r="A242" s="120">
        <v>1</v>
      </c>
      <c r="B242" s="121"/>
      <c r="C242" s="40" t="s">
        <v>189</v>
      </c>
      <c r="D242" s="47">
        <f t="shared" ref="D242:D248" si="15">(52.156+0.6*(2.1+3.05+2.75)+2.7)*(10.764)</f>
        <v>641.49134400000003</v>
      </c>
      <c r="E242" s="40">
        <v>0</v>
      </c>
      <c r="F242" s="40">
        <f t="shared" ref="F242:F250" si="16">D242*(($F$145)+1)+(IF(E242&lt;101,E242,IF(E242&lt;201,E242/2,IF(E242&lt;=301,E242/3,E242/4))))</f>
        <v>962.23701600000004</v>
      </c>
      <c r="G242" s="163" t="str">
        <f>A241</f>
        <v>2nd, 3rd, 4th, 5th, 6th, 7th, 9th,10th, 12th, 13th,14th Floor</v>
      </c>
      <c r="H242" s="164"/>
      <c r="I242" s="34"/>
      <c r="O242" s="35">
        <f t="shared" si="11"/>
        <v>5580974.6928000003</v>
      </c>
    </row>
    <row r="243" spans="1:15" s="35" customFormat="1" ht="15.75" customHeight="1" x14ac:dyDescent="0.35">
      <c r="A243" s="120">
        <v>2</v>
      </c>
      <c r="B243" s="121"/>
      <c r="C243" s="40" t="s">
        <v>189</v>
      </c>
      <c r="D243" s="47">
        <f t="shared" si="15"/>
        <v>641.49134400000003</v>
      </c>
      <c r="E243" s="40">
        <v>0</v>
      </c>
      <c r="F243" s="40">
        <f t="shared" si="16"/>
        <v>962.23701600000004</v>
      </c>
      <c r="G243" s="165"/>
      <c r="H243" s="166"/>
      <c r="I243" s="34"/>
      <c r="O243" s="35">
        <f t="shared" si="11"/>
        <v>5580974.6928000003</v>
      </c>
    </row>
    <row r="244" spans="1:15" s="35" customFormat="1" ht="15.75" customHeight="1" x14ac:dyDescent="0.35">
      <c r="A244" s="120">
        <v>3</v>
      </c>
      <c r="B244" s="121"/>
      <c r="C244" s="40" t="s">
        <v>189</v>
      </c>
      <c r="D244" s="47">
        <f t="shared" si="15"/>
        <v>641.49134400000003</v>
      </c>
      <c r="E244" s="40">
        <v>0</v>
      </c>
      <c r="F244" s="40">
        <f t="shared" si="16"/>
        <v>962.23701600000004</v>
      </c>
      <c r="G244" s="165"/>
      <c r="H244" s="166"/>
      <c r="I244" s="34"/>
      <c r="O244" s="35">
        <f t="shared" si="11"/>
        <v>5580974.6928000003</v>
      </c>
    </row>
    <row r="245" spans="1:15" s="35" customFormat="1" ht="15.75" customHeight="1" x14ac:dyDescent="0.35">
      <c r="A245" s="120">
        <v>4</v>
      </c>
      <c r="B245" s="121"/>
      <c r="C245" s="40" t="s">
        <v>189</v>
      </c>
      <c r="D245" s="47">
        <f t="shared" si="15"/>
        <v>641.49134400000003</v>
      </c>
      <c r="E245" s="40">
        <v>0</v>
      </c>
      <c r="F245" s="40">
        <f t="shared" si="16"/>
        <v>962.23701600000004</v>
      </c>
      <c r="G245" s="165"/>
      <c r="H245" s="166"/>
      <c r="I245" s="34"/>
      <c r="L245" s="35" t="s">
        <v>192</v>
      </c>
      <c r="O245" s="35">
        <f t="shared" si="11"/>
        <v>5580974.6928000003</v>
      </c>
    </row>
    <row r="246" spans="1:15" s="35" customFormat="1" ht="15.75" customHeight="1" x14ac:dyDescent="0.35">
      <c r="A246" s="120">
        <v>5</v>
      </c>
      <c r="B246" s="121"/>
      <c r="C246" s="40" t="s">
        <v>189</v>
      </c>
      <c r="D246" s="47">
        <f t="shared" si="15"/>
        <v>641.49134400000003</v>
      </c>
      <c r="E246" s="40">
        <v>0</v>
      </c>
      <c r="F246" s="40">
        <f t="shared" si="16"/>
        <v>962.23701600000004</v>
      </c>
      <c r="G246" s="165"/>
      <c r="H246" s="166"/>
      <c r="I246" s="34"/>
      <c r="O246" s="35">
        <f t="shared" si="11"/>
        <v>5580974.6928000003</v>
      </c>
    </row>
    <row r="247" spans="1:15" s="35" customFormat="1" ht="15.75" customHeight="1" x14ac:dyDescent="0.35">
      <c r="A247" s="120">
        <v>6</v>
      </c>
      <c r="B247" s="121"/>
      <c r="C247" s="40" t="s">
        <v>189</v>
      </c>
      <c r="D247" s="47">
        <f t="shared" si="15"/>
        <v>641.49134400000003</v>
      </c>
      <c r="E247" s="40">
        <v>0</v>
      </c>
      <c r="F247" s="40">
        <f t="shared" si="16"/>
        <v>962.23701600000004</v>
      </c>
      <c r="G247" s="165"/>
      <c r="H247" s="166"/>
      <c r="I247" s="34"/>
      <c r="O247" s="35">
        <f t="shared" si="11"/>
        <v>5580974.6928000003</v>
      </c>
    </row>
    <row r="248" spans="1:15" s="35" customFormat="1" ht="15.75" customHeight="1" x14ac:dyDescent="0.35">
      <c r="A248" s="120">
        <v>7</v>
      </c>
      <c r="B248" s="121"/>
      <c r="C248" s="40" t="s">
        <v>189</v>
      </c>
      <c r="D248" s="47">
        <f t="shared" si="15"/>
        <v>641.49134400000003</v>
      </c>
      <c r="E248" s="40">
        <v>0</v>
      </c>
      <c r="F248" s="40">
        <f t="shared" si="16"/>
        <v>962.23701600000004</v>
      </c>
      <c r="G248" s="165"/>
      <c r="H248" s="166"/>
      <c r="I248" s="34"/>
      <c r="O248" s="35">
        <f t="shared" si="11"/>
        <v>5580974.6928000003</v>
      </c>
    </row>
    <row r="249" spans="1:15" s="35" customFormat="1" ht="15.75" customHeight="1" x14ac:dyDescent="0.35">
      <c r="A249" s="120">
        <v>8</v>
      </c>
      <c r="B249" s="121"/>
      <c r="C249" s="40" t="s">
        <v>189</v>
      </c>
      <c r="D249" s="47">
        <f>(47.994+0.6*(2.85+2.1+2.8+2.75))*(10.764)</f>
        <v>584.42061599999988</v>
      </c>
      <c r="E249" s="40">
        <v>0</v>
      </c>
      <c r="F249" s="40">
        <f t="shared" si="16"/>
        <v>876.63092399999982</v>
      </c>
      <c r="G249" s="165"/>
      <c r="H249" s="166"/>
      <c r="I249" s="34"/>
      <c r="L249" s="35" t="s">
        <v>192</v>
      </c>
      <c r="O249" s="35">
        <f t="shared" si="11"/>
        <v>5084459.3591999989</v>
      </c>
    </row>
    <row r="250" spans="1:15" s="35" customFormat="1" ht="15.75" customHeight="1" x14ac:dyDescent="0.35">
      <c r="A250" s="120">
        <v>9</v>
      </c>
      <c r="B250" s="121"/>
      <c r="C250" s="40" t="s">
        <v>189</v>
      </c>
      <c r="D250" s="47">
        <f>(47.994+0.6*(2.85+2.1+2.8+2.75))*(10.764)</f>
        <v>584.42061599999988</v>
      </c>
      <c r="E250" s="40">
        <v>0</v>
      </c>
      <c r="F250" s="40">
        <f t="shared" si="16"/>
        <v>876.63092399999982</v>
      </c>
      <c r="G250" s="167"/>
      <c r="H250" s="168"/>
      <c r="I250" s="34"/>
      <c r="O250" s="35">
        <f t="shared" si="11"/>
        <v>5084459.3591999989</v>
      </c>
    </row>
    <row r="251" spans="1:15" s="35" customFormat="1" x14ac:dyDescent="0.35">
      <c r="A251" s="133" t="s">
        <v>196</v>
      </c>
      <c r="B251" s="134"/>
      <c r="C251" s="134"/>
      <c r="D251" s="134"/>
      <c r="E251" s="134"/>
      <c r="F251" s="134"/>
      <c r="G251" s="134"/>
      <c r="H251" s="135"/>
      <c r="I251" s="34"/>
      <c r="O251" s="35">
        <f t="shared" si="11"/>
        <v>0</v>
      </c>
    </row>
    <row r="252" spans="1:15" s="35" customFormat="1" ht="15.75" customHeight="1" x14ac:dyDescent="0.35">
      <c r="A252" s="120">
        <v>1</v>
      </c>
      <c r="B252" s="121"/>
      <c r="C252" s="40" t="s">
        <v>189</v>
      </c>
      <c r="D252" s="47">
        <f t="shared" ref="D252:D257" si="17">(52.156+0.6*(2.1+3.05+2.75)+2.7)*(10.764)</f>
        <v>641.49134400000003</v>
      </c>
      <c r="E252" s="40">
        <v>0</v>
      </c>
      <c r="F252" s="40">
        <f t="shared" ref="F252:F259" si="18">D252*(($F$145)+1)+(IF(E252&lt;101,E252,IF(E252&lt;201,E252/2,IF(E252&lt;=301,E252/3,E252/4))))</f>
        <v>962.23701600000004</v>
      </c>
      <c r="G252" s="163" t="str">
        <f>A251</f>
        <v>8th &amp; 11th Floor (Part Refuge Area)</v>
      </c>
      <c r="H252" s="164"/>
      <c r="I252" s="34"/>
      <c r="O252" s="35">
        <f t="shared" si="11"/>
        <v>5580974.6928000003</v>
      </c>
    </row>
    <row r="253" spans="1:15" s="35" customFormat="1" ht="15.75" customHeight="1" x14ac:dyDescent="0.35">
      <c r="A253" s="120">
        <v>2</v>
      </c>
      <c r="B253" s="121"/>
      <c r="C253" s="40" t="s">
        <v>189</v>
      </c>
      <c r="D253" s="47">
        <f t="shared" si="17"/>
        <v>641.49134400000003</v>
      </c>
      <c r="E253" s="40">
        <v>0</v>
      </c>
      <c r="F253" s="40">
        <f t="shared" si="18"/>
        <v>962.23701600000004</v>
      </c>
      <c r="G253" s="165"/>
      <c r="H253" s="166"/>
      <c r="I253" s="34"/>
      <c r="O253" s="35">
        <f t="shared" si="11"/>
        <v>5580974.6928000003</v>
      </c>
    </row>
    <row r="254" spans="1:15" s="35" customFormat="1" ht="15.75" customHeight="1" x14ac:dyDescent="0.35">
      <c r="A254" s="120">
        <v>3</v>
      </c>
      <c r="B254" s="121"/>
      <c r="C254" s="40" t="s">
        <v>189</v>
      </c>
      <c r="D254" s="47">
        <f t="shared" si="17"/>
        <v>641.49134400000003</v>
      </c>
      <c r="E254" s="40">
        <v>0</v>
      </c>
      <c r="F254" s="40">
        <f t="shared" si="18"/>
        <v>962.23701600000004</v>
      </c>
      <c r="G254" s="165"/>
      <c r="H254" s="166"/>
      <c r="I254" s="34"/>
      <c r="O254" s="35">
        <f t="shared" si="11"/>
        <v>5580974.6928000003</v>
      </c>
    </row>
    <row r="255" spans="1:15" s="35" customFormat="1" ht="15.75" customHeight="1" x14ac:dyDescent="0.35">
      <c r="A255" s="120">
        <v>4</v>
      </c>
      <c r="B255" s="121"/>
      <c r="C255" s="40" t="s">
        <v>189</v>
      </c>
      <c r="D255" s="47">
        <f t="shared" si="17"/>
        <v>641.49134400000003</v>
      </c>
      <c r="E255" s="40">
        <v>0</v>
      </c>
      <c r="F255" s="40">
        <f t="shared" si="18"/>
        <v>962.23701600000004</v>
      </c>
      <c r="G255" s="165"/>
      <c r="H255" s="166"/>
      <c r="I255" s="34"/>
      <c r="O255" s="35">
        <f t="shared" si="11"/>
        <v>5580974.6928000003</v>
      </c>
    </row>
    <row r="256" spans="1:15" s="35" customFormat="1" ht="15.75" customHeight="1" x14ac:dyDescent="0.35">
      <c r="A256" s="120">
        <v>5</v>
      </c>
      <c r="B256" s="121"/>
      <c r="C256" s="40" t="s">
        <v>189</v>
      </c>
      <c r="D256" s="47">
        <f t="shared" si="17"/>
        <v>641.49134400000003</v>
      </c>
      <c r="E256" s="40">
        <v>0</v>
      </c>
      <c r="F256" s="40">
        <f t="shared" si="18"/>
        <v>962.23701600000004</v>
      </c>
      <c r="G256" s="165"/>
      <c r="H256" s="166"/>
      <c r="I256" s="34"/>
      <c r="O256" s="35">
        <f t="shared" si="11"/>
        <v>5580974.6928000003</v>
      </c>
    </row>
    <row r="257" spans="1:15" s="35" customFormat="1" ht="15.75" customHeight="1" x14ac:dyDescent="0.35">
      <c r="A257" s="120">
        <v>6</v>
      </c>
      <c r="B257" s="121"/>
      <c r="C257" s="40" t="s">
        <v>189</v>
      </c>
      <c r="D257" s="47">
        <f t="shared" si="17"/>
        <v>641.49134400000003</v>
      </c>
      <c r="E257" s="40">
        <v>0</v>
      </c>
      <c r="F257" s="40">
        <f t="shared" si="18"/>
        <v>962.23701600000004</v>
      </c>
      <c r="G257" s="165"/>
      <c r="H257" s="166"/>
      <c r="I257" s="34"/>
      <c r="O257" s="35">
        <f t="shared" si="11"/>
        <v>5580974.6928000003</v>
      </c>
    </row>
    <row r="258" spans="1:15" s="35" customFormat="1" ht="15.75" customHeight="1" x14ac:dyDescent="0.35">
      <c r="A258" s="120">
        <v>7</v>
      </c>
      <c r="B258" s="121"/>
      <c r="C258" s="40" t="s">
        <v>189</v>
      </c>
      <c r="D258" s="47">
        <f>(47.994+0.6*(2.85+2.1+2.8+2.75))*(10.764)</f>
        <v>584.42061599999988</v>
      </c>
      <c r="E258" s="40">
        <v>0</v>
      </c>
      <c r="F258" s="40">
        <f t="shared" si="18"/>
        <v>876.63092399999982</v>
      </c>
      <c r="G258" s="165"/>
      <c r="H258" s="166"/>
      <c r="I258" s="34"/>
      <c r="O258" s="35">
        <f t="shared" si="11"/>
        <v>5084459.3591999989</v>
      </c>
    </row>
    <row r="259" spans="1:15" s="35" customFormat="1" ht="15.75" customHeight="1" x14ac:dyDescent="0.35">
      <c r="A259" s="120">
        <v>8</v>
      </c>
      <c r="B259" s="121"/>
      <c r="C259" s="40" t="s">
        <v>189</v>
      </c>
      <c r="D259" s="47">
        <f>(47.994+0.6*(2.85+2.1+2.8+2.75))*(10.764)</f>
        <v>584.42061599999988</v>
      </c>
      <c r="E259" s="40">
        <v>0</v>
      </c>
      <c r="F259" s="40">
        <f t="shared" si="18"/>
        <v>876.63092399999982</v>
      </c>
      <c r="G259" s="165"/>
      <c r="H259" s="166"/>
      <c r="I259" s="34"/>
      <c r="O259" s="35">
        <f t="shared" si="11"/>
        <v>5084459.3591999989</v>
      </c>
    </row>
    <row r="260" spans="1:15" s="33" customFormat="1" x14ac:dyDescent="0.35">
      <c r="A260" s="140" t="s">
        <v>70</v>
      </c>
      <c r="B260" s="140"/>
      <c r="C260" s="140"/>
      <c r="D260" s="140"/>
      <c r="E260" s="140"/>
      <c r="F260" s="140"/>
      <c r="G260" s="140"/>
      <c r="H260" s="140"/>
    </row>
    <row r="261" spans="1:15" s="33" customFormat="1" x14ac:dyDescent="0.35">
      <c r="A261" s="65" t="s">
        <v>156</v>
      </c>
      <c r="B261" s="175" t="s">
        <v>231</v>
      </c>
      <c r="C261" s="175"/>
      <c r="D261" s="175"/>
      <c r="E261" s="175"/>
      <c r="F261" s="175"/>
      <c r="G261" s="175"/>
      <c r="H261" s="175"/>
    </row>
    <row r="262" spans="1:15" s="33" customFormat="1" x14ac:dyDescent="0.35">
      <c r="A262" s="65" t="s">
        <v>156</v>
      </c>
      <c r="B262" s="175" t="str">
        <f>(IF(F144="Saleable area Loading :","We have considered Saleable area of Flats as per our Calculation.","We considered Saleable area of Flat as per Builder area Sheet."))</f>
        <v>We have considered Saleable area of Flats as per our Calculation.</v>
      </c>
      <c r="C262" s="175"/>
      <c r="D262" s="175"/>
      <c r="E262" s="175"/>
      <c r="F262" s="175"/>
      <c r="G262" s="175"/>
      <c r="H262" s="175"/>
    </row>
    <row r="263" spans="1:15" s="33" customFormat="1" x14ac:dyDescent="0.35">
      <c r="A263" s="65" t="s">
        <v>156</v>
      </c>
      <c r="B263" s="176" t="s">
        <v>126</v>
      </c>
      <c r="C263" s="176"/>
      <c r="D263" s="176"/>
      <c r="E263" s="176"/>
      <c r="F263" s="176"/>
      <c r="G263" s="176"/>
      <c r="H263" s="176"/>
    </row>
    <row r="264" spans="1:15" s="33" customFormat="1" x14ac:dyDescent="0.35">
      <c r="A264" s="65" t="s">
        <v>156</v>
      </c>
      <c r="B264" s="176" t="s">
        <v>209</v>
      </c>
      <c r="C264" s="176"/>
      <c r="D264" s="176"/>
      <c r="E264" s="176"/>
      <c r="F264" s="176"/>
      <c r="G264" s="176"/>
      <c r="H264" s="176"/>
    </row>
    <row r="265" spans="1:15" s="33" customFormat="1" x14ac:dyDescent="0.35">
      <c r="A265" s="65" t="s">
        <v>156</v>
      </c>
      <c r="B265" s="176" t="s">
        <v>155</v>
      </c>
      <c r="C265" s="176"/>
      <c r="D265" s="176"/>
      <c r="E265" s="176"/>
      <c r="F265" s="176"/>
      <c r="G265" s="176"/>
      <c r="H265" s="176"/>
    </row>
    <row r="266" spans="1:15" s="33" customFormat="1" x14ac:dyDescent="0.35">
      <c r="A266" s="65" t="s">
        <v>156</v>
      </c>
      <c r="B266" s="176" t="s">
        <v>127</v>
      </c>
      <c r="C266" s="176"/>
      <c r="D266" s="176"/>
      <c r="E266" s="176"/>
      <c r="F266" s="176"/>
      <c r="G266" s="176"/>
      <c r="H266" s="176"/>
    </row>
    <row r="267" spans="1:15" s="33" customFormat="1" ht="34.5" hidden="1" customHeight="1" x14ac:dyDescent="0.35">
      <c r="A267" s="65" t="s">
        <v>156</v>
      </c>
      <c r="B267" s="176" t="s">
        <v>157</v>
      </c>
      <c r="C267" s="176"/>
      <c r="D267" s="176"/>
      <c r="E267" s="176"/>
      <c r="F267" s="176"/>
      <c r="G267" s="176"/>
      <c r="H267" s="176"/>
    </row>
    <row r="268" spans="1:15" s="33" customFormat="1" x14ac:dyDescent="0.35">
      <c r="A268" s="65" t="s">
        <v>156</v>
      </c>
      <c r="B268" s="176" t="s">
        <v>128</v>
      </c>
      <c r="C268" s="176"/>
      <c r="D268" s="176"/>
      <c r="E268" s="176"/>
      <c r="F268" s="176"/>
      <c r="G268" s="176"/>
      <c r="H268" s="176"/>
    </row>
    <row r="269" spans="1:15" s="33" customFormat="1" x14ac:dyDescent="0.35">
      <c r="A269" s="65" t="s">
        <v>156</v>
      </c>
      <c r="B269" s="176" t="s">
        <v>227</v>
      </c>
      <c r="C269" s="176"/>
      <c r="D269" s="176"/>
      <c r="E269" s="176"/>
      <c r="F269" s="176"/>
      <c r="G269" s="176"/>
      <c r="H269" s="176"/>
    </row>
    <row r="270" spans="1:15" x14ac:dyDescent="0.35">
      <c r="A270" s="114" t="s">
        <v>63</v>
      </c>
      <c r="B270" s="114"/>
      <c r="C270" s="114"/>
      <c r="D270" s="114"/>
      <c r="E270" s="114"/>
      <c r="F270" s="114"/>
      <c r="G270" s="114"/>
      <c r="H270" s="114"/>
    </row>
    <row r="271" spans="1:15" x14ac:dyDescent="0.35">
      <c r="A271" s="97" t="s">
        <v>64</v>
      </c>
      <c r="B271" s="97"/>
      <c r="C271" s="97"/>
      <c r="D271" s="97"/>
      <c r="E271" s="97"/>
      <c r="F271" s="97"/>
      <c r="G271" s="97"/>
      <c r="H271" s="97"/>
    </row>
    <row r="272" spans="1:15" ht="15.75" customHeight="1" x14ac:dyDescent="0.35">
      <c r="A272" s="123" t="s">
        <v>65</v>
      </c>
      <c r="B272" s="123"/>
      <c r="C272" s="123"/>
      <c r="D272" s="123"/>
      <c r="E272" s="123"/>
      <c r="F272" s="123"/>
      <c r="G272" s="123"/>
      <c r="H272" s="123"/>
    </row>
    <row r="273" spans="1:8" x14ac:dyDescent="0.35">
      <c r="A273" s="97" t="s">
        <v>66</v>
      </c>
      <c r="B273" s="97"/>
      <c r="C273" s="97"/>
      <c r="D273" s="97"/>
      <c r="E273" s="97"/>
      <c r="F273" s="97"/>
      <c r="G273" s="97"/>
      <c r="H273" s="97"/>
    </row>
    <row r="274" spans="1:8" x14ac:dyDescent="0.35">
      <c r="A274" s="97" t="s">
        <v>67</v>
      </c>
      <c r="B274" s="97"/>
      <c r="C274" s="97"/>
      <c r="D274" s="97"/>
      <c r="E274" s="97"/>
      <c r="F274" s="97"/>
      <c r="G274" s="97"/>
      <c r="H274" s="97"/>
    </row>
    <row r="275" spans="1:8" hidden="1" x14ac:dyDescent="0.35">
      <c r="A275" s="97" t="s">
        <v>129</v>
      </c>
      <c r="B275" s="97"/>
      <c r="C275" s="97"/>
      <c r="D275" s="97"/>
      <c r="E275" s="97"/>
      <c r="F275" s="97"/>
      <c r="G275" s="97"/>
      <c r="H275" s="97"/>
    </row>
    <row r="276" spans="1:8" hidden="1" x14ac:dyDescent="0.35">
      <c r="A276" s="115" t="s">
        <v>130</v>
      </c>
      <c r="B276" s="115"/>
      <c r="C276" s="115"/>
      <c r="D276" s="115"/>
      <c r="E276" s="115"/>
      <c r="F276" s="115"/>
      <c r="G276" s="115"/>
      <c r="H276" s="115"/>
    </row>
    <row r="277" spans="1:8" x14ac:dyDescent="0.35">
      <c r="A277" s="137" t="s">
        <v>79</v>
      </c>
      <c r="B277" s="137"/>
      <c r="C277" s="137" t="s">
        <v>215</v>
      </c>
      <c r="D277" s="137"/>
      <c r="E277" s="137" t="s">
        <v>110</v>
      </c>
      <c r="F277" s="137"/>
      <c r="G277" s="137" t="s">
        <v>232</v>
      </c>
      <c r="H277" s="137"/>
    </row>
    <row r="278" spans="1:8" x14ac:dyDescent="0.35">
      <c r="A278" s="136" t="s">
        <v>81</v>
      </c>
      <c r="B278" s="136"/>
      <c r="C278" s="136"/>
      <c r="D278" s="136"/>
      <c r="E278" s="136"/>
      <c r="F278" s="136"/>
      <c r="G278" s="136"/>
      <c r="H278" s="136"/>
    </row>
    <row r="279" spans="1:8" x14ac:dyDescent="0.35">
      <c r="A279" s="136"/>
      <c r="B279" s="136"/>
      <c r="C279" s="136"/>
      <c r="D279" s="136"/>
      <c r="E279" s="136"/>
      <c r="F279" s="136"/>
      <c r="G279" s="136"/>
      <c r="H279" s="136"/>
    </row>
    <row r="280" spans="1:8" x14ac:dyDescent="0.35">
      <c r="A280" s="136"/>
      <c r="B280" s="136"/>
      <c r="C280" s="136"/>
      <c r="D280" s="136"/>
      <c r="E280" s="136"/>
      <c r="F280" s="136"/>
      <c r="G280" s="136"/>
      <c r="H280" s="136"/>
    </row>
    <row r="281" spans="1:8" x14ac:dyDescent="0.35">
      <c r="A281" s="136"/>
      <c r="B281" s="136"/>
      <c r="C281" s="136"/>
      <c r="D281" s="136"/>
      <c r="E281" s="136"/>
      <c r="F281" s="136"/>
      <c r="G281" s="136"/>
      <c r="H281" s="136"/>
    </row>
    <row r="282" spans="1:8" x14ac:dyDescent="0.35">
      <c r="A282" s="36" t="s">
        <v>68</v>
      </c>
      <c r="B282" s="37"/>
      <c r="C282" s="37"/>
      <c r="D282" s="36" t="str">
        <f>E8</f>
        <v>Aikyam</v>
      </c>
      <c r="F282" s="37"/>
      <c r="G282" s="37"/>
      <c r="H282" s="37"/>
    </row>
    <row r="283" spans="1:8" x14ac:dyDescent="0.35">
      <c r="A283" s="37"/>
      <c r="B283" s="37"/>
      <c r="C283" s="37"/>
      <c r="D283" s="37"/>
      <c r="E283" s="37"/>
      <c r="F283" s="37"/>
      <c r="G283" s="37"/>
      <c r="H283" s="37"/>
    </row>
    <row r="284" spans="1:8" x14ac:dyDescent="0.35">
      <c r="A284" s="37"/>
      <c r="B284" s="37"/>
      <c r="C284" s="37"/>
      <c r="D284" s="37"/>
      <c r="E284" s="37"/>
      <c r="F284" s="37"/>
      <c r="G284" s="37"/>
      <c r="H284" s="37"/>
    </row>
    <row r="285" spans="1:8" ht="15" customHeight="1" x14ac:dyDescent="0.35"/>
    <row r="328" spans="1:1" x14ac:dyDescent="0.35">
      <c r="A328" s="39"/>
    </row>
    <row r="329" spans="1:1" x14ac:dyDescent="0.35">
      <c r="A329" s="39" t="s">
        <v>170</v>
      </c>
    </row>
    <row r="333" spans="1:1" hidden="1" x14ac:dyDescent="0.35"/>
    <row r="334" spans="1:1" hidden="1" x14ac:dyDescent="0.35"/>
    <row r="359" hidden="1" x14ac:dyDescent="0.35"/>
    <row r="360" hidden="1" x14ac:dyDescent="0.35"/>
    <row r="361" hidden="1" x14ac:dyDescent="0.35"/>
    <row r="362" hidden="1" x14ac:dyDescent="0.35"/>
    <row r="363" hidden="1" x14ac:dyDescent="0.35"/>
    <row r="364" hidden="1" x14ac:dyDescent="0.35"/>
    <row r="365" hidden="1" x14ac:dyDescent="0.35"/>
    <row r="366" hidden="1" x14ac:dyDescent="0.35"/>
    <row r="367" hidden="1" x14ac:dyDescent="0.35"/>
    <row r="368" hidden="1" x14ac:dyDescent="0.35"/>
    <row r="369" spans="1:1" hidden="1" x14ac:dyDescent="0.35"/>
    <row r="370" spans="1:1" x14ac:dyDescent="0.35">
      <c r="A370" s="39" t="s">
        <v>69</v>
      </c>
    </row>
  </sheetData>
  <mergeCells count="425">
    <mergeCell ref="B268:H268"/>
    <mergeCell ref="A79:B79"/>
    <mergeCell ref="C79:H79"/>
    <mergeCell ref="A81:B81"/>
    <mergeCell ref="C81:H81"/>
    <mergeCell ref="A82:B82"/>
    <mergeCell ref="E82:F82"/>
    <mergeCell ref="G82:H82"/>
    <mergeCell ref="A83:B83"/>
    <mergeCell ref="E83:F92"/>
    <mergeCell ref="G83:H92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C93:H93"/>
    <mergeCell ref="A95:B95"/>
    <mergeCell ref="C95:H95"/>
    <mergeCell ref="A239:B239"/>
    <mergeCell ref="A96:B96"/>
    <mergeCell ref="E96:F96"/>
    <mergeCell ref="G96:H96"/>
    <mergeCell ref="A97:B97"/>
    <mergeCell ref="E97:F106"/>
    <mergeCell ref="G97:H106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G184:H192"/>
    <mergeCell ref="G178:H182"/>
    <mergeCell ref="A204:H204"/>
    <mergeCell ref="A188:B188"/>
    <mergeCell ref="A189:B189"/>
    <mergeCell ref="A190:B190"/>
    <mergeCell ref="A124:E124"/>
    <mergeCell ref="A121:E121"/>
    <mergeCell ref="A247:B247"/>
    <mergeCell ref="A248:B248"/>
    <mergeCell ref="A249:B249"/>
    <mergeCell ref="A250:B250"/>
    <mergeCell ref="G242:H250"/>
    <mergeCell ref="A242:B242"/>
    <mergeCell ref="A243:B243"/>
    <mergeCell ref="A244:B244"/>
    <mergeCell ref="A245:B245"/>
    <mergeCell ref="A246:B246"/>
    <mergeCell ref="A251:H251"/>
    <mergeCell ref="A252:B252"/>
    <mergeCell ref="G252:H259"/>
    <mergeCell ref="A253:B253"/>
    <mergeCell ref="A254:B254"/>
    <mergeCell ref="A255:B255"/>
    <mergeCell ref="A256:B256"/>
    <mergeCell ref="A257:B257"/>
    <mergeCell ref="A258:B258"/>
    <mergeCell ref="A259:B259"/>
    <mergeCell ref="A240:B240"/>
    <mergeCell ref="A241:H241"/>
    <mergeCell ref="G237:H240"/>
    <mergeCell ref="A233:B233"/>
    <mergeCell ref="G205:H210"/>
    <mergeCell ref="G212:H222"/>
    <mergeCell ref="G224:H233"/>
    <mergeCell ref="A234:H234"/>
    <mergeCell ref="A235:H235"/>
    <mergeCell ref="A236:H236"/>
    <mergeCell ref="A219:B219"/>
    <mergeCell ref="A220:B220"/>
    <mergeCell ref="A221:B221"/>
    <mergeCell ref="A222:B222"/>
    <mergeCell ref="A223:H223"/>
    <mergeCell ref="A214:B214"/>
    <mergeCell ref="A215:B215"/>
    <mergeCell ref="A216:B216"/>
    <mergeCell ref="A217:B217"/>
    <mergeCell ref="A218:B218"/>
    <mergeCell ref="A209:B209"/>
    <mergeCell ref="A210:B210"/>
    <mergeCell ref="A213:B213"/>
    <mergeCell ref="A238:B238"/>
    <mergeCell ref="L236:M236"/>
    <mergeCell ref="A237:B237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L204:M204"/>
    <mergeCell ref="A205:B205"/>
    <mergeCell ref="A206:B206"/>
    <mergeCell ref="A192:B192"/>
    <mergeCell ref="A193:H193"/>
    <mergeCell ref="A194:B194"/>
    <mergeCell ref="G194:H201"/>
    <mergeCell ref="A195:B195"/>
    <mergeCell ref="A196:B196"/>
    <mergeCell ref="A197:B197"/>
    <mergeCell ref="A198:B198"/>
    <mergeCell ref="A199:B199"/>
    <mergeCell ref="A200:B200"/>
    <mergeCell ref="A201:B201"/>
    <mergeCell ref="B267:H267"/>
    <mergeCell ref="A47:B47"/>
    <mergeCell ref="C47:H47"/>
    <mergeCell ref="B265:H265"/>
    <mergeCell ref="F123:H123"/>
    <mergeCell ref="A123:E123"/>
    <mergeCell ref="A125:E125"/>
    <mergeCell ref="A126:E126"/>
    <mergeCell ref="G166:H174"/>
    <mergeCell ref="A132:E132"/>
    <mergeCell ref="G141:H141"/>
    <mergeCell ref="G138:H138"/>
    <mergeCell ref="A139:B139"/>
    <mergeCell ref="C139:D139"/>
    <mergeCell ref="A191:B191"/>
    <mergeCell ref="A175:H175"/>
    <mergeCell ref="A176:H176"/>
    <mergeCell ref="A177:H177"/>
    <mergeCell ref="A178:B178"/>
    <mergeCell ref="A179:B179"/>
    <mergeCell ref="A180:B180"/>
    <mergeCell ref="A211:H211"/>
    <mergeCell ref="A212:B212"/>
    <mergeCell ref="A202:H202"/>
    <mergeCell ref="L148:M148"/>
    <mergeCell ref="A144:A145"/>
    <mergeCell ref="A153:B153"/>
    <mergeCell ref="A150:B150"/>
    <mergeCell ref="A151:B151"/>
    <mergeCell ref="A152:B152"/>
    <mergeCell ref="B144:B145"/>
    <mergeCell ref="A203:H203"/>
    <mergeCell ref="A146:H146"/>
    <mergeCell ref="L177:M177"/>
    <mergeCell ref="A181:B181"/>
    <mergeCell ref="A182:B182"/>
    <mergeCell ref="A183:H183"/>
    <mergeCell ref="A184:B184"/>
    <mergeCell ref="A185:B185"/>
    <mergeCell ref="A186:B186"/>
    <mergeCell ref="A187:B187"/>
    <mergeCell ref="A161:B161"/>
    <mergeCell ref="A162:B162"/>
    <mergeCell ref="A163:B163"/>
    <mergeCell ref="A164:B164"/>
    <mergeCell ref="G149:H153"/>
    <mergeCell ref="G155:H164"/>
    <mergeCell ref="A157:B157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A46:H46"/>
    <mergeCell ref="D56:H56"/>
    <mergeCell ref="A56:C56"/>
    <mergeCell ref="G49:H49"/>
    <mergeCell ref="A50:B51"/>
    <mergeCell ref="A75:B75"/>
    <mergeCell ref="A68:B68"/>
    <mergeCell ref="A71:B71"/>
    <mergeCell ref="A67:B67"/>
    <mergeCell ref="A65:B65"/>
    <mergeCell ref="C65:H65"/>
    <mergeCell ref="A73:B73"/>
    <mergeCell ref="A36:H36"/>
    <mergeCell ref="A35:B35"/>
    <mergeCell ref="C35:E35"/>
    <mergeCell ref="C37:H37"/>
    <mergeCell ref="A40:D40"/>
    <mergeCell ref="E40:H40"/>
    <mergeCell ref="F32:H32"/>
    <mergeCell ref="F33:H33"/>
    <mergeCell ref="A39:H39"/>
    <mergeCell ref="F35:H35"/>
    <mergeCell ref="A37:B37"/>
    <mergeCell ref="A38:B38"/>
    <mergeCell ref="C38:H3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58:C58"/>
    <mergeCell ref="A59:C59"/>
    <mergeCell ref="A278:H281"/>
    <mergeCell ref="A277:B277"/>
    <mergeCell ref="E277:F277"/>
    <mergeCell ref="C277:D277"/>
    <mergeCell ref="G277:H277"/>
    <mergeCell ref="A133:E133"/>
    <mergeCell ref="F133:H133"/>
    <mergeCell ref="A134:E134"/>
    <mergeCell ref="F134:H134"/>
    <mergeCell ref="A148:H148"/>
    <mergeCell ref="A137:B137"/>
    <mergeCell ref="A273:H273"/>
    <mergeCell ref="A135:H135"/>
    <mergeCell ref="A276:H276"/>
    <mergeCell ref="A274:H274"/>
    <mergeCell ref="B263:H263"/>
    <mergeCell ref="B264:H264"/>
    <mergeCell ref="A260:H260"/>
    <mergeCell ref="A207:B207"/>
    <mergeCell ref="A270:H270"/>
    <mergeCell ref="A271:H271"/>
    <mergeCell ref="E136:F136"/>
    <mergeCell ref="A275:H275"/>
    <mergeCell ref="A272:H272"/>
    <mergeCell ref="A149:B149"/>
    <mergeCell ref="A136:B136"/>
    <mergeCell ref="D144:D145"/>
    <mergeCell ref="E144:E145"/>
    <mergeCell ref="G144:H145"/>
    <mergeCell ref="B269:H269"/>
    <mergeCell ref="B266:H266"/>
    <mergeCell ref="B261:H261"/>
    <mergeCell ref="B262:H262"/>
    <mergeCell ref="A208:B208"/>
    <mergeCell ref="A143:H143"/>
    <mergeCell ref="C144:C145"/>
    <mergeCell ref="C141:D141"/>
    <mergeCell ref="A147:H147"/>
    <mergeCell ref="A154:H154"/>
    <mergeCell ref="A165:H165"/>
    <mergeCell ref="A166:B166"/>
    <mergeCell ref="A167:B167"/>
    <mergeCell ref="A168:B168"/>
    <mergeCell ref="A169:B169"/>
    <mergeCell ref="A170:B170"/>
    <mergeCell ref="E139:F139"/>
    <mergeCell ref="A74:B74"/>
    <mergeCell ref="F122:H122"/>
    <mergeCell ref="A171:B171"/>
    <mergeCell ref="A172:B172"/>
    <mergeCell ref="A173:B173"/>
    <mergeCell ref="A174:B174"/>
    <mergeCell ref="A76:B76"/>
    <mergeCell ref="C137:D137"/>
    <mergeCell ref="E137:F137"/>
    <mergeCell ref="G137:H137"/>
    <mergeCell ref="F128:H128"/>
    <mergeCell ref="A122:E122"/>
    <mergeCell ref="F121:H121"/>
    <mergeCell ref="F126:H126"/>
    <mergeCell ref="A127:E127"/>
    <mergeCell ref="F127:H127"/>
    <mergeCell ref="A128:E128"/>
    <mergeCell ref="A158:B158"/>
    <mergeCell ref="A159:B159"/>
    <mergeCell ref="A160:B160"/>
    <mergeCell ref="A155:B155"/>
    <mergeCell ref="A156:B156"/>
    <mergeCell ref="A142:H142"/>
    <mergeCell ref="F124:H124"/>
    <mergeCell ref="A16:B16"/>
    <mergeCell ref="C16:H16"/>
    <mergeCell ref="E41:H41"/>
    <mergeCell ref="A41:D41"/>
    <mergeCell ref="A48:B48"/>
    <mergeCell ref="C48:E48"/>
    <mergeCell ref="A57:C57"/>
    <mergeCell ref="G48:H48"/>
    <mergeCell ref="G50:H50"/>
    <mergeCell ref="D54:H54"/>
    <mergeCell ref="C50:E50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44:D44"/>
    <mergeCell ref="A45:D45"/>
    <mergeCell ref="F125:H125"/>
    <mergeCell ref="C138:D138"/>
    <mergeCell ref="E138:F138"/>
    <mergeCell ref="C136:D136"/>
    <mergeCell ref="G136:H136"/>
    <mergeCell ref="A141:B141"/>
    <mergeCell ref="E141:F141"/>
    <mergeCell ref="A140:B140"/>
    <mergeCell ref="C140:D140"/>
    <mergeCell ref="G139:H139"/>
    <mergeCell ref="A138:B138"/>
    <mergeCell ref="F129:H129"/>
    <mergeCell ref="F132:H132"/>
    <mergeCell ref="F130:H130"/>
    <mergeCell ref="A131:E131"/>
    <mergeCell ref="F131:H131"/>
    <mergeCell ref="A130:E130"/>
    <mergeCell ref="A129:E129"/>
    <mergeCell ref="E140:F140"/>
    <mergeCell ref="G140:H140"/>
    <mergeCell ref="A107:B107"/>
    <mergeCell ref="C107:H107"/>
    <mergeCell ref="A109:B109"/>
    <mergeCell ref="C109:H109"/>
    <mergeCell ref="A110:B110"/>
    <mergeCell ref="E110:F110"/>
    <mergeCell ref="G110:H110"/>
    <mergeCell ref="A111:B111"/>
    <mergeCell ref="E111:F120"/>
    <mergeCell ref="G111:H120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</mergeCells>
  <hyperlinks>
    <hyperlink ref="C38" r:id="rId1"/>
    <hyperlink ref="J152" r:id="rId2"/>
  </hyperlinks>
  <printOptions horizontalCentered="1"/>
  <pageMargins left="0.39370078740157499" right="0.39370078740157499" top="0.82677165354330695" bottom="0.78740157480314998" header="0.15748031496063" footer="0.196850393700787"/>
  <pageSetup paperSize="2" scale="9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78" max="7" man="1"/>
    <brk id="120" max="16383" man="1"/>
    <brk id="281" max="16383" man="1"/>
    <brk id="327" max="16383" man="1"/>
    <brk id="369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72" t="s">
        <v>111</v>
      </c>
      <c r="C3" s="172"/>
      <c r="D3" s="172"/>
      <c r="E3" s="172"/>
      <c r="F3" s="172"/>
      <c r="G3" s="172"/>
      <c r="H3" s="172"/>
    </row>
    <row r="4" spans="1:9" x14ac:dyDescent="0.3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2025-07-10T06:14:48Z</cp:lastPrinted>
  <dcterms:created xsi:type="dcterms:W3CDTF">2019-07-16T09:29:46Z</dcterms:created>
  <dcterms:modified xsi:type="dcterms:W3CDTF">2025-07-10T06:15:45Z</dcterms:modified>
</cp:coreProperties>
</file>