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July 2025\14-07-2025\"/>
    </mc:Choice>
  </mc:AlternateContent>
  <bookViews>
    <workbookView xWindow="0" yWindow="0" windowWidth="19200" windowHeight="6640" tabRatio="812"/>
  </bookViews>
  <sheets>
    <sheet name="Sheet1" sheetId="1" r:id="rId1"/>
    <sheet name="Note" sheetId="15" r:id="rId2"/>
    <sheet name="C% A, B &amp; C" sheetId="11" r:id="rId3"/>
    <sheet name="C% D &amp; E" sheetId="14" r:id="rId4"/>
    <sheet name="Wing B" sheetId="12" r:id="rId5"/>
    <sheet name="Wing C" sheetId="13" r:id="rId6"/>
  </sheets>
  <externalReferences>
    <externalReference r:id="rId7"/>
  </externalReferences>
  <definedNames>
    <definedName name="_xlnm.Print_Area" localSheetId="0">Sheet1!$A$1:$J$590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0" i="1" l="1"/>
  <c r="H395" i="1"/>
  <c r="D46" i="1"/>
  <c r="F3" i="1"/>
  <c r="N34" i="13" l="1"/>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F35" i="12" s="1"/>
  <c r="E35" i="12" s="1"/>
  <c r="B16" i="14"/>
  <c r="B14" i="14"/>
  <c r="B12" i="14"/>
  <c r="B10" i="14"/>
  <c r="B8" i="14"/>
  <c r="M7" i="14"/>
  <c r="L16" i="14" s="1"/>
  <c r="P6" i="14"/>
  <c r="K19" i="14" s="1"/>
  <c r="J6" i="14"/>
  <c r="J7" i="14" s="1"/>
  <c r="L13" i="14" s="1"/>
  <c r="B6" i="14"/>
  <c r="F4" i="14"/>
  <c r="B16" i="11"/>
  <c r="F16" i="11" s="1"/>
  <c r="F14" i="11"/>
  <c r="B14" i="11"/>
  <c r="B12" i="11"/>
  <c r="N7" i="11" s="1"/>
  <c r="L17" i="11" s="1"/>
  <c r="B10" i="11"/>
  <c r="M7" i="11" s="1"/>
  <c r="L16" i="11" s="1"/>
  <c r="B8" i="11"/>
  <c r="L7" i="11" s="1"/>
  <c r="L15" i="11" s="1"/>
  <c r="P7" i="11"/>
  <c r="L19" i="11" s="1"/>
  <c r="O7" i="11"/>
  <c r="L18" i="11" s="1"/>
  <c r="P6" i="11"/>
  <c r="K19" i="11" s="1"/>
  <c r="O6" i="11"/>
  <c r="K18" i="11" s="1"/>
  <c r="K6" i="11"/>
  <c r="K14" i="11" s="1"/>
  <c r="J6" i="11"/>
  <c r="K13" i="11" s="1"/>
  <c r="B6" i="11"/>
  <c r="K7" i="11" s="1"/>
  <c r="L14" i="11" s="1"/>
  <c r="F4" i="11"/>
  <c r="E504" i="1"/>
  <c r="F490" i="1"/>
  <c r="D490" i="1"/>
  <c r="F489" i="1"/>
  <c r="D489" i="1"/>
  <c r="F488" i="1"/>
  <c r="D488" i="1"/>
  <c r="F487" i="1"/>
  <c r="D487" i="1"/>
  <c r="H486" i="1"/>
  <c r="F486" i="1"/>
  <c r="D486" i="1"/>
  <c r="F484" i="1"/>
  <c r="D484" i="1"/>
  <c r="F483" i="1"/>
  <c r="D483" i="1"/>
  <c r="F481" i="1"/>
  <c r="D481" i="1"/>
  <c r="H480" i="1"/>
  <c r="F480" i="1"/>
  <c r="D480" i="1"/>
  <c r="F478" i="1"/>
  <c r="D478" i="1"/>
  <c r="F477" i="1"/>
  <c r="D477" i="1"/>
  <c r="F476" i="1"/>
  <c r="D476" i="1"/>
  <c r="F475" i="1"/>
  <c r="D475" i="1"/>
  <c r="H474" i="1"/>
  <c r="F474" i="1"/>
  <c r="D474" i="1"/>
  <c r="F472" i="1"/>
  <c r="D472" i="1"/>
  <c r="F471" i="1"/>
  <c r="D471" i="1"/>
  <c r="F470" i="1"/>
  <c r="D470" i="1"/>
  <c r="F469" i="1"/>
  <c r="D469" i="1"/>
  <c r="H468" i="1"/>
  <c r="F468" i="1"/>
  <c r="D468" i="1"/>
  <c r="F466" i="1"/>
  <c r="D466" i="1"/>
  <c r="F465" i="1"/>
  <c r="D465" i="1"/>
  <c r="F464" i="1"/>
  <c r="D464" i="1"/>
  <c r="F463" i="1"/>
  <c r="D463" i="1"/>
  <c r="H462" i="1"/>
  <c r="F462" i="1"/>
  <c r="D462" i="1"/>
  <c r="F460" i="1"/>
  <c r="D460" i="1"/>
  <c r="F459" i="1"/>
  <c r="D459" i="1"/>
  <c r="F458" i="1"/>
  <c r="D458" i="1"/>
  <c r="F457" i="1"/>
  <c r="D457" i="1"/>
  <c r="H456" i="1"/>
  <c r="F456" i="1"/>
  <c r="D456" i="1"/>
  <c r="F454" i="1"/>
  <c r="D454" i="1"/>
  <c r="F453" i="1"/>
  <c r="D453" i="1"/>
  <c r="F452" i="1"/>
  <c r="D452" i="1"/>
  <c r="F451" i="1"/>
  <c r="D451" i="1"/>
  <c r="H450" i="1"/>
  <c r="F450" i="1"/>
  <c r="D450" i="1"/>
  <c r="F448" i="1"/>
  <c r="D448" i="1"/>
  <c r="F447" i="1"/>
  <c r="D447" i="1"/>
  <c r="F446" i="1"/>
  <c r="D446" i="1"/>
  <c r="F445" i="1"/>
  <c r="D445" i="1"/>
  <c r="F444" i="1"/>
  <c r="D444" i="1"/>
  <c r="F441" i="1"/>
  <c r="D441" i="1"/>
  <c r="F440" i="1"/>
  <c r="D440" i="1"/>
  <c r="F439" i="1"/>
  <c r="D439" i="1"/>
  <c r="F438" i="1"/>
  <c r="D438" i="1"/>
  <c r="H437" i="1"/>
  <c r="F437" i="1"/>
  <c r="D437" i="1"/>
  <c r="F435" i="1"/>
  <c r="D435" i="1"/>
  <c r="F434" i="1"/>
  <c r="D434" i="1"/>
  <c r="F432" i="1"/>
  <c r="D432" i="1"/>
  <c r="H431" i="1"/>
  <c r="F431" i="1"/>
  <c r="D431" i="1"/>
  <c r="F429" i="1"/>
  <c r="D429" i="1"/>
  <c r="F428" i="1"/>
  <c r="D428" i="1"/>
  <c r="F427" i="1"/>
  <c r="D427" i="1"/>
  <c r="F426" i="1"/>
  <c r="D426" i="1"/>
  <c r="H425" i="1"/>
  <c r="F425" i="1"/>
  <c r="D425" i="1"/>
  <c r="F423" i="1"/>
  <c r="D423" i="1"/>
  <c r="F422" i="1"/>
  <c r="D422" i="1"/>
  <c r="F421" i="1"/>
  <c r="D421" i="1"/>
  <c r="F420" i="1"/>
  <c r="D420" i="1"/>
  <c r="H419" i="1"/>
  <c r="F419" i="1"/>
  <c r="D419" i="1"/>
  <c r="F417" i="1"/>
  <c r="D417" i="1"/>
  <c r="F416" i="1"/>
  <c r="D416" i="1"/>
  <c r="F415" i="1"/>
  <c r="D415" i="1"/>
  <c r="F414" i="1"/>
  <c r="D414" i="1"/>
  <c r="H413" i="1"/>
  <c r="F413" i="1"/>
  <c r="D413" i="1"/>
  <c r="F411" i="1"/>
  <c r="D411" i="1"/>
  <c r="F410" i="1"/>
  <c r="D410" i="1"/>
  <c r="F409" i="1"/>
  <c r="D409" i="1"/>
  <c r="F408" i="1"/>
  <c r="D408" i="1"/>
  <c r="H407" i="1"/>
  <c r="F407" i="1"/>
  <c r="D407" i="1"/>
  <c r="F405" i="1"/>
  <c r="D405" i="1"/>
  <c r="F404" i="1"/>
  <c r="D404" i="1"/>
  <c r="F403" i="1"/>
  <c r="D403" i="1"/>
  <c r="F402" i="1"/>
  <c r="D402" i="1"/>
  <c r="H401" i="1"/>
  <c r="F401" i="1"/>
  <c r="D401" i="1"/>
  <c r="F399" i="1"/>
  <c r="D399" i="1"/>
  <c r="F398" i="1"/>
  <c r="D398" i="1"/>
  <c r="F397" i="1"/>
  <c r="D397" i="1"/>
  <c r="F396" i="1"/>
  <c r="D396" i="1"/>
  <c r="F395" i="1"/>
  <c r="D395" i="1"/>
  <c r="F392" i="1"/>
  <c r="D392" i="1"/>
  <c r="F391" i="1"/>
  <c r="D391" i="1"/>
  <c r="F390" i="1"/>
  <c r="D390" i="1"/>
  <c r="F389" i="1"/>
  <c r="D389" i="1"/>
  <c r="F388" i="1"/>
  <c r="D388" i="1"/>
  <c r="H387" i="1"/>
  <c r="F387" i="1"/>
  <c r="D387" i="1"/>
  <c r="F385" i="1"/>
  <c r="D385" i="1"/>
  <c r="F384" i="1"/>
  <c r="D384" i="1"/>
  <c r="F383" i="1"/>
  <c r="D383" i="1"/>
  <c r="F382" i="1"/>
  <c r="D382" i="1"/>
  <c r="F381" i="1"/>
  <c r="D381" i="1"/>
  <c r="H380" i="1"/>
  <c r="F380" i="1"/>
  <c r="D380" i="1"/>
  <c r="F378" i="1"/>
  <c r="D378" i="1"/>
  <c r="F377" i="1"/>
  <c r="D377" i="1"/>
  <c r="F376" i="1"/>
  <c r="D376" i="1"/>
  <c r="F375" i="1"/>
  <c r="D375" i="1"/>
  <c r="F374" i="1"/>
  <c r="D374" i="1"/>
  <c r="H373" i="1"/>
  <c r="F373" i="1"/>
  <c r="D373" i="1"/>
  <c r="F371" i="1"/>
  <c r="D371" i="1"/>
  <c r="F370" i="1"/>
  <c r="D370" i="1"/>
  <c r="F369" i="1"/>
  <c r="D369" i="1"/>
  <c r="F368" i="1"/>
  <c r="D368" i="1"/>
  <c r="F367" i="1"/>
  <c r="D367" i="1"/>
  <c r="H366" i="1"/>
  <c r="F366" i="1"/>
  <c r="D366" i="1"/>
  <c r="F364" i="1"/>
  <c r="D364" i="1"/>
  <c r="F363" i="1"/>
  <c r="D363" i="1"/>
  <c r="F362" i="1"/>
  <c r="D362" i="1"/>
  <c r="F361" i="1"/>
  <c r="D361" i="1"/>
  <c r="F360" i="1"/>
  <c r="D360" i="1"/>
  <c r="H359" i="1"/>
  <c r="F359" i="1"/>
  <c r="D359" i="1"/>
  <c r="F357" i="1"/>
  <c r="D357" i="1"/>
  <c r="F356" i="1"/>
  <c r="D356" i="1"/>
  <c r="F355" i="1"/>
  <c r="D355" i="1"/>
  <c r="F354" i="1"/>
  <c r="D354" i="1"/>
  <c r="F353" i="1"/>
  <c r="D353" i="1"/>
  <c r="H352" i="1"/>
  <c r="F352" i="1"/>
  <c r="D352" i="1"/>
  <c r="F350" i="1"/>
  <c r="D350" i="1"/>
  <c r="F349" i="1"/>
  <c r="D349" i="1"/>
  <c r="F348" i="1"/>
  <c r="D348" i="1"/>
  <c r="F347" i="1"/>
  <c r="D347" i="1"/>
  <c r="F346" i="1"/>
  <c r="D346" i="1"/>
  <c r="H345" i="1"/>
  <c r="F345" i="1"/>
  <c r="D345" i="1"/>
  <c r="F343" i="1"/>
  <c r="D343" i="1"/>
  <c r="F342" i="1"/>
  <c r="D342" i="1"/>
  <c r="F341" i="1"/>
  <c r="D341" i="1"/>
  <c r="F340" i="1"/>
  <c r="D340" i="1"/>
  <c r="F339" i="1"/>
  <c r="D339" i="1"/>
  <c r="H338" i="1"/>
  <c r="F338" i="1"/>
  <c r="D338" i="1"/>
  <c r="F336" i="1"/>
  <c r="D336" i="1"/>
  <c r="F335" i="1"/>
  <c r="D335" i="1"/>
  <c r="F334" i="1"/>
  <c r="D334" i="1"/>
  <c r="F333" i="1"/>
  <c r="D333" i="1"/>
  <c r="F332" i="1"/>
  <c r="D332" i="1"/>
  <c r="H331" i="1"/>
  <c r="F331" i="1"/>
  <c r="D331" i="1"/>
  <c r="F329" i="1"/>
  <c r="D329" i="1"/>
  <c r="F328" i="1"/>
  <c r="D328" i="1"/>
  <c r="F327" i="1"/>
  <c r="D327" i="1"/>
  <c r="F326" i="1"/>
  <c r="D326" i="1"/>
  <c r="F325" i="1"/>
  <c r="D325" i="1"/>
  <c r="H324" i="1"/>
  <c r="F324" i="1"/>
  <c r="D324" i="1"/>
  <c r="F322" i="1"/>
  <c r="D322" i="1"/>
  <c r="F321" i="1"/>
  <c r="D321" i="1"/>
  <c r="F320" i="1"/>
  <c r="D320" i="1"/>
  <c r="F319" i="1"/>
  <c r="D319" i="1"/>
  <c r="F318" i="1"/>
  <c r="D318" i="1"/>
  <c r="H317" i="1"/>
  <c r="F317" i="1"/>
  <c r="D317" i="1"/>
  <c r="F315" i="1"/>
  <c r="D315" i="1"/>
  <c r="F314" i="1"/>
  <c r="D314" i="1"/>
  <c r="F313" i="1"/>
  <c r="D313" i="1"/>
  <c r="F312" i="1"/>
  <c r="D312" i="1"/>
  <c r="F311" i="1"/>
  <c r="D311" i="1"/>
  <c r="F310" i="1"/>
  <c r="D310" i="1"/>
  <c r="F307" i="1"/>
  <c r="D307" i="1"/>
  <c r="F306" i="1"/>
  <c r="D306" i="1"/>
  <c r="F305" i="1"/>
  <c r="D305" i="1"/>
  <c r="F304" i="1"/>
  <c r="D304" i="1"/>
  <c r="F303" i="1"/>
  <c r="D303" i="1"/>
  <c r="H302" i="1"/>
  <c r="F302" i="1"/>
  <c r="D302" i="1"/>
  <c r="F300" i="1"/>
  <c r="D300" i="1"/>
  <c r="F299" i="1"/>
  <c r="D299" i="1"/>
  <c r="F298" i="1"/>
  <c r="D298" i="1"/>
  <c r="F297" i="1"/>
  <c r="D297" i="1"/>
  <c r="F296" i="1"/>
  <c r="D296" i="1"/>
  <c r="H295" i="1"/>
  <c r="F295" i="1"/>
  <c r="D295" i="1"/>
  <c r="F293" i="1"/>
  <c r="D293" i="1"/>
  <c r="F292" i="1"/>
  <c r="D292" i="1"/>
  <c r="F291" i="1"/>
  <c r="D291" i="1"/>
  <c r="F290" i="1"/>
  <c r="D290" i="1"/>
  <c r="F289" i="1"/>
  <c r="D289" i="1"/>
  <c r="H288" i="1"/>
  <c r="F288" i="1"/>
  <c r="D288" i="1"/>
  <c r="G288" i="1" s="1"/>
  <c r="F286" i="1"/>
  <c r="D286" i="1"/>
  <c r="F285" i="1"/>
  <c r="D285" i="1"/>
  <c r="F284" i="1"/>
  <c r="D284" i="1"/>
  <c r="F283" i="1"/>
  <c r="D283" i="1"/>
  <c r="G283" i="1" s="1"/>
  <c r="F282" i="1"/>
  <c r="D282" i="1"/>
  <c r="H281" i="1"/>
  <c r="F281" i="1"/>
  <c r="D281" i="1"/>
  <c r="F279" i="1"/>
  <c r="D279" i="1"/>
  <c r="F278" i="1"/>
  <c r="D278" i="1"/>
  <c r="F277" i="1"/>
  <c r="D277" i="1"/>
  <c r="F276" i="1"/>
  <c r="D276" i="1"/>
  <c r="F275" i="1"/>
  <c r="D275" i="1"/>
  <c r="H274" i="1"/>
  <c r="F274" i="1"/>
  <c r="D274" i="1"/>
  <c r="F272" i="1"/>
  <c r="D272" i="1"/>
  <c r="F271" i="1"/>
  <c r="D271" i="1"/>
  <c r="F270" i="1"/>
  <c r="D270" i="1"/>
  <c r="G270" i="1" s="1"/>
  <c r="F269" i="1"/>
  <c r="D269" i="1"/>
  <c r="F268" i="1"/>
  <c r="D268" i="1"/>
  <c r="H267" i="1"/>
  <c r="F267" i="1"/>
  <c r="D267" i="1"/>
  <c r="F265" i="1"/>
  <c r="D265" i="1"/>
  <c r="F264" i="1"/>
  <c r="D264" i="1"/>
  <c r="F263" i="1"/>
  <c r="D263" i="1"/>
  <c r="F262" i="1"/>
  <c r="D262" i="1"/>
  <c r="F261" i="1"/>
  <c r="D261" i="1"/>
  <c r="H260" i="1"/>
  <c r="F260" i="1"/>
  <c r="D260" i="1"/>
  <c r="F258" i="1"/>
  <c r="D258" i="1"/>
  <c r="F257" i="1"/>
  <c r="D257" i="1"/>
  <c r="F256" i="1"/>
  <c r="D256" i="1"/>
  <c r="F255" i="1"/>
  <c r="D255" i="1"/>
  <c r="F254" i="1"/>
  <c r="D254" i="1"/>
  <c r="H253" i="1"/>
  <c r="F253" i="1"/>
  <c r="D253" i="1"/>
  <c r="F251" i="1"/>
  <c r="D251" i="1"/>
  <c r="F250" i="1"/>
  <c r="D250" i="1"/>
  <c r="F249" i="1"/>
  <c r="D249" i="1"/>
  <c r="F248" i="1"/>
  <c r="D248" i="1"/>
  <c r="F247" i="1"/>
  <c r="D247" i="1"/>
  <c r="H246" i="1"/>
  <c r="F246" i="1"/>
  <c r="D246" i="1"/>
  <c r="F244" i="1"/>
  <c r="D244" i="1"/>
  <c r="G244" i="1" s="1"/>
  <c r="F243" i="1"/>
  <c r="D243" i="1"/>
  <c r="F242" i="1"/>
  <c r="D242" i="1"/>
  <c r="F241" i="1"/>
  <c r="D241" i="1"/>
  <c r="F240" i="1"/>
  <c r="D240" i="1"/>
  <c r="G240" i="1" s="1"/>
  <c r="H239" i="1"/>
  <c r="F239" i="1"/>
  <c r="D239" i="1"/>
  <c r="F237" i="1"/>
  <c r="D237" i="1"/>
  <c r="F236" i="1"/>
  <c r="D236" i="1"/>
  <c r="F235" i="1"/>
  <c r="D235" i="1"/>
  <c r="F234" i="1"/>
  <c r="D234" i="1"/>
  <c r="F233" i="1"/>
  <c r="D233" i="1"/>
  <c r="H232" i="1"/>
  <c r="F232" i="1"/>
  <c r="D232" i="1"/>
  <c r="G232" i="1" s="1"/>
  <c r="F230" i="1"/>
  <c r="D230" i="1"/>
  <c r="F229" i="1"/>
  <c r="D229" i="1"/>
  <c r="F228" i="1"/>
  <c r="D228" i="1"/>
  <c r="F227" i="1"/>
  <c r="D227" i="1"/>
  <c r="G227" i="1" s="1"/>
  <c r="F226" i="1"/>
  <c r="D226" i="1"/>
  <c r="H225" i="1"/>
  <c r="F225" i="1"/>
  <c r="D225" i="1"/>
  <c r="F222" i="1"/>
  <c r="D222" i="1"/>
  <c r="F221" i="1"/>
  <c r="D221" i="1"/>
  <c r="F220" i="1"/>
  <c r="D220" i="1"/>
  <c r="F219" i="1"/>
  <c r="D219" i="1"/>
  <c r="H218" i="1"/>
  <c r="F218" i="1"/>
  <c r="D218" i="1"/>
  <c r="G218" i="1" s="1"/>
  <c r="F216" i="1"/>
  <c r="D216" i="1"/>
  <c r="F215" i="1"/>
  <c r="D215" i="1"/>
  <c r="F214" i="1"/>
  <c r="D214" i="1"/>
  <c r="F213" i="1"/>
  <c r="D213" i="1"/>
  <c r="G213" i="1" s="1"/>
  <c r="H212" i="1"/>
  <c r="F212" i="1"/>
  <c r="D212" i="1"/>
  <c r="F210" i="1"/>
  <c r="D210" i="1"/>
  <c r="F209" i="1"/>
  <c r="D209" i="1"/>
  <c r="F208" i="1"/>
  <c r="D208" i="1"/>
  <c r="F207" i="1"/>
  <c r="D207" i="1"/>
  <c r="H206" i="1"/>
  <c r="F206" i="1"/>
  <c r="D206" i="1"/>
  <c r="F204" i="1"/>
  <c r="D204" i="1"/>
  <c r="F203" i="1"/>
  <c r="D203" i="1"/>
  <c r="F202" i="1"/>
  <c r="D202" i="1"/>
  <c r="F201" i="1"/>
  <c r="D201" i="1"/>
  <c r="H200" i="1"/>
  <c r="F200" i="1"/>
  <c r="D200" i="1"/>
  <c r="F198" i="1"/>
  <c r="D198" i="1"/>
  <c r="F197" i="1"/>
  <c r="D197" i="1"/>
  <c r="F196" i="1"/>
  <c r="D196" i="1"/>
  <c r="F195" i="1"/>
  <c r="D195" i="1"/>
  <c r="H194" i="1"/>
  <c r="F194" i="1"/>
  <c r="D194" i="1"/>
  <c r="F192" i="1"/>
  <c r="D192" i="1"/>
  <c r="F191" i="1"/>
  <c r="D191" i="1"/>
  <c r="G191" i="1" s="1"/>
  <c r="H188" i="1"/>
  <c r="F188" i="1"/>
  <c r="D188" i="1"/>
  <c r="F186" i="1"/>
  <c r="D186" i="1"/>
  <c r="F185" i="1"/>
  <c r="D185" i="1"/>
  <c r="F184" i="1"/>
  <c r="D184" i="1"/>
  <c r="F183" i="1"/>
  <c r="D183" i="1"/>
  <c r="H182" i="1"/>
  <c r="F182" i="1"/>
  <c r="D182" i="1"/>
  <c r="F180" i="1"/>
  <c r="D180" i="1"/>
  <c r="G180" i="1" s="1"/>
  <c r="F179" i="1"/>
  <c r="D179" i="1"/>
  <c r="F178" i="1"/>
  <c r="D178" i="1"/>
  <c r="F177" i="1"/>
  <c r="D177" i="1"/>
  <c r="H176" i="1"/>
  <c r="F176" i="1"/>
  <c r="D176" i="1"/>
  <c r="F174" i="1"/>
  <c r="D174" i="1"/>
  <c r="F173" i="1"/>
  <c r="D173" i="1"/>
  <c r="F172" i="1"/>
  <c r="D172" i="1"/>
  <c r="F171" i="1"/>
  <c r="D171" i="1"/>
  <c r="H170" i="1"/>
  <c r="F170" i="1"/>
  <c r="D170" i="1"/>
  <c r="F168" i="1"/>
  <c r="D168" i="1"/>
  <c r="F167" i="1"/>
  <c r="D167" i="1"/>
  <c r="G167" i="1" s="1"/>
  <c r="H164" i="1"/>
  <c r="F164" i="1"/>
  <c r="D164" i="1"/>
  <c r="F162" i="1"/>
  <c r="D162" i="1"/>
  <c r="F161" i="1"/>
  <c r="D161" i="1"/>
  <c r="F160" i="1"/>
  <c r="D160" i="1"/>
  <c r="F159" i="1"/>
  <c r="D159" i="1"/>
  <c r="H158" i="1"/>
  <c r="F158" i="1"/>
  <c r="D158" i="1"/>
  <c r="L156" i="1"/>
  <c r="F156" i="1"/>
  <c r="D156" i="1"/>
  <c r="F155" i="1"/>
  <c r="D155" i="1"/>
  <c r="H154" i="1"/>
  <c r="F154" i="1"/>
  <c r="D154" i="1"/>
  <c r="F149" i="1"/>
  <c r="D149" i="1"/>
  <c r="G149" i="1" s="1"/>
  <c r="G148" i="1"/>
  <c r="D148" i="1"/>
  <c r="G147" i="1"/>
  <c r="F147" i="1"/>
  <c r="D147" i="1"/>
  <c r="G146" i="1"/>
  <c r="F146" i="1"/>
  <c r="D146" i="1"/>
  <c r="D145" i="1"/>
  <c r="G145" i="1" s="1"/>
  <c r="F144" i="1"/>
  <c r="D144" i="1"/>
  <c r="F143" i="1"/>
  <c r="D143" i="1"/>
  <c r="D142" i="1"/>
  <c r="G142" i="1" s="1"/>
  <c r="F141" i="1"/>
  <c r="D141" i="1"/>
  <c r="G141" i="1" s="1"/>
  <c r="F140" i="1"/>
  <c r="D140" i="1"/>
  <c r="D139" i="1"/>
  <c r="G139" i="1" s="1"/>
  <c r="F138" i="1"/>
  <c r="D138" i="1"/>
  <c r="F137" i="1"/>
  <c r="D137" i="1"/>
  <c r="D136" i="1"/>
  <c r="G136" i="1" s="1"/>
  <c r="D135" i="1"/>
  <c r="K135" i="1" s="1"/>
  <c r="D134" i="1"/>
  <c r="G134" i="1" s="1"/>
  <c r="K134" i="1" s="1"/>
  <c r="F133" i="1"/>
  <c r="D133" i="1"/>
  <c r="F132" i="1"/>
  <c r="D132" i="1"/>
  <c r="D131" i="1"/>
  <c r="G131" i="1" s="1"/>
  <c r="D130" i="1"/>
  <c r="K130" i="1" s="1"/>
  <c r="F129" i="1"/>
  <c r="D129" i="1"/>
  <c r="F128" i="1"/>
  <c r="D128" i="1"/>
  <c r="F127" i="1"/>
  <c r="D127" i="1"/>
  <c r="H126" i="1"/>
  <c r="F126" i="1"/>
  <c r="D126" i="1"/>
  <c r="K115" i="1"/>
  <c r="K110" i="1"/>
  <c r="G106" i="1"/>
  <c r="L100" i="1"/>
  <c r="M100" i="1" s="1"/>
  <c r="K100" i="1"/>
  <c r="L92" i="1"/>
  <c r="L91" i="1"/>
  <c r="L90" i="1"/>
  <c r="L89" i="1"/>
  <c r="L78" i="1"/>
  <c r="L77" i="1"/>
  <c r="L76" i="1"/>
  <c r="L75" i="1"/>
  <c r="L64" i="1"/>
  <c r="L63" i="1"/>
  <c r="L62" i="1"/>
  <c r="L61" i="1"/>
  <c r="D48" i="1"/>
  <c r="H43" i="1"/>
  <c r="C43" i="1"/>
  <c r="I54" i="1"/>
  <c r="I68" i="1"/>
  <c r="I82" i="1"/>
  <c r="G296" i="1" l="1"/>
  <c r="G300" i="1"/>
  <c r="G475" i="1"/>
  <c r="N6" i="11"/>
  <c r="K17" i="11" s="1"/>
  <c r="F12" i="11"/>
  <c r="G336" i="1"/>
  <c r="G362" i="1"/>
  <c r="G375" i="1"/>
  <c r="G380" i="1"/>
  <c r="G420" i="1"/>
  <c r="M35" i="12"/>
  <c r="L35" i="12" s="1"/>
  <c r="G388" i="1"/>
  <c r="M6" i="11"/>
  <c r="K16" i="11" s="1"/>
  <c r="F10" i="11"/>
  <c r="N100" i="1"/>
  <c r="O100" i="1" s="1"/>
  <c r="G154" i="1"/>
  <c r="G332" i="1"/>
  <c r="G411" i="1"/>
  <c r="G480" i="1"/>
  <c r="G158" i="1"/>
  <c r="J35" i="12"/>
  <c r="I35" i="12" s="1"/>
  <c r="L6" i="11"/>
  <c r="K15" i="11" s="1"/>
  <c r="K20" i="11" s="1"/>
  <c r="F8" i="11"/>
  <c r="N35" i="13"/>
  <c r="M35" i="13" s="1"/>
  <c r="C109" i="1"/>
  <c r="G35" i="13"/>
  <c r="F35" i="13" s="1"/>
  <c r="J7" i="11"/>
  <c r="L13" i="11" s="1"/>
  <c r="L20" i="11" s="1"/>
  <c r="D115" i="1"/>
  <c r="F6" i="11"/>
  <c r="G170" i="1"/>
  <c r="G194" i="1"/>
  <c r="G202" i="1"/>
  <c r="G215" i="1"/>
  <c r="G242" i="1"/>
  <c r="G255" i="1"/>
  <c r="G260" i="1"/>
  <c r="G268" i="1"/>
  <c r="G272" i="1"/>
  <c r="G298" i="1"/>
  <c r="G321" i="1"/>
  <c r="G334" i="1"/>
  <c r="G347" i="1"/>
  <c r="G352" i="1"/>
  <c r="G360" i="1"/>
  <c r="G364" i="1"/>
  <c r="G390" i="1"/>
  <c r="G396" i="1"/>
  <c r="G422" i="1"/>
  <c r="G437" i="1"/>
  <c r="G451" i="1"/>
  <c r="G456" i="1"/>
  <c r="G464" i="1"/>
  <c r="G477" i="1"/>
  <c r="G487" i="1"/>
  <c r="G129" i="1"/>
  <c r="G140" i="1"/>
  <c r="G179" i="1"/>
  <c r="G203" i="1"/>
  <c r="G230" i="1"/>
  <c r="G256" i="1"/>
  <c r="G269" i="1"/>
  <c r="G274" i="1"/>
  <c r="G282" i="1"/>
  <c r="G286" i="1"/>
  <c r="G318" i="1"/>
  <c r="G322" i="1"/>
  <c r="G348" i="1"/>
  <c r="G361" i="1"/>
  <c r="G366" i="1"/>
  <c r="G374" i="1"/>
  <c r="G378" i="1"/>
  <c r="G410" i="1"/>
  <c r="G423" i="1"/>
  <c r="G432" i="1"/>
  <c r="G452" i="1"/>
  <c r="G488" i="1"/>
  <c r="G168" i="1"/>
  <c r="G177" i="1"/>
  <c r="G182" i="1"/>
  <c r="G201" i="1"/>
  <c r="G206" i="1"/>
  <c r="G214" i="1"/>
  <c r="G241" i="1"/>
  <c r="G246" i="1"/>
  <c r="G254" i="1"/>
  <c r="G258" i="1"/>
  <c r="G284" i="1"/>
  <c r="G297" i="1"/>
  <c r="G302" i="1"/>
  <c r="G320" i="1"/>
  <c r="G338" i="1"/>
  <c r="G346" i="1"/>
  <c r="G350" i="1"/>
  <c r="G376" i="1"/>
  <c r="G389" i="1"/>
  <c r="G399" i="1"/>
  <c r="G408" i="1"/>
  <c r="G413" i="1"/>
  <c r="G435" i="1"/>
  <c r="G463" i="1"/>
  <c r="G468" i="1"/>
  <c r="G476" i="1"/>
  <c r="D116" i="1"/>
  <c r="G465" i="1"/>
  <c r="G392" i="1"/>
  <c r="G398" i="1"/>
  <c r="G425" i="1"/>
  <c r="G453" i="1"/>
  <c r="G490" i="1"/>
  <c r="G395" i="1"/>
  <c r="C117" i="1"/>
  <c r="D117" i="1"/>
  <c r="D109" i="1"/>
  <c r="C114" i="1"/>
  <c r="D110" i="1"/>
  <c r="G130" i="1"/>
  <c r="G135" i="1"/>
  <c r="C118" i="1"/>
  <c r="D118" i="1"/>
  <c r="G132" i="1"/>
  <c r="G133" i="1"/>
  <c r="G137" i="1"/>
  <c r="G138" i="1"/>
  <c r="G143" i="1"/>
  <c r="G144" i="1"/>
  <c r="G159" i="1"/>
  <c r="G160" i="1"/>
  <c r="G161" i="1"/>
  <c r="G164" i="1"/>
  <c r="G171" i="1"/>
  <c r="G173" i="1"/>
  <c r="G174" i="1"/>
  <c r="G176" i="1"/>
  <c r="G183" i="1"/>
  <c r="G185" i="1"/>
  <c r="G186" i="1"/>
  <c r="G188" i="1"/>
  <c r="G195" i="1"/>
  <c r="G196" i="1"/>
  <c r="G197" i="1"/>
  <c r="G200" i="1"/>
  <c r="G207" i="1"/>
  <c r="G208" i="1"/>
  <c r="G209" i="1"/>
  <c r="G212" i="1"/>
  <c r="G219" i="1"/>
  <c r="G220" i="1"/>
  <c r="G221" i="1"/>
  <c r="G225" i="1"/>
  <c r="G234" i="1"/>
  <c r="G235" i="1"/>
  <c r="G236" i="1"/>
  <c r="G239" i="1"/>
  <c r="G248" i="1"/>
  <c r="G249" i="1"/>
  <c r="G250" i="1"/>
  <c r="G253" i="1"/>
  <c r="G262" i="1"/>
  <c r="G263" i="1"/>
  <c r="G264" i="1"/>
  <c r="G267" i="1"/>
  <c r="G276" i="1"/>
  <c r="G277" i="1"/>
  <c r="G278" i="1"/>
  <c r="G281" i="1"/>
  <c r="G290" i="1"/>
  <c r="G291" i="1"/>
  <c r="G292" i="1"/>
  <c r="G295" i="1"/>
  <c r="G304" i="1"/>
  <c r="G305" i="1"/>
  <c r="G306" i="1"/>
  <c r="G311" i="1"/>
  <c r="G312" i="1"/>
  <c r="G314" i="1"/>
  <c r="G315" i="1"/>
  <c r="G317" i="1"/>
  <c r="G325" i="1"/>
  <c r="G326" i="1"/>
  <c r="G328" i="1"/>
  <c r="G329" i="1"/>
  <c r="G331" i="1"/>
  <c r="G340" i="1"/>
  <c r="G341" i="1"/>
  <c r="G342" i="1"/>
  <c r="G345" i="1"/>
  <c r="G354" i="1"/>
  <c r="G355" i="1"/>
  <c r="G356" i="1"/>
  <c r="G359" i="1"/>
  <c r="G368" i="1"/>
  <c r="G369" i="1"/>
  <c r="G370" i="1"/>
  <c r="G373" i="1"/>
  <c r="G382" i="1"/>
  <c r="G383" i="1"/>
  <c r="G384" i="1"/>
  <c r="G387" i="1"/>
  <c r="G402" i="1"/>
  <c r="G404" i="1"/>
  <c r="G405" i="1"/>
  <c r="G407" i="1"/>
  <c r="G414" i="1"/>
  <c r="G416" i="1"/>
  <c r="G417" i="1"/>
  <c r="G419" i="1"/>
  <c r="G426" i="1"/>
  <c r="G428" i="1"/>
  <c r="G429" i="1"/>
  <c r="G431" i="1"/>
  <c r="G439" i="1"/>
  <c r="G440" i="1"/>
  <c r="G441" i="1"/>
  <c r="G445" i="1"/>
  <c r="G446" i="1"/>
  <c r="G447" i="1"/>
  <c r="G450" i="1"/>
  <c r="G457" i="1"/>
  <c r="G458" i="1"/>
  <c r="G459" i="1"/>
  <c r="G462" i="1"/>
  <c r="G469" i="1"/>
  <c r="G470" i="1"/>
  <c r="G471" i="1"/>
  <c r="G474" i="1"/>
  <c r="G481" i="1"/>
  <c r="G483" i="1"/>
  <c r="G484" i="1"/>
  <c r="D80" i="1"/>
  <c r="D79" i="1"/>
  <c r="D78" i="1"/>
  <c r="D77" i="1"/>
  <c r="D76" i="1"/>
  <c r="D75" i="1"/>
  <c r="D74" i="1"/>
  <c r="D73" i="1"/>
  <c r="L71" i="1"/>
  <c r="L72" i="1"/>
  <c r="C71" i="1" s="1"/>
  <c r="D71" i="1" s="1"/>
  <c r="L70" i="1"/>
  <c r="L73" i="1"/>
  <c r="L74" i="1" s="1"/>
  <c r="L79" i="1" s="1"/>
  <c r="L80" i="1" s="1"/>
  <c r="C72" i="1" s="1"/>
  <c r="D94" i="1"/>
  <c r="D93" i="1"/>
  <c r="D92" i="1"/>
  <c r="D91" i="1"/>
  <c r="D90" i="1"/>
  <c r="D89" i="1"/>
  <c r="D88" i="1"/>
  <c r="D87" i="1"/>
  <c r="L85" i="1"/>
  <c r="L86" i="1"/>
  <c r="C85" i="1" s="1"/>
  <c r="D85" i="1" s="1"/>
  <c r="L84" i="1"/>
  <c r="L87" i="1"/>
  <c r="L88" i="1" s="1"/>
  <c r="L93" i="1" s="1"/>
  <c r="L94" i="1" s="1"/>
  <c r="C86" i="1" s="1"/>
  <c r="D66" i="1"/>
  <c r="D65" i="1"/>
  <c r="D64" i="1"/>
  <c r="D63" i="1"/>
  <c r="D62" i="1"/>
  <c r="D61" i="1"/>
  <c r="D60" i="1"/>
  <c r="L58" i="1"/>
  <c r="C57" i="1" s="1"/>
  <c r="D57" i="1" s="1"/>
  <c r="L56" i="1"/>
  <c r="C59" i="1"/>
  <c r="D59" i="1" s="1"/>
  <c r="L57" i="1"/>
  <c r="L59" i="1"/>
  <c r="L60" i="1" s="1"/>
  <c r="L65" i="1" s="1"/>
  <c r="L66" i="1" s="1"/>
  <c r="C58" i="1" s="1"/>
  <c r="G126" i="1"/>
  <c r="G127" i="1"/>
  <c r="G228" i="1"/>
  <c r="G401" i="1"/>
  <c r="C110" i="1"/>
  <c r="G128" i="1"/>
  <c r="G155" i="1"/>
  <c r="L155" i="1" s="1"/>
  <c r="D114" i="1"/>
  <c r="G156" i="1"/>
  <c r="G162" i="1"/>
  <c r="G172" i="1"/>
  <c r="G178" i="1"/>
  <c r="G184" i="1"/>
  <c r="G192" i="1"/>
  <c r="G198" i="1"/>
  <c r="G204" i="1"/>
  <c r="G210" i="1"/>
  <c r="G216" i="1"/>
  <c r="G222" i="1"/>
  <c r="C115" i="1"/>
  <c r="G226" i="1"/>
  <c r="G229" i="1"/>
  <c r="G233" i="1"/>
  <c r="G237" i="1"/>
  <c r="G243" i="1"/>
  <c r="G247" i="1"/>
  <c r="G251" i="1"/>
  <c r="G257" i="1"/>
  <c r="G261" i="1"/>
  <c r="G265" i="1"/>
  <c r="G271" i="1"/>
  <c r="G275" i="1"/>
  <c r="G279" i="1"/>
  <c r="G285" i="1"/>
  <c r="G289" i="1"/>
  <c r="G293" i="1"/>
  <c r="G299" i="1"/>
  <c r="G303" i="1"/>
  <c r="G307" i="1"/>
  <c r="C116" i="1"/>
  <c r="G310" i="1"/>
  <c r="G313" i="1"/>
  <c r="G319" i="1"/>
  <c r="G324" i="1"/>
  <c r="G327" i="1"/>
  <c r="G333" i="1"/>
  <c r="F8" i="14"/>
  <c r="L7" i="14"/>
  <c r="L15" i="14" s="1"/>
  <c r="F12" i="14"/>
  <c r="N7" i="14"/>
  <c r="L17" i="14" s="1"/>
  <c r="N6" i="14"/>
  <c r="K17" i="14" s="1"/>
  <c r="G335" i="1"/>
  <c r="G339" i="1"/>
  <c r="G343" i="1"/>
  <c r="G349" i="1"/>
  <c r="G353" i="1"/>
  <c r="K6" i="14"/>
  <c r="K14" i="14" s="1"/>
  <c r="F6" i="14"/>
  <c r="K7" i="14"/>
  <c r="L14" i="14" s="1"/>
  <c r="L6" i="14"/>
  <c r="K15" i="14" s="1"/>
  <c r="F14" i="14"/>
  <c r="O6" i="14"/>
  <c r="K18" i="14" s="1"/>
  <c r="O7" i="14"/>
  <c r="L18" i="14" s="1"/>
  <c r="G357" i="1"/>
  <c r="G363" i="1"/>
  <c r="G367" i="1"/>
  <c r="G371" i="1"/>
  <c r="G377" i="1"/>
  <c r="G381" i="1"/>
  <c r="G385" i="1"/>
  <c r="G391" i="1"/>
  <c r="G397" i="1"/>
  <c r="G403" i="1"/>
  <c r="G409" i="1"/>
  <c r="G415" i="1"/>
  <c r="G421" i="1"/>
  <c r="G427" i="1"/>
  <c r="G434" i="1"/>
  <c r="G438" i="1"/>
  <c r="G444" i="1"/>
  <c r="G448" i="1"/>
  <c r="G454" i="1"/>
  <c r="G460" i="1"/>
  <c r="G466" i="1"/>
  <c r="G472" i="1"/>
  <c r="G478" i="1"/>
  <c r="G486" i="1"/>
  <c r="G489" i="1"/>
  <c r="F10" i="14"/>
  <c r="M6" i="14"/>
  <c r="K16" i="14" s="1"/>
  <c r="K13" i="14"/>
  <c r="F16" i="14"/>
  <c r="P7" i="14"/>
  <c r="L19" i="14" s="1"/>
  <c r="K35" i="13"/>
  <c r="J35" i="13" s="1"/>
  <c r="K20" i="14" l="1"/>
  <c r="D111" i="1"/>
  <c r="C111" i="1"/>
  <c r="L20" i="14"/>
  <c r="G117" i="1"/>
  <c r="D119" i="1"/>
  <c r="D120" i="1" s="1"/>
  <c r="C119" i="1"/>
  <c r="G118" i="1"/>
  <c r="G114" i="1"/>
  <c r="G110" i="1"/>
  <c r="F57" i="1"/>
  <c r="K53" i="1" s="1"/>
  <c r="C55" i="1" s="1"/>
  <c r="D58" i="1"/>
  <c r="F71" i="1"/>
  <c r="K67" i="1" s="1"/>
  <c r="C69" i="1" s="1"/>
  <c r="D72" i="1"/>
  <c r="F85" i="1"/>
  <c r="K81" i="1" s="1"/>
  <c r="C83" i="1" s="1"/>
  <c r="D86" i="1"/>
  <c r="G109" i="1"/>
  <c r="H85" i="1"/>
  <c r="G116" i="1"/>
  <c r="G115" i="1"/>
  <c r="H57" i="1"/>
  <c r="H71" i="1"/>
  <c r="G111" i="1" l="1"/>
  <c r="C120" i="1"/>
  <c r="G119" i="1"/>
  <c r="G120" i="1" l="1"/>
</calcChain>
</file>

<file path=xl/sharedStrings.xml><?xml version="1.0" encoding="utf-8"?>
<sst xmlns="http://schemas.openxmlformats.org/spreadsheetml/2006/main" count="862" uniqueCount="275">
  <si>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</si>
  <si>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</si>
  <si>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</si>
  <si>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</si>
  <si>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</si>
  <si>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</si>
  <si>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</si>
  <si>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</si>
  <si>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</si>
  <si>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</si>
  <si>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</si>
  <si>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</si>
  <si>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</si>
  <si>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</si>
  <si>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</si>
  <si>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</si>
  <si>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</si>
  <si>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</si>
  <si>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</si>
  <si>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</si>
  <si>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</si>
  <si>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</si>
  <si>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</si>
  <si>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</si>
  <si>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</si>
  <si>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</si>
  <si>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</si>
  <si>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2) I/We have no direct or Indirect Interest in the property being valued</t>
  </si>
  <si>
    <t>Quality of infrastructure in vicinity</t>
  </si>
  <si>
    <t>Description</t>
  </si>
  <si>
    <t>Attached Terrace area</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</si>
  <si>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</si>
  <si>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</si>
  <si>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</si>
  <si>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</si>
  <si>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</si>
  <si>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</si>
  <si>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</si>
  <si>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</si>
  <si>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</si>
  <si>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</si>
  <si>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</si>
  <si>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</si>
  <si>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</si>
  <si>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</si>
  <si>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</si>
  <si>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</si>
  <si>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</si>
  <si>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</si>
  <si>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Expiry date:NA</t>
  </si>
  <si>
    <t>Expiry date: One year from date of issue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</si>
  <si>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</si>
  <si>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</si>
  <si>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</si>
  <si>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</si>
  <si>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</si>
  <si>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</si>
  <si>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</si>
  <si>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</si>
  <si>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</si>
  <si>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</si>
  <si>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</si>
  <si>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</si>
  <si>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</si>
  <si>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</si>
  <si>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</si>
  <si>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</si>
  <si>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</si>
  <si>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</si>
  <si>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</si>
  <si>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</si>
  <si>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</si>
  <si>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</si>
  <si>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</si>
  <si>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</si>
  <si>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</si>
  <si>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</si>
  <si>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</si>
  <si>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</si>
  <si>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</si>
  <si>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</si>
  <si>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Distress valuation of the property Per Sq. Ft.</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</si>
  <si>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</si>
  <si>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</si>
  <si>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</si>
  <si>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</si>
  <si>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</si>
  <si>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</si>
  <si>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</si>
  <si>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</si>
  <si>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</si>
  <si>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</si>
  <si>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</si>
  <si>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</si>
  <si>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</si>
  <si>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</si>
  <si>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</si>
  <si>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</si>
  <si>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</si>
  <si>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</si>
  <si>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</si>
  <si>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</si>
  <si>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</si>
  <si>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</si>
  <si>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</si>
  <si>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</si>
  <si>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</si>
  <si>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</si>
  <si>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</si>
  <si>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</si>
  <si>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 xml:space="preserve">O. Certificate No.: </t>
  </si>
  <si>
    <t xml:space="preserve">Date of approval: </t>
  </si>
  <si>
    <t>1. Copy of Plans. 2. Copy of CC.</t>
  </si>
  <si>
    <t>Contect Details ( Name &amp; Contect No.)</t>
  </si>
  <si>
    <t>Mumbai</t>
  </si>
  <si>
    <t>Axis Goregaon</t>
  </si>
  <si>
    <t>M/s. A &amp; O Realty</t>
  </si>
  <si>
    <t>M/s. Ashapura Housing Pvt Ltd.</t>
  </si>
  <si>
    <t>Basement For Parking</t>
  </si>
  <si>
    <t>Ground Floor For Parking, Commercial &amp; Meter Room (Wing A, B, C, D &amp; E)</t>
  </si>
  <si>
    <t>1st Floor</t>
  </si>
  <si>
    <t>1BHK</t>
  </si>
  <si>
    <t>B Wing</t>
  </si>
  <si>
    <t>C Wing</t>
  </si>
  <si>
    <t>D Wing</t>
  </si>
  <si>
    <t>E Wing</t>
  </si>
  <si>
    <t>8th Floor</t>
  </si>
  <si>
    <t>Refuge Area</t>
  </si>
  <si>
    <t>2BHK</t>
  </si>
  <si>
    <t>10th &amp; 12th Floor</t>
  </si>
  <si>
    <t>13th Floor</t>
  </si>
  <si>
    <t>14th &amp; 16th Floor</t>
  </si>
  <si>
    <t>15th Floor</t>
  </si>
  <si>
    <t>18th &amp; 20th Floor</t>
  </si>
  <si>
    <t>22nd Floor</t>
  </si>
  <si>
    <t>23rd Floor</t>
  </si>
  <si>
    <t>Eminente (A &amp; O Realty)</t>
  </si>
  <si>
    <t>1839, 1848, 1849, 1850/1 to 11, 1851, 1852, 1853(pt.)</t>
  </si>
  <si>
    <t>Western Express Highway</t>
  </si>
  <si>
    <t>Jai Mahakali Mandir</t>
  </si>
  <si>
    <t>400 068.</t>
  </si>
  <si>
    <t>Shree Sai Ganesh</t>
  </si>
  <si>
    <t>U/C Building</t>
  </si>
  <si>
    <t>Approved usage of the Property: Residential &amp; Commercial                                                                                                                                                     (Restrictive convenants in regards to land use , if any)</t>
  </si>
  <si>
    <t>8556.1(Net Plot Area-8366.490)</t>
  </si>
  <si>
    <t>01 Bldg (05 Wings)</t>
  </si>
  <si>
    <t>Particulars</t>
  </si>
  <si>
    <t xml:space="preserve">totla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</si>
  <si>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</si>
  <si>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</si>
  <si>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</si>
  <si>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</si>
  <si>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</si>
  <si>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</si>
  <si>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</si>
  <si>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</si>
  <si>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</si>
  <si>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</si>
  <si>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</si>
  <si>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</si>
  <si>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</si>
  <si>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</si>
  <si>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</si>
  <si>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</si>
  <si>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</si>
  <si>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</si>
  <si>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</si>
  <si>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Google Map:</t>
  </si>
  <si>
    <t>Saleable area</t>
  </si>
  <si>
    <t>400000/-</t>
  </si>
  <si>
    <t>PHOTOGRAPHS OF PROPERTY :</t>
  </si>
  <si>
    <t>Recommended rate of the flat Per Sq. Ft. ( on Carpet area)</t>
  </si>
  <si>
    <t>Eminente, A &amp; O Realty, CTS No.1839, 1848, 1849, 1850/1 to 11, 1851, 1852, 1853(pt.), Western Express Highway, Ovaripada, Dahisar ( East ), Borivali (East), Mumbai.</t>
  </si>
  <si>
    <t>Dahisar (East)</t>
  </si>
  <si>
    <t>24/089/2020.</t>
  </si>
  <si>
    <t>Pratiksha</t>
  </si>
  <si>
    <t>Electric &amp; Water Connection</t>
  </si>
  <si>
    <t>Legal Charges</t>
  </si>
  <si>
    <t>Development Charges</t>
  </si>
  <si>
    <t>Society Formation</t>
  </si>
  <si>
    <t>50000/-</t>
  </si>
  <si>
    <t>150000/-</t>
  </si>
  <si>
    <t>10000/-</t>
  </si>
  <si>
    <t>12/10/2020.</t>
  </si>
  <si>
    <t>Asmita</t>
  </si>
  <si>
    <t>14.01.2021.</t>
  </si>
  <si>
    <t>asmi</t>
  </si>
  <si>
    <t>costsheet by ankita</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</si>
  <si>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</si>
  <si>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</si>
  <si>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</si>
  <si>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</si>
  <si>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</si>
  <si>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</si>
  <si>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</si>
  <si>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</si>
  <si>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</si>
  <si>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</si>
  <si>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</si>
  <si>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</si>
  <si>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</si>
  <si>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</si>
  <si>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</si>
  <si>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</si>
  <si>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</si>
  <si>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</si>
  <si>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</si>
  <si>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</si>
  <si>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</si>
  <si>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</si>
  <si>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</si>
  <si>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</si>
  <si>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</si>
  <si>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</si>
  <si>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</si>
  <si>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</si>
  <si>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</si>
  <si>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</si>
  <si>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</si>
  <si>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</si>
  <si>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</si>
  <si>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Proposed Amenities                                                                                                                                                                                                                                   1.  Vitrified tiles flooring 2. Granite Kitchen Platform  3. Decorative Enternace  etc.                                                  </t>
  </si>
  <si>
    <t>Proposed no of Floors</t>
  </si>
  <si>
    <t>RERA No.</t>
  </si>
  <si>
    <t>P51800005475</t>
  </si>
  <si>
    <t>D Wing = Basement+Gr.+1st to 23rd Floor</t>
  </si>
  <si>
    <t>75000/-</t>
  </si>
  <si>
    <t xml:space="preserve">Maintenance Charges For 3years ( on Carpet area) </t>
  </si>
  <si>
    <t xml:space="preserve">C.certificate No .
Valid Up to: </t>
  </si>
  <si>
    <t>SRA/ENG/3267/RN/PL/AP                                                                                                                    This C.C is further extended from 21st floor to 23rd floor including L.M.R &amp; OHWT for Wing 'A', Wing 'B' &amp; Wing 'C' of sale bldg. Also C.C is further extended from 1st to 12th upper floors for wing 'D' &amp; from 1st to 11th upper floors for wing 'E' of sale bldg as per approved amended plans dtd 14/08/2019.</t>
  </si>
  <si>
    <t>Building &amp; Wing</t>
  </si>
  <si>
    <t>No. of Flats</t>
  </si>
  <si>
    <t>Total Gross Carpet Area</t>
  </si>
  <si>
    <t>Total Saleable Area</t>
  </si>
  <si>
    <t>Building details Floor Wise</t>
  </si>
  <si>
    <t>Floor</t>
  </si>
  <si>
    <t xml:space="preserve"> A-Wing</t>
  </si>
  <si>
    <t>Sale Or Rehab</t>
  </si>
  <si>
    <t>Shop</t>
  </si>
  <si>
    <t>Rehab</t>
  </si>
  <si>
    <t>Sale</t>
  </si>
  <si>
    <t>Commercial Area Details : Shops</t>
  </si>
  <si>
    <t>Residential Area Details : Flats</t>
  </si>
  <si>
    <t>Shop No.</t>
  </si>
  <si>
    <t>Flats No.</t>
  </si>
  <si>
    <t>2nd to 7th, 9th &amp;  11th Floor</t>
  </si>
  <si>
    <t>8th Floor (Part Refuge Area)</t>
  </si>
  <si>
    <t>15th Floor (Part Refuge Area)</t>
  </si>
  <si>
    <t>17th Floor</t>
  </si>
  <si>
    <t>19th &amp; 21st Floor</t>
  </si>
  <si>
    <t>22nd Floor (Part Refuge Area)</t>
  </si>
  <si>
    <t>2nd to 7th, 9th &amp; 11th Floor</t>
  </si>
  <si>
    <t>Double Height</t>
  </si>
  <si>
    <t xml:space="preserve"> A Wing</t>
  </si>
  <si>
    <t xml:space="preserve">SRA/ENG/3267/RN/PL/AP    </t>
  </si>
  <si>
    <t>17th Floor (Part Gym Area)</t>
  </si>
  <si>
    <t>Gym Area</t>
  </si>
  <si>
    <t>Approved no of units</t>
  </si>
  <si>
    <t>Authorized Signatory
Name &amp; Seal of the agency</t>
  </si>
  <si>
    <t>About 1.8 Km from Borivali Railway Station.</t>
  </si>
  <si>
    <t>Borivali East</t>
  </si>
  <si>
    <t>Sale Shops - 16,
Sale Flats - 543,
Rehab shop - 8</t>
  </si>
  <si>
    <t>A To E Wing = Basement + Gr. + 1st to 23rd Floor</t>
  </si>
  <si>
    <t>Basement + Gr.+ 1st to 23rd Floor (A, B &amp; C Wing)
Basement + Gr.+ 1st to 17th Floor (D &amp; E Wing)</t>
  </si>
  <si>
    <t>Site Person - Contact Details ( Name &amp; Contact No.)</t>
  </si>
  <si>
    <t>Mr. Satej Desai (8591669499)</t>
  </si>
  <si>
    <t>Location Link</t>
  </si>
  <si>
    <t>https://goo.gl/maps/HEtESaaE2nxpDJkV9</t>
  </si>
  <si>
    <t>19.241303431341215, 72.86354308457744</t>
  </si>
  <si>
    <t>Office No. 1031, Wing J, Akshar Business Park, Plot No. 03 Sector 25, Near APMC Market, Vashi, Navi Mumbai, Maharashtra 400703 TEL: 022-46090378/79/80                                                                                             E mail : vsjcapf@gmail.com. Web site : www.vsjadon.com</t>
  </si>
  <si>
    <t xml:space="preserve"> last visit dtd.06/04/2023</t>
  </si>
  <si>
    <t>D &amp; E Wing = Basement + Gr + 1st to 23rd Floor</t>
  </si>
  <si>
    <t xml:space="preserve">A, B &amp; C Wing = Basement + Gr + 1st to 23rd Floor </t>
  </si>
  <si>
    <t>Mr. Ritesh 8828227444</t>
  </si>
  <si>
    <r>
      <t xml:space="preserve">Remarks:  
1. Wing A, B &amp; C = Some tenants are occupying flats, but finishing work is pending.
    Wing D &amp; E = Construction work was stopped. (Due to CC Permission).
2. We considered saleable area as per our calculation.
3. We have considered rate by verifying it from market inquire.
4. We have considered Other charges from cost sheet.
5. Car parking is subjected to authentic documentation.
6. We have updated revised approved floor plan &amp; C.C (on 30/07/2022).
7. Since the project has received first CC on 23/06/2020., But construction work of Wing D &amp; E is under construction. Please provide revised approved CC.
8. As checked on RERA portal on date 14/07/2025, we have observed that above project "Eminente (A &amp; O Realty)" is kept under abeyance. Please check from your end.
8. </t>
    </r>
    <r>
      <rPr>
        <b/>
        <sz val="11"/>
        <color rgb="FFFF0000"/>
        <rFont val="Times New Roman"/>
        <family val="1"/>
      </rPr>
      <t>As per RERA, completion period of project Eminente (A &amp; O Realty) is expired on 30/12/2022 but still project is under construction.</t>
    </r>
    <r>
      <rPr>
        <b/>
        <sz val="11"/>
        <color indexed="8"/>
        <rFont val="Times New Roman"/>
        <family val="1"/>
      </rPr>
      <t xml:space="preserve">
6. On site, we meet Mr. Desai (CRM) - 8591669499.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</si>
</sst>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0"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b/>
      <sz val="12"/>
      <color indexed="8"/>
      <name val="Times New Roman"/>
      <family val="1"/>
    </font>
    <font>
      <sz val="11"/>
      <name val="Times New Roman"/>
      <family val="1"/>
    </font>
    <font>
      <sz val="12"/>
      <color indexed="8"/>
      <name val="Times New Roman"/>
      <family val="1"/>
    </font>
    <font>
      <b/>
      <sz val="11"/>
      <color theme="1"/>
      <name val="Calibri"/>
      <family val="2"/>
      <scheme val="minor"/>
    </font>
    <font>
      <sz val="11"/>
      <color theme="1"/>
      <name val="Times New Roman"/>
      <family val="1"/>
    </font>
    <font>
      <sz val="11"/>
      <color theme="1"/>
      <name val="Calibri"/>
      <family val="2"/>
      <scheme val="minor"/>
    </font>
    <font>
      <sz val="12"/>
      <color theme="1"/>
      <name val="Times New Roman"/>
      <family val="1"/>
    </font>
    <font>
      <sz val="12"/>
      <name val="Times New Roman"/>
      <family val="1"/>
    </font>
    <font>
      <sz val="11"/>
      <color rgb="FF000000"/>
      <name val="Times New Roman"/>
      <family val="1"/>
    </font>
    <font>
      <b/>
      <sz val="12"/>
      <name val="Times New Roman"/>
      <family val="1"/>
    </font>
    <font>
      <b/>
      <sz val="11"/>
      <color theme="1"/>
      <name val="Times New Roman"/>
      <family val="1"/>
    </font>
    <font>
      <b/>
      <sz val="12"/>
      <color theme="1"/>
      <name val="Times New Roman"/>
      <family val="1"/>
    </font>
    <font>
      <b/>
      <sz val="14"/>
      <color indexed="8"/>
      <name val="Times New Roman"/>
      <family val="1"/>
    </font>
    <font>
      <b/>
      <sz val="10"/>
      <color indexed="8"/>
      <name val="Times New Roman"/>
      <family val="1"/>
    </font>
    <font>
      <b/>
      <sz val="11"/>
      <color rgb="FFFF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9" fillId="0" borderId="0"/>
    <xf numFmtId="0" fontId="19" fillId="0" borderId="0" applyNumberFormat="0" applyFill="0" applyBorder="0" applyAlignment="0" applyProtection="0"/>
  </cellStyleXfs>
  <cellXfs count="202">
    <xf numFmtId="0" fontId="0" fillId="0" borderId="0" xfId="0"/>
    <xf numFmtId="0" fontId="1" fillId="0" borderId="0" xfId="1"/>
    <xf numFmtId="0" fontId="3" fillId="0" borderId="2" xfId="0" applyFont="1" applyBorder="1" applyAlignment="1">
      <alignment vertical="top"/>
    </xf>
    <xf numFmtId="0" fontId="3" fillId="0" borderId="2" xfId="0" applyFont="1" applyBorder="1" applyAlignment="1">
      <alignment vertical="top" wrapText="1"/>
    </xf>
    <xf numFmtId="1" fontId="4" fillId="0" borderId="2" xfId="0" applyNumberFormat="1" applyFont="1" applyBorder="1" applyAlignment="1">
      <alignment horizontal="center" vertical="top" wrapText="1"/>
    </xf>
    <xf numFmtId="0" fontId="0" fillId="0" borderId="2" xfId="0" applyBorder="1"/>
    <xf numFmtId="0" fontId="7" fillId="0" borderId="2" xfId="0" applyFont="1" applyBorder="1"/>
    <xf numFmtId="0" fontId="0" fillId="0" borderId="3" xfId="0" applyBorder="1"/>
    <xf numFmtId="0" fontId="0" fillId="2" borderId="2" xfId="0" applyFill="1" applyBorder="1"/>
    <xf numFmtId="0" fontId="7" fillId="0" borderId="2" xfId="0" applyFont="1" applyBorder="1" applyAlignment="1">
      <alignment horizontal="center"/>
    </xf>
    <xf numFmtId="0" fontId="7" fillId="2" borderId="2" xfId="0" applyFont="1" applyFill="1" applyBorder="1"/>
    <xf numFmtId="0" fontId="0" fillId="0" borderId="5" xfId="0" applyBorder="1"/>
    <xf numFmtId="0" fontId="0" fillId="0" borderId="0" xfId="0" applyAlignment="1">
      <alignment wrapText="1"/>
    </xf>
    <xf numFmtId="0" fontId="0" fillId="0" borderId="2" xfId="0" applyBorder="1" applyAlignment="1">
      <alignment wrapText="1"/>
    </xf>
    <xf numFmtId="1" fontId="0" fillId="0" borderId="0" xfId="0" applyNumberFormat="1"/>
    <xf numFmtId="1" fontId="0" fillId="0" borderId="2" xfId="0" applyNumberFormat="1" applyBorder="1"/>
    <xf numFmtId="0" fontId="10" fillId="0" borderId="19" xfId="2" applyFont="1" applyBorder="1" applyProtection="1">
      <protection hidden="1"/>
    </xf>
    <xf numFmtId="0" fontId="10" fillId="0" borderId="20" xfId="2" applyFont="1" applyBorder="1" applyProtection="1">
      <protection hidden="1"/>
    </xf>
    <xf numFmtId="0" fontId="10" fillId="0" borderId="0" xfId="2" applyFont="1" applyProtection="1">
      <protection hidden="1"/>
    </xf>
    <xf numFmtId="0" fontId="10" fillId="0" borderId="23" xfId="2" applyFont="1" applyBorder="1" applyProtection="1">
      <protection hidden="1"/>
    </xf>
    <xf numFmtId="0" fontId="12" fillId="0" borderId="0" xfId="0" applyFont="1" applyProtection="1">
      <protection hidden="1"/>
    </xf>
    <xf numFmtId="0" fontId="10" fillId="0" borderId="23" xfId="2" applyFont="1" applyBorder="1"/>
    <xf numFmtId="0" fontId="12"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2" fillId="0" borderId="32" xfId="0" applyFont="1" applyBorder="1" applyProtection="1">
      <protection hidden="1"/>
    </xf>
    <xf numFmtId="1" fontId="0" fillId="0" borderId="33" xfId="0" applyNumberFormat="1" applyBorder="1"/>
    <xf numFmtId="0" fontId="11" fillId="0" borderId="2" xfId="2" applyFont="1" applyBorder="1" applyAlignment="1" applyProtection="1">
      <alignment horizontal="center" vertical="top" wrapText="1"/>
      <protection locked="0"/>
    </xf>
    <xf numFmtId="0" fontId="11" fillId="0" borderId="21" xfId="2" applyFont="1" applyBorder="1" applyAlignment="1" applyProtection="1">
      <alignment horizontal="center" vertical="top"/>
      <protection locked="0"/>
    </xf>
    <xf numFmtId="0" fontId="11" fillId="0" borderId="2" xfId="2" applyFont="1" applyBorder="1" applyAlignment="1" applyProtection="1">
      <alignment horizontal="center" vertical="top"/>
      <protection locked="0"/>
    </xf>
    <xf numFmtId="1" fontId="6" fillId="0" borderId="2" xfId="0" applyNumberFormat="1" applyFont="1" applyBorder="1" applyAlignment="1">
      <alignment horizontal="center" vertical="center" wrapText="1"/>
    </xf>
    <xf numFmtId="0" fontId="3" fillId="0" borderId="1" xfId="0" applyFont="1" applyBorder="1" applyAlignment="1">
      <alignment vertical="top"/>
    </xf>
    <xf numFmtId="0" fontId="11" fillId="0" borderId="2" xfId="2" applyFont="1" applyBorder="1" applyAlignment="1" applyProtection="1">
      <alignment horizontal="center" wrapText="1"/>
      <protection locked="0"/>
    </xf>
    <xf numFmtId="1" fontId="11" fillId="0" borderId="2" xfId="2" applyNumberFormat="1" applyFont="1" applyBorder="1" applyAlignment="1" applyProtection="1">
      <alignment horizontal="center" wrapText="1"/>
      <protection locked="0"/>
    </xf>
    <xf numFmtId="0" fontId="11" fillId="0" borderId="28" xfId="2" applyFont="1" applyBorder="1" applyAlignment="1" applyProtection="1">
      <alignment horizontal="center" wrapText="1"/>
      <protection locked="0"/>
    </xf>
    <xf numFmtId="0" fontId="7" fillId="0" borderId="0" xfId="0" applyFont="1"/>
    <xf numFmtId="0" fontId="15" fillId="0" borderId="2" xfId="0" applyFont="1" applyBorder="1" applyAlignment="1">
      <alignment horizontal="center" vertical="center"/>
    </xf>
    <xf numFmtId="0" fontId="10" fillId="0" borderId="2" xfId="0" applyFont="1" applyBorder="1" applyAlignment="1">
      <alignment horizontal="center" vertical="center"/>
    </xf>
    <xf numFmtId="0" fontId="3" fillId="0" borderId="0" xfId="1" applyFont="1"/>
    <xf numFmtId="0" fontId="8" fillId="0" borderId="0" xfId="0" applyFont="1"/>
    <xf numFmtId="1" fontId="17" fillId="0" borderId="2" xfId="0" applyNumberFormat="1" applyFont="1" applyBorder="1" applyAlignment="1">
      <alignment horizontal="center" vertical="top" wrapText="1"/>
    </xf>
    <xf numFmtId="0" fontId="10" fillId="0" borderId="0" xfId="0" applyFont="1" applyAlignment="1">
      <alignment horizontal="center" vertical="center"/>
    </xf>
    <xf numFmtId="1" fontId="6" fillId="0" borderId="2" xfId="0" applyNumberFormat="1" applyFont="1" applyBorder="1" applyAlignment="1">
      <alignment vertical="center" wrapText="1"/>
    </xf>
    <xf numFmtId="1" fontId="10" fillId="0" borderId="2" xfId="0" applyNumberFormat="1" applyFont="1" applyBorder="1" applyAlignment="1">
      <alignment horizontal="center" vertical="center"/>
    </xf>
    <xf numFmtId="1" fontId="4" fillId="0" borderId="2" xfId="0" applyNumberFormat="1" applyFont="1" applyBorder="1" applyAlignment="1">
      <alignment horizontal="center" vertical="center" wrapText="1"/>
    </xf>
    <xf numFmtId="1" fontId="4" fillId="0" borderId="2" xfId="0" applyNumberFormat="1" applyFont="1" applyBorder="1" applyAlignment="1">
      <alignment vertical="center" wrapText="1"/>
    </xf>
    <xf numFmtId="0" fontId="14" fillId="0" borderId="0" xfId="0" applyFont="1"/>
    <xf numFmtId="0" fontId="10" fillId="0" borderId="0" xfId="2" applyFont="1"/>
    <xf numFmtId="0" fontId="2" fillId="0" borderId="2" xfId="0" applyFont="1" applyBorder="1" applyAlignment="1">
      <alignment vertical="top"/>
    </xf>
    <xf numFmtId="0" fontId="8" fillId="0" borderId="0" xfId="0" applyFont="1" applyAlignment="1">
      <alignment horizontal="left" vertical="top" wrapText="1"/>
    </xf>
    <xf numFmtId="1" fontId="15" fillId="0" borderId="2" xfId="0" applyNumberFormat="1" applyFont="1" applyBorder="1" applyAlignment="1">
      <alignment horizontal="center" vertical="center"/>
    </xf>
    <xf numFmtId="0" fontId="0" fillId="0" borderId="0" xfId="0" applyAlignment="1">
      <alignmen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4" fillId="0" borderId="7" xfId="2" applyFont="1" applyBorder="1" applyAlignment="1">
      <alignment horizontal="center" vertical="top" wrapText="1"/>
    </xf>
    <xf numFmtId="0" fontId="4" fillId="0" borderId="8" xfId="2" applyFont="1" applyBorder="1" applyAlignment="1">
      <alignment horizontal="center" vertical="top" wrapText="1"/>
    </xf>
    <xf numFmtId="0" fontId="4" fillId="0" borderId="10" xfId="2" applyFont="1" applyBorder="1" applyAlignment="1">
      <alignment horizontal="center" vertical="top" wrapText="1"/>
    </xf>
    <xf numFmtId="0" fontId="4" fillId="0" borderId="0" xfId="2" applyFont="1" applyAlignment="1">
      <alignment horizontal="center" vertical="top" wrapText="1"/>
    </xf>
    <xf numFmtId="0" fontId="4" fillId="0" borderId="11" xfId="2" applyFont="1" applyBorder="1" applyAlignment="1">
      <alignment horizontal="center" vertical="top" wrapText="1"/>
    </xf>
    <xf numFmtId="0" fontId="4" fillId="0" borderId="12" xfId="2" applyFont="1" applyBorder="1" applyAlignment="1">
      <alignment horizontal="center" vertical="top" wrapText="1"/>
    </xf>
    <xf numFmtId="0" fontId="4" fillId="0" borderId="3" xfId="2" applyFont="1" applyBorder="1" applyAlignment="1">
      <alignment horizontal="center" vertical="top" wrapText="1"/>
    </xf>
    <xf numFmtId="0" fontId="4" fillId="0" borderId="13" xfId="2" applyFont="1" applyBorder="1" applyAlignment="1">
      <alignment horizontal="center"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1" fontId="6" fillId="0" borderId="1"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0" xfId="0" applyNumberFormat="1" applyFont="1" applyBorder="1" applyAlignment="1">
      <alignment horizontal="center" vertical="center" wrapText="1"/>
    </xf>
    <xf numFmtId="1" fontId="6" fillId="0" borderId="0" xfId="0" applyNumberFormat="1" applyFont="1" applyAlignment="1">
      <alignment horizontal="center" vertical="center" wrapText="1"/>
    </xf>
    <xf numFmtId="1" fontId="6" fillId="0" borderId="1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0" fontId="8" fillId="0" borderId="6" xfId="0" applyFont="1" applyBorder="1" applyAlignment="1">
      <alignment horizontal="left" vertical="top" wrapText="1"/>
    </xf>
    <xf numFmtId="0" fontId="2" fillId="0" borderId="1" xfId="1" applyFont="1" applyBorder="1" applyAlignment="1">
      <alignment horizontal="left" vertical="top" wrapText="1"/>
    </xf>
    <xf numFmtId="0" fontId="2" fillId="0" borderId="4" xfId="1" applyFont="1" applyBorder="1" applyAlignment="1">
      <alignment horizontal="left" vertical="top" wrapText="1"/>
    </xf>
    <xf numFmtId="0" fontId="2" fillId="0" borderId="6" xfId="1" applyFont="1" applyBorder="1" applyAlignment="1">
      <alignment horizontal="left" vertical="top" wrapText="1"/>
    </xf>
    <xf numFmtId="1" fontId="10" fillId="0" borderId="1" xfId="0" applyNumberFormat="1" applyFont="1" applyBorder="1" applyAlignment="1">
      <alignment horizontal="center" vertical="top" wrapText="1"/>
    </xf>
    <xf numFmtId="1" fontId="10" fillId="0" borderId="4" xfId="0" applyNumberFormat="1" applyFont="1" applyBorder="1" applyAlignment="1">
      <alignment horizontal="center" vertical="top" wrapText="1"/>
    </xf>
    <xf numFmtId="1" fontId="10" fillId="0" borderId="6"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4"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 fontId="2" fillId="0" borderId="6" xfId="0" applyNumberFormat="1" applyFont="1" applyBorder="1" applyAlignment="1">
      <alignment horizontal="center" vertical="top" wrapText="1"/>
    </xf>
    <xf numFmtId="1" fontId="4" fillId="0" borderId="7"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0" fontId="16" fillId="0" borderId="1" xfId="0" applyFont="1" applyBorder="1" applyAlignment="1">
      <alignment horizontal="center" vertical="top"/>
    </xf>
    <xf numFmtId="0" fontId="16" fillId="0" borderId="4" xfId="0" applyFont="1" applyBorder="1" applyAlignment="1">
      <alignment horizontal="center" vertical="top"/>
    </xf>
    <xf numFmtId="0" fontId="16" fillId="0" borderId="6" xfId="0" applyFont="1" applyBorder="1" applyAlignment="1">
      <alignment horizontal="center" vertical="top"/>
    </xf>
    <xf numFmtId="0" fontId="2" fillId="0" borderId="1" xfId="0" applyFont="1" applyBorder="1" applyAlignment="1">
      <alignment horizontal="center" vertical="top"/>
    </xf>
    <xf numFmtId="0" fontId="2" fillId="0" borderId="4" xfId="0" applyFont="1" applyBorder="1" applyAlignment="1">
      <alignment horizontal="center" vertical="top"/>
    </xf>
    <xf numFmtId="0" fontId="2" fillId="0" borderId="6" xfId="0" applyFont="1" applyBorder="1" applyAlignment="1">
      <alignment horizontal="center" vertical="top"/>
    </xf>
    <xf numFmtId="1" fontId="4" fillId="0" borderId="1" xfId="0" applyNumberFormat="1" applyFont="1" applyBorder="1" applyAlignment="1">
      <alignment horizontal="center" vertical="top" wrapText="1"/>
    </xf>
    <xf numFmtId="1" fontId="4" fillId="0" borderId="6" xfId="0" applyNumberFormat="1" applyFont="1" applyBorder="1" applyAlignment="1">
      <alignment horizontal="center" vertical="top" wrapText="1"/>
    </xf>
    <xf numFmtId="0" fontId="14" fillId="0" borderId="1" xfId="0" applyFont="1" applyBorder="1" applyAlignment="1">
      <alignment horizontal="center" vertical="top" wrapText="1"/>
    </xf>
    <xf numFmtId="0" fontId="14" fillId="0" borderId="4" xfId="0" applyFont="1" applyBorder="1" applyAlignment="1">
      <alignment horizontal="center" vertical="top" wrapText="1"/>
    </xf>
    <xf numFmtId="0" fontId="14" fillId="0" borderId="6" xfId="0" applyFont="1" applyBorder="1" applyAlignment="1">
      <alignment horizontal="center" vertical="top" wrapText="1"/>
    </xf>
    <xf numFmtId="1" fontId="4" fillId="0" borderId="4" xfId="0" applyNumberFormat="1" applyFont="1" applyBorder="1" applyAlignment="1">
      <alignment horizontal="center" vertical="top" wrapText="1"/>
    </xf>
    <xf numFmtId="0" fontId="11" fillId="0" borderId="27" xfId="2" applyFont="1" applyBorder="1" applyAlignment="1" applyProtection="1">
      <alignment horizontal="center" vertical="top" wrapText="1"/>
      <protection locked="0"/>
    </xf>
    <xf numFmtId="0" fontId="11" fillId="0" borderId="28" xfId="2" applyFont="1" applyBorder="1" applyAlignment="1" applyProtection="1">
      <alignment horizontal="center" vertical="top" wrapText="1"/>
      <protection locked="0"/>
    </xf>
    <xf numFmtId="9" fontId="11" fillId="0" borderId="29" xfId="2" applyNumberFormat="1" applyFont="1" applyBorder="1" applyAlignment="1" applyProtection="1">
      <alignment horizontal="center" vertical="center" wrapText="1"/>
      <protection hidden="1"/>
    </xf>
    <xf numFmtId="9" fontId="11" fillId="0" borderId="30" xfId="2" applyNumberFormat="1" applyFont="1" applyBorder="1" applyAlignment="1" applyProtection="1">
      <alignment horizontal="center" vertical="center" wrapText="1"/>
      <protection hidden="1"/>
    </xf>
    <xf numFmtId="0" fontId="11" fillId="0" borderId="24" xfId="2" applyFont="1" applyBorder="1" applyAlignment="1" applyProtection="1">
      <alignment horizontal="center" vertical="top" wrapText="1"/>
      <protection locked="0"/>
    </xf>
    <xf numFmtId="0" fontId="11" fillId="0" borderId="6" xfId="2" applyFont="1" applyBorder="1" applyAlignment="1" applyProtection="1">
      <alignment horizontal="center" vertical="top" wrapText="1"/>
      <protection locked="0"/>
    </xf>
    <xf numFmtId="0" fontId="11" fillId="0" borderId="2" xfId="2" applyFont="1" applyBorder="1" applyAlignment="1" applyProtection="1">
      <alignment horizontal="center" vertical="top" wrapText="1"/>
      <protection locked="0"/>
    </xf>
    <xf numFmtId="0" fontId="11" fillId="0" borderId="25" xfId="2" applyFont="1" applyBorder="1" applyAlignment="1" applyProtection="1">
      <alignment horizontal="center" vertical="top" wrapText="1"/>
      <protection locked="0"/>
    </xf>
    <xf numFmtId="0" fontId="11" fillId="0" borderId="21" xfId="2" applyFont="1" applyBorder="1" applyAlignment="1" applyProtection="1">
      <alignment horizontal="center" vertical="top" wrapText="1"/>
      <protection locked="0"/>
    </xf>
    <xf numFmtId="9" fontId="11" fillId="0" borderId="1" xfId="2" applyNumberFormat="1" applyFont="1" applyBorder="1" applyAlignment="1" applyProtection="1">
      <alignment horizontal="center" vertical="center" wrapText="1"/>
      <protection hidden="1"/>
    </xf>
    <xf numFmtId="9" fontId="11" fillId="0" borderId="6" xfId="2" applyNumberFormat="1" applyFont="1" applyBorder="1" applyAlignment="1" applyProtection="1">
      <alignment horizontal="center" vertical="center" wrapText="1"/>
      <protection hidden="1"/>
    </xf>
    <xf numFmtId="9" fontId="11" fillId="0" borderId="2" xfId="2" applyNumberFormat="1" applyFont="1" applyBorder="1" applyAlignment="1" applyProtection="1">
      <alignment horizontal="center" vertical="center" wrapText="1"/>
      <protection hidden="1"/>
    </xf>
    <xf numFmtId="9" fontId="11" fillId="0" borderId="28" xfId="2" applyNumberFormat="1" applyFont="1" applyBorder="1" applyAlignment="1" applyProtection="1">
      <alignment horizontal="center" vertical="center" wrapText="1"/>
      <protection hidden="1"/>
    </xf>
    <xf numFmtId="9" fontId="11" fillId="0" borderId="7" xfId="2" applyNumberFormat="1" applyFont="1" applyBorder="1" applyAlignment="1" applyProtection="1">
      <alignment horizontal="center" vertical="center" wrapText="1"/>
      <protection hidden="1"/>
    </xf>
    <xf numFmtId="9" fontId="11" fillId="0" borderId="8" xfId="2" applyNumberFormat="1" applyFont="1" applyBorder="1" applyAlignment="1" applyProtection="1">
      <alignment horizontal="center" vertical="center" wrapText="1"/>
      <protection hidden="1"/>
    </xf>
    <xf numFmtId="9" fontId="11" fillId="0" borderId="26" xfId="2" applyNumberFormat="1" applyFont="1" applyBorder="1" applyAlignment="1" applyProtection="1">
      <alignment horizontal="center" vertical="center" wrapText="1"/>
      <protection hidden="1"/>
    </xf>
    <xf numFmtId="9" fontId="11" fillId="0" borderId="10" xfId="2" applyNumberFormat="1" applyFont="1" applyBorder="1" applyAlignment="1" applyProtection="1">
      <alignment horizontal="center" vertical="center" wrapText="1"/>
      <protection hidden="1"/>
    </xf>
    <xf numFmtId="9" fontId="11" fillId="0" borderId="0" xfId="2" applyNumberFormat="1" applyFont="1" applyAlignment="1" applyProtection="1">
      <alignment horizontal="center" vertical="center" wrapText="1"/>
      <protection hidden="1"/>
    </xf>
    <xf numFmtId="9" fontId="11" fillId="0" borderId="23" xfId="2" applyNumberFormat="1" applyFont="1" applyBorder="1" applyAlignment="1" applyProtection="1">
      <alignment horizontal="center" vertical="center" wrapText="1"/>
      <protection hidden="1"/>
    </xf>
    <xf numFmtId="9" fontId="11" fillId="0" borderId="31" xfId="2" applyNumberFormat="1" applyFont="1" applyBorder="1" applyAlignment="1" applyProtection="1">
      <alignment horizontal="center" vertical="center" wrapText="1"/>
      <protection hidden="1"/>
    </xf>
    <xf numFmtId="9" fontId="11" fillId="0" borderId="32" xfId="2" applyNumberFormat="1" applyFont="1" applyBorder="1" applyAlignment="1" applyProtection="1">
      <alignment horizontal="center" vertical="center" wrapText="1"/>
      <protection hidden="1"/>
    </xf>
    <xf numFmtId="9" fontId="11" fillId="0" borderId="33" xfId="2" applyNumberFormat="1" applyFont="1" applyBorder="1" applyAlignment="1" applyProtection="1">
      <alignment horizontal="center" vertical="center" wrapText="1"/>
      <protection hidden="1"/>
    </xf>
    <xf numFmtId="0" fontId="11" fillId="0" borderId="21" xfId="2" applyFont="1" applyBorder="1" applyAlignment="1" applyProtection="1">
      <alignment horizontal="center" vertical="top"/>
      <protection locked="0"/>
    </xf>
    <xf numFmtId="0" fontId="11" fillId="0" borderId="2" xfId="2" applyFont="1" applyBorder="1" applyAlignment="1" applyProtection="1">
      <alignment horizontal="center" vertical="top"/>
      <protection locked="0"/>
    </xf>
    <xf numFmtId="0" fontId="11" fillId="0" borderId="1" xfId="2" applyFont="1" applyBorder="1" applyAlignment="1" applyProtection="1">
      <alignment horizontal="center" vertical="top"/>
      <protection locked="0"/>
    </xf>
    <xf numFmtId="0" fontId="11" fillId="0" borderId="6" xfId="2" applyFont="1" applyBorder="1" applyAlignment="1" applyProtection="1">
      <alignment horizontal="center" vertical="top"/>
      <protection locked="0"/>
    </xf>
    <xf numFmtId="0" fontId="11" fillId="0" borderId="22" xfId="2" applyFont="1" applyBorder="1" applyAlignment="1" applyProtection="1">
      <alignment horizontal="center" vertical="top"/>
      <protection locked="0"/>
    </xf>
    <xf numFmtId="0" fontId="11" fillId="0" borderId="21" xfId="2" applyFont="1" applyBorder="1" applyAlignment="1" applyProtection="1">
      <alignment horizontal="left" vertical="top"/>
      <protection locked="0"/>
    </xf>
    <xf numFmtId="0" fontId="11" fillId="0" borderId="2" xfId="2" applyFont="1" applyBorder="1" applyAlignment="1" applyProtection="1">
      <alignment horizontal="left" vertical="top"/>
      <protection locked="0"/>
    </xf>
    <xf numFmtId="0" fontId="13" fillId="0" borderId="1" xfId="2" applyFont="1" applyBorder="1" applyAlignment="1" applyProtection="1">
      <alignment horizontal="left" vertical="top" wrapText="1"/>
      <protection locked="0"/>
    </xf>
    <xf numFmtId="0" fontId="13" fillId="0" borderId="4" xfId="2" applyFont="1" applyBorder="1" applyAlignment="1" applyProtection="1">
      <alignment horizontal="left" vertical="top" wrapText="1"/>
      <protection locked="0"/>
    </xf>
    <xf numFmtId="0" fontId="13" fillId="0" borderId="22" xfId="2" applyFont="1" applyBorder="1" applyAlignment="1" applyProtection="1">
      <alignment horizontal="left" vertical="top" wrapText="1"/>
      <protection locked="0"/>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14" fontId="3" fillId="0" borderId="1" xfId="0" applyNumberFormat="1" applyFont="1" applyBorder="1" applyAlignment="1">
      <alignment horizontal="left" vertical="top"/>
    </xf>
    <xf numFmtId="14" fontId="3" fillId="0" borderId="4" xfId="0" applyNumberFormat="1" applyFont="1" applyBorder="1" applyAlignment="1">
      <alignment horizontal="left" vertical="top"/>
    </xf>
    <xf numFmtId="14" fontId="3" fillId="0" borderId="6" xfId="0" applyNumberFormat="1" applyFont="1" applyBorder="1" applyAlignment="1">
      <alignment horizontal="left" vertical="top"/>
    </xf>
    <xf numFmtId="164" fontId="3" fillId="0" borderId="1" xfId="0" applyNumberFormat="1" applyFont="1" applyBorder="1" applyAlignment="1">
      <alignment horizontal="left" vertical="top"/>
    </xf>
    <xf numFmtId="164" fontId="3" fillId="0" borderId="4" xfId="0" applyNumberFormat="1" applyFont="1" applyBorder="1" applyAlignment="1">
      <alignment horizontal="left" vertical="top"/>
    </xf>
    <xf numFmtId="164" fontId="3" fillId="0" borderId="6" xfId="0" applyNumberFormat="1" applyFont="1" applyBorder="1" applyAlignment="1">
      <alignment horizontal="left" vertical="top"/>
    </xf>
    <xf numFmtId="0" fontId="2" fillId="0" borderId="1" xfId="0" applyFont="1" applyBorder="1" applyAlignment="1">
      <alignment horizontal="left" vertical="top"/>
    </xf>
    <xf numFmtId="0" fontId="2" fillId="0" borderId="4" xfId="0" applyFont="1" applyBorder="1" applyAlignment="1">
      <alignment horizontal="left" vertical="top"/>
    </xf>
    <xf numFmtId="0" fontId="2" fillId="0" borderId="6" xfId="0" applyFont="1" applyBorder="1" applyAlignment="1">
      <alignment horizontal="left" vertical="top"/>
    </xf>
    <xf numFmtId="0" fontId="3" fillId="0" borderId="2" xfId="0" applyFont="1" applyBorder="1" applyAlignment="1">
      <alignment horizontal="left" vertical="top"/>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13" fillId="0" borderId="14" xfId="2" applyFont="1" applyBorder="1" applyAlignment="1" applyProtection="1">
      <alignment horizontal="center" vertical="top" wrapText="1"/>
      <protection locked="0"/>
    </xf>
    <xf numFmtId="0" fontId="13" fillId="0" borderId="15" xfId="2" applyFont="1" applyBorder="1" applyAlignment="1" applyProtection="1">
      <alignment horizontal="center" vertical="top" wrapText="1"/>
      <protection locked="0"/>
    </xf>
    <xf numFmtId="0" fontId="13" fillId="0" borderId="16" xfId="2" applyFont="1" applyBorder="1" applyAlignment="1" applyProtection="1">
      <alignment horizontal="left" vertical="top" wrapText="1"/>
      <protection locked="0"/>
    </xf>
    <xf numFmtId="0" fontId="13" fillId="0" borderId="17" xfId="2" applyFont="1" applyBorder="1" applyAlignment="1" applyProtection="1">
      <alignment horizontal="left" vertical="top" wrapText="1"/>
      <protection locked="0"/>
    </xf>
    <xf numFmtId="0" fontId="13" fillId="0" borderId="18" xfId="2" applyFont="1" applyBorder="1" applyAlignment="1" applyProtection="1">
      <alignment horizontal="left" vertical="top" wrapText="1"/>
      <protection locked="0"/>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5" fillId="0" borderId="2" xfId="0" applyFont="1" applyBorder="1" applyAlignment="1">
      <alignment vertical="top" wrapText="1"/>
    </xf>
    <xf numFmtId="0" fontId="8" fillId="0" borderId="1" xfId="0" applyFont="1" applyBorder="1" applyAlignment="1">
      <alignment horizontal="left" vertical="top"/>
    </xf>
    <xf numFmtId="0" fontId="8" fillId="0" borderId="4" xfId="0" applyFont="1" applyBorder="1" applyAlignment="1">
      <alignment horizontal="left" vertical="top"/>
    </xf>
    <xf numFmtId="0" fontId="8" fillId="0" borderId="6" xfId="0" applyFont="1" applyBorder="1" applyAlignment="1">
      <alignment horizontal="left" vertical="top"/>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left"/>
    </xf>
    <xf numFmtId="0" fontId="5" fillId="0" borderId="1" xfId="0" applyFont="1" applyBorder="1" applyAlignment="1">
      <alignment horizontal="center" vertical="top" wrapText="1"/>
    </xf>
    <xf numFmtId="0" fontId="5" fillId="0" borderId="6" xfId="0" applyFont="1" applyBorder="1" applyAlignment="1">
      <alignment horizontal="center" vertical="top" wrapText="1"/>
    </xf>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1" fontId="13" fillId="0" borderId="1" xfId="0" applyNumberFormat="1" applyFont="1" applyBorder="1" applyAlignment="1">
      <alignment horizontal="center" vertical="top" wrapText="1"/>
    </xf>
    <xf numFmtId="1" fontId="13" fillId="0" borderId="4" xfId="0" applyNumberFormat="1" applyFont="1" applyBorder="1" applyAlignment="1">
      <alignment horizontal="center" vertical="top" wrapText="1"/>
    </xf>
    <xf numFmtId="1" fontId="13" fillId="0" borderId="6" xfId="0" applyNumberFormat="1" applyFont="1" applyBorder="1" applyAlignment="1">
      <alignment horizontal="center" vertical="top" wrapText="1"/>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19" fillId="0" borderId="1" xfId="3" applyFill="1" applyBorder="1" applyAlignment="1">
      <alignment horizontal="left" vertical="top"/>
    </xf>
    <xf numFmtId="0" fontId="0" fillId="2" borderId="2" xfId="0" applyFill="1" applyBorder="1" applyAlignment="1">
      <alignment horizontal="center" wrapText="1"/>
    </xf>
    <xf numFmtId="0" fontId="7" fillId="0" borderId="2" xfId="0" applyFont="1" applyBorder="1" applyAlignment="1">
      <alignment horizontal="center"/>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jpeg"/><Relationship Id="rId1" Type="http://schemas.openxmlformats.org/officeDocument/2006/relationships/image" Target="../media/image23.jpeg"/><Relationship Id="rId4"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196361</xdr:colOff>
      <xdr:row>548</xdr:row>
      <xdr:rowOff>14654</xdr:rowOff>
    </xdr:from>
    <xdr:to>
      <xdr:col>9</xdr:col>
      <xdr:colOff>19093</xdr:colOff>
      <xdr:row>566</xdr:row>
      <xdr:rowOff>14654</xdr:rowOff>
    </xdr:to>
    <xdr:pic>
      <xdr:nvPicPr>
        <xdr:cNvPr id="1527" name="Picture 5">
          <a:extLst>
            <a:ext uri="{FF2B5EF4-FFF2-40B4-BE49-F238E27FC236}">
              <a16:creationId xmlns:a16="http://schemas.microsoft.com/office/drawing/2014/main" id="{00000000-0008-0000-0000-0000F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61" y="111398539"/>
          <a:ext cx="5691597" cy="34290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196361</xdr:colOff>
      <xdr:row>566</xdr:row>
      <xdr:rowOff>136281</xdr:rowOff>
    </xdr:from>
    <xdr:to>
      <xdr:col>9</xdr:col>
      <xdr:colOff>19093</xdr:colOff>
      <xdr:row>585</xdr:row>
      <xdr:rowOff>174381</xdr:rowOff>
    </xdr:to>
    <xdr:pic>
      <xdr:nvPicPr>
        <xdr:cNvPr id="1528" name="Picture 6">
          <a:extLst>
            <a:ext uri="{FF2B5EF4-FFF2-40B4-BE49-F238E27FC236}">
              <a16:creationId xmlns:a16="http://schemas.microsoft.com/office/drawing/2014/main" id="{00000000-0008-0000-0000-0000F8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361" y="114949166"/>
          <a:ext cx="5691597" cy="3657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389043</xdr:colOff>
      <xdr:row>519</xdr:row>
      <xdr:rowOff>35036</xdr:rowOff>
    </xdr:from>
    <xdr:to>
      <xdr:col>12</xdr:col>
      <xdr:colOff>473237</xdr:colOff>
      <xdr:row>520</xdr:row>
      <xdr:rowOff>167553</xdr:rowOff>
    </xdr:to>
    <xdr:sp macro="" textlink="">
      <xdr:nvSpPr>
        <xdr:cNvPr id="3" name="TextBox 30">
          <a:extLst>
            <a:ext uri="{FF2B5EF4-FFF2-40B4-BE49-F238E27FC236}">
              <a16:creationId xmlns:a16="http://schemas.microsoft.com/office/drawing/2014/main" id="{8BD394D8-2783-39F0-4743-0D25AB4B7ED7}"/>
            </a:ext>
          </a:extLst>
        </xdr:cNvPr>
        <xdr:cNvSpPr txBox="1"/>
      </xdr:nvSpPr>
      <xdr:spPr>
        <a:xfrm>
          <a:off x="7066068" y="106134011"/>
          <a:ext cx="693794" cy="32301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D</a:t>
          </a:r>
        </a:p>
      </xdr:txBody>
    </xdr:sp>
    <xdr:clientData/>
  </xdr:twoCellAnchor>
  <xdr:twoCellAnchor editAs="oneCell">
    <xdr:from>
      <xdr:col>15</xdr:col>
      <xdr:colOff>295276</xdr:colOff>
      <xdr:row>537</xdr:row>
      <xdr:rowOff>64770</xdr:rowOff>
    </xdr:from>
    <xdr:to>
      <xdr:col>18</xdr:col>
      <xdr:colOff>289560</xdr:colOff>
      <xdr:row>544</xdr:row>
      <xdr:rowOff>59603</xdr:rowOff>
    </xdr:to>
    <xdr:pic>
      <xdr:nvPicPr>
        <xdr:cNvPr id="21" name="Picture 20" descr="https://vsjcllp.vsjadon.com/upload/insp-214143-1525.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9591676" y="108108750"/>
          <a:ext cx="1823084" cy="127499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219076</xdr:colOff>
      <xdr:row>529</xdr:row>
      <xdr:rowOff>86995</xdr:rowOff>
    </xdr:from>
    <xdr:to>
      <xdr:col>18</xdr:col>
      <xdr:colOff>295769</xdr:colOff>
      <xdr:row>536</xdr:row>
      <xdr:rowOff>149875</xdr:rowOff>
    </xdr:to>
    <xdr:pic>
      <xdr:nvPicPr>
        <xdr:cNvPr id="23" name="Picture 22" descr="https://vsjcllp.vsjadon.com/upload/insp-214143-845.jpg">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9515476" y="106667935"/>
          <a:ext cx="1905493" cy="13430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xdr:colOff>
      <xdr:row>529</xdr:row>
      <xdr:rowOff>77470</xdr:rowOff>
    </xdr:from>
    <xdr:to>
      <xdr:col>15</xdr:col>
      <xdr:colOff>128953</xdr:colOff>
      <xdr:row>536</xdr:row>
      <xdr:rowOff>147970</xdr:rowOff>
    </xdr:to>
    <xdr:pic>
      <xdr:nvPicPr>
        <xdr:cNvPr id="26" name="Picture 25" descr="https://vsjcllp.vsjadon.com/upload/insp-214143-849.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7520940" y="106658410"/>
          <a:ext cx="1904413" cy="135066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421005</xdr:colOff>
      <xdr:row>515</xdr:row>
      <xdr:rowOff>140970</xdr:rowOff>
    </xdr:from>
    <xdr:to>
      <xdr:col>21</xdr:col>
      <xdr:colOff>540817</xdr:colOff>
      <xdr:row>528</xdr:row>
      <xdr:rowOff>176850</xdr:rowOff>
    </xdr:to>
    <xdr:pic>
      <xdr:nvPicPr>
        <xdr:cNvPr id="29" name="Picture 28" descr="https://vsjcllp.vsjadon.com/upload/insp-214143-925.jpg">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1546205" y="104161590"/>
          <a:ext cx="1948612" cy="24133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384811</xdr:colOff>
      <xdr:row>529</xdr:row>
      <xdr:rowOff>82232</xdr:rowOff>
    </xdr:from>
    <xdr:to>
      <xdr:col>21</xdr:col>
      <xdr:colOff>495895</xdr:colOff>
      <xdr:row>536</xdr:row>
      <xdr:rowOff>152400</xdr:rowOff>
    </xdr:to>
    <xdr:pic>
      <xdr:nvPicPr>
        <xdr:cNvPr id="30" name="Picture 29" descr="https://vsjcllp.vsjadon.com/upload/insp-214143-928.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11510011" y="106663172"/>
          <a:ext cx="1939884" cy="13503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586740</xdr:colOff>
      <xdr:row>502</xdr:row>
      <xdr:rowOff>13335</xdr:rowOff>
    </xdr:from>
    <xdr:to>
      <xdr:col>15</xdr:col>
      <xdr:colOff>85522</xdr:colOff>
      <xdr:row>515</xdr:row>
      <xdr:rowOff>41595</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7565390" y="101276785"/>
          <a:ext cx="1937182" cy="2434910"/>
          <a:chOff x="76200" y="103270050"/>
          <a:chExt cx="1895272" cy="2520000"/>
        </a:xfrm>
      </xdr:grpSpPr>
      <xdr:pic>
        <xdr:nvPicPr>
          <xdr:cNvPr id="25" name="Picture 24" descr="https://vsjcllp.vsjadon.com/upload/insp-214143-847.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6200" y="103270050"/>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3" name="TextBox 25">
            <a:extLst>
              <a:ext uri="{FF2B5EF4-FFF2-40B4-BE49-F238E27FC236}">
                <a16:creationId xmlns:a16="http://schemas.microsoft.com/office/drawing/2014/main" id="{3820AAA8-FC80-30E3-57CE-A6BCC16616C5}"/>
              </a:ext>
            </a:extLst>
          </xdr:cNvPr>
          <xdr:cNvSpPr txBox="1"/>
        </xdr:nvSpPr>
        <xdr:spPr>
          <a:xfrm>
            <a:off x="114300" y="103317675"/>
            <a:ext cx="771525" cy="320319"/>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A</a:t>
            </a:r>
          </a:p>
        </xdr:txBody>
      </xdr:sp>
    </xdr:grpSp>
    <xdr:clientData/>
  </xdr:twoCellAnchor>
  <xdr:twoCellAnchor>
    <xdr:from>
      <xdr:col>15</xdr:col>
      <xdr:colOff>180975</xdr:colOff>
      <xdr:row>502</xdr:row>
      <xdr:rowOff>22860</xdr:rowOff>
    </xdr:from>
    <xdr:to>
      <xdr:col>18</xdr:col>
      <xdr:colOff>308407</xdr:colOff>
      <xdr:row>515</xdr:row>
      <xdr:rowOff>51120</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9598025" y="101286310"/>
          <a:ext cx="1956232" cy="2434910"/>
          <a:chOff x="2066925" y="103279575"/>
          <a:chExt cx="1895272" cy="2520000"/>
        </a:xfrm>
      </xdr:grpSpPr>
      <xdr:pic>
        <xdr:nvPicPr>
          <xdr:cNvPr id="24" name="Picture 23" descr="https://vsjcllp.vsjadon.com/upload/insp-214143-844.jpg">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066925" y="103279575"/>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4" name="TextBox 25">
            <a:extLst>
              <a:ext uri="{FF2B5EF4-FFF2-40B4-BE49-F238E27FC236}">
                <a16:creationId xmlns:a16="http://schemas.microsoft.com/office/drawing/2014/main" id="{3820AAA8-FC80-30E3-57CE-A6BCC16616C5}"/>
              </a:ext>
            </a:extLst>
          </xdr:cNvPr>
          <xdr:cNvSpPr txBox="1"/>
        </xdr:nvSpPr>
        <xdr:spPr>
          <a:xfrm>
            <a:off x="2066925" y="103279575"/>
            <a:ext cx="742950" cy="320319"/>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B</a:t>
            </a:r>
          </a:p>
        </xdr:txBody>
      </xdr:sp>
    </xdr:grpSp>
    <xdr:clientData/>
  </xdr:twoCellAnchor>
  <xdr:twoCellAnchor>
    <xdr:from>
      <xdr:col>18</xdr:col>
      <xdr:colOff>430530</xdr:colOff>
      <xdr:row>502</xdr:row>
      <xdr:rowOff>13335</xdr:rowOff>
    </xdr:from>
    <xdr:to>
      <xdr:col>21</xdr:col>
      <xdr:colOff>550545</xdr:colOff>
      <xdr:row>515</xdr:row>
      <xdr:rowOff>41595</xdr:rowOff>
    </xdr:to>
    <xdr:grpSp>
      <xdr:nvGrpSpPr>
        <xdr:cNvPr id="39" name="Group 38">
          <a:extLst>
            <a:ext uri="{FF2B5EF4-FFF2-40B4-BE49-F238E27FC236}">
              <a16:creationId xmlns:a16="http://schemas.microsoft.com/office/drawing/2014/main" id="{00000000-0008-0000-0000-000027000000}"/>
            </a:ext>
          </a:extLst>
        </xdr:cNvPr>
        <xdr:cNvGrpSpPr/>
      </xdr:nvGrpSpPr>
      <xdr:grpSpPr>
        <a:xfrm>
          <a:off x="11676380" y="101276785"/>
          <a:ext cx="1948815" cy="2434910"/>
          <a:chOff x="4067175" y="103270050"/>
          <a:chExt cx="1895475" cy="2520000"/>
        </a:xfrm>
      </xdr:grpSpPr>
      <xdr:pic>
        <xdr:nvPicPr>
          <xdr:cNvPr id="28" name="Picture 27" descr="https://vsjcllp.vsjadon.com/upload/insp-214143-861.jpg">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067175" y="103270050"/>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5" name="TextBox 25">
            <a:extLst>
              <a:ext uri="{FF2B5EF4-FFF2-40B4-BE49-F238E27FC236}">
                <a16:creationId xmlns:a16="http://schemas.microsoft.com/office/drawing/2014/main" id="{3820AAA8-FC80-30E3-57CE-A6BCC16616C5}"/>
              </a:ext>
            </a:extLst>
          </xdr:cNvPr>
          <xdr:cNvSpPr txBox="1"/>
        </xdr:nvSpPr>
        <xdr:spPr>
          <a:xfrm>
            <a:off x="5219700" y="103289100"/>
            <a:ext cx="742950" cy="320319"/>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C</a:t>
            </a:r>
          </a:p>
        </xdr:txBody>
      </xdr:sp>
    </xdr:grpSp>
    <xdr:clientData/>
  </xdr:twoCellAnchor>
  <xdr:twoCellAnchor>
    <xdr:from>
      <xdr:col>11</xdr:col>
      <xdr:colOff>586740</xdr:colOff>
      <xdr:row>515</xdr:row>
      <xdr:rowOff>140970</xdr:rowOff>
    </xdr:from>
    <xdr:to>
      <xdr:col>15</xdr:col>
      <xdr:colOff>85522</xdr:colOff>
      <xdr:row>528</xdr:row>
      <xdr:rowOff>176850</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7565390" y="103811070"/>
          <a:ext cx="1937182" cy="2429830"/>
          <a:chOff x="76200" y="105889425"/>
          <a:chExt cx="1895272" cy="2520000"/>
        </a:xfrm>
      </xdr:grpSpPr>
      <xdr:pic>
        <xdr:nvPicPr>
          <xdr:cNvPr id="22" name="Picture 21" descr="https://vsjcllp.vsjadon.com/upload/insp-214143-843.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76200" y="105889425"/>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6" name="TextBox 25">
            <a:extLst>
              <a:ext uri="{FF2B5EF4-FFF2-40B4-BE49-F238E27FC236}">
                <a16:creationId xmlns:a16="http://schemas.microsoft.com/office/drawing/2014/main" id="{3820AAA8-FC80-30E3-57CE-A6BCC16616C5}"/>
              </a:ext>
            </a:extLst>
          </xdr:cNvPr>
          <xdr:cNvSpPr txBox="1"/>
        </xdr:nvSpPr>
        <xdr:spPr>
          <a:xfrm>
            <a:off x="114300" y="107984925"/>
            <a:ext cx="762000" cy="320319"/>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D</a:t>
            </a:r>
          </a:p>
        </xdr:txBody>
      </xdr:sp>
    </xdr:grpSp>
    <xdr:clientData/>
  </xdr:twoCellAnchor>
  <xdr:twoCellAnchor>
    <xdr:from>
      <xdr:col>15</xdr:col>
      <xdr:colOff>180975</xdr:colOff>
      <xdr:row>515</xdr:row>
      <xdr:rowOff>140970</xdr:rowOff>
    </xdr:from>
    <xdr:to>
      <xdr:col>18</xdr:col>
      <xdr:colOff>308407</xdr:colOff>
      <xdr:row>528</xdr:row>
      <xdr:rowOff>176850</xdr:rowOff>
    </xdr:to>
    <xdr:grpSp>
      <xdr:nvGrpSpPr>
        <xdr:cNvPr id="41" name="Group 40">
          <a:extLst>
            <a:ext uri="{FF2B5EF4-FFF2-40B4-BE49-F238E27FC236}">
              <a16:creationId xmlns:a16="http://schemas.microsoft.com/office/drawing/2014/main" id="{00000000-0008-0000-0000-000029000000}"/>
            </a:ext>
          </a:extLst>
        </xdr:cNvPr>
        <xdr:cNvGrpSpPr/>
      </xdr:nvGrpSpPr>
      <xdr:grpSpPr>
        <a:xfrm>
          <a:off x="9598025" y="103811070"/>
          <a:ext cx="1956232" cy="2429830"/>
          <a:chOff x="2066925" y="105889425"/>
          <a:chExt cx="1895272" cy="2520000"/>
        </a:xfrm>
      </xdr:grpSpPr>
      <xdr:pic>
        <xdr:nvPicPr>
          <xdr:cNvPr id="27" name="Picture 26" descr="https://vsjcllp.vsjadon.com/upload/insp-214143-851.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066925" y="105889425"/>
            <a:ext cx="1895272"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8" name="TextBox 25">
            <a:extLst>
              <a:ext uri="{FF2B5EF4-FFF2-40B4-BE49-F238E27FC236}">
                <a16:creationId xmlns:a16="http://schemas.microsoft.com/office/drawing/2014/main" id="{3820AAA8-FC80-30E3-57CE-A6BCC16616C5}"/>
              </a:ext>
            </a:extLst>
          </xdr:cNvPr>
          <xdr:cNvSpPr txBox="1"/>
        </xdr:nvSpPr>
        <xdr:spPr>
          <a:xfrm>
            <a:off x="2085975" y="108023025"/>
            <a:ext cx="762000" cy="320319"/>
          </a:xfrm>
          <a:prstGeom prst="rect">
            <a:avLst/>
          </a:prstGeom>
          <a:solidFill>
            <a:schemeClr val="bg1">
              <a:lumMod val="9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Wing E</a:t>
            </a:r>
          </a:p>
        </xdr:txBody>
      </xdr:sp>
    </xdr:grpSp>
    <xdr:clientData/>
  </xdr:twoCellAnchor>
  <xdr:twoCellAnchor editAs="oneCell">
    <xdr:from>
      <xdr:col>12</xdr:col>
      <xdr:colOff>520700</xdr:colOff>
      <xdr:row>0</xdr:row>
      <xdr:rowOff>82550</xdr:rowOff>
    </xdr:from>
    <xdr:to>
      <xdr:col>21</xdr:col>
      <xdr:colOff>434300</xdr:colOff>
      <xdr:row>12</xdr:row>
      <xdr:rowOff>479150</xdr:rowOff>
    </xdr:to>
    <xdr:pic>
      <xdr:nvPicPr>
        <xdr:cNvPr id="54" name="Picture 5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8108950" y="82550"/>
          <a:ext cx="5400000" cy="2835000"/>
        </a:xfrm>
        <a:prstGeom prst="rect">
          <a:avLst/>
        </a:prstGeom>
        <a:ln>
          <a:solidFill>
            <a:schemeClr val="tx1"/>
          </a:solidFill>
        </a:ln>
      </xdr:spPr>
    </xdr:pic>
    <xdr:clientData/>
  </xdr:twoCellAnchor>
  <xdr:twoCellAnchor>
    <xdr:from>
      <xdr:col>0</xdr:col>
      <xdr:colOff>50800</xdr:colOff>
      <xdr:row>504</xdr:row>
      <xdr:rowOff>63500</xdr:rowOff>
    </xdr:from>
    <xdr:to>
      <xdr:col>9</xdr:col>
      <xdr:colOff>170737</xdr:colOff>
      <xdr:row>543</xdr:row>
      <xdr:rowOff>156412</xdr:rowOff>
    </xdr:to>
    <xdr:grpSp>
      <xdr:nvGrpSpPr>
        <xdr:cNvPr id="2" name="Group 1"/>
        <xdr:cNvGrpSpPr/>
      </xdr:nvGrpSpPr>
      <xdr:grpSpPr>
        <a:xfrm>
          <a:off x="50800" y="101707950"/>
          <a:ext cx="6285787" cy="7274762"/>
          <a:chOff x="50800" y="101415850"/>
          <a:chExt cx="6285787" cy="7274762"/>
        </a:xfrm>
      </xdr:grpSpPr>
      <xdr:pic>
        <xdr:nvPicPr>
          <xdr:cNvPr id="55" name="Picture 5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256323" y="106526436"/>
            <a:ext cx="1618313" cy="216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0800" y="101415850"/>
            <a:ext cx="2022891" cy="270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182248" y="101415850"/>
            <a:ext cx="2022891" cy="270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313696" y="101415850"/>
            <a:ext cx="2022891" cy="270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256323" y="104241143"/>
            <a:ext cx="2877333" cy="216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42586" y="104241143"/>
            <a:ext cx="2877333" cy="216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501606" y="106530612"/>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257175</xdr:colOff>
      <xdr:row>20</xdr:row>
      <xdr:rowOff>123825</xdr:rowOff>
    </xdr:to>
    <xdr:pic>
      <xdr:nvPicPr>
        <xdr:cNvPr id="3092" name="Picture 1">
          <a:extLst>
            <a:ext uri="{FF2B5EF4-FFF2-40B4-BE49-F238E27FC236}">
              <a16:creationId xmlns:a16="http://schemas.microsoft.com/office/drawing/2014/main" id="{00000000-0008-0000-0100-00001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19050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21</xdr:row>
      <xdr:rowOff>47625</xdr:rowOff>
    </xdr:from>
    <xdr:to>
      <xdr:col>5</xdr:col>
      <xdr:colOff>85725</xdr:colOff>
      <xdr:row>32</xdr:row>
      <xdr:rowOff>114300</xdr:rowOff>
    </xdr:to>
    <xdr:pic>
      <xdr:nvPicPr>
        <xdr:cNvPr id="3093" name="Picture 2">
          <a:extLst>
            <a:ext uri="{FF2B5EF4-FFF2-40B4-BE49-F238E27FC236}">
              <a16:creationId xmlns:a16="http://schemas.microsoft.com/office/drawing/2014/main" id="{00000000-0008-0000-0100-0000150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3625" y="4048125"/>
          <a:ext cx="12192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47625</xdr:colOff>
      <xdr:row>33</xdr:row>
      <xdr:rowOff>180975</xdr:rowOff>
    </xdr:from>
    <xdr:to>
      <xdr:col>17</xdr:col>
      <xdr:colOff>295275</xdr:colOff>
      <xdr:row>49</xdr:row>
      <xdr:rowOff>9525</xdr:rowOff>
    </xdr:to>
    <xdr:pic>
      <xdr:nvPicPr>
        <xdr:cNvPr id="3094" name="Picture 1">
          <a:extLst>
            <a:ext uri="{FF2B5EF4-FFF2-40B4-BE49-F238E27FC236}">
              <a16:creationId xmlns:a16="http://schemas.microsoft.com/office/drawing/2014/main" id="{00000000-0008-0000-0100-000016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53125" y="6467475"/>
          <a:ext cx="512445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33</xdr:row>
      <xdr:rowOff>180975</xdr:rowOff>
    </xdr:from>
    <xdr:to>
      <xdr:col>8</xdr:col>
      <xdr:colOff>200025</xdr:colOff>
      <xdr:row>49</xdr:row>
      <xdr:rowOff>9525</xdr:rowOff>
    </xdr:to>
    <xdr:pic>
      <xdr:nvPicPr>
        <xdr:cNvPr id="3095" name="Picture 2">
          <a:extLst>
            <a:ext uri="{FF2B5EF4-FFF2-40B4-BE49-F238E27FC236}">
              <a16:creationId xmlns:a16="http://schemas.microsoft.com/office/drawing/2014/main" id="{00000000-0008-0000-0100-0000170C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7500" t="24371" r="63750" b="8842"/>
        <a:stretch>
          <a:fillRect/>
        </a:stretch>
      </xdr:blipFill>
      <xdr:spPr bwMode="auto">
        <a:xfrm>
          <a:off x="3286125" y="6467475"/>
          <a:ext cx="2209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21</xdr:col>
      <xdr:colOff>209550</xdr:colOff>
      <xdr:row>58</xdr:row>
      <xdr:rowOff>76200</xdr:rowOff>
    </xdr:to>
    <xdr:pic>
      <xdr:nvPicPr>
        <xdr:cNvPr id="2069" name="Picture 1">
          <a:extLst>
            <a:ext uri="{FF2B5EF4-FFF2-40B4-BE49-F238E27FC236}">
              <a16:creationId xmlns:a16="http://schemas.microsoft.com/office/drawing/2014/main" id="{00000000-0008-0000-0200-000015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91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Retail%20Valuation%2022-23\APF\AXIS%20(Apr%2022%20to%20Mar%2023)\JULY%202022\OLD%20UPDATE\06546%20-%20Ambar%20Vaastu%20-%20Hi\VSJCV%20-%20AXIS%20-%20APF%20Old%20update%20-%20July%2022%20-%2006546%20-%20Ambar%20Vaas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VALUATION"/>
      <sheetName val="Note"/>
      <sheetName val="A %"/>
      <sheetName val="B %"/>
      <sheetName val="Sheet1"/>
      <sheetName val="Wing A-1"/>
      <sheetName val="A-2"/>
      <sheetName val="A-3"/>
      <sheetName val="A-4"/>
      <sheetName val="A-5"/>
      <sheetName val="A-6"/>
      <sheetName val="A-7"/>
      <sheetName val="A-8"/>
      <sheetName val="A-9"/>
      <sheetName val="2-1"/>
      <sheetName val="2-2"/>
      <sheetName val="2-3"/>
      <sheetName val="2-4"/>
      <sheetName val="2-5"/>
      <sheetName val="2-6"/>
      <sheetName val="2-7"/>
      <sheetName val="2-8"/>
      <sheetName val="2-9"/>
      <sheetName val="B-1"/>
      <sheetName val="B-2"/>
      <sheetName val="B-3"/>
      <sheetName val="B4"/>
      <sheetName val="B-5"/>
      <sheetName val="B-6"/>
      <sheetName val="4-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9">
          <cell r="M29">
            <v>0</v>
          </cell>
        </row>
      </sheetData>
      <sheetData sheetId="16">
        <row r="29">
          <cell r="M29">
            <v>0</v>
          </cell>
        </row>
      </sheetData>
      <sheetData sheetId="17">
        <row r="29">
          <cell r="M29">
            <v>0</v>
          </cell>
        </row>
      </sheetData>
      <sheetData sheetId="18">
        <row r="29">
          <cell r="M29">
            <v>0</v>
          </cell>
        </row>
      </sheetData>
      <sheetData sheetId="19"/>
      <sheetData sheetId="20"/>
      <sheetData sheetId="21">
        <row r="29">
          <cell r="M29">
            <v>0</v>
          </cell>
        </row>
        <row r="34">
          <cell r="M34">
            <v>0</v>
          </cell>
        </row>
      </sheetData>
      <sheetData sheetId="22">
        <row r="29">
          <cell r="M29">
            <v>0</v>
          </cell>
        </row>
        <row r="34">
          <cell r="M34">
            <v>0</v>
          </cell>
        </row>
      </sheetData>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HEtESaaE2nxpDJkV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8"/>
  <sheetViews>
    <sheetView tabSelected="1" showWhiteSpace="0" view="pageBreakPreview" zoomScaleNormal="100" zoomScaleSheetLayoutView="100" zoomScalePageLayoutView="70" workbookViewId="0">
      <selection activeCell="F9" sqref="F9:J9"/>
    </sheetView>
  </sheetViews>
  <sheetFormatPr defaultRowHeight="14.5" x14ac:dyDescent="0.35"/>
  <cols>
    <col min="1" max="1" width="8.6328125" customWidth="1"/>
    <col min="2" max="3" width="14.453125" customWidth="1"/>
    <col min="4" max="4" width="7.36328125" customWidth="1"/>
    <col min="5" max="5" width="6.90625" customWidth="1"/>
    <col min="6" max="6" width="9" customWidth="1"/>
    <col min="7" max="8" width="9.90625" customWidth="1"/>
    <col min="9" max="9" width="7.6328125" customWidth="1"/>
    <col min="10" max="10" width="2.90625" customWidth="1"/>
  </cols>
  <sheetData>
    <row r="1" spans="1:15" ht="44" customHeight="1" x14ac:dyDescent="0.35">
      <c r="A1" s="177" t="s">
        <v>269</v>
      </c>
      <c r="B1" s="178"/>
      <c r="C1" s="178"/>
      <c r="D1" s="178"/>
      <c r="E1" s="178"/>
      <c r="F1" s="178"/>
      <c r="G1" s="178"/>
      <c r="H1" s="178"/>
      <c r="I1" s="178"/>
      <c r="J1" s="179"/>
    </row>
    <row r="2" spans="1:15" x14ac:dyDescent="0.35">
      <c r="A2" s="141" t="s">
        <v>44</v>
      </c>
      <c r="B2" s="142"/>
      <c r="C2" s="142"/>
      <c r="D2" s="142"/>
      <c r="E2" s="142"/>
      <c r="F2" s="142"/>
      <c r="G2" s="142"/>
      <c r="H2" s="142"/>
      <c r="I2" s="142"/>
      <c r="J2" s="143"/>
    </row>
    <row r="3" spans="1:15" ht="15" customHeight="1" x14ac:dyDescent="0.35">
      <c r="A3" s="52" t="s">
        <v>0</v>
      </c>
      <c r="B3" s="53"/>
      <c r="C3" s="53"/>
      <c r="D3" s="53"/>
      <c r="E3" s="54"/>
      <c r="F3" s="144" t="str">
        <f ca="1">TEXT(TODAY(),"DD/MM/YYYY")</f>
        <v>14/07/2025</v>
      </c>
      <c r="G3" s="145"/>
      <c r="H3" s="145"/>
      <c r="I3" s="145"/>
      <c r="J3" s="146"/>
    </row>
    <row r="4" spans="1:15" x14ac:dyDescent="0.35">
      <c r="A4" s="52" t="s">
        <v>1</v>
      </c>
      <c r="B4" s="53"/>
      <c r="C4" s="53"/>
      <c r="D4" s="53"/>
      <c r="E4" s="54"/>
      <c r="F4" s="52" t="s">
        <v>115</v>
      </c>
      <c r="G4" s="53"/>
      <c r="H4" s="53"/>
      <c r="I4" s="53"/>
      <c r="J4" s="54"/>
    </row>
    <row r="5" spans="1:15" x14ac:dyDescent="0.35">
      <c r="A5" s="52" t="s">
        <v>2</v>
      </c>
      <c r="B5" s="53"/>
      <c r="C5" s="53"/>
      <c r="D5" s="53"/>
      <c r="E5" s="54"/>
      <c r="F5" s="147">
        <v>45849</v>
      </c>
      <c r="G5" s="148"/>
      <c r="H5" s="148"/>
      <c r="I5" s="148"/>
      <c r="J5" s="149"/>
    </row>
    <row r="6" spans="1:15" ht="16.5" customHeight="1" x14ac:dyDescent="0.35">
      <c r="A6" s="52" t="s">
        <v>3</v>
      </c>
      <c r="B6" s="53"/>
      <c r="C6" s="53"/>
      <c r="D6" s="53"/>
      <c r="E6" s="54"/>
      <c r="F6" s="55" t="s">
        <v>116</v>
      </c>
      <c r="G6" s="56"/>
      <c r="H6" s="56"/>
      <c r="I6" s="56"/>
      <c r="J6" s="57"/>
    </row>
    <row r="7" spans="1:15" ht="15" customHeight="1" x14ac:dyDescent="0.35">
      <c r="A7" s="52" t="s">
        <v>4</v>
      </c>
      <c r="B7" s="53"/>
      <c r="C7" s="53"/>
      <c r="D7" s="53"/>
      <c r="E7" s="54"/>
      <c r="F7" s="55" t="s">
        <v>117</v>
      </c>
      <c r="G7" s="56"/>
      <c r="H7" s="56"/>
      <c r="I7" s="56"/>
      <c r="J7" s="57"/>
    </row>
    <row r="8" spans="1:15" x14ac:dyDescent="0.35">
      <c r="A8" s="52" t="s">
        <v>5</v>
      </c>
      <c r="B8" s="53"/>
      <c r="C8" s="53"/>
      <c r="D8" s="53"/>
      <c r="E8" s="54"/>
      <c r="F8" s="150" t="s">
        <v>136</v>
      </c>
      <c r="G8" s="151"/>
      <c r="H8" s="151"/>
      <c r="I8" s="151"/>
      <c r="J8" s="152"/>
    </row>
    <row r="9" spans="1:15" x14ac:dyDescent="0.35">
      <c r="A9" s="52" t="s">
        <v>113</v>
      </c>
      <c r="B9" s="53"/>
      <c r="C9" s="53"/>
      <c r="D9" s="53"/>
      <c r="E9" s="54"/>
      <c r="F9" s="52">
        <v>226649999</v>
      </c>
      <c r="G9" s="53"/>
      <c r="H9" s="53"/>
      <c r="I9" s="53"/>
      <c r="J9" s="54"/>
    </row>
    <row r="10" spans="1:15" hidden="1" x14ac:dyDescent="0.35">
      <c r="A10" s="52" t="s">
        <v>264</v>
      </c>
      <c r="B10" s="53"/>
      <c r="C10" s="53"/>
      <c r="D10" s="53"/>
      <c r="E10" s="54"/>
      <c r="F10" s="52" t="s">
        <v>273</v>
      </c>
      <c r="G10" s="53"/>
      <c r="H10" s="53"/>
      <c r="I10" s="53"/>
      <c r="J10" s="54"/>
    </row>
    <row r="11" spans="1:15" x14ac:dyDescent="0.35">
      <c r="A11" s="52" t="s">
        <v>6</v>
      </c>
      <c r="B11" s="53"/>
      <c r="C11" s="53"/>
      <c r="D11" s="53"/>
      <c r="E11" s="54"/>
      <c r="F11" s="52" t="s">
        <v>112</v>
      </c>
      <c r="G11" s="53"/>
      <c r="H11" s="53"/>
      <c r="I11" s="53"/>
      <c r="J11" s="54"/>
      <c r="K11" s="52" t="s">
        <v>265</v>
      </c>
      <c r="L11" s="53"/>
      <c r="M11" s="53"/>
      <c r="N11" s="53"/>
      <c r="O11" s="54"/>
    </row>
    <row r="12" spans="1:15" x14ac:dyDescent="0.35">
      <c r="A12" s="52" t="s">
        <v>223</v>
      </c>
      <c r="B12" s="53"/>
      <c r="C12" s="53"/>
      <c r="D12" s="53"/>
      <c r="E12" s="54"/>
      <c r="F12" s="52" t="s">
        <v>224</v>
      </c>
      <c r="G12" s="53"/>
      <c r="H12" s="53"/>
      <c r="I12" s="53"/>
      <c r="J12" s="54"/>
    </row>
    <row r="13" spans="1:15" ht="47.25" customHeight="1" x14ac:dyDescent="0.35">
      <c r="A13" s="153" t="s">
        <v>67</v>
      </c>
      <c r="B13" s="153"/>
      <c r="C13" s="55" t="s">
        <v>172</v>
      </c>
      <c r="D13" s="56"/>
      <c r="E13" s="56"/>
      <c r="F13" s="56"/>
      <c r="G13" s="56"/>
      <c r="H13" s="56"/>
      <c r="I13" s="56"/>
      <c r="J13" s="57"/>
    </row>
    <row r="14" spans="1:15" ht="16.5" customHeight="1" x14ac:dyDescent="0.35">
      <c r="A14" s="31" t="s">
        <v>68</v>
      </c>
      <c r="B14" s="55" t="s">
        <v>137</v>
      </c>
      <c r="C14" s="56"/>
      <c r="D14" s="56"/>
      <c r="E14" s="56"/>
      <c r="F14" s="57"/>
      <c r="G14" s="3" t="s">
        <v>69</v>
      </c>
      <c r="H14" s="55" t="s">
        <v>173</v>
      </c>
      <c r="I14" s="56"/>
      <c r="J14" s="57"/>
    </row>
    <row r="15" spans="1:15" x14ac:dyDescent="0.35">
      <c r="A15" s="31" t="s">
        <v>7</v>
      </c>
      <c r="B15" s="52" t="s">
        <v>138</v>
      </c>
      <c r="C15" s="53"/>
      <c r="D15" s="53"/>
      <c r="E15" s="54"/>
      <c r="F15" s="2" t="s">
        <v>70</v>
      </c>
      <c r="G15" s="52" t="s">
        <v>114</v>
      </c>
      <c r="H15" s="53"/>
      <c r="I15" s="53"/>
      <c r="J15" s="54"/>
    </row>
    <row r="16" spans="1:15" x14ac:dyDescent="0.35">
      <c r="A16" s="31" t="s">
        <v>8</v>
      </c>
      <c r="B16" s="52" t="s">
        <v>260</v>
      </c>
      <c r="C16" s="53"/>
      <c r="D16" s="53"/>
      <c r="E16" s="54"/>
      <c r="F16" s="2" t="s">
        <v>71</v>
      </c>
      <c r="G16" s="52" t="s">
        <v>140</v>
      </c>
      <c r="H16" s="53"/>
      <c r="I16" s="53"/>
      <c r="J16" s="54"/>
    </row>
    <row r="17" spans="1:10" ht="32.25" customHeight="1" x14ac:dyDescent="0.35">
      <c r="A17" s="153" t="s">
        <v>72</v>
      </c>
      <c r="B17" s="153"/>
      <c r="C17" s="153" t="s">
        <v>139</v>
      </c>
      <c r="D17" s="153"/>
      <c r="E17" s="153"/>
      <c r="F17" s="160" t="s">
        <v>55</v>
      </c>
      <c r="G17" s="160"/>
      <c r="H17" s="56" t="s">
        <v>259</v>
      </c>
      <c r="I17" s="56"/>
      <c r="J17" s="57"/>
    </row>
    <row r="18" spans="1:10" ht="15" customHeight="1" x14ac:dyDescent="0.35">
      <c r="A18" s="157" t="s">
        <v>57</v>
      </c>
      <c r="B18" s="158"/>
      <c r="C18" s="158"/>
      <c r="D18" s="158"/>
      <c r="E18" s="159"/>
      <c r="F18" s="164" t="s">
        <v>65</v>
      </c>
      <c r="G18" s="165"/>
      <c r="H18" s="165"/>
      <c r="I18" s="165"/>
      <c r="J18" s="166"/>
    </row>
    <row r="19" spans="1:10" x14ac:dyDescent="0.35">
      <c r="A19" s="161"/>
      <c r="B19" s="162"/>
      <c r="C19" s="162"/>
      <c r="D19" s="162"/>
      <c r="E19" s="163"/>
      <c r="F19" s="167"/>
      <c r="G19" s="168"/>
      <c r="H19" s="168"/>
      <c r="I19" s="168"/>
      <c r="J19" s="169"/>
    </row>
    <row r="20" spans="1:10" ht="15" customHeight="1" x14ac:dyDescent="0.35">
      <c r="A20" s="157" t="s">
        <v>9</v>
      </c>
      <c r="B20" s="158"/>
      <c r="C20" s="158"/>
      <c r="D20" s="158"/>
      <c r="E20" s="159"/>
      <c r="F20" s="157" t="s">
        <v>46</v>
      </c>
      <c r="G20" s="158"/>
      <c r="H20" s="158"/>
      <c r="I20" s="158"/>
      <c r="J20" s="159"/>
    </row>
    <row r="21" spans="1:10" x14ac:dyDescent="0.35">
      <c r="A21" s="52" t="s">
        <v>10</v>
      </c>
      <c r="B21" s="53"/>
      <c r="C21" s="53"/>
      <c r="D21" s="53"/>
      <c r="E21" s="54"/>
      <c r="F21" s="154" t="s">
        <v>109</v>
      </c>
      <c r="G21" s="155"/>
      <c r="H21" s="155"/>
      <c r="I21" s="155"/>
      <c r="J21" s="156"/>
    </row>
    <row r="22" spans="1:10" x14ac:dyDescent="0.35">
      <c r="A22" s="52" t="s">
        <v>11</v>
      </c>
      <c r="B22" s="53"/>
      <c r="C22" s="53"/>
      <c r="D22" s="53"/>
      <c r="E22" s="54"/>
      <c r="F22" s="154" t="s">
        <v>56</v>
      </c>
      <c r="G22" s="155"/>
      <c r="H22" s="155"/>
      <c r="I22" s="155"/>
      <c r="J22" s="156"/>
    </row>
    <row r="23" spans="1:10" x14ac:dyDescent="0.35">
      <c r="A23" s="52" t="s">
        <v>12</v>
      </c>
      <c r="B23" s="53"/>
      <c r="C23" s="53"/>
      <c r="D23" s="53"/>
      <c r="E23" s="54"/>
      <c r="F23" s="154" t="s">
        <v>47</v>
      </c>
      <c r="G23" s="155"/>
      <c r="H23" s="155"/>
      <c r="I23" s="155"/>
      <c r="J23" s="156"/>
    </row>
    <row r="24" spans="1:10" x14ac:dyDescent="0.35">
      <c r="A24" s="52" t="s">
        <v>28</v>
      </c>
      <c r="B24" s="53"/>
      <c r="C24" s="53"/>
      <c r="D24" s="53"/>
      <c r="E24" s="54"/>
      <c r="F24" s="154" t="s">
        <v>73</v>
      </c>
      <c r="G24" s="155"/>
      <c r="H24" s="155"/>
      <c r="I24" s="155"/>
      <c r="J24" s="156"/>
    </row>
    <row r="25" spans="1:10" x14ac:dyDescent="0.35">
      <c r="A25" s="141" t="s">
        <v>13</v>
      </c>
      <c r="B25" s="143"/>
      <c r="C25" s="141" t="s">
        <v>14</v>
      </c>
      <c r="D25" s="143"/>
      <c r="E25" s="141" t="s">
        <v>15</v>
      </c>
      <c r="F25" s="143"/>
      <c r="G25" s="141" t="s">
        <v>54</v>
      </c>
      <c r="H25" s="143"/>
      <c r="I25" s="141" t="s">
        <v>16</v>
      </c>
      <c r="J25" s="143"/>
    </row>
    <row r="26" spans="1:10" x14ac:dyDescent="0.35">
      <c r="A26" s="141" t="s">
        <v>17</v>
      </c>
      <c r="B26" s="143"/>
      <c r="C26" s="141" t="s">
        <v>53</v>
      </c>
      <c r="D26" s="143"/>
      <c r="E26" s="141" t="s">
        <v>53</v>
      </c>
      <c r="F26" s="143"/>
      <c r="G26" s="141" t="s">
        <v>53</v>
      </c>
      <c r="H26" s="143"/>
      <c r="I26" s="141" t="s">
        <v>53</v>
      </c>
      <c r="J26" s="143"/>
    </row>
    <row r="27" spans="1:10" x14ac:dyDescent="0.35">
      <c r="A27" s="141" t="s">
        <v>18</v>
      </c>
      <c r="B27" s="143"/>
      <c r="C27" s="141" t="s">
        <v>138</v>
      </c>
      <c r="D27" s="143"/>
      <c r="E27" s="141" t="s">
        <v>141</v>
      </c>
      <c r="F27" s="143"/>
      <c r="G27" s="141" t="s">
        <v>139</v>
      </c>
      <c r="H27" s="143"/>
      <c r="I27" s="141" t="s">
        <v>142</v>
      </c>
      <c r="J27" s="143"/>
    </row>
    <row r="28" spans="1:10" x14ac:dyDescent="0.35">
      <c r="A28" s="52" t="s">
        <v>64</v>
      </c>
      <c r="B28" s="53"/>
      <c r="C28" s="53"/>
      <c r="D28" s="53"/>
      <c r="E28" s="53"/>
      <c r="F28" s="53"/>
      <c r="G28" s="53"/>
      <c r="H28" s="53"/>
      <c r="I28" s="53"/>
      <c r="J28" s="54"/>
    </row>
    <row r="29" spans="1:10" x14ac:dyDescent="0.35">
      <c r="A29" s="52" t="s">
        <v>48</v>
      </c>
      <c r="B29" s="53"/>
      <c r="C29" s="53"/>
      <c r="D29" s="53"/>
      <c r="E29" s="53"/>
      <c r="F29" s="53"/>
      <c r="G29" s="53"/>
      <c r="H29" s="53"/>
      <c r="I29" s="53"/>
      <c r="J29" s="54"/>
    </row>
    <row r="30" spans="1:10" x14ac:dyDescent="0.35">
      <c r="A30" s="150" t="s">
        <v>41</v>
      </c>
      <c r="B30" s="152"/>
      <c r="C30" s="52" t="s">
        <v>268</v>
      </c>
      <c r="D30" s="53"/>
      <c r="E30" s="53"/>
      <c r="F30" s="53"/>
      <c r="G30" s="53"/>
      <c r="H30" s="53"/>
      <c r="I30" s="53"/>
      <c r="J30" s="54"/>
    </row>
    <row r="31" spans="1:10" x14ac:dyDescent="0.35">
      <c r="A31" s="150" t="s">
        <v>266</v>
      </c>
      <c r="B31" s="152"/>
      <c r="C31" s="199" t="s">
        <v>267</v>
      </c>
      <c r="D31" s="53"/>
      <c r="E31" s="53"/>
      <c r="F31" s="53"/>
      <c r="G31" s="53"/>
      <c r="H31" s="53"/>
      <c r="I31" s="53"/>
      <c r="J31" s="54"/>
    </row>
    <row r="32" spans="1:10" x14ac:dyDescent="0.35">
      <c r="A32" s="52" t="s">
        <v>19</v>
      </c>
      <c r="B32" s="53"/>
      <c r="C32" s="53"/>
      <c r="D32" s="53"/>
      <c r="E32" s="53"/>
      <c r="F32" s="53"/>
      <c r="G32" s="53"/>
      <c r="H32" s="53"/>
      <c r="I32" s="53"/>
      <c r="J32" s="54"/>
    </row>
    <row r="33" spans="1:10" ht="15" customHeight="1" x14ac:dyDescent="0.35">
      <c r="A33" s="157" t="s">
        <v>143</v>
      </c>
      <c r="B33" s="158"/>
      <c r="C33" s="158"/>
      <c r="D33" s="158"/>
      <c r="E33" s="158"/>
      <c r="F33" s="158"/>
      <c r="G33" s="158"/>
      <c r="H33" s="158"/>
      <c r="I33" s="158"/>
      <c r="J33" s="159"/>
    </row>
    <row r="34" spans="1:10" x14ac:dyDescent="0.35">
      <c r="A34" s="161"/>
      <c r="B34" s="162"/>
      <c r="C34" s="162"/>
      <c r="D34" s="162"/>
      <c r="E34" s="162"/>
      <c r="F34" s="162"/>
      <c r="G34" s="162"/>
      <c r="H34" s="162"/>
      <c r="I34" s="162"/>
      <c r="J34" s="163"/>
    </row>
    <row r="35" spans="1:10" ht="16.5" customHeight="1" x14ac:dyDescent="0.35">
      <c r="A35" s="52" t="s">
        <v>74</v>
      </c>
      <c r="B35" s="53"/>
      <c r="C35" s="53"/>
      <c r="D35" s="53"/>
      <c r="E35" s="54"/>
      <c r="F35" s="55" t="s">
        <v>144</v>
      </c>
      <c r="G35" s="56"/>
      <c r="H35" s="56"/>
      <c r="I35" s="56"/>
      <c r="J35" s="57"/>
    </row>
    <row r="36" spans="1:10" x14ac:dyDescent="0.35">
      <c r="A36" s="52" t="s">
        <v>20</v>
      </c>
      <c r="B36" s="53"/>
      <c r="C36" s="53"/>
      <c r="D36" s="53"/>
      <c r="E36" s="54"/>
      <c r="F36" s="52">
        <v>4</v>
      </c>
      <c r="G36" s="53"/>
      <c r="H36" s="53"/>
      <c r="I36" s="53"/>
      <c r="J36" s="54"/>
    </row>
    <row r="37" spans="1:10" x14ac:dyDescent="0.35">
      <c r="A37" s="52" t="s">
        <v>21</v>
      </c>
      <c r="B37" s="53"/>
      <c r="C37" s="53"/>
      <c r="D37" s="53"/>
      <c r="E37" s="54"/>
      <c r="F37" s="52">
        <v>0</v>
      </c>
      <c r="G37" s="53"/>
      <c r="H37" s="53"/>
      <c r="I37" s="53"/>
      <c r="J37" s="54"/>
    </row>
    <row r="38" spans="1:10" x14ac:dyDescent="0.35">
      <c r="A38" s="52" t="s">
        <v>22</v>
      </c>
      <c r="B38" s="53"/>
      <c r="C38" s="53"/>
      <c r="D38" s="53"/>
      <c r="E38" s="54"/>
      <c r="F38" s="52">
        <v>4</v>
      </c>
      <c r="G38" s="53"/>
      <c r="H38" s="53"/>
      <c r="I38" s="53"/>
      <c r="J38" s="54"/>
    </row>
    <row r="39" spans="1:10" x14ac:dyDescent="0.35">
      <c r="A39" s="52" t="s">
        <v>75</v>
      </c>
      <c r="B39" s="53"/>
      <c r="C39" s="53"/>
      <c r="D39" s="53"/>
      <c r="E39" s="54"/>
      <c r="F39" s="52">
        <v>33465.96</v>
      </c>
      <c r="G39" s="53"/>
      <c r="H39" s="53"/>
      <c r="I39" s="53"/>
      <c r="J39" s="54"/>
    </row>
    <row r="40" spans="1:10" x14ac:dyDescent="0.35">
      <c r="A40" s="52" t="s">
        <v>23</v>
      </c>
      <c r="B40" s="53"/>
      <c r="C40" s="53"/>
      <c r="D40" s="53"/>
      <c r="E40" s="54"/>
      <c r="F40" s="52" t="s">
        <v>145</v>
      </c>
      <c r="G40" s="53"/>
      <c r="H40" s="53"/>
      <c r="I40" s="53"/>
      <c r="J40" s="54"/>
    </row>
    <row r="41" spans="1:10" x14ac:dyDescent="0.35">
      <c r="A41" s="52" t="s">
        <v>77</v>
      </c>
      <c r="B41" s="53"/>
      <c r="C41" s="53"/>
      <c r="D41" s="53"/>
      <c r="E41" s="53"/>
      <c r="F41" s="53"/>
      <c r="G41" s="53"/>
      <c r="H41" s="53"/>
      <c r="I41" s="53"/>
      <c r="J41" s="54"/>
    </row>
    <row r="42" spans="1:10" ht="16.5" customHeight="1" x14ac:dyDescent="0.35">
      <c r="A42" s="160" t="s">
        <v>76</v>
      </c>
      <c r="B42" s="160"/>
      <c r="C42" s="52" t="s">
        <v>254</v>
      </c>
      <c r="D42" s="53"/>
      <c r="E42" s="53"/>
      <c r="F42" s="54"/>
      <c r="G42" s="2" t="s">
        <v>66</v>
      </c>
      <c r="H42" s="147">
        <v>43691</v>
      </c>
      <c r="I42" s="148"/>
      <c r="J42" s="148"/>
    </row>
    <row r="43" spans="1:10" ht="18" customHeight="1" x14ac:dyDescent="0.35">
      <c r="A43" s="55" t="s">
        <v>78</v>
      </c>
      <c r="B43" s="57"/>
      <c r="C43" s="52" t="str">
        <f>C42</f>
        <v xml:space="preserve">SRA/ENG/3267/RN/PL/AP    </v>
      </c>
      <c r="D43" s="53"/>
      <c r="E43" s="53"/>
      <c r="F43" s="54"/>
      <c r="G43" s="2" t="s">
        <v>66</v>
      </c>
      <c r="H43" s="147">
        <f>H42</f>
        <v>43691</v>
      </c>
      <c r="I43" s="148" t="s">
        <v>49</v>
      </c>
      <c r="J43" s="148"/>
    </row>
    <row r="44" spans="1:10" ht="117" customHeight="1" x14ac:dyDescent="0.35">
      <c r="A44" s="55" t="s">
        <v>228</v>
      </c>
      <c r="B44" s="57"/>
      <c r="C44" s="55" t="s">
        <v>229</v>
      </c>
      <c r="D44" s="56"/>
      <c r="E44" s="56"/>
      <c r="F44" s="57"/>
      <c r="G44" s="2" t="s">
        <v>66</v>
      </c>
      <c r="H44" s="147">
        <v>44005</v>
      </c>
      <c r="I44" s="148" t="s">
        <v>50</v>
      </c>
      <c r="J44" s="148"/>
    </row>
    <row r="45" spans="1:10" s="35" customFormat="1" x14ac:dyDescent="0.35">
      <c r="A45" s="184" t="s">
        <v>110</v>
      </c>
      <c r="B45" s="185"/>
      <c r="C45" s="184" t="s">
        <v>53</v>
      </c>
      <c r="D45" s="186"/>
      <c r="E45" s="186"/>
      <c r="F45" s="185" t="s">
        <v>111</v>
      </c>
      <c r="G45" s="48" t="s">
        <v>66</v>
      </c>
      <c r="H45" s="150" t="s">
        <v>53</v>
      </c>
      <c r="I45" s="151" t="s">
        <v>58</v>
      </c>
      <c r="J45" s="152"/>
    </row>
    <row r="46" spans="1:10" x14ac:dyDescent="0.35">
      <c r="A46" s="153" t="s">
        <v>82</v>
      </c>
      <c r="B46" s="153"/>
      <c r="C46" s="153"/>
      <c r="D46" s="147">
        <f>H44</f>
        <v>44005</v>
      </c>
      <c r="E46" s="148"/>
      <c r="F46" s="52" t="s">
        <v>79</v>
      </c>
      <c r="G46" s="187"/>
      <c r="H46" s="147">
        <v>46387</v>
      </c>
      <c r="I46" s="148"/>
      <c r="J46" s="148"/>
    </row>
    <row r="47" spans="1:10" x14ac:dyDescent="0.35">
      <c r="A47" s="154" t="s">
        <v>24</v>
      </c>
      <c r="B47" s="155"/>
      <c r="C47" s="155"/>
      <c r="D47" s="155"/>
      <c r="E47" s="155"/>
      <c r="F47" s="155"/>
      <c r="G47" s="155"/>
      <c r="H47" s="155"/>
      <c r="I47" s="155"/>
      <c r="J47" s="156"/>
    </row>
    <row r="48" spans="1:10" ht="49.5" customHeight="1" x14ac:dyDescent="0.35">
      <c r="A48" s="52" t="s">
        <v>108</v>
      </c>
      <c r="B48" s="53"/>
      <c r="C48" s="54"/>
      <c r="D48" s="141">
        <f>F39</f>
        <v>33465.96</v>
      </c>
      <c r="E48" s="143"/>
      <c r="F48" s="188" t="s">
        <v>257</v>
      </c>
      <c r="G48" s="189"/>
      <c r="H48" s="190" t="s">
        <v>261</v>
      </c>
      <c r="I48" s="191"/>
      <c r="J48" s="192"/>
    </row>
    <row r="49" spans="1:12" ht="31.5" customHeight="1" x14ac:dyDescent="0.35">
      <c r="A49" s="170" t="s">
        <v>80</v>
      </c>
      <c r="B49" s="171"/>
      <c r="C49" s="55" t="s">
        <v>263</v>
      </c>
      <c r="D49" s="56"/>
      <c r="E49" s="56"/>
      <c r="F49" s="56"/>
      <c r="G49" s="57"/>
      <c r="H49" s="55" t="s">
        <v>61</v>
      </c>
      <c r="I49" s="56"/>
      <c r="J49" s="57"/>
    </row>
    <row r="50" spans="1:12" x14ac:dyDescent="0.35">
      <c r="A50" s="170" t="s">
        <v>222</v>
      </c>
      <c r="B50" s="171"/>
      <c r="C50" s="55" t="s">
        <v>262</v>
      </c>
      <c r="D50" s="56"/>
      <c r="E50" s="56"/>
      <c r="F50" s="56"/>
      <c r="G50" s="56"/>
      <c r="H50" s="56"/>
      <c r="I50" s="56"/>
      <c r="J50" s="57"/>
    </row>
    <row r="51" spans="1:12" s="5" customFormat="1" x14ac:dyDescent="0.35">
      <c r="A51" s="2" t="s">
        <v>51</v>
      </c>
      <c r="B51" s="2"/>
      <c r="C51" s="2"/>
      <c r="D51" s="160" t="s">
        <v>59</v>
      </c>
      <c r="E51" s="160"/>
      <c r="F51" s="160"/>
      <c r="G51" s="160"/>
      <c r="H51" s="160"/>
      <c r="I51" s="160"/>
      <c r="J51" s="160"/>
    </row>
    <row r="52" spans="1:12" ht="15" thickBot="1" x14ac:dyDescent="0.4">
      <c r="A52" s="167" t="s">
        <v>60</v>
      </c>
      <c r="B52" s="168"/>
      <c r="C52" s="168"/>
      <c r="D52" s="168"/>
      <c r="E52" s="168"/>
      <c r="F52" s="168"/>
      <c r="G52" s="168"/>
      <c r="H52" s="168"/>
      <c r="I52" s="168"/>
      <c r="J52" s="169"/>
    </row>
    <row r="53" spans="1:12" ht="15" customHeight="1" x14ac:dyDescent="0.35">
      <c r="A53" s="172" t="s">
        <v>188</v>
      </c>
      <c r="B53" s="173"/>
      <c r="C53" s="174" t="s">
        <v>272</v>
      </c>
      <c r="D53" s="175"/>
      <c r="E53" s="175"/>
      <c r="F53" s="175"/>
      <c r="G53" s="175"/>
      <c r="H53" s="175"/>
      <c r="I53" s="175"/>
      <c r="J53" s="176"/>
      <c r="K53" s="16"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All work completed. Please provide OC.</v>
      </c>
      <c r="L53" s="17"/>
    </row>
    <row r="54" spans="1:12" ht="15.5" x14ac:dyDescent="0.35">
      <c r="A54" s="28" t="s">
        <v>189</v>
      </c>
      <c r="B54" s="29">
        <v>1</v>
      </c>
      <c r="C54" s="29" t="s">
        <v>190</v>
      </c>
      <c r="D54" s="29">
        <v>1</v>
      </c>
      <c r="E54" s="133" t="s">
        <v>191</v>
      </c>
      <c r="F54" s="134"/>
      <c r="G54" s="29">
        <v>0</v>
      </c>
      <c r="H54" s="29" t="s">
        <v>192</v>
      </c>
      <c r="I54" s="133">
        <f ca="1">--TRIM(RIGHT(SUBSTITUTE(LEFT(C53,_xlfn.AGGREGATE(16,6,FIND({0,1,2,3,4,5,6,7,8,9},C53,ROW(INDIRECT("1:"&amp;LEN(C53)))),1))," ",REPT(" ",LEN(C53))),LEN(C53)))</f>
        <v>23</v>
      </c>
      <c r="J54" s="135"/>
      <c r="K54" s="18"/>
      <c r="L54" s="19"/>
    </row>
    <row r="55" spans="1:12" ht="15.5" x14ac:dyDescent="0.35">
      <c r="A55" s="136" t="s">
        <v>193</v>
      </c>
      <c r="B55" s="137"/>
      <c r="C55" s="138" t="str">
        <f ca="1">K53</f>
        <v>All work completed. Please provide OC.</v>
      </c>
      <c r="D55" s="139"/>
      <c r="E55" s="139"/>
      <c r="F55" s="139"/>
      <c r="G55" s="139"/>
      <c r="H55" s="139"/>
      <c r="I55" s="139"/>
      <c r="J55" s="140"/>
      <c r="K55" s="18" t="s">
        <v>194</v>
      </c>
      <c r="L55" s="19"/>
    </row>
    <row r="56" spans="1:12" ht="15.5" x14ac:dyDescent="0.35">
      <c r="A56" s="113" t="s">
        <v>32</v>
      </c>
      <c r="B56" s="114"/>
      <c r="C56" s="27" t="s">
        <v>195</v>
      </c>
      <c r="D56" s="115" t="s">
        <v>196</v>
      </c>
      <c r="E56" s="115"/>
      <c r="F56" s="115" t="s">
        <v>197</v>
      </c>
      <c r="G56" s="115"/>
      <c r="H56" s="115" t="s">
        <v>198</v>
      </c>
      <c r="I56" s="115"/>
      <c r="J56" s="116"/>
      <c r="K56" s="20" t="s">
        <v>199</v>
      </c>
      <c r="L56" s="21">
        <f ca="1">I54*25%</f>
        <v>5.75</v>
      </c>
    </row>
    <row r="57" spans="1:12" ht="15.5" x14ac:dyDescent="0.35">
      <c r="A57" s="117" t="s">
        <v>200</v>
      </c>
      <c r="B57" s="115"/>
      <c r="C57" s="32">
        <f ca="1">L58</f>
        <v>23</v>
      </c>
      <c r="D57" s="118">
        <f ca="1">((100/I54)*C57)/100</f>
        <v>1</v>
      </c>
      <c r="E57" s="119"/>
      <c r="F57" s="120">
        <f ca="1">(((C58/I54*10)+(40/(D54+G54+I54)*C59)+(7.5/(I54)*C60)+(7.5/(I54)*C61)+(10/I54*C62)+(10/I54*C63)+(5/I54*C64)+(5/I54*C65)+(5/I54*C66))/100)</f>
        <v>1</v>
      </c>
      <c r="G57" s="120"/>
      <c r="H57" s="122">
        <f ca="1">((((C57/I54)*20)+((C58/I54)*25)+(30/(I54+G54+D54)*C59)+(5/I54*C60)+(5/I54*C61)+(5/I54*C62)+(5/I54*C63)+(0/I54*C64)+(0/I54*C65)+(5/I54*C66))/100)</f>
        <v>1</v>
      </c>
      <c r="I57" s="123"/>
      <c r="J57" s="124"/>
      <c r="K57" s="20" t="s">
        <v>201</v>
      </c>
      <c r="L57" s="22">
        <f ca="1">I54*50%</f>
        <v>11.5</v>
      </c>
    </row>
    <row r="58" spans="1:12" ht="15.5" x14ac:dyDescent="0.35">
      <c r="A58" s="117" t="s">
        <v>33</v>
      </c>
      <c r="B58" s="115"/>
      <c r="C58" s="33">
        <f ca="1">L66</f>
        <v>23</v>
      </c>
      <c r="D58" s="118">
        <f ca="1">((100/I54)*C58)/100</f>
        <v>1</v>
      </c>
      <c r="E58" s="119"/>
      <c r="F58" s="120"/>
      <c r="G58" s="120"/>
      <c r="H58" s="125"/>
      <c r="I58" s="126"/>
      <c r="J58" s="127"/>
      <c r="K58" s="20" t="s">
        <v>202</v>
      </c>
      <c r="L58" s="22">
        <f ca="1">I54</f>
        <v>23</v>
      </c>
    </row>
    <row r="59" spans="1:12" ht="15.5" x14ac:dyDescent="0.35">
      <c r="A59" s="131" t="s">
        <v>203</v>
      </c>
      <c r="B59" s="132"/>
      <c r="C59" s="33">
        <f ca="1">D54+I54</f>
        <v>24</v>
      </c>
      <c r="D59" s="118">
        <f ca="1">((100/(D54+G54+I54))*C59)/100</f>
        <v>1</v>
      </c>
      <c r="E59" s="119"/>
      <c r="F59" s="120"/>
      <c r="G59" s="120"/>
      <c r="H59" s="125"/>
      <c r="I59" s="126"/>
      <c r="J59" s="127"/>
      <c r="K59" s="20" t="s">
        <v>204</v>
      </c>
      <c r="L59" s="23">
        <f ca="1">(IF(B54&gt;1,(I54/(B54+2)),I54/4))</f>
        <v>5.75</v>
      </c>
    </row>
    <row r="60" spans="1:12" ht="15.5" x14ac:dyDescent="0.35">
      <c r="A60" s="117" t="s">
        <v>205</v>
      </c>
      <c r="B60" s="115" t="s">
        <v>206</v>
      </c>
      <c r="C60" s="32">
        <v>23</v>
      </c>
      <c r="D60" s="118">
        <f ca="1">((100/I54)*C60)/100</f>
        <v>1</v>
      </c>
      <c r="E60" s="119"/>
      <c r="F60" s="120"/>
      <c r="G60" s="120"/>
      <c r="H60" s="125"/>
      <c r="I60" s="126"/>
      <c r="J60" s="127"/>
      <c r="K60" s="20" t="s">
        <v>207</v>
      </c>
      <c r="L60" s="23">
        <f ca="1">(IF(B54&gt;1,(I54/(B54+2)+L59),I54/4+L59))</f>
        <v>11.5</v>
      </c>
    </row>
    <row r="61" spans="1:12" ht="15" customHeight="1" x14ac:dyDescent="0.35">
      <c r="A61" s="117" t="s">
        <v>208</v>
      </c>
      <c r="B61" s="115" t="s">
        <v>206</v>
      </c>
      <c r="C61" s="32">
        <v>23</v>
      </c>
      <c r="D61" s="118">
        <f ca="1">((100/I54)*C61)/100</f>
        <v>1</v>
      </c>
      <c r="E61" s="119"/>
      <c r="F61" s="120"/>
      <c r="G61" s="120"/>
      <c r="H61" s="125"/>
      <c r="I61" s="126"/>
      <c r="J61" s="127"/>
      <c r="K61" s="20" t="s">
        <v>209</v>
      </c>
      <c r="L61" s="23">
        <f>(IF(B54&gt;1,(I54/(B54+2)+L60),0))</f>
        <v>0</v>
      </c>
    </row>
    <row r="62" spans="1:12" ht="15.5" x14ac:dyDescent="0.35">
      <c r="A62" s="117" t="s">
        <v>210</v>
      </c>
      <c r="B62" s="115" t="s">
        <v>211</v>
      </c>
      <c r="C62" s="32">
        <v>23</v>
      </c>
      <c r="D62" s="118">
        <f ca="1">((100/(I54))*C62)/100</f>
        <v>1</v>
      </c>
      <c r="E62" s="119"/>
      <c r="F62" s="120"/>
      <c r="G62" s="120"/>
      <c r="H62" s="125"/>
      <c r="I62" s="126"/>
      <c r="J62" s="127"/>
      <c r="K62" s="20" t="s">
        <v>212</v>
      </c>
      <c r="L62" s="23">
        <f>(IF(B54&gt;2,(I54/(B54+2)+L61),0))</f>
        <v>0</v>
      </c>
    </row>
    <row r="63" spans="1:12" ht="15.5" x14ac:dyDescent="0.35">
      <c r="A63" s="117" t="s">
        <v>213</v>
      </c>
      <c r="B63" s="115" t="s">
        <v>213</v>
      </c>
      <c r="C63" s="32">
        <v>23</v>
      </c>
      <c r="D63" s="118">
        <f ca="1">((100/I54)*C63)/100</f>
        <v>1</v>
      </c>
      <c r="E63" s="119"/>
      <c r="F63" s="120"/>
      <c r="G63" s="120"/>
      <c r="H63" s="125"/>
      <c r="I63" s="126"/>
      <c r="J63" s="127"/>
      <c r="K63" s="20" t="s">
        <v>214</v>
      </c>
      <c r="L63" s="24">
        <f>(IF(B54&gt;3,(I54/(B54+2)+L62),0))</f>
        <v>0</v>
      </c>
    </row>
    <row r="64" spans="1:12" ht="15" customHeight="1" x14ac:dyDescent="0.35">
      <c r="A64" s="117" t="s">
        <v>215</v>
      </c>
      <c r="B64" s="115"/>
      <c r="C64" s="32">
        <v>23</v>
      </c>
      <c r="D64" s="118">
        <f ca="1">((100/I54)*C64)/100</f>
        <v>1</v>
      </c>
      <c r="E64" s="119"/>
      <c r="F64" s="120"/>
      <c r="G64" s="120"/>
      <c r="H64" s="125"/>
      <c r="I64" s="126"/>
      <c r="J64" s="127"/>
      <c r="K64" s="20" t="s">
        <v>216</v>
      </c>
      <c r="L64" s="23">
        <f>(IF(B54&gt;4,(I54/(B54+2)+L63),0))</f>
        <v>0</v>
      </c>
    </row>
    <row r="65" spans="1:12" ht="15.5" x14ac:dyDescent="0.35">
      <c r="A65" s="117" t="s">
        <v>217</v>
      </c>
      <c r="B65" s="115" t="s">
        <v>217</v>
      </c>
      <c r="C65" s="32">
        <v>23</v>
      </c>
      <c r="D65" s="118">
        <f ca="1">((100/(I54))*C65)/100</f>
        <v>1</v>
      </c>
      <c r="E65" s="119"/>
      <c r="F65" s="120"/>
      <c r="G65" s="120"/>
      <c r="H65" s="125"/>
      <c r="I65" s="126"/>
      <c r="J65" s="127"/>
      <c r="K65" s="20" t="s">
        <v>218</v>
      </c>
      <c r="L65" s="23">
        <f ca="1">(IF(B54=1,(I54/(B54+3)+L60),IF(B54=0,(I54/4+L60),IF(B54&gt;1,0))))</f>
        <v>17.25</v>
      </c>
    </row>
    <row r="66" spans="1:12" ht="16" thickBot="1" x14ac:dyDescent="0.4">
      <c r="A66" s="109" t="s">
        <v>219</v>
      </c>
      <c r="B66" s="110"/>
      <c r="C66" s="34">
        <v>23</v>
      </c>
      <c r="D66" s="111">
        <f ca="1">((100/(I54))*C66)/100</f>
        <v>1</v>
      </c>
      <c r="E66" s="112"/>
      <c r="F66" s="121"/>
      <c r="G66" s="121"/>
      <c r="H66" s="128"/>
      <c r="I66" s="129"/>
      <c r="J66" s="130"/>
      <c r="K66" s="25" t="s">
        <v>220</v>
      </c>
      <c r="L66" s="26">
        <f ca="1">(IF(B54&gt;1.5,(I54/(B54+2)+L60+MAX(0,L61-L60)+MAX(0,L62-L61)+MAX(0,L63-L62)+MAX(0,L64-L63)+MAX(0,L65-L64)),IF(B54=1,(I54/(B54+3)+L65),IF(B54=0,I54/4+L65))))</f>
        <v>23</v>
      </c>
    </row>
    <row r="67" spans="1:12" ht="15" hidden="1" customHeight="1" x14ac:dyDescent="0.35">
      <c r="A67" s="172" t="s">
        <v>188</v>
      </c>
      <c r="B67" s="173"/>
      <c r="C67" s="174" t="s">
        <v>225</v>
      </c>
      <c r="D67" s="175"/>
      <c r="E67" s="175"/>
      <c r="F67" s="175"/>
      <c r="G67" s="175"/>
      <c r="H67" s="175"/>
      <c r="I67" s="175"/>
      <c r="J67" s="176"/>
      <c r="K67" s="16"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Excavation work Completed. Plinth work completed, RCC upto 11 Slab, Brickwork upto 10 Floor, Internal Plaster upto 8 Floor, External Plaster upto 6 Floor Completed</v>
      </c>
      <c r="L67" s="17"/>
    </row>
    <row r="68" spans="1:12" ht="15.5" hidden="1" x14ac:dyDescent="0.35">
      <c r="A68" s="28" t="s">
        <v>189</v>
      </c>
      <c r="B68" s="29">
        <v>0</v>
      </c>
      <c r="C68" s="29" t="s">
        <v>190</v>
      </c>
      <c r="D68" s="29">
        <v>1</v>
      </c>
      <c r="E68" s="133" t="s">
        <v>191</v>
      </c>
      <c r="F68" s="134"/>
      <c r="G68" s="29">
        <v>0</v>
      </c>
      <c r="H68" s="29" t="s">
        <v>192</v>
      </c>
      <c r="I68" s="133">
        <f ca="1">--TRIM(RIGHT(SUBSTITUTE(LEFT(C67,_xlfn.AGGREGATE(16,6,FIND({0,1,2,3,4,5,6,7,8,9},C67,ROW(INDIRECT("1:"&amp;LEN(C67)))),1))," ",REPT(" ",LEN(C67))),LEN(C67)))</f>
        <v>23</v>
      </c>
      <c r="J68" s="135"/>
      <c r="K68" s="18"/>
      <c r="L68" s="19"/>
    </row>
    <row r="69" spans="1:12" ht="49.5" hidden="1" customHeight="1" x14ac:dyDescent="0.35">
      <c r="A69" s="136" t="s">
        <v>193</v>
      </c>
      <c r="B69" s="137"/>
      <c r="C69" s="138" t="str">
        <f ca="1">K67</f>
        <v>Excavation work Completed. Plinth work completed, RCC upto 11 Slab, Brickwork upto 10 Floor, Internal Plaster upto 8 Floor, External Plaster upto 6 Floor Completed</v>
      </c>
      <c r="D69" s="139"/>
      <c r="E69" s="139"/>
      <c r="F69" s="139"/>
      <c r="G69" s="139"/>
      <c r="H69" s="139"/>
      <c r="I69" s="139"/>
      <c r="J69" s="140"/>
      <c r="K69" s="18" t="s">
        <v>194</v>
      </c>
      <c r="L69" s="19"/>
    </row>
    <row r="70" spans="1:12" ht="15.5" hidden="1" x14ac:dyDescent="0.35">
      <c r="A70" s="113" t="s">
        <v>32</v>
      </c>
      <c r="B70" s="114"/>
      <c r="C70" s="27" t="s">
        <v>195</v>
      </c>
      <c r="D70" s="115" t="s">
        <v>196</v>
      </c>
      <c r="E70" s="115"/>
      <c r="F70" s="115" t="s">
        <v>197</v>
      </c>
      <c r="G70" s="115"/>
      <c r="H70" s="115" t="s">
        <v>198</v>
      </c>
      <c r="I70" s="115"/>
      <c r="J70" s="116"/>
      <c r="K70" s="20" t="s">
        <v>199</v>
      </c>
      <c r="L70" s="21">
        <f ca="1">I68*25%</f>
        <v>5.75</v>
      </c>
    </row>
    <row r="71" spans="1:12" ht="15.5" hidden="1" x14ac:dyDescent="0.35">
      <c r="A71" s="117" t="s">
        <v>200</v>
      </c>
      <c r="B71" s="115"/>
      <c r="C71" s="32">
        <f ca="1">L72</f>
        <v>23</v>
      </c>
      <c r="D71" s="118">
        <f ca="1">((100/I68)*C71)/100</f>
        <v>1</v>
      </c>
      <c r="E71" s="119"/>
      <c r="F71" s="120">
        <f ca="1">(((C72/I68*10)+(40/(D68+G68+I68)*C73)+(7.5/(I68)*C74)+(7.5/(I68)*C75)+(10/I68*C76)+(10/I68*C77)+(5/I68*C78)+(5/I68*C79)+(5/I68*C80))/100)</f>
        <v>0.36811594202898557</v>
      </c>
      <c r="G71" s="120"/>
      <c r="H71" s="122">
        <f ca="1">((((C71/I68)*20)+((C72/I68)*25)+(30/(I68+G68+D68)*C73)+(5/I68*C74)+(5/I68*C75)+(5/I68*C76)+(5/I68*C77)+(0/I68*C78)+(0/I68*C79)+(5/I68*C80))/100)</f>
        <v>0.6396739130434782</v>
      </c>
      <c r="I71" s="123"/>
      <c r="J71" s="124"/>
      <c r="K71" s="20" t="s">
        <v>201</v>
      </c>
      <c r="L71" s="22">
        <f ca="1">I68*50%</f>
        <v>11.5</v>
      </c>
    </row>
    <row r="72" spans="1:12" ht="15.5" hidden="1" x14ac:dyDescent="0.35">
      <c r="A72" s="117" t="s">
        <v>33</v>
      </c>
      <c r="B72" s="115"/>
      <c r="C72" s="33">
        <f ca="1">L80</f>
        <v>23</v>
      </c>
      <c r="D72" s="118">
        <f ca="1">((100/I68)*C72)/100</f>
        <v>1</v>
      </c>
      <c r="E72" s="119"/>
      <c r="F72" s="120"/>
      <c r="G72" s="120"/>
      <c r="H72" s="125"/>
      <c r="I72" s="126"/>
      <c r="J72" s="127"/>
      <c r="K72" s="20" t="s">
        <v>202</v>
      </c>
      <c r="L72" s="22">
        <f ca="1">I68</f>
        <v>23</v>
      </c>
    </row>
    <row r="73" spans="1:12" ht="15.5" hidden="1" x14ac:dyDescent="0.35">
      <c r="A73" s="131" t="s">
        <v>203</v>
      </c>
      <c r="B73" s="132"/>
      <c r="C73" s="33">
        <v>11</v>
      </c>
      <c r="D73" s="118">
        <f ca="1">((100/(D68+G68+I68))*C73)/100</f>
        <v>0.45833333333333337</v>
      </c>
      <c r="E73" s="119"/>
      <c r="F73" s="120"/>
      <c r="G73" s="120"/>
      <c r="H73" s="125"/>
      <c r="I73" s="126"/>
      <c r="J73" s="127"/>
      <c r="K73" s="20" t="s">
        <v>204</v>
      </c>
      <c r="L73" s="23">
        <f ca="1">(IF(B68&gt;1,(I68/(B68+2)),I68/4))</f>
        <v>5.75</v>
      </c>
    </row>
    <row r="74" spans="1:12" ht="15.5" hidden="1" x14ac:dyDescent="0.35">
      <c r="A74" s="117" t="s">
        <v>205</v>
      </c>
      <c r="B74" s="115" t="s">
        <v>206</v>
      </c>
      <c r="C74" s="32">
        <v>10</v>
      </c>
      <c r="D74" s="118">
        <f ca="1">((100/I68)*C74)/100</f>
        <v>0.43478260869565216</v>
      </c>
      <c r="E74" s="119"/>
      <c r="F74" s="120"/>
      <c r="G74" s="120"/>
      <c r="H74" s="125"/>
      <c r="I74" s="126"/>
      <c r="J74" s="127"/>
      <c r="K74" s="20" t="s">
        <v>207</v>
      </c>
      <c r="L74" s="23">
        <f ca="1">(IF(B68&gt;1,(I68/(B68+2)+L73),I68/4+L73))</f>
        <v>11.5</v>
      </c>
    </row>
    <row r="75" spans="1:12" ht="15" hidden="1" customHeight="1" x14ac:dyDescent="0.35">
      <c r="A75" s="117" t="s">
        <v>208</v>
      </c>
      <c r="B75" s="115" t="s">
        <v>206</v>
      </c>
      <c r="C75" s="32">
        <v>8</v>
      </c>
      <c r="D75" s="118">
        <f ca="1">((100/I68)*C75)/100</f>
        <v>0.34782608695652173</v>
      </c>
      <c r="E75" s="119"/>
      <c r="F75" s="120"/>
      <c r="G75" s="120"/>
      <c r="H75" s="125"/>
      <c r="I75" s="126"/>
      <c r="J75" s="127"/>
      <c r="K75" s="20" t="s">
        <v>209</v>
      </c>
      <c r="L75" s="23">
        <f>(IF(B68&gt;1,(I68/(B68+2)+L74),0))</f>
        <v>0</v>
      </c>
    </row>
    <row r="76" spans="1:12" ht="15.5" hidden="1" x14ac:dyDescent="0.35">
      <c r="A76" s="117" t="s">
        <v>210</v>
      </c>
      <c r="B76" s="115" t="s">
        <v>211</v>
      </c>
      <c r="C76" s="32">
        <v>6</v>
      </c>
      <c r="D76" s="118">
        <f ca="1">((100/(I68))*C76)/100</f>
        <v>0.2608695652173913</v>
      </c>
      <c r="E76" s="119"/>
      <c r="F76" s="120"/>
      <c r="G76" s="120"/>
      <c r="H76" s="125"/>
      <c r="I76" s="126"/>
      <c r="J76" s="127"/>
      <c r="K76" s="20" t="s">
        <v>212</v>
      </c>
      <c r="L76" s="23">
        <f>(IF(B68&gt;2,(I68/(B68+2)+L75),0))</f>
        <v>0</v>
      </c>
    </row>
    <row r="77" spans="1:12" ht="15.5" hidden="1" x14ac:dyDescent="0.35">
      <c r="A77" s="117" t="s">
        <v>213</v>
      </c>
      <c r="B77" s="115" t="s">
        <v>213</v>
      </c>
      <c r="C77" s="32">
        <v>0</v>
      </c>
      <c r="D77" s="118">
        <f ca="1">((100/I68)*C77)/100</f>
        <v>0</v>
      </c>
      <c r="E77" s="119"/>
      <c r="F77" s="120"/>
      <c r="G77" s="120"/>
      <c r="H77" s="125"/>
      <c r="I77" s="126"/>
      <c r="J77" s="127"/>
      <c r="K77" s="20" t="s">
        <v>214</v>
      </c>
      <c r="L77" s="24">
        <f>(IF(B68&gt;3,(I68/(B68+2)+L76),0))</f>
        <v>0</v>
      </c>
    </row>
    <row r="78" spans="1:12" ht="15" hidden="1" customHeight="1" x14ac:dyDescent="0.35">
      <c r="A78" s="117" t="s">
        <v>215</v>
      </c>
      <c r="B78" s="115"/>
      <c r="C78" s="32">
        <v>0</v>
      </c>
      <c r="D78" s="118">
        <f ca="1">((100/I68)*C78)/100</f>
        <v>0</v>
      </c>
      <c r="E78" s="119"/>
      <c r="F78" s="120"/>
      <c r="G78" s="120"/>
      <c r="H78" s="125"/>
      <c r="I78" s="126"/>
      <c r="J78" s="127"/>
      <c r="K78" s="20" t="s">
        <v>216</v>
      </c>
      <c r="L78" s="23">
        <f>(IF(B68&gt;4,(I68/(B68+2)+L77),0))</f>
        <v>0</v>
      </c>
    </row>
    <row r="79" spans="1:12" ht="15.5" hidden="1" x14ac:dyDescent="0.35">
      <c r="A79" s="117" t="s">
        <v>217</v>
      </c>
      <c r="B79" s="115" t="s">
        <v>217</v>
      </c>
      <c r="C79" s="32">
        <v>0</v>
      </c>
      <c r="D79" s="118">
        <f ca="1">((100/(I68))*C79)/100</f>
        <v>0</v>
      </c>
      <c r="E79" s="119"/>
      <c r="F79" s="120"/>
      <c r="G79" s="120"/>
      <c r="H79" s="125"/>
      <c r="I79" s="126"/>
      <c r="J79" s="127"/>
      <c r="K79" s="20" t="s">
        <v>218</v>
      </c>
      <c r="L79" s="23">
        <f ca="1">(IF(B68=1,(I68/(B68+3)+L74),IF(B68=0,(I68/4+L74),IF(B68&gt;1,0))))</f>
        <v>17.25</v>
      </c>
    </row>
    <row r="80" spans="1:12" ht="16" hidden="1" thickBot="1" x14ac:dyDescent="0.4">
      <c r="A80" s="109" t="s">
        <v>219</v>
      </c>
      <c r="B80" s="110"/>
      <c r="C80" s="34">
        <v>0</v>
      </c>
      <c r="D80" s="111">
        <f ca="1">((100/(I68))*C80)/100</f>
        <v>0</v>
      </c>
      <c r="E80" s="112"/>
      <c r="F80" s="121"/>
      <c r="G80" s="121"/>
      <c r="H80" s="128"/>
      <c r="I80" s="129"/>
      <c r="J80" s="130"/>
      <c r="K80" s="25" t="s">
        <v>220</v>
      </c>
      <c r="L80" s="26">
        <f ca="1">(IF(B68&gt;1.5,(I68/(B68+2)+L74+MAX(0,L75-L74)+MAX(0,L76-L75)+MAX(0,L77-L76)+MAX(0,L78-L77)+MAX(0,L79-L78)),IF(B68=1,(I68/(B68+3)+L79),IF(B68=0,I68/4+L79))))</f>
        <v>23</v>
      </c>
    </row>
    <row r="81" spans="1:12" ht="15" customHeight="1" x14ac:dyDescent="0.35">
      <c r="A81" s="172" t="s">
        <v>188</v>
      </c>
      <c r="B81" s="173"/>
      <c r="C81" s="174" t="s">
        <v>271</v>
      </c>
      <c r="D81" s="175"/>
      <c r="E81" s="175"/>
      <c r="F81" s="175"/>
      <c r="G81" s="175"/>
      <c r="H81" s="175"/>
      <c r="I81" s="175"/>
      <c r="J81" s="176"/>
      <c r="K81" s="16"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Excavation work Completed. Plinth work completed, RCC upto 12 Slab, Brickwork upto 10 Floor, Internal Plaster upto 9 Floor, External Plaster upto 8 Floor Completed</v>
      </c>
      <c r="L81" s="17"/>
    </row>
    <row r="82" spans="1:12" ht="15.5" x14ac:dyDescent="0.35">
      <c r="A82" s="28" t="s">
        <v>189</v>
      </c>
      <c r="B82" s="29">
        <v>1</v>
      </c>
      <c r="C82" s="29" t="s">
        <v>190</v>
      </c>
      <c r="D82" s="29">
        <v>1</v>
      </c>
      <c r="E82" s="133" t="s">
        <v>191</v>
      </c>
      <c r="F82" s="134"/>
      <c r="G82" s="29">
        <v>0</v>
      </c>
      <c r="H82" s="29" t="s">
        <v>192</v>
      </c>
      <c r="I82" s="133">
        <f ca="1">--TRIM(RIGHT(SUBSTITUTE(LEFT(C81,_xlfn.AGGREGATE(16,6,FIND({0,1,2,3,4,5,6,7,8,9},C81,ROW(INDIRECT("1:"&amp;LEN(C81)))),1))," ",REPT(" ",LEN(C81))),LEN(C81)))</f>
        <v>23</v>
      </c>
      <c r="J82" s="135"/>
      <c r="K82" s="18"/>
      <c r="L82" s="19"/>
    </row>
    <row r="83" spans="1:12" ht="47.25" customHeight="1" x14ac:dyDescent="0.35">
      <c r="A83" s="136" t="s">
        <v>193</v>
      </c>
      <c r="B83" s="137"/>
      <c r="C83" s="138" t="str">
        <f ca="1">K81</f>
        <v>Excavation work Completed. Plinth work completed, RCC upto 12 Slab, Brickwork upto 10 Floor, Internal Plaster upto 9 Floor, External Plaster upto 8 Floor Completed</v>
      </c>
      <c r="D83" s="139"/>
      <c r="E83" s="139"/>
      <c r="F83" s="139"/>
      <c r="G83" s="139"/>
      <c r="H83" s="139"/>
      <c r="I83" s="139"/>
      <c r="J83" s="140"/>
      <c r="K83" s="18" t="s">
        <v>194</v>
      </c>
      <c r="L83" s="19"/>
    </row>
    <row r="84" spans="1:12" ht="15.5" x14ac:dyDescent="0.35">
      <c r="A84" s="113" t="s">
        <v>32</v>
      </c>
      <c r="B84" s="114"/>
      <c r="C84" s="27" t="s">
        <v>195</v>
      </c>
      <c r="D84" s="115" t="s">
        <v>196</v>
      </c>
      <c r="E84" s="115"/>
      <c r="F84" s="115" t="s">
        <v>197</v>
      </c>
      <c r="G84" s="115"/>
      <c r="H84" s="115" t="s">
        <v>198</v>
      </c>
      <c r="I84" s="115"/>
      <c r="J84" s="116"/>
      <c r="K84" s="20" t="s">
        <v>199</v>
      </c>
      <c r="L84" s="21">
        <f ca="1">I82*25%</f>
        <v>5.75</v>
      </c>
    </row>
    <row r="85" spans="1:12" ht="15.5" x14ac:dyDescent="0.35">
      <c r="A85" s="117" t="s">
        <v>200</v>
      </c>
      <c r="B85" s="115"/>
      <c r="C85" s="32">
        <f ca="1">L86</f>
        <v>23</v>
      </c>
      <c r="D85" s="118">
        <f ca="1">((100/I82)*C85)/100</f>
        <v>1</v>
      </c>
      <c r="E85" s="119"/>
      <c r="F85" s="120">
        <f ca="1">(((C86/I82*10)+(40/(D82+G82+I82)*C87)+(7.5/(I82)*C88)+(7.5/(I82)*C89)+(10/I82*C90)+(10/I82*C91)+(5/I82*C92)+(5/I82*C93)+(5/I82*C94))/100)</f>
        <v>0.39673913043478265</v>
      </c>
      <c r="G85" s="120"/>
      <c r="H85" s="122">
        <f ca="1">((((C85/I82)*20)+((C86/I82)*25)+(30/(I82+G82+D82)*C87)+(5/I82*C88)+(5/I82*C89)+(5/I82*C90)+(5/I82*C91)+(0/I82*C92)+(0/I82*C93)+(5/I82*C94))/100)</f>
        <v>0.65869565217391302</v>
      </c>
      <c r="I85" s="123"/>
      <c r="J85" s="124"/>
      <c r="K85" s="20" t="s">
        <v>201</v>
      </c>
      <c r="L85" s="22">
        <f ca="1">I82*50%</f>
        <v>11.5</v>
      </c>
    </row>
    <row r="86" spans="1:12" ht="15.5" x14ac:dyDescent="0.35">
      <c r="A86" s="117" t="s">
        <v>33</v>
      </c>
      <c r="B86" s="115"/>
      <c r="C86" s="33">
        <f ca="1">L94</f>
        <v>23</v>
      </c>
      <c r="D86" s="118">
        <f ca="1">((100/I82)*C86)/100</f>
        <v>1</v>
      </c>
      <c r="E86" s="119"/>
      <c r="F86" s="120"/>
      <c r="G86" s="120"/>
      <c r="H86" s="125"/>
      <c r="I86" s="126"/>
      <c r="J86" s="127"/>
      <c r="K86" s="20" t="s">
        <v>202</v>
      </c>
      <c r="L86" s="22">
        <f ca="1">I82</f>
        <v>23</v>
      </c>
    </row>
    <row r="87" spans="1:12" ht="15.5" x14ac:dyDescent="0.35">
      <c r="A87" s="131" t="s">
        <v>203</v>
      </c>
      <c r="B87" s="132"/>
      <c r="C87" s="33">
        <v>12</v>
      </c>
      <c r="D87" s="118">
        <f ca="1">((100/(D82+G82+I82))*C87)/100</f>
        <v>0.5</v>
      </c>
      <c r="E87" s="119"/>
      <c r="F87" s="120"/>
      <c r="G87" s="120"/>
      <c r="H87" s="125"/>
      <c r="I87" s="126"/>
      <c r="J87" s="127"/>
      <c r="K87" s="20" t="s">
        <v>204</v>
      </c>
      <c r="L87" s="23">
        <f ca="1">(IF(B82&gt;1,(I82/(B82+2)),I82/4))</f>
        <v>5.75</v>
      </c>
    </row>
    <row r="88" spans="1:12" ht="15.5" x14ac:dyDescent="0.35">
      <c r="A88" s="117" t="s">
        <v>205</v>
      </c>
      <c r="B88" s="115" t="s">
        <v>206</v>
      </c>
      <c r="C88" s="32">
        <v>10</v>
      </c>
      <c r="D88" s="118">
        <f ca="1">((100/I82)*C88)/100</f>
        <v>0.43478260869565216</v>
      </c>
      <c r="E88" s="119"/>
      <c r="F88" s="120"/>
      <c r="G88" s="120"/>
      <c r="H88" s="125"/>
      <c r="I88" s="126"/>
      <c r="J88" s="127"/>
      <c r="K88" s="20" t="s">
        <v>207</v>
      </c>
      <c r="L88" s="23">
        <f ca="1">(IF(B82&gt;1,(I82/(B82+2)+L87),I82/4+L87))</f>
        <v>11.5</v>
      </c>
    </row>
    <row r="89" spans="1:12" ht="15" customHeight="1" x14ac:dyDescent="0.35">
      <c r="A89" s="117" t="s">
        <v>208</v>
      </c>
      <c r="B89" s="115" t="s">
        <v>206</v>
      </c>
      <c r="C89" s="32">
        <v>9</v>
      </c>
      <c r="D89" s="118">
        <f ca="1">((100/I82)*C89)/100</f>
        <v>0.39130434782608697</v>
      </c>
      <c r="E89" s="119"/>
      <c r="F89" s="120"/>
      <c r="G89" s="120"/>
      <c r="H89" s="125"/>
      <c r="I89" s="126"/>
      <c r="J89" s="127"/>
      <c r="K89" s="20" t="s">
        <v>209</v>
      </c>
      <c r="L89" s="23">
        <f>(IF(B82&gt;1,(I82/(B82+2)+L88),0))</f>
        <v>0</v>
      </c>
    </row>
    <row r="90" spans="1:12" ht="15.5" x14ac:dyDescent="0.35">
      <c r="A90" s="117" t="s">
        <v>210</v>
      </c>
      <c r="B90" s="115" t="s">
        <v>211</v>
      </c>
      <c r="C90" s="32">
        <v>8</v>
      </c>
      <c r="D90" s="118">
        <f ca="1">((100/(I82))*C90)/100</f>
        <v>0.34782608695652173</v>
      </c>
      <c r="E90" s="119"/>
      <c r="F90" s="120"/>
      <c r="G90" s="120"/>
      <c r="H90" s="125"/>
      <c r="I90" s="126"/>
      <c r="J90" s="127"/>
      <c r="K90" s="20" t="s">
        <v>212</v>
      </c>
      <c r="L90" s="23">
        <f>(IF(B82&gt;2,(I82/(B82+2)+L89),0))</f>
        <v>0</v>
      </c>
    </row>
    <row r="91" spans="1:12" ht="15.5" x14ac:dyDescent="0.35">
      <c r="A91" s="117" t="s">
        <v>213</v>
      </c>
      <c r="B91" s="115" t="s">
        <v>213</v>
      </c>
      <c r="C91" s="32">
        <v>0</v>
      </c>
      <c r="D91" s="118">
        <f ca="1">((100/I82)*C91)/100</f>
        <v>0</v>
      </c>
      <c r="E91" s="119"/>
      <c r="F91" s="120"/>
      <c r="G91" s="120"/>
      <c r="H91" s="125"/>
      <c r="I91" s="126"/>
      <c r="J91" s="127"/>
      <c r="K91" s="20" t="s">
        <v>214</v>
      </c>
      <c r="L91" s="24">
        <f>(IF(B82&gt;3,(I82/(B82+2)+L90),0))</f>
        <v>0</v>
      </c>
    </row>
    <row r="92" spans="1:12" ht="15" customHeight="1" x14ac:dyDescent="0.35">
      <c r="A92" s="117" t="s">
        <v>215</v>
      </c>
      <c r="B92" s="115"/>
      <c r="C92" s="32">
        <v>0</v>
      </c>
      <c r="D92" s="118">
        <f ca="1">((100/I82)*C92)/100</f>
        <v>0</v>
      </c>
      <c r="E92" s="119"/>
      <c r="F92" s="120"/>
      <c r="G92" s="120"/>
      <c r="H92" s="125"/>
      <c r="I92" s="126"/>
      <c r="J92" s="127"/>
      <c r="K92" s="20" t="s">
        <v>216</v>
      </c>
      <c r="L92" s="23">
        <f>(IF(B82&gt;4,(I82/(B82+2)+L91),0))</f>
        <v>0</v>
      </c>
    </row>
    <row r="93" spans="1:12" ht="15.5" x14ac:dyDescent="0.35">
      <c r="A93" s="117" t="s">
        <v>217</v>
      </c>
      <c r="B93" s="115" t="s">
        <v>217</v>
      </c>
      <c r="C93" s="32">
        <v>0</v>
      </c>
      <c r="D93" s="118">
        <f ca="1">((100/(I82))*C93)/100</f>
        <v>0</v>
      </c>
      <c r="E93" s="119"/>
      <c r="F93" s="120"/>
      <c r="G93" s="120"/>
      <c r="H93" s="125"/>
      <c r="I93" s="126"/>
      <c r="J93" s="127"/>
      <c r="K93" s="20" t="s">
        <v>218</v>
      </c>
      <c r="L93" s="23">
        <f ca="1">(IF(B82=1,(I82/(B82+3)+L88),IF(B82=0,(I82/4+L88),IF(B82&gt;1,0))))</f>
        <v>17.25</v>
      </c>
    </row>
    <row r="94" spans="1:12" ht="16" thickBot="1" x14ac:dyDescent="0.4">
      <c r="A94" s="109" t="s">
        <v>219</v>
      </c>
      <c r="B94" s="110"/>
      <c r="C94" s="34">
        <v>0</v>
      </c>
      <c r="D94" s="111">
        <f ca="1">((100/(I82))*C94)/100</f>
        <v>0</v>
      </c>
      <c r="E94" s="112"/>
      <c r="F94" s="121"/>
      <c r="G94" s="121"/>
      <c r="H94" s="128"/>
      <c r="I94" s="129"/>
      <c r="J94" s="130"/>
      <c r="K94" s="25" t="s">
        <v>220</v>
      </c>
      <c r="L94" s="26">
        <f ca="1">(IF(B82&gt;1.5,(I82/(B82+2)+L88+MAX(0,L89-L88)+MAX(0,L90-L89)+MAX(0,L91-L90)+MAX(0,L92-L91)+MAX(0,L93-L92)),IF(B82=1,(I82/(B82+3)+L93),IF(B82=0,I82/4+L93))))</f>
        <v>23</v>
      </c>
    </row>
    <row r="95" spans="1:12" x14ac:dyDescent="0.35">
      <c r="A95" s="52" t="s">
        <v>62</v>
      </c>
      <c r="B95" s="53"/>
      <c r="C95" s="53"/>
      <c r="D95" s="53"/>
      <c r="E95" s="53"/>
      <c r="F95" s="53"/>
      <c r="G95" s="53"/>
      <c r="H95" s="53"/>
      <c r="I95" s="53"/>
      <c r="J95" s="54"/>
    </row>
    <row r="96" spans="1:12" x14ac:dyDescent="0.35">
      <c r="A96" s="52" t="s">
        <v>52</v>
      </c>
      <c r="B96" s="53"/>
      <c r="C96" s="53"/>
      <c r="D96" s="53"/>
      <c r="E96" s="53"/>
      <c r="F96" s="53"/>
      <c r="G96" s="53"/>
      <c r="H96" s="53"/>
      <c r="I96" s="53"/>
      <c r="J96" s="54"/>
    </row>
    <row r="97" spans="1:20" x14ac:dyDescent="0.35">
      <c r="A97" s="180" t="s">
        <v>221</v>
      </c>
      <c r="B97" s="180"/>
      <c r="C97" s="180"/>
      <c r="D97" s="180"/>
      <c r="E97" s="180"/>
      <c r="F97" s="180"/>
      <c r="G97" s="180"/>
      <c r="H97" s="180"/>
      <c r="I97" s="180"/>
      <c r="J97" s="180"/>
    </row>
    <row r="98" spans="1:20" x14ac:dyDescent="0.35">
      <c r="A98" s="180"/>
      <c r="B98" s="180"/>
      <c r="C98" s="180"/>
      <c r="D98" s="180"/>
      <c r="E98" s="180"/>
      <c r="F98" s="180"/>
      <c r="G98" s="180"/>
      <c r="H98" s="180"/>
      <c r="I98" s="180"/>
      <c r="J98" s="180"/>
    </row>
    <row r="99" spans="1:20" x14ac:dyDescent="0.35">
      <c r="A99" s="52" t="s">
        <v>25</v>
      </c>
      <c r="B99" s="53"/>
      <c r="C99" s="53"/>
      <c r="D99" s="53"/>
      <c r="E99" s="53"/>
      <c r="F99" s="53"/>
      <c r="G99" s="53"/>
      <c r="H99" s="53"/>
      <c r="I99" s="53"/>
      <c r="J99" s="54"/>
    </row>
    <row r="100" spans="1:20" x14ac:dyDescent="0.35">
      <c r="A100" s="52" t="s">
        <v>171</v>
      </c>
      <c r="B100" s="53"/>
      <c r="C100" s="53"/>
      <c r="D100" s="53"/>
      <c r="E100" s="53"/>
      <c r="F100" s="54"/>
      <c r="G100" s="52">
        <v>22400</v>
      </c>
      <c r="H100" s="53"/>
      <c r="I100" s="53"/>
      <c r="J100" s="54"/>
      <c r="K100">
        <f>8300000/371</f>
        <v>22371.967654986522</v>
      </c>
      <c r="L100">
        <f>203*371+50000+50000+150000+10000</f>
        <v>335313</v>
      </c>
      <c r="M100">
        <f>L100/371</f>
        <v>903.80862533692721</v>
      </c>
      <c r="N100">
        <f>K100+M100</f>
        <v>23275.776280323447</v>
      </c>
      <c r="O100">
        <f>N100*371</f>
        <v>8635312.9999999981</v>
      </c>
    </row>
    <row r="101" spans="1:20" x14ac:dyDescent="0.35">
      <c r="A101" s="196" t="s">
        <v>227</v>
      </c>
      <c r="B101" s="197"/>
      <c r="C101" s="197"/>
      <c r="D101" s="197"/>
      <c r="E101" s="197"/>
      <c r="F101" s="198"/>
      <c r="G101" s="190" t="s">
        <v>226</v>
      </c>
      <c r="H101" s="191"/>
      <c r="I101" s="191"/>
      <c r="J101" s="192"/>
    </row>
    <row r="102" spans="1:20" x14ac:dyDescent="0.35">
      <c r="A102" s="52" t="s">
        <v>176</v>
      </c>
      <c r="B102" s="53"/>
      <c r="C102" s="53"/>
      <c r="D102" s="53"/>
      <c r="E102" s="53"/>
      <c r="F102" s="54"/>
      <c r="G102" s="55" t="s">
        <v>180</v>
      </c>
      <c r="H102" s="56"/>
      <c r="I102" s="56"/>
      <c r="J102" s="57"/>
    </row>
    <row r="103" spans="1:20" x14ac:dyDescent="0.35">
      <c r="A103" s="52" t="s">
        <v>178</v>
      </c>
      <c r="B103" s="53"/>
      <c r="C103" s="53"/>
      <c r="D103" s="53"/>
      <c r="E103" s="53"/>
      <c r="F103" s="54"/>
      <c r="G103" s="55" t="s">
        <v>181</v>
      </c>
      <c r="H103" s="56"/>
      <c r="I103" s="56"/>
      <c r="J103" s="57"/>
    </row>
    <row r="104" spans="1:20" x14ac:dyDescent="0.35">
      <c r="A104" s="52" t="s">
        <v>179</v>
      </c>
      <c r="B104" s="53"/>
      <c r="C104" s="53"/>
      <c r="D104" s="53"/>
      <c r="E104" s="53"/>
      <c r="F104" s="54"/>
      <c r="G104" s="55" t="s">
        <v>182</v>
      </c>
      <c r="H104" s="56"/>
      <c r="I104" s="56"/>
      <c r="J104" s="57"/>
      <c r="K104" s="52" t="s">
        <v>177</v>
      </c>
      <c r="L104" s="53"/>
      <c r="M104" s="53"/>
      <c r="N104" s="53"/>
      <c r="O104" s="53"/>
      <c r="P104" s="54"/>
      <c r="Q104" s="55" t="s">
        <v>180</v>
      </c>
      <c r="R104" s="56"/>
      <c r="S104" s="56"/>
      <c r="T104" s="57"/>
    </row>
    <row r="105" spans="1:20" x14ac:dyDescent="0.35">
      <c r="A105" s="181" t="s">
        <v>104</v>
      </c>
      <c r="B105" s="182"/>
      <c r="C105" s="182"/>
      <c r="D105" s="182"/>
      <c r="E105" s="182"/>
      <c r="F105" s="183"/>
      <c r="G105" s="55" t="s">
        <v>169</v>
      </c>
      <c r="H105" s="56"/>
      <c r="I105" s="56"/>
      <c r="J105" s="57"/>
    </row>
    <row r="106" spans="1:20" s="1" customFormat="1" ht="14.4" customHeight="1" x14ac:dyDescent="0.35">
      <c r="A106" s="150" t="s">
        <v>81</v>
      </c>
      <c r="B106" s="151"/>
      <c r="C106" s="151"/>
      <c r="D106" s="151"/>
      <c r="E106" s="151"/>
      <c r="F106" s="152"/>
      <c r="G106" s="150">
        <f>G100*0.8</f>
        <v>17920</v>
      </c>
      <c r="H106" s="151"/>
      <c r="I106" s="151"/>
      <c r="J106" s="152"/>
    </row>
    <row r="107" spans="1:20" ht="15" x14ac:dyDescent="0.35">
      <c r="A107" s="79" t="s">
        <v>241</v>
      </c>
      <c r="B107" s="80"/>
      <c r="C107" s="80"/>
      <c r="D107" s="80"/>
      <c r="E107" s="80"/>
      <c r="F107" s="80"/>
      <c r="G107" s="80"/>
      <c r="H107" s="80"/>
      <c r="I107" s="80"/>
      <c r="J107" s="81"/>
    </row>
    <row r="108" spans="1:20" ht="15" x14ac:dyDescent="0.35">
      <c r="A108" s="103" t="s">
        <v>230</v>
      </c>
      <c r="B108" s="104"/>
      <c r="C108" s="36" t="s">
        <v>231</v>
      </c>
      <c r="D108" s="105" t="s">
        <v>232</v>
      </c>
      <c r="E108" s="106"/>
      <c r="F108" s="107"/>
      <c r="G108" s="103" t="s">
        <v>233</v>
      </c>
      <c r="H108" s="108"/>
      <c r="I108" s="108"/>
      <c r="J108" s="104"/>
    </row>
    <row r="109" spans="1:20" ht="15.5" x14ac:dyDescent="0.35">
      <c r="A109" s="68" t="s">
        <v>240</v>
      </c>
      <c r="B109" s="69"/>
      <c r="C109" s="43">
        <f>COUNT(D127:E129,D131:E132,D134:E136,D138:E141,D145:E146,D148:E149)</f>
        <v>16</v>
      </c>
      <c r="D109" s="86">
        <f>SUM(D127:E129,D131:E132,D134:E136,D138:E141,D145:E146,D148:E149)</f>
        <v>2546.9884440000001</v>
      </c>
      <c r="E109" s="87"/>
      <c r="F109" s="88"/>
      <c r="G109" s="89">
        <f>SUM(G127:G129,G131:G132,G134:G136,G138:G141,G145:G146,G148:G149)</f>
        <v>3365.5535081999992</v>
      </c>
      <c r="H109" s="90"/>
      <c r="I109" s="90"/>
      <c r="J109" s="91"/>
    </row>
    <row r="110" spans="1:20" ht="15.5" x14ac:dyDescent="0.35">
      <c r="A110" s="68" t="s">
        <v>239</v>
      </c>
      <c r="B110" s="69"/>
      <c r="C110" s="43">
        <f>COUNT(D126,D130,D133,D137,D142:E144,D147)</f>
        <v>8</v>
      </c>
      <c r="D110" s="86">
        <f>SUM(D126,D130,D133,D137,D142:E144,D147)</f>
        <v>1573.2339480000003</v>
      </c>
      <c r="E110" s="87"/>
      <c r="F110" s="88"/>
      <c r="G110" s="89">
        <f>SUM(G126,G130,G133,G137,G142:G144,G147)</f>
        <v>2369.8603655999996</v>
      </c>
      <c r="H110" s="90"/>
      <c r="I110" s="90"/>
      <c r="J110" s="91"/>
      <c r="K110">
        <f>6*12</f>
        <v>72</v>
      </c>
    </row>
    <row r="111" spans="1:20" ht="15" x14ac:dyDescent="0.35">
      <c r="A111" s="79" t="s">
        <v>101</v>
      </c>
      <c r="B111" s="80"/>
      <c r="C111" s="50">
        <f>C109+C110</f>
        <v>24</v>
      </c>
      <c r="D111" s="193">
        <f>D109+D110</f>
        <v>4120.2223920000006</v>
      </c>
      <c r="E111" s="194"/>
      <c r="F111" s="195"/>
      <c r="G111" s="103">
        <f>G109+G110</f>
        <v>5735.4138737999983</v>
      </c>
      <c r="H111" s="108"/>
      <c r="I111" s="108"/>
      <c r="J111" s="104"/>
    </row>
    <row r="112" spans="1:20" ht="15" x14ac:dyDescent="0.35">
      <c r="A112" s="79" t="s">
        <v>242</v>
      </c>
      <c r="B112" s="80"/>
      <c r="C112" s="80"/>
      <c r="D112" s="80"/>
      <c r="E112" s="80"/>
      <c r="F112" s="80"/>
      <c r="G112" s="80"/>
      <c r="H112" s="80"/>
      <c r="I112" s="80"/>
      <c r="J112" s="81"/>
    </row>
    <row r="113" spans="1:11" ht="15" x14ac:dyDescent="0.35">
      <c r="A113" s="103" t="s">
        <v>230</v>
      </c>
      <c r="B113" s="104"/>
      <c r="C113" s="36" t="s">
        <v>231</v>
      </c>
      <c r="D113" s="105" t="s">
        <v>232</v>
      </c>
      <c r="E113" s="106"/>
      <c r="F113" s="107"/>
      <c r="G113" s="103" t="s">
        <v>233</v>
      </c>
      <c r="H113" s="108"/>
      <c r="I113" s="108"/>
      <c r="J113" s="104"/>
    </row>
    <row r="114" spans="1:11" ht="15.5" x14ac:dyDescent="0.35">
      <c r="A114" s="68" t="s">
        <v>253</v>
      </c>
      <c r="B114" s="69"/>
      <c r="C114" s="37">
        <f>COUNT(D154:E156)+COUNT(D158:E162)*8+COUNT(D164)+COUNT(D167:E168)+COUNT(D170:E174)*2+COUNT(D176:E180)+COUNT(D182:E186)*2+COUNT(D188)+COUNT(D191:E192)+COUNT(D194:E198)+COUNT(D200:E204)*2+COUNT(D206:E210)*2+COUNT(D212)+COUNT(D214:E216)+COUNT(D218:E222)</f>
        <v>108</v>
      </c>
      <c r="D114" s="86">
        <f>SUM(D154:E156)+SUM(D158:E162)*8+SUM(D164)+SUM(D167:E168)+SUM(D170:E174)*2+SUM(D176:E180)+SUM(D182:E186)*2+SUM(D188)+SUM(D191:E192)+SUM(D194:E198)+SUM(D200:E204)*2+SUM(D206:E210)*2+SUM(D212)+SUM(D214:E216)+SUM(D218:E222)</f>
        <v>39340.234907999991</v>
      </c>
      <c r="E114" s="87"/>
      <c r="F114" s="88"/>
      <c r="G114" s="89">
        <f>SUM(G154:G156)+SUM(G158:G162)*7+SUM(G164)+SUM(G167:G168)+SUM(G170:G174)*2+SUM(G176:G180)+SUM(G182:G186)*2+SUM(G188)+SUM(G191:G192)+SUM(G194:G198)+SUM(G200:G204)*2+SUM(G206:G210)*2+SUM(G212)+SUM(G214:G216)+SUM(G218:G222)</f>
        <v>54445.656423599998</v>
      </c>
      <c r="H114" s="90"/>
      <c r="I114" s="90"/>
      <c r="J114" s="91"/>
    </row>
    <row r="115" spans="1:11" ht="15.5" x14ac:dyDescent="0.35">
      <c r="A115" s="68" t="s">
        <v>122</v>
      </c>
      <c r="B115" s="69"/>
      <c r="C115" s="37">
        <f>COUNT(D226:E230)+COUNT(D232:E237)*8+COUNT(D239:E244)+COUNT(D246:E251)*2+COUNT(D253:E258)+COUNT(D260:E265)*2+COUNT(D267:E272)+COUNT(D274:E279)+COUNT(D281:E286)*2+COUNT(D288:E293)*2+COUNT(D295:E300)+COUNT(D302:E307)</f>
        <v>137</v>
      </c>
      <c r="D115" s="86">
        <f>SUM(D226:E230)+SUM(D232:E237)*8+SUM(D239:E244)+SUM(D246:E251)*2+SUM(D253:E258)+SUM(D260:E265)*2+SUM(D267:E272)+SUM(D274:E279)+SUM(D281:E286)*2+SUM(D288:E293)*2+SUM(D295:E300)+SUM(D302:E307)</f>
        <v>49848.514559999996</v>
      </c>
      <c r="E115" s="87"/>
      <c r="F115" s="88"/>
      <c r="G115" s="89">
        <f>SUM(G226:G230)+SUM(G232:G237)*8+SUM(G239:G244)+SUM(G246:G251)*2+SUM(G253:G258)+SUM(G260:G265)*2+SUM(G267:G272)+SUM(G274:G279)+SUM(G281:G286)*2+SUM(G288:G293)*2+SUM(G295:G300)+SUM(G302:G307)</f>
        <v>72280.346112000014</v>
      </c>
      <c r="H115" s="90"/>
      <c r="I115" s="90"/>
      <c r="J115" s="91"/>
      <c r="K115">
        <f>6*12</f>
        <v>72</v>
      </c>
    </row>
    <row r="116" spans="1:11" ht="15.5" x14ac:dyDescent="0.35">
      <c r="A116" s="68" t="s">
        <v>123</v>
      </c>
      <c r="B116" s="69"/>
      <c r="C116" s="37">
        <f>COUNT(D310:E315)+COUNT(D317:E322)*8+COUNT(D324:E329)+COUNT(D331:E336)*2+COUNT(D338:E343)+COUNT(D345:E350)*2+COUNT(D352:E357)+COUNT(D359:E364)+COUNT(D366:E371)*2+COUNT(D373:E378)*2+COUNT(D380:E385)+COUNT(D387:E392)</f>
        <v>138</v>
      </c>
      <c r="D116" s="86">
        <f>SUM(D310:E315)+SUM(D317:E322)*8+SUM(D324:E329)+SUM(D331:E336)*2+SUM(D338:E343)+SUM(D345:E350)*2+SUM(D352:E357)+SUM(D359:E364)+SUM(D366:E371)*2+SUM(D373:E378)*2+SUM(D380:E385)+SUM(D387:E392)</f>
        <v>51982.940411999996</v>
      </c>
      <c r="E116" s="87"/>
      <c r="F116" s="88"/>
      <c r="G116" s="89">
        <f>SUM(G310:G315)+SUM(G317:G322)*8+SUM(G324:G329)+SUM(G331:G336)*2+SUM(G338:G343)+SUM(G345:G350)*2+SUM(G352:G357)+SUM(G359:G364)+SUM(G366:G371)*2+SUM(G373:G378)*2+SUM(G380:G385)+SUM(G387:G392)</f>
        <v>75375.2635974</v>
      </c>
      <c r="H116" s="90"/>
      <c r="I116" s="90"/>
      <c r="J116" s="91"/>
    </row>
    <row r="117" spans="1:11" ht="15.5" x14ac:dyDescent="0.35">
      <c r="A117" s="68" t="s">
        <v>124</v>
      </c>
      <c r="B117" s="69"/>
      <c r="C117" s="37">
        <f>COUNT(D395:E399)+COUNT(D401:E405)*8+COUNT(D407:E408)+COUNT(D411)+COUNT(D413:E417)*2+COUNT(D419:E423)+COUNT(D425:E429)*2+COUNT(D431:E432)+COUNT(D434:E435)+COUNT(D437)+COUNT(D440:E441)</f>
        <v>80</v>
      </c>
      <c r="D117" s="86">
        <f>SUM(D395:E399)+SUM(D401:E405)*8+SUM(D407:E408)+SUM(D411)+SUM(D413:E417)*2+SUM(D419:E423)+SUM(D425:E429)*2+SUM(D431:E432)+SUM(D434:E435)+SUM(D437)+SUM(D440:E441)</f>
        <v>30453.218171999997</v>
      </c>
      <c r="E117" s="87"/>
      <c r="F117" s="88"/>
      <c r="G117" s="89">
        <f>SUM(G395:G399)+SUM(G401:G405)*8+SUM(G407:G408)+SUM(G411)+SUM(G413:G417)*2+SUM(G419:G423)+SUM(G425:G429)*2+SUM(G431:G432)+SUM(G434:G435)+SUM(G437)+SUM(G440:G441)</f>
        <v>44157.166349399995</v>
      </c>
      <c r="H117" s="90"/>
      <c r="I117" s="90"/>
      <c r="J117" s="91"/>
    </row>
    <row r="118" spans="1:11" ht="15.5" x14ac:dyDescent="0.35">
      <c r="A118" s="68" t="s">
        <v>125</v>
      </c>
      <c r="B118" s="69"/>
      <c r="C118" s="37">
        <f>COUNT(D444:E448)+COUNT(D450:E454)*8+COUNT(D456)+COUNT(D459:E460)+COUNT(D462:E466)*2+COUNT(D468:E472)+COUNT(D474:E478)*2+COUNT(D480:E481)+COUNT(D483:E484)+COUNT(D486:E487)+COUNT(D490)</f>
        <v>80</v>
      </c>
      <c r="D118" s="86">
        <f t="shared" ref="D118" si="0">SUM(D444:E448)+SUM(D450:E454)*8+SUM(D456)+SUM(D459:E460)+SUM(D462:E466)*2+SUM(D468:E472)+SUM(D474:E478)*2+SUM(D480:E481)+SUM(D483:E484)+SUM(D486:E487)+SUM(D490)</f>
        <v>30368.150280000005</v>
      </c>
      <c r="E118" s="87"/>
      <c r="F118" s="88"/>
      <c r="G118" s="89">
        <f>SUM(G444:G448)+SUM(G450:G454)*8+SUM(G456)+SUM(G459:G460)+SUM(G462:G466)*2+SUM(G468:G472)+SUM(G474:G478)*2+SUM(G480:G481)+SUM(G483:G484)+SUM(G486:G487)+SUM(G490)</f>
        <v>44033.817905999997</v>
      </c>
      <c r="H118" s="90"/>
      <c r="I118" s="90"/>
      <c r="J118" s="91"/>
    </row>
    <row r="119" spans="1:11" ht="15" x14ac:dyDescent="0.35">
      <c r="A119" s="79" t="s">
        <v>101</v>
      </c>
      <c r="B119" s="80"/>
      <c r="C119" s="36">
        <f>SUM(C114:C118)</f>
        <v>543</v>
      </c>
      <c r="D119" s="193">
        <f>SUM(D114:F118)</f>
        <v>201993.05833199999</v>
      </c>
      <c r="E119" s="194"/>
      <c r="F119" s="195"/>
      <c r="G119" s="103">
        <f>SUM(G114:J118)</f>
        <v>290292.25038840005</v>
      </c>
      <c r="H119" s="108"/>
      <c r="I119" s="108"/>
      <c r="J119" s="104"/>
    </row>
    <row r="120" spans="1:11" ht="15" x14ac:dyDescent="0.35">
      <c r="A120" s="79" t="s">
        <v>101</v>
      </c>
      <c r="B120" s="80"/>
      <c r="C120" s="50">
        <f>C111+C119</f>
        <v>567</v>
      </c>
      <c r="D120" s="193">
        <f>D111+D119</f>
        <v>206113.28072399998</v>
      </c>
      <c r="E120" s="194"/>
      <c r="F120" s="195"/>
      <c r="G120" s="103">
        <f>G111+G119</f>
        <v>296027.66426220007</v>
      </c>
      <c r="H120" s="108"/>
      <c r="I120" s="108"/>
      <c r="J120" s="104"/>
    </row>
    <row r="121" spans="1:11" s="38" customFormat="1" ht="17.5" x14ac:dyDescent="0.3">
      <c r="A121" s="97" t="s">
        <v>234</v>
      </c>
      <c r="B121" s="98"/>
      <c r="C121" s="98"/>
      <c r="D121" s="98"/>
      <c r="E121" s="98"/>
      <c r="F121" s="98"/>
      <c r="G121" s="98"/>
      <c r="H121" s="98"/>
      <c r="I121" s="98"/>
      <c r="J121" s="99"/>
    </row>
    <row r="122" spans="1:11" s="39" customFormat="1" ht="14" x14ac:dyDescent="0.3">
      <c r="A122" s="100" t="s">
        <v>45</v>
      </c>
      <c r="B122" s="101"/>
      <c r="C122" s="101"/>
      <c r="D122" s="101"/>
      <c r="E122" s="101"/>
      <c r="F122" s="101"/>
      <c r="G122" s="101"/>
      <c r="H122" s="101"/>
      <c r="I122" s="101"/>
      <c r="J122" s="102"/>
    </row>
    <row r="123" spans="1:11" s="39" customFormat="1" ht="39" x14ac:dyDescent="0.3">
      <c r="A123" s="30" t="s">
        <v>243</v>
      </c>
      <c r="B123" s="42" t="s">
        <v>237</v>
      </c>
      <c r="C123" s="4" t="s">
        <v>29</v>
      </c>
      <c r="D123" s="92" t="s">
        <v>40</v>
      </c>
      <c r="E123" s="93"/>
      <c r="F123" s="40" t="s">
        <v>30</v>
      </c>
      <c r="G123" s="4" t="s">
        <v>168</v>
      </c>
      <c r="H123" s="94" t="s">
        <v>192</v>
      </c>
      <c r="I123" s="95" t="s">
        <v>235</v>
      </c>
      <c r="J123" s="96"/>
    </row>
    <row r="124" spans="1:11" ht="15.75" customHeight="1" x14ac:dyDescent="0.35">
      <c r="A124" s="79" t="s">
        <v>118</v>
      </c>
      <c r="B124" s="80"/>
      <c r="C124" s="80"/>
      <c r="D124" s="80"/>
      <c r="E124" s="80"/>
      <c r="F124" s="80"/>
      <c r="G124" s="80"/>
      <c r="H124" s="80"/>
      <c r="I124" s="80"/>
      <c r="J124" s="81"/>
    </row>
    <row r="125" spans="1:11" ht="15.75" customHeight="1" x14ac:dyDescent="0.35">
      <c r="A125" s="79" t="s">
        <v>119</v>
      </c>
      <c r="B125" s="80"/>
      <c r="C125" s="80"/>
      <c r="D125" s="80"/>
      <c r="E125" s="80"/>
      <c r="F125" s="80"/>
      <c r="G125" s="80"/>
      <c r="H125" s="80"/>
      <c r="I125" s="80"/>
      <c r="J125" s="81"/>
    </row>
    <row r="126" spans="1:11" s="41" customFormat="1" ht="15.75" customHeight="1" x14ac:dyDescent="0.35">
      <c r="A126" s="30">
        <v>1</v>
      </c>
      <c r="B126" s="30" t="s">
        <v>239</v>
      </c>
      <c r="C126" s="30" t="s">
        <v>238</v>
      </c>
      <c r="D126" s="68">
        <f>25.248*10.764</f>
        <v>271.76947200000001</v>
      </c>
      <c r="E126" s="69"/>
      <c r="F126" s="30">
        <f>'[1]2-1'!M29</f>
        <v>0</v>
      </c>
      <c r="G126" s="30">
        <f>D126*1.45+F126</f>
        <v>394.0657344</v>
      </c>
      <c r="H126" s="70" t="str">
        <f>A125</f>
        <v>Ground Floor For Parking, Commercial &amp; Meter Room (Wing A, B, C, D &amp; E)</v>
      </c>
      <c r="I126" s="71"/>
      <c r="J126" s="72"/>
    </row>
    <row r="127" spans="1:11" s="41" customFormat="1" ht="15.5" x14ac:dyDescent="0.35">
      <c r="A127" s="30">
        <v>2</v>
      </c>
      <c r="B127" s="30" t="s">
        <v>240</v>
      </c>
      <c r="C127" s="30" t="s">
        <v>238</v>
      </c>
      <c r="D127" s="68">
        <f>10.864*10.764</f>
        <v>116.940096</v>
      </c>
      <c r="E127" s="69"/>
      <c r="F127" s="30">
        <f>'[1]2-2'!M29</f>
        <v>0</v>
      </c>
      <c r="G127" s="30">
        <f t="shared" ref="G127:G139" si="1">D127*1.45+F127</f>
        <v>169.56313919999999</v>
      </c>
      <c r="H127" s="73"/>
      <c r="I127" s="74"/>
      <c r="J127" s="75"/>
    </row>
    <row r="128" spans="1:11" s="41" customFormat="1" ht="15.5" x14ac:dyDescent="0.35">
      <c r="A128" s="30">
        <v>3</v>
      </c>
      <c r="B128" s="30" t="s">
        <v>240</v>
      </c>
      <c r="C128" s="30" t="s">
        <v>238</v>
      </c>
      <c r="D128" s="68">
        <f>22.901*10.764</f>
        <v>246.50636399999999</v>
      </c>
      <c r="E128" s="69"/>
      <c r="F128" s="30">
        <f>'[1]2-3'!M29</f>
        <v>0</v>
      </c>
      <c r="G128" s="30">
        <f t="shared" si="1"/>
        <v>357.43422779999997</v>
      </c>
      <c r="H128" s="73"/>
      <c r="I128" s="74"/>
      <c r="J128" s="75"/>
    </row>
    <row r="129" spans="1:11" s="41" customFormat="1" ht="15.5" x14ac:dyDescent="0.35">
      <c r="A129" s="30">
        <v>4</v>
      </c>
      <c r="B129" s="30" t="s">
        <v>240</v>
      </c>
      <c r="C129" s="30" t="s">
        <v>238</v>
      </c>
      <c r="D129" s="68">
        <f>21.541*10.764</f>
        <v>231.867324</v>
      </c>
      <c r="E129" s="69"/>
      <c r="F129" s="30">
        <f>'[1]2-4'!M29</f>
        <v>0</v>
      </c>
      <c r="G129" s="30">
        <f t="shared" si="1"/>
        <v>336.20761979999997</v>
      </c>
      <c r="H129" s="73"/>
      <c r="I129" s="74"/>
      <c r="J129" s="75"/>
    </row>
    <row r="130" spans="1:11" s="41" customFormat="1" ht="15.5" x14ac:dyDescent="0.35">
      <c r="A130" s="30">
        <v>5</v>
      </c>
      <c r="B130" s="30" t="s">
        <v>239</v>
      </c>
      <c r="C130" s="30" t="s">
        <v>238</v>
      </c>
      <c r="D130" s="68">
        <f>24.905*10.764</f>
        <v>268.07742000000002</v>
      </c>
      <c r="E130" s="69"/>
      <c r="F130" s="30">
        <v>0</v>
      </c>
      <c r="G130" s="30">
        <f t="shared" si="1"/>
        <v>388.71225900000002</v>
      </c>
      <c r="H130" s="73"/>
      <c r="I130" s="74"/>
      <c r="J130" s="75"/>
      <c r="K130" s="41">
        <f>645/D130</f>
        <v>2.4060213650220894</v>
      </c>
    </row>
    <row r="131" spans="1:11" s="41" customFormat="1" ht="15.5" x14ac:dyDescent="0.35">
      <c r="A131" s="30">
        <v>6</v>
      </c>
      <c r="B131" s="30" t="s">
        <v>240</v>
      </c>
      <c r="C131" s="30" t="s">
        <v>238</v>
      </c>
      <c r="D131" s="68">
        <f>5.669*10.764</f>
        <v>61.021115999999992</v>
      </c>
      <c r="E131" s="69"/>
      <c r="F131" s="30">
        <v>0</v>
      </c>
      <c r="G131" s="30">
        <f t="shared" si="1"/>
        <v>88.480618199999981</v>
      </c>
      <c r="H131" s="73"/>
      <c r="I131" s="74"/>
      <c r="J131" s="75"/>
    </row>
    <row r="132" spans="1:11" s="41" customFormat="1" ht="15.5" x14ac:dyDescent="0.35">
      <c r="A132" s="30">
        <v>7</v>
      </c>
      <c r="B132" s="30" t="s">
        <v>240</v>
      </c>
      <c r="C132" s="30" t="s">
        <v>238</v>
      </c>
      <c r="D132" s="68">
        <f>20.16*10.764</f>
        <v>217.00224</v>
      </c>
      <c r="E132" s="69"/>
      <c r="F132" s="30">
        <f>'[1]2-7'!M29</f>
        <v>0</v>
      </c>
      <c r="G132" s="30">
        <f t="shared" si="1"/>
        <v>314.65324800000002</v>
      </c>
      <c r="H132" s="73"/>
      <c r="I132" s="74"/>
      <c r="J132" s="75"/>
    </row>
    <row r="133" spans="1:11" s="41" customFormat="1" ht="15.5" x14ac:dyDescent="0.35">
      <c r="A133" s="30">
        <v>8</v>
      </c>
      <c r="B133" s="30" t="s">
        <v>239</v>
      </c>
      <c r="C133" s="30" t="s">
        <v>238</v>
      </c>
      <c r="D133" s="68">
        <f>22.005*10.764</f>
        <v>236.86181999999997</v>
      </c>
      <c r="E133" s="69"/>
      <c r="F133" s="30">
        <f>'[1]2-8'!M29</f>
        <v>0</v>
      </c>
      <c r="G133" s="30">
        <f t="shared" si="1"/>
        <v>343.44963899999993</v>
      </c>
      <c r="H133" s="73"/>
      <c r="I133" s="74"/>
      <c r="J133" s="75"/>
    </row>
    <row r="134" spans="1:11" s="41" customFormat="1" ht="15.5" x14ac:dyDescent="0.35">
      <c r="A134" s="30">
        <v>9</v>
      </c>
      <c r="B134" s="30" t="s">
        <v>240</v>
      </c>
      <c r="C134" s="30" t="s">
        <v>238</v>
      </c>
      <c r="D134" s="68">
        <f>24.357*10.764</f>
        <v>262.17874799999998</v>
      </c>
      <c r="E134" s="69"/>
      <c r="F134" s="30">
        <v>0</v>
      </c>
      <c r="G134" s="30">
        <f t="shared" si="1"/>
        <v>380.15918459999995</v>
      </c>
      <c r="H134" s="73"/>
      <c r="I134" s="74"/>
      <c r="J134" s="75"/>
      <c r="K134" s="41">
        <f>G134/D134</f>
        <v>1.45</v>
      </c>
    </row>
    <row r="135" spans="1:11" s="41" customFormat="1" ht="15.5" x14ac:dyDescent="0.35">
      <c r="A135" s="30">
        <v>10</v>
      </c>
      <c r="B135" s="30" t="s">
        <v>240</v>
      </c>
      <c r="C135" s="30" t="s">
        <v>238</v>
      </c>
      <c r="D135" s="68">
        <f>5.733*10.764</f>
        <v>61.710011999999992</v>
      </c>
      <c r="E135" s="69"/>
      <c r="F135" s="30">
        <v>0</v>
      </c>
      <c r="G135" s="30">
        <f t="shared" si="1"/>
        <v>89.479517399999992</v>
      </c>
      <c r="H135" s="73"/>
      <c r="I135" s="74"/>
      <c r="J135" s="75"/>
      <c r="K135" s="41">
        <f>645/D135</f>
        <v>10.452112697693206</v>
      </c>
    </row>
    <row r="136" spans="1:11" s="41" customFormat="1" ht="15.5" x14ac:dyDescent="0.35">
      <c r="A136" s="30">
        <v>11</v>
      </c>
      <c r="B136" s="30" t="s">
        <v>240</v>
      </c>
      <c r="C136" s="30" t="s">
        <v>238</v>
      </c>
      <c r="D136" s="68">
        <f>6.586*10.764</f>
        <v>70.891704000000004</v>
      </c>
      <c r="E136" s="69"/>
      <c r="F136" s="30">
        <v>0</v>
      </c>
      <c r="G136" s="30">
        <f t="shared" si="1"/>
        <v>102.79297080000001</v>
      </c>
      <c r="H136" s="73"/>
      <c r="I136" s="74"/>
      <c r="J136" s="75"/>
    </row>
    <row r="137" spans="1:11" s="41" customFormat="1" ht="15.5" x14ac:dyDescent="0.35">
      <c r="A137" s="30">
        <v>12</v>
      </c>
      <c r="B137" s="30" t="s">
        <v>239</v>
      </c>
      <c r="C137" s="30" t="s">
        <v>238</v>
      </c>
      <c r="D137" s="68">
        <f>23.46*10.764</f>
        <v>252.52343999999999</v>
      </c>
      <c r="E137" s="69"/>
      <c r="F137" s="30">
        <f>'[1]2-7'!M34</f>
        <v>0</v>
      </c>
      <c r="G137" s="30">
        <f t="shared" si="1"/>
        <v>366.15898799999997</v>
      </c>
      <c r="H137" s="73"/>
      <c r="I137" s="74"/>
      <c r="J137" s="75"/>
    </row>
    <row r="138" spans="1:11" s="41" customFormat="1" ht="15.5" x14ac:dyDescent="0.35">
      <c r="A138" s="30">
        <v>13</v>
      </c>
      <c r="B138" s="30" t="s">
        <v>240</v>
      </c>
      <c r="C138" s="30" t="s">
        <v>238</v>
      </c>
      <c r="D138" s="68">
        <f>16.078*10.764</f>
        <v>173.06359199999997</v>
      </c>
      <c r="E138" s="69"/>
      <c r="F138" s="30">
        <f>'[1]2-8'!M34</f>
        <v>0</v>
      </c>
      <c r="G138" s="30">
        <f t="shared" si="1"/>
        <v>250.94220839999994</v>
      </c>
      <c r="H138" s="73"/>
      <c r="I138" s="74"/>
      <c r="J138" s="75"/>
    </row>
    <row r="139" spans="1:11" s="41" customFormat="1" ht="15.5" x14ac:dyDescent="0.35">
      <c r="A139" s="30">
        <v>14</v>
      </c>
      <c r="B139" s="30" t="s">
        <v>240</v>
      </c>
      <c r="C139" s="30" t="s">
        <v>238</v>
      </c>
      <c r="D139" s="68">
        <f>16.632*10.764</f>
        <v>179.026848</v>
      </c>
      <c r="E139" s="69"/>
      <c r="F139" s="30">
        <v>0</v>
      </c>
      <c r="G139" s="30">
        <f t="shared" si="1"/>
        <v>259.58892959999997</v>
      </c>
      <c r="H139" s="73"/>
      <c r="I139" s="74"/>
      <c r="J139" s="75"/>
    </row>
    <row r="140" spans="1:11" s="41" customFormat="1" ht="15.5" x14ac:dyDescent="0.35">
      <c r="A140" s="30">
        <v>15</v>
      </c>
      <c r="B140" s="30" t="s">
        <v>240</v>
      </c>
      <c r="C140" s="30" t="s">
        <v>238</v>
      </c>
      <c r="D140" s="68">
        <f>2.882*10.764</f>
        <v>31.021847999999999</v>
      </c>
      <c r="E140" s="69"/>
      <c r="F140" s="30">
        <f>'[1]2-7'!M37</f>
        <v>0</v>
      </c>
      <c r="G140" s="30">
        <f t="shared" ref="G140:G145" si="2">D140*1.45+F140</f>
        <v>44.9816796</v>
      </c>
      <c r="H140" s="73"/>
      <c r="I140" s="74"/>
      <c r="J140" s="75"/>
    </row>
    <row r="141" spans="1:11" s="41" customFormat="1" ht="15.5" x14ac:dyDescent="0.35">
      <c r="A141" s="30">
        <v>16</v>
      </c>
      <c r="B141" s="30" t="s">
        <v>240</v>
      </c>
      <c r="C141" s="30" t="s">
        <v>238</v>
      </c>
      <c r="D141" s="68">
        <f>19.809*10.764</f>
        <v>213.224076</v>
      </c>
      <c r="E141" s="69"/>
      <c r="F141" s="30">
        <f>'[1]2-8'!M37</f>
        <v>0</v>
      </c>
      <c r="G141" s="30">
        <f t="shared" si="2"/>
        <v>309.1749102</v>
      </c>
      <c r="H141" s="73"/>
      <c r="I141" s="74"/>
      <c r="J141" s="75"/>
    </row>
    <row r="142" spans="1:11" s="41" customFormat="1" ht="15.5" x14ac:dyDescent="0.35">
      <c r="A142" s="30">
        <v>17</v>
      </c>
      <c r="B142" s="30" t="s">
        <v>239</v>
      </c>
      <c r="C142" s="30" t="s">
        <v>238</v>
      </c>
      <c r="D142" s="68">
        <f>4.928*10.764</f>
        <v>53.044991999999993</v>
      </c>
      <c r="E142" s="69"/>
      <c r="F142" s="30">
        <v>0</v>
      </c>
      <c r="G142" s="30">
        <f t="shared" si="2"/>
        <v>76.915238399999993</v>
      </c>
      <c r="H142" s="73"/>
      <c r="I142" s="74"/>
      <c r="J142" s="75"/>
    </row>
    <row r="143" spans="1:11" s="41" customFormat="1" ht="15.5" x14ac:dyDescent="0.35">
      <c r="A143" s="30">
        <v>18</v>
      </c>
      <c r="B143" s="30" t="s">
        <v>239</v>
      </c>
      <c r="C143" s="30" t="s">
        <v>238</v>
      </c>
      <c r="D143" s="68">
        <f>28.898*10.764</f>
        <v>311.05807199999998</v>
      </c>
      <c r="E143" s="69"/>
      <c r="F143" s="30">
        <f>'[1]2-7'!M40</f>
        <v>0</v>
      </c>
      <c r="G143" s="30">
        <f>D143*1.45+F143</f>
        <v>451.03420439999996</v>
      </c>
      <c r="H143" s="73"/>
      <c r="I143" s="74"/>
      <c r="J143" s="75"/>
    </row>
    <row r="144" spans="1:11" s="41" customFormat="1" ht="15.5" x14ac:dyDescent="0.35">
      <c r="A144" s="30">
        <v>19</v>
      </c>
      <c r="B144" s="30" t="s">
        <v>239</v>
      </c>
      <c r="C144" s="30" t="s">
        <v>238</v>
      </c>
      <c r="D144" s="68">
        <f>4.928*10.764</f>
        <v>53.044991999999993</v>
      </c>
      <c r="E144" s="69"/>
      <c r="F144" s="30">
        <f>'[1]2-8'!M40</f>
        <v>0</v>
      </c>
      <c r="G144" s="30">
        <f>D144*1.45+F144</f>
        <v>76.915238399999993</v>
      </c>
      <c r="H144" s="73"/>
      <c r="I144" s="74"/>
      <c r="J144" s="75"/>
    </row>
    <row r="145" spans="1:12" s="41" customFormat="1" ht="15.5" x14ac:dyDescent="0.35">
      <c r="A145" s="30">
        <v>20</v>
      </c>
      <c r="B145" s="30" t="s">
        <v>240</v>
      </c>
      <c r="C145" s="30" t="s">
        <v>238</v>
      </c>
      <c r="D145" s="68">
        <f>2.521*10.764</f>
        <v>27.136043999999998</v>
      </c>
      <c r="E145" s="69"/>
      <c r="F145" s="30">
        <v>0</v>
      </c>
      <c r="G145" s="30">
        <f t="shared" si="2"/>
        <v>39.347263799999993</v>
      </c>
      <c r="H145" s="73"/>
      <c r="I145" s="74"/>
      <c r="J145" s="75"/>
    </row>
    <row r="146" spans="1:12" s="41" customFormat="1" ht="15.5" x14ac:dyDescent="0.35">
      <c r="A146" s="30">
        <v>21</v>
      </c>
      <c r="B146" s="30" t="s">
        <v>240</v>
      </c>
      <c r="C146" s="30" t="s">
        <v>238</v>
      </c>
      <c r="D146" s="68">
        <f>25.325*10.764</f>
        <v>272.59829999999999</v>
      </c>
      <c r="E146" s="69"/>
      <c r="F146" s="30">
        <f>'[1]2-8'!M41</f>
        <v>0</v>
      </c>
      <c r="G146" s="30">
        <f>25.326*10.764</f>
        <v>272.60906399999999</v>
      </c>
      <c r="H146" s="73"/>
      <c r="I146" s="74"/>
      <c r="J146" s="75"/>
    </row>
    <row r="147" spans="1:12" s="41" customFormat="1" ht="15.5" x14ac:dyDescent="0.35">
      <c r="A147" s="30">
        <v>22</v>
      </c>
      <c r="B147" s="30" t="s">
        <v>239</v>
      </c>
      <c r="C147" s="30" t="s">
        <v>238</v>
      </c>
      <c r="D147" s="68">
        <f>11.785*10.764</f>
        <v>126.85373999999999</v>
      </c>
      <c r="E147" s="69"/>
      <c r="F147" s="30">
        <f>'[1]2-8'!M42</f>
        <v>0</v>
      </c>
      <c r="G147" s="30">
        <f>25.326*10.764</f>
        <v>272.60906399999999</v>
      </c>
      <c r="H147" s="73"/>
      <c r="I147" s="74"/>
      <c r="J147" s="75"/>
    </row>
    <row r="148" spans="1:12" s="41" customFormat="1" ht="15.5" x14ac:dyDescent="0.35">
      <c r="A148" s="30">
        <v>23</v>
      </c>
      <c r="B148" s="30" t="s">
        <v>240</v>
      </c>
      <c r="C148" s="30" t="s">
        <v>238</v>
      </c>
      <c r="D148" s="68">
        <f>21.257*10.764</f>
        <v>228.810348</v>
      </c>
      <c r="E148" s="69"/>
      <c r="F148" s="30">
        <v>0</v>
      </c>
      <c r="G148" s="30">
        <f>11.785*10.764</f>
        <v>126.85373999999999</v>
      </c>
      <c r="H148" s="73"/>
      <c r="I148" s="74"/>
      <c r="J148" s="75"/>
    </row>
    <row r="149" spans="1:12" s="41" customFormat="1" ht="15.5" x14ac:dyDescent="0.35">
      <c r="A149" s="30">
        <v>24</v>
      </c>
      <c r="B149" s="30" t="s">
        <v>240</v>
      </c>
      <c r="C149" s="30" t="s">
        <v>238</v>
      </c>
      <c r="D149" s="68">
        <f>14.306*10.764</f>
        <v>153.98978399999999</v>
      </c>
      <c r="E149" s="69"/>
      <c r="F149" s="30">
        <f>'[1]2-7'!M45</f>
        <v>0</v>
      </c>
      <c r="G149" s="30">
        <f>D149*1.45+F149</f>
        <v>223.28518679999996</v>
      </c>
      <c r="H149" s="76"/>
      <c r="I149" s="77"/>
      <c r="J149" s="78"/>
    </row>
    <row r="150" spans="1:12" s="41" customFormat="1" ht="15.5" x14ac:dyDescent="0.35">
      <c r="A150" s="79"/>
      <c r="B150" s="80"/>
      <c r="C150" s="80"/>
      <c r="D150" s="80"/>
      <c r="E150" s="80"/>
      <c r="F150" s="80"/>
      <c r="G150" s="80"/>
      <c r="H150" s="80"/>
      <c r="I150" s="80"/>
      <c r="J150" s="81"/>
    </row>
    <row r="151" spans="1:12" s="46" customFormat="1" ht="39" x14ac:dyDescent="0.3">
      <c r="A151" s="44" t="s">
        <v>244</v>
      </c>
      <c r="B151" s="45" t="s">
        <v>237</v>
      </c>
      <c r="C151" s="4" t="s">
        <v>29</v>
      </c>
      <c r="D151" s="92" t="s">
        <v>40</v>
      </c>
      <c r="E151" s="93"/>
      <c r="F151" s="40" t="s">
        <v>30</v>
      </c>
      <c r="G151" s="4" t="s">
        <v>168</v>
      </c>
      <c r="H151" s="94" t="s">
        <v>192</v>
      </c>
      <c r="I151" s="95" t="s">
        <v>235</v>
      </c>
      <c r="J151" s="96"/>
    </row>
    <row r="152" spans="1:12" s="41" customFormat="1" ht="15.5" x14ac:dyDescent="0.35">
      <c r="A152" s="79" t="s">
        <v>236</v>
      </c>
      <c r="B152" s="80"/>
      <c r="C152" s="80"/>
      <c r="D152" s="80"/>
      <c r="E152" s="80"/>
      <c r="F152" s="80"/>
      <c r="G152" s="80"/>
      <c r="H152" s="80"/>
      <c r="I152" s="80"/>
      <c r="J152" s="81"/>
    </row>
    <row r="153" spans="1:12" s="41" customFormat="1" ht="15.5" x14ac:dyDescent="0.35">
      <c r="A153" s="79" t="s">
        <v>120</v>
      </c>
      <c r="B153" s="80"/>
      <c r="C153" s="80"/>
      <c r="D153" s="80"/>
      <c r="E153" s="80"/>
      <c r="F153" s="80"/>
      <c r="G153" s="80"/>
      <c r="H153" s="80"/>
      <c r="I153" s="80"/>
      <c r="J153" s="81"/>
    </row>
    <row r="154" spans="1:12" s="41" customFormat="1" ht="15.75" customHeight="1" x14ac:dyDescent="0.35">
      <c r="A154" s="68">
        <v>1</v>
      </c>
      <c r="B154" s="69"/>
      <c r="C154" s="30" t="s">
        <v>121</v>
      </c>
      <c r="D154" s="68">
        <f>32.996*10.764</f>
        <v>355.16894400000001</v>
      </c>
      <c r="E154" s="69"/>
      <c r="F154" s="30">
        <f>'[1]Wing A-1'!L51</f>
        <v>0</v>
      </c>
      <c r="G154" s="30">
        <f>D154*1.45+F154</f>
        <v>514.99496880000004</v>
      </c>
      <c r="H154" s="70" t="str">
        <f>A153</f>
        <v>1st Floor</v>
      </c>
      <c r="I154" s="71"/>
      <c r="J154" s="72"/>
    </row>
    <row r="155" spans="1:12" s="41" customFormat="1" ht="15.5" x14ac:dyDescent="0.35">
      <c r="A155" s="68">
        <v>2</v>
      </c>
      <c r="B155" s="69"/>
      <c r="C155" s="30" t="s">
        <v>121</v>
      </c>
      <c r="D155" s="68">
        <f>32.996*10.764</f>
        <v>355.16894400000001</v>
      </c>
      <c r="E155" s="69"/>
      <c r="F155" s="30">
        <f>'[1]A-2'!L51</f>
        <v>0</v>
      </c>
      <c r="G155" s="30">
        <f>D155*1.45+F155</f>
        <v>514.99496880000004</v>
      </c>
      <c r="H155" s="73"/>
      <c r="I155" s="74"/>
      <c r="J155" s="75"/>
      <c r="L155" s="41">
        <f>G155/D155</f>
        <v>1.45</v>
      </c>
    </row>
    <row r="156" spans="1:12" s="41" customFormat="1" ht="15.5" x14ac:dyDescent="0.35">
      <c r="A156" s="68">
        <v>3</v>
      </c>
      <c r="B156" s="69"/>
      <c r="C156" s="30" t="s">
        <v>121</v>
      </c>
      <c r="D156" s="68">
        <f>33.1*10.764</f>
        <v>356.28839999999997</v>
      </c>
      <c r="E156" s="69"/>
      <c r="F156" s="30">
        <f>'[1]A-3'!M51</f>
        <v>0</v>
      </c>
      <c r="G156" s="30">
        <f>D156*1.45+F156</f>
        <v>516.61817999999994</v>
      </c>
      <c r="H156" s="73"/>
      <c r="I156" s="74"/>
      <c r="J156" s="75"/>
      <c r="L156" s="41">
        <f>225000/645</f>
        <v>348.83720930232556</v>
      </c>
    </row>
    <row r="157" spans="1:12" s="41" customFormat="1" ht="15.5" x14ac:dyDescent="0.35">
      <c r="A157" s="79" t="s">
        <v>245</v>
      </c>
      <c r="B157" s="80"/>
      <c r="C157" s="80"/>
      <c r="D157" s="80"/>
      <c r="E157" s="80"/>
      <c r="F157" s="80"/>
      <c r="G157" s="80"/>
      <c r="H157" s="80"/>
      <c r="I157" s="80"/>
      <c r="J157" s="81"/>
    </row>
    <row r="158" spans="1:12" s="41" customFormat="1" ht="15.75" customHeight="1" x14ac:dyDescent="0.35">
      <c r="A158" s="68">
        <v>1</v>
      </c>
      <c r="B158" s="69"/>
      <c r="C158" s="30" t="s">
        <v>121</v>
      </c>
      <c r="D158" s="68">
        <f>32.996*10.764</f>
        <v>355.16894400000001</v>
      </c>
      <c r="E158" s="69"/>
      <c r="F158" s="30">
        <f>'[1]Wing A-1'!L55</f>
        <v>0</v>
      </c>
      <c r="G158" s="30">
        <f>D158*1.45+F158</f>
        <v>514.99496880000004</v>
      </c>
      <c r="H158" s="70" t="str">
        <f>A157</f>
        <v>2nd to 7th, 9th &amp;  11th Floor</v>
      </c>
      <c r="I158" s="71"/>
      <c r="J158" s="72"/>
    </row>
    <row r="159" spans="1:12" s="41" customFormat="1" ht="15.5" x14ac:dyDescent="0.35">
      <c r="A159" s="68">
        <v>2</v>
      </c>
      <c r="B159" s="69"/>
      <c r="C159" s="30" t="s">
        <v>121</v>
      </c>
      <c r="D159" s="68">
        <f>32.996*10.764</f>
        <v>355.16894400000001</v>
      </c>
      <c r="E159" s="69"/>
      <c r="F159" s="30">
        <f>'[1]A-2'!L55</f>
        <v>0</v>
      </c>
      <c r="G159" s="30">
        <f>D159*1.45+F159</f>
        <v>514.99496880000004</v>
      </c>
      <c r="H159" s="73"/>
      <c r="I159" s="74"/>
      <c r="J159" s="75"/>
    </row>
    <row r="160" spans="1:12" s="41" customFormat="1" ht="15.5" x14ac:dyDescent="0.35">
      <c r="A160" s="68">
        <v>3</v>
      </c>
      <c r="B160" s="69"/>
      <c r="C160" s="30" t="s">
        <v>121</v>
      </c>
      <c r="D160" s="68">
        <f>33.1*10.764</f>
        <v>356.28839999999997</v>
      </c>
      <c r="E160" s="69"/>
      <c r="F160" s="30">
        <f>'[1]A-3'!M55</f>
        <v>0</v>
      </c>
      <c r="G160" s="30">
        <f>D160*1.45+F160</f>
        <v>516.61817999999994</v>
      </c>
      <c r="H160" s="73"/>
      <c r="I160" s="74"/>
      <c r="J160" s="75"/>
    </row>
    <row r="161" spans="1:12" s="41" customFormat="1" ht="15.75" customHeight="1" x14ac:dyDescent="0.35">
      <c r="A161" s="68">
        <v>4</v>
      </c>
      <c r="B161" s="69"/>
      <c r="C161" s="30" t="s">
        <v>121</v>
      </c>
      <c r="D161" s="68">
        <f>33.94*10.764</f>
        <v>365.33015999999998</v>
      </c>
      <c r="E161" s="69"/>
      <c r="F161" s="30">
        <f>'[1]Wing A-1'!L58</f>
        <v>0</v>
      </c>
      <c r="G161" s="30">
        <f>D161*1.45+F161</f>
        <v>529.72873199999992</v>
      </c>
      <c r="H161" s="73"/>
      <c r="I161" s="74"/>
      <c r="J161" s="75"/>
    </row>
    <row r="162" spans="1:12" s="41" customFormat="1" ht="15.5" x14ac:dyDescent="0.35">
      <c r="A162" s="68">
        <v>5</v>
      </c>
      <c r="B162" s="69"/>
      <c r="C162" s="30" t="s">
        <v>121</v>
      </c>
      <c r="D162" s="68">
        <f>33.403*10.764</f>
        <v>359.54989199999994</v>
      </c>
      <c r="E162" s="69"/>
      <c r="F162" s="30">
        <f>'[1]A-2'!L58</f>
        <v>0</v>
      </c>
      <c r="G162" s="30">
        <f>D162*1.45+F162</f>
        <v>521.34734339999989</v>
      </c>
      <c r="H162" s="76"/>
      <c r="I162" s="77"/>
      <c r="J162" s="78"/>
    </row>
    <row r="163" spans="1:12" s="41" customFormat="1" ht="15.5" x14ac:dyDescent="0.35">
      <c r="A163" s="79" t="s">
        <v>246</v>
      </c>
      <c r="B163" s="80"/>
      <c r="C163" s="80"/>
      <c r="D163" s="80"/>
      <c r="E163" s="80"/>
      <c r="F163" s="80"/>
      <c r="G163" s="80"/>
      <c r="H163" s="80"/>
      <c r="I163" s="80"/>
      <c r="J163" s="81"/>
    </row>
    <row r="164" spans="1:12" s="41" customFormat="1" ht="15.75" customHeight="1" x14ac:dyDescent="0.35">
      <c r="A164" s="68">
        <v>1</v>
      </c>
      <c r="B164" s="69"/>
      <c r="C164" s="30" t="s">
        <v>128</v>
      </c>
      <c r="D164" s="68">
        <f>53.423*10.764</f>
        <v>575.04517199999998</v>
      </c>
      <c r="E164" s="69"/>
      <c r="F164" s="30">
        <f>'[1]Wing A-1'!L61</f>
        <v>0</v>
      </c>
      <c r="G164" s="30">
        <f>D164*1.45+F164</f>
        <v>833.81549939999991</v>
      </c>
      <c r="H164" s="70" t="str">
        <f>A163</f>
        <v>8th Floor (Part Refuge Area)</v>
      </c>
      <c r="I164" s="71"/>
      <c r="J164" s="72"/>
    </row>
    <row r="165" spans="1:12" s="41" customFormat="1" ht="15.5" x14ac:dyDescent="0.35">
      <c r="A165" s="68">
        <v>2</v>
      </c>
      <c r="B165" s="69"/>
      <c r="C165" s="70" t="s">
        <v>127</v>
      </c>
      <c r="D165" s="71"/>
      <c r="E165" s="71"/>
      <c r="F165" s="71"/>
      <c r="G165" s="72"/>
      <c r="H165" s="73"/>
      <c r="I165" s="74"/>
      <c r="J165" s="75"/>
    </row>
    <row r="166" spans="1:12" s="41" customFormat="1" ht="15.5" x14ac:dyDescent="0.35">
      <c r="A166" s="68">
        <v>3</v>
      </c>
      <c r="B166" s="69"/>
      <c r="C166" s="76"/>
      <c r="D166" s="77"/>
      <c r="E166" s="77"/>
      <c r="F166" s="77"/>
      <c r="G166" s="78"/>
      <c r="H166" s="73"/>
      <c r="I166" s="74"/>
      <c r="J166" s="75"/>
    </row>
    <row r="167" spans="1:12" s="41" customFormat="1" ht="15.75" customHeight="1" x14ac:dyDescent="0.35">
      <c r="A167" s="68">
        <v>4</v>
      </c>
      <c r="B167" s="69"/>
      <c r="C167" s="30" t="s">
        <v>121</v>
      </c>
      <c r="D167" s="68">
        <f>33.94*10.764</f>
        <v>365.33015999999998</v>
      </c>
      <c r="E167" s="69"/>
      <c r="F167" s="30">
        <f>'[1]Wing A-1'!L64</f>
        <v>0</v>
      </c>
      <c r="G167" s="30">
        <f>D167*1.45+F167</f>
        <v>529.72873199999992</v>
      </c>
      <c r="H167" s="73"/>
      <c r="I167" s="74"/>
      <c r="J167" s="75"/>
    </row>
    <row r="168" spans="1:12" s="41" customFormat="1" ht="15.75" customHeight="1" x14ac:dyDescent="0.35">
      <c r="A168" s="68">
        <v>5</v>
      </c>
      <c r="B168" s="69"/>
      <c r="C168" s="30" t="s">
        <v>121</v>
      </c>
      <c r="D168" s="68">
        <f>33.403*10.764</f>
        <v>359.54989199999994</v>
      </c>
      <c r="E168" s="69"/>
      <c r="F168" s="30">
        <f>'[1]A-2'!L66</f>
        <v>0</v>
      </c>
      <c r="G168" s="30">
        <f>D168*1.45+F168</f>
        <v>521.34734339999989</v>
      </c>
      <c r="H168" s="76"/>
      <c r="I168" s="77"/>
      <c r="J168" s="78"/>
      <c r="L168"/>
    </row>
    <row r="169" spans="1:12" s="41" customFormat="1" ht="15.5" x14ac:dyDescent="0.35">
      <c r="A169" s="79" t="s">
        <v>129</v>
      </c>
      <c r="B169" s="80"/>
      <c r="C169" s="80"/>
      <c r="D169" s="80"/>
      <c r="E169" s="80"/>
      <c r="F169" s="80"/>
      <c r="G169" s="80"/>
      <c r="H169" s="80"/>
      <c r="I169" s="80"/>
      <c r="J169" s="81"/>
    </row>
    <row r="170" spans="1:12" s="41" customFormat="1" ht="15.75" customHeight="1" x14ac:dyDescent="0.35">
      <c r="A170" s="68">
        <v>1</v>
      </c>
      <c r="B170" s="69"/>
      <c r="C170" s="30" t="s">
        <v>121</v>
      </c>
      <c r="D170" s="68">
        <f>32.996*10.764</f>
        <v>355.16894400000001</v>
      </c>
      <c r="E170" s="69"/>
      <c r="F170" s="30">
        <f>'[1]Wing A-1'!L67</f>
        <v>0</v>
      </c>
      <c r="G170" s="30">
        <f>D170*1.45+F170</f>
        <v>514.99496880000004</v>
      </c>
      <c r="H170" s="70" t="str">
        <f>A169</f>
        <v>10th &amp; 12th Floor</v>
      </c>
      <c r="I170" s="71"/>
      <c r="J170" s="72"/>
    </row>
    <row r="171" spans="1:12" s="41" customFormat="1" ht="15.5" x14ac:dyDescent="0.35">
      <c r="A171" s="68">
        <v>2</v>
      </c>
      <c r="B171" s="69"/>
      <c r="C171" s="30" t="s">
        <v>121</v>
      </c>
      <c r="D171" s="68">
        <f>32.996*10.764</f>
        <v>355.16894400000001</v>
      </c>
      <c r="E171" s="69"/>
      <c r="F171" s="30">
        <f>'[1]A-2'!L67</f>
        <v>0</v>
      </c>
      <c r="G171" s="30">
        <f>D171*1.45+F171</f>
        <v>514.99496880000004</v>
      </c>
      <c r="H171" s="73"/>
      <c r="I171" s="74"/>
      <c r="J171" s="75"/>
    </row>
    <row r="172" spans="1:12" s="41" customFormat="1" ht="15.5" x14ac:dyDescent="0.35">
      <c r="A172" s="68">
        <v>3</v>
      </c>
      <c r="B172" s="69"/>
      <c r="C172" s="30" t="s">
        <v>121</v>
      </c>
      <c r="D172" s="68">
        <f>33.1*10.764</f>
        <v>356.28839999999997</v>
      </c>
      <c r="E172" s="69"/>
      <c r="F172" s="30">
        <f>'[1]A-3'!M67</f>
        <v>0</v>
      </c>
      <c r="G172" s="30">
        <f>D172*1.45+F172</f>
        <v>516.61817999999994</v>
      </c>
      <c r="H172" s="73"/>
      <c r="I172" s="74"/>
      <c r="J172" s="75"/>
    </row>
    <row r="173" spans="1:12" s="41" customFormat="1" ht="15.75" customHeight="1" x14ac:dyDescent="0.35">
      <c r="A173" s="68">
        <v>4</v>
      </c>
      <c r="B173" s="69"/>
      <c r="C173" s="30" t="s">
        <v>121</v>
      </c>
      <c r="D173" s="68">
        <f>33.94*10.764</f>
        <v>365.33015999999998</v>
      </c>
      <c r="E173" s="69"/>
      <c r="F173" s="30">
        <f>'[1]Wing A-1'!L70</f>
        <v>0</v>
      </c>
      <c r="G173" s="30">
        <f>D173*1.45+F173</f>
        <v>529.72873199999992</v>
      </c>
      <c r="H173" s="73"/>
      <c r="I173" s="74"/>
      <c r="J173" s="75"/>
    </row>
    <row r="174" spans="1:12" s="41" customFormat="1" ht="15.5" x14ac:dyDescent="0.35">
      <c r="A174" s="68">
        <v>5</v>
      </c>
      <c r="B174" s="69"/>
      <c r="C174" s="30" t="s">
        <v>121</v>
      </c>
      <c r="D174" s="68">
        <f>33.403*10.764</f>
        <v>359.54989199999994</v>
      </c>
      <c r="E174" s="69"/>
      <c r="F174" s="30">
        <f>'[1]A-2'!L70</f>
        <v>0</v>
      </c>
      <c r="G174" s="30">
        <f>D174*1.45+F174</f>
        <v>521.34734339999989</v>
      </c>
      <c r="H174" s="76"/>
      <c r="I174" s="77"/>
      <c r="J174" s="78"/>
    </row>
    <row r="175" spans="1:12" s="41" customFormat="1" ht="15.5" x14ac:dyDescent="0.35">
      <c r="A175" s="79" t="s">
        <v>130</v>
      </c>
      <c r="B175" s="80"/>
      <c r="C175" s="80"/>
      <c r="D175" s="80"/>
      <c r="E175" s="80"/>
      <c r="F175" s="80"/>
      <c r="G175" s="80"/>
      <c r="H175" s="80"/>
      <c r="I175" s="80"/>
      <c r="J175" s="81"/>
    </row>
    <row r="176" spans="1:12" s="41" customFormat="1" ht="15.75" customHeight="1" x14ac:dyDescent="0.35">
      <c r="A176" s="68">
        <v>1</v>
      </c>
      <c r="B176" s="69"/>
      <c r="C176" s="30" t="s">
        <v>121</v>
      </c>
      <c r="D176" s="68">
        <f>32.996*10.764</f>
        <v>355.16894400000001</v>
      </c>
      <c r="E176" s="69"/>
      <c r="F176" s="30">
        <f>'[1]Wing A-1'!L73</f>
        <v>0</v>
      </c>
      <c r="G176" s="30">
        <f>D176*1.45+F176</f>
        <v>514.99496880000004</v>
      </c>
      <c r="H176" s="70" t="str">
        <f>A175</f>
        <v>13th Floor</v>
      </c>
      <c r="I176" s="71"/>
      <c r="J176" s="72"/>
    </row>
    <row r="177" spans="1:12" s="41" customFormat="1" ht="15.5" x14ac:dyDescent="0.35">
      <c r="A177" s="68">
        <v>2</v>
      </c>
      <c r="B177" s="69"/>
      <c r="C177" s="30" t="s">
        <v>121</v>
      </c>
      <c r="D177" s="68">
        <f>32.996*10.764</f>
        <v>355.16894400000001</v>
      </c>
      <c r="E177" s="69"/>
      <c r="F177" s="30">
        <f>'[1]A-2'!L73</f>
        <v>0</v>
      </c>
      <c r="G177" s="30">
        <f>D177*1.45+F177</f>
        <v>514.99496880000004</v>
      </c>
      <c r="H177" s="73"/>
      <c r="I177" s="74"/>
      <c r="J177" s="75"/>
    </row>
    <row r="178" spans="1:12" s="41" customFormat="1" ht="15.5" x14ac:dyDescent="0.35">
      <c r="A178" s="68">
        <v>3</v>
      </c>
      <c r="B178" s="69"/>
      <c r="C178" s="30" t="s">
        <v>121</v>
      </c>
      <c r="D178" s="68">
        <f>33.1*10.764</f>
        <v>356.28839999999997</v>
      </c>
      <c r="E178" s="69"/>
      <c r="F178" s="30">
        <f>'[1]A-3'!M73</f>
        <v>0</v>
      </c>
      <c r="G178" s="30">
        <f>D178*1.45+F178</f>
        <v>516.61817999999994</v>
      </c>
      <c r="H178" s="73"/>
      <c r="I178" s="74"/>
      <c r="J178" s="75"/>
    </row>
    <row r="179" spans="1:12" s="41" customFormat="1" ht="15.75" customHeight="1" x14ac:dyDescent="0.35">
      <c r="A179" s="68">
        <v>4</v>
      </c>
      <c r="B179" s="69"/>
      <c r="C179" s="30" t="s">
        <v>121</v>
      </c>
      <c r="D179" s="68">
        <f>33.94*10.764</f>
        <v>365.33015999999998</v>
      </c>
      <c r="E179" s="69"/>
      <c r="F179" s="30">
        <f>'[1]Wing A-1'!L76</f>
        <v>0</v>
      </c>
      <c r="G179" s="30">
        <f>D179*1.45+F179</f>
        <v>529.72873199999992</v>
      </c>
      <c r="H179" s="73"/>
      <c r="I179" s="74"/>
      <c r="J179" s="75"/>
    </row>
    <row r="180" spans="1:12" s="41" customFormat="1" ht="15.5" x14ac:dyDescent="0.35">
      <c r="A180" s="68">
        <v>5</v>
      </c>
      <c r="B180" s="69"/>
      <c r="C180" s="30" t="s">
        <v>121</v>
      </c>
      <c r="D180" s="68">
        <f>33.403*10.764</f>
        <v>359.54989199999994</v>
      </c>
      <c r="E180" s="69"/>
      <c r="F180" s="30">
        <f>'[1]A-2'!L76</f>
        <v>0</v>
      </c>
      <c r="G180" s="30">
        <f>D180*1.45+F180</f>
        <v>521.34734339999989</v>
      </c>
      <c r="H180" s="76"/>
      <c r="I180" s="77"/>
      <c r="J180" s="78"/>
    </row>
    <row r="181" spans="1:12" s="41" customFormat="1" ht="15.5" x14ac:dyDescent="0.35">
      <c r="A181" s="79" t="s">
        <v>131</v>
      </c>
      <c r="B181" s="80"/>
      <c r="C181" s="80"/>
      <c r="D181" s="80"/>
      <c r="E181" s="80"/>
      <c r="F181" s="80"/>
      <c r="G181" s="80"/>
      <c r="H181" s="80"/>
      <c r="I181" s="80"/>
      <c r="J181" s="81"/>
    </row>
    <row r="182" spans="1:12" s="41" customFormat="1" ht="15.75" customHeight="1" x14ac:dyDescent="0.35">
      <c r="A182" s="68">
        <v>1</v>
      </c>
      <c r="B182" s="69"/>
      <c r="C182" s="30" t="s">
        <v>121</v>
      </c>
      <c r="D182" s="68">
        <f>32.996*10.764</f>
        <v>355.16894400000001</v>
      </c>
      <c r="E182" s="69"/>
      <c r="F182" s="30">
        <f>'[1]Wing A-1'!L79</f>
        <v>0</v>
      </c>
      <c r="G182" s="30">
        <f>D182*1.45+F182</f>
        <v>514.99496880000004</v>
      </c>
      <c r="H182" s="70" t="str">
        <f>A181</f>
        <v>14th &amp; 16th Floor</v>
      </c>
      <c r="I182" s="71"/>
      <c r="J182" s="72"/>
    </row>
    <row r="183" spans="1:12" s="41" customFormat="1" ht="15.5" x14ac:dyDescent="0.35">
      <c r="A183" s="68">
        <v>2</v>
      </c>
      <c r="B183" s="69"/>
      <c r="C183" s="30" t="s">
        <v>121</v>
      </c>
      <c r="D183" s="68">
        <f>32.996*10.764</f>
        <v>355.16894400000001</v>
      </c>
      <c r="E183" s="69"/>
      <c r="F183" s="30">
        <f>'[1]A-2'!L79</f>
        <v>0</v>
      </c>
      <c r="G183" s="30">
        <f>D183*1.45+F183</f>
        <v>514.99496880000004</v>
      </c>
      <c r="H183" s="73"/>
      <c r="I183" s="74"/>
      <c r="J183" s="75"/>
    </row>
    <row r="184" spans="1:12" s="41" customFormat="1" ht="15.5" x14ac:dyDescent="0.35">
      <c r="A184" s="68">
        <v>3</v>
      </c>
      <c r="B184" s="69"/>
      <c r="C184" s="30" t="s">
        <v>121</v>
      </c>
      <c r="D184" s="68">
        <f>33.1*10.764</f>
        <v>356.28839999999997</v>
      </c>
      <c r="E184" s="69"/>
      <c r="F184" s="30">
        <f>'[1]A-3'!M79</f>
        <v>0</v>
      </c>
      <c r="G184" s="30">
        <f>D184*1.45+F184</f>
        <v>516.61817999999994</v>
      </c>
      <c r="H184" s="73"/>
      <c r="I184" s="74"/>
      <c r="J184" s="75"/>
    </row>
    <row r="185" spans="1:12" s="41" customFormat="1" ht="15.75" customHeight="1" x14ac:dyDescent="0.35">
      <c r="A185" s="68">
        <v>4</v>
      </c>
      <c r="B185" s="69"/>
      <c r="C185" s="30" t="s">
        <v>121</v>
      </c>
      <c r="D185" s="68">
        <f>33.94*10.764</f>
        <v>365.33015999999998</v>
      </c>
      <c r="E185" s="69"/>
      <c r="F185" s="30">
        <f>'[1]Wing A-1'!L82</f>
        <v>0</v>
      </c>
      <c r="G185" s="30">
        <f>D185*1.45+F185</f>
        <v>529.72873199999992</v>
      </c>
      <c r="H185" s="73"/>
      <c r="I185" s="74"/>
      <c r="J185" s="75"/>
    </row>
    <row r="186" spans="1:12" s="41" customFormat="1" ht="15.5" x14ac:dyDescent="0.35">
      <c r="A186" s="68">
        <v>5</v>
      </c>
      <c r="B186" s="69"/>
      <c r="C186" s="30" t="s">
        <v>121</v>
      </c>
      <c r="D186" s="68">
        <f>33.403*10.764</f>
        <v>359.54989199999994</v>
      </c>
      <c r="E186" s="69"/>
      <c r="F186" s="30">
        <f>'[1]A-2'!L82</f>
        <v>0</v>
      </c>
      <c r="G186" s="30">
        <f>D186*1.45+F186</f>
        <v>521.34734339999989</v>
      </c>
      <c r="H186" s="76"/>
      <c r="I186" s="77"/>
      <c r="J186" s="78"/>
    </row>
    <row r="187" spans="1:12" s="41" customFormat="1" ht="15.5" x14ac:dyDescent="0.35">
      <c r="A187" s="79" t="s">
        <v>247</v>
      </c>
      <c r="B187" s="80"/>
      <c r="C187" s="80"/>
      <c r="D187" s="80"/>
      <c r="E187" s="80"/>
      <c r="F187" s="80"/>
      <c r="G187" s="80"/>
      <c r="H187" s="80"/>
      <c r="I187" s="80"/>
      <c r="J187" s="81"/>
    </row>
    <row r="188" spans="1:12" s="41" customFormat="1" ht="15.75" customHeight="1" x14ac:dyDescent="0.35">
      <c r="A188" s="68">
        <v>1</v>
      </c>
      <c r="B188" s="69"/>
      <c r="C188" s="30" t="s">
        <v>128</v>
      </c>
      <c r="D188" s="68">
        <f>53.423*10.764</f>
        <v>575.04517199999998</v>
      </c>
      <c r="E188" s="69"/>
      <c r="F188" s="30">
        <f>'[1]Wing A-1'!L85</f>
        <v>0</v>
      </c>
      <c r="G188" s="30">
        <f>D188*1.45+F188</f>
        <v>833.81549939999991</v>
      </c>
      <c r="H188" s="70" t="str">
        <f>A187</f>
        <v>15th Floor (Part Refuge Area)</v>
      </c>
      <c r="I188" s="71"/>
      <c r="J188" s="72"/>
    </row>
    <row r="189" spans="1:12" s="41" customFormat="1" ht="15.5" x14ac:dyDescent="0.35">
      <c r="A189" s="68">
        <v>2</v>
      </c>
      <c r="B189" s="69"/>
      <c r="C189" s="70" t="s">
        <v>127</v>
      </c>
      <c r="D189" s="71"/>
      <c r="E189" s="71"/>
      <c r="F189" s="71"/>
      <c r="G189" s="72"/>
      <c r="H189" s="73"/>
      <c r="I189" s="74"/>
      <c r="J189" s="75"/>
    </row>
    <row r="190" spans="1:12" s="41" customFormat="1" ht="15.5" x14ac:dyDescent="0.35">
      <c r="A190" s="68">
        <v>3</v>
      </c>
      <c r="B190" s="69"/>
      <c r="C190" s="76"/>
      <c r="D190" s="77"/>
      <c r="E190" s="77"/>
      <c r="F190" s="77"/>
      <c r="G190" s="78"/>
      <c r="H190" s="73"/>
      <c r="I190" s="74"/>
      <c r="J190" s="75"/>
    </row>
    <row r="191" spans="1:12" s="41" customFormat="1" ht="15.75" customHeight="1" x14ac:dyDescent="0.35">
      <c r="A191" s="68">
        <v>4</v>
      </c>
      <c r="B191" s="69"/>
      <c r="C191" s="30" t="s">
        <v>121</v>
      </c>
      <c r="D191" s="68">
        <f>33.94*10.764</f>
        <v>365.33015999999998</v>
      </c>
      <c r="E191" s="69"/>
      <c r="F191" s="30">
        <f>'[1]Wing A-1'!L88</f>
        <v>0</v>
      </c>
      <c r="G191" s="30">
        <f>D191*1.45+F191</f>
        <v>529.72873199999992</v>
      </c>
      <c r="H191" s="73"/>
      <c r="I191" s="74"/>
      <c r="J191" s="75"/>
    </row>
    <row r="192" spans="1:12" s="41" customFormat="1" ht="15.75" customHeight="1" x14ac:dyDescent="0.35">
      <c r="A192" s="68">
        <v>5</v>
      </c>
      <c r="B192" s="69"/>
      <c r="C192" s="30" t="s">
        <v>121</v>
      </c>
      <c r="D192" s="68">
        <f>33.403*10.764</f>
        <v>359.54989199999994</v>
      </c>
      <c r="E192" s="69"/>
      <c r="F192" s="30">
        <f>'[1]A-2'!L90</f>
        <v>0</v>
      </c>
      <c r="G192" s="30">
        <f>D192*1.45+F192</f>
        <v>521.34734339999989</v>
      </c>
      <c r="H192" s="76"/>
      <c r="I192" s="77"/>
      <c r="J192" s="78"/>
      <c r="L192"/>
    </row>
    <row r="193" spans="1:10" s="41" customFormat="1" ht="15.5" x14ac:dyDescent="0.35">
      <c r="A193" s="79" t="s">
        <v>248</v>
      </c>
      <c r="B193" s="80"/>
      <c r="C193" s="80"/>
      <c r="D193" s="80"/>
      <c r="E193" s="80"/>
      <c r="F193" s="80"/>
      <c r="G193" s="80"/>
      <c r="H193" s="80"/>
      <c r="I193" s="80"/>
      <c r="J193" s="81"/>
    </row>
    <row r="194" spans="1:10" s="41" customFormat="1" ht="15.75" customHeight="1" x14ac:dyDescent="0.35">
      <c r="A194" s="68">
        <v>1</v>
      </c>
      <c r="B194" s="69"/>
      <c r="C194" s="30" t="s">
        <v>121</v>
      </c>
      <c r="D194" s="68">
        <f>32.996*10.764</f>
        <v>355.16894400000001</v>
      </c>
      <c r="E194" s="69"/>
      <c r="F194" s="30">
        <f>'[1]Wing A-1'!L91</f>
        <v>0</v>
      </c>
      <c r="G194" s="30">
        <f>D194*1.45+F194</f>
        <v>514.99496880000004</v>
      </c>
      <c r="H194" s="70" t="str">
        <f>A193</f>
        <v>17th Floor</v>
      </c>
      <c r="I194" s="71"/>
      <c r="J194" s="72"/>
    </row>
    <row r="195" spans="1:10" s="41" customFormat="1" ht="15.5" x14ac:dyDescent="0.35">
      <c r="A195" s="68">
        <v>2</v>
      </c>
      <c r="B195" s="69"/>
      <c r="C195" s="30" t="s">
        <v>121</v>
      </c>
      <c r="D195" s="68">
        <f>32.996*10.764</f>
        <v>355.16894400000001</v>
      </c>
      <c r="E195" s="69"/>
      <c r="F195" s="30">
        <f>'[1]A-2'!L91</f>
        <v>0</v>
      </c>
      <c r="G195" s="30">
        <f>D195*1.45+F195</f>
        <v>514.99496880000004</v>
      </c>
      <c r="H195" s="73"/>
      <c r="I195" s="74"/>
      <c r="J195" s="75"/>
    </row>
    <row r="196" spans="1:10" s="41" customFormat="1" ht="15.5" x14ac:dyDescent="0.35">
      <c r="A196" s="68">
        <v>3</v>
      </c>
      <c r="B196" s="69"/>
      <c r="C196" s="30" t="s">
        <v>121</v>
      </c>
      <c r="D196" s="68">
        <f>33.1*10.764</f>
        <v>356.28839999999997</v>
      </c>
      <c r="E196" s="69"/>
      <c r="F196" s="30">
        <f>'[1]A-3'!M91</f>
        <v>0</v>
      </c>
      <c r="G196" s="30">
        <f>D196*1.45+F196</f>
        <v>516.61817999999994</v>
      </c>
      <c r="H196" s="73"/>
      <c r="I196" s="74"/>
      <c r="J196" s="75"/>
    </row>
    <row r="197" spans="1:10" s="41" customFormat="1" ht="15.75" customHeight="1" x14ac:dyDescent="0.35">
      <c r="A197" s="68">
        <v>4</v>
      </c>
      <c r="B197" s="69"/>
      <c r="C197" s="30" t="s">
        <v>121</v>
      </c>
      <c r="D197" s="68">
        <f>33.94*10.764</f>
        <v>365.33015999999998</v>
      </c>
      <c r="E197" s="69"/>
      <c r="F197" s="30">
        <f>'[1]Wing A-1'!L94</f>
        <v>0</v>
      </c>
      <c r="G197" s="30">
        <f>D197*1.45+F197</f>
        <v>529.72873199999992</v>
      </c>
      <c r="H197" s="73"/>
      <c r="I197" s="74"/>
      <c r="J197" s="75"/>
    </row>
    <row r="198" spans="1:10" s="41" customFormat="1" ht="15.5" x14ac:dyDescent="0.35">
      <c r="A198" s="68">
        <v>5</v>
      </c>
      <c r="B198" s="69"/>
      <c r="C198" s="30" t="s">
        <v>121</v>
      </c>
      <c r="D198" s="68">
        <f>33.403*10.764</f>
        <v>359.54989199999994</v>
      </c>
      <c r="E198" s="69"/>
      <c r="F198" s="30">
        <f>'[1]A-2'!L94</f>
        <v>0</v>
      </c>
      <c r="G198" s="30">
        <f>D198*1.45+F198</f>
        <v>521.34734339999989</v>
      </c>
      <c r="H198" s="76"/>
      <c r="I198" s="77"/>
      <c r="J198" s="78"/>
    </row>
    <row r="199" spans="1:10" s="41" customFormat="1" ht="15.5" x14ac:dyDescent="0.35">
      <c r="A199" s="79" t="s">
        <v>133</v>
      </c>
      <c r="B199" s="80"/>
      <c r="C199" s="80"/>
      <c r="D199" s="80"/>
      <c r="E199" s="80"/>
      <c r="F199" s="80"/>
      <c r="G199" s="80"/>
      <c r="H199" s="80"/>
      <c r="I199" s="80"/>
      <c r="J199" s="81"/>
    </row>
    <row r="200" spans="1:10" s="41" customFormat="1" ht="15.75" customHeight="1" x14ac:dyDescent="0.35">
      <c r="A200" s="68">
        <v>1</v>
      </c>
      <c r="B200" s="69"/>
      <c r="C200" s="30" t="s">
        <v>121</v>
      </c>
      <c r="D200" s="68">
        <f>32.996*10.764</f>
        <v>355.16894400000001</v>
      </c>
      <c r="E200" s="69"/>
      <c r="F200" s="30">
        <f>'[1]Wing A-1'!L97</f>
        <v>0</v>
      </c>
      <c r="G200" s="30">
        <f>D200*1.45+F200</f>
        <v>514.99496880000004</v>
      </c>
      <c r="H200" s="70" t="str">
        <f>A199</f>
        <v>18th &amp; 20th Floor</v>
      </c>
      <c r="I200" s="71"/>
      <c r="J200" s="72"/>
    </row>
    <row r="201" spans="1:10" s="41" customFormat="1" ht="15.5" x14ac:dyDescent="0.35">
      <c r="A201" s="68">
        <v>2</v>
      </c>
      <c r="B201" s="69"/>
      <c r="C201" s="30" t="s">
        <v>121</v>
      </c>
      <c r="D201" s="68">
        <f>32.996*10.764</f>
        <v>355.16894400000001</v>
      </c>
      <c r="E201" s="69"/>
      <c r="F201" s="30">
        <f>'[1]A-2'!L97</f>
        <v>0</v>
      </c>
      <c r="G201" s="30">
        <f>D201*1.45+F201</f>
        <v>514.99496880000004</v>
      </c>
      <c r="H201" s="73"/>
      <c r="I201" s="74"/>
      <c r="J201" s="75"/>
    </row>
    <row r="202" spans="1:10" s="41" customFormat="1" ht="15.5" x14ac:dyDescent="0.35">
      <c r="A202" s="68">
        <v>3</v>
      </c>
      <c r="B202" s="69"/>
      <c r="C202" s="30" t="s">
        <v>121</v>
      </c>
      <c r="D202" s="68">
        <f>33.1*10.764</f>
        <v>356.28839999999997</v>
      </c>
      <c r="E202" s="69"/>
      <c r="F202" s="30">
        <f>'[1]A-3'!M97</f>
        <v>0</v>
      </c>
      <c r="G202" s="30">
        <f>D202*1.45+F202</f>
        <v>516.61817999999994</v>
      </c>
      <c r="H202" s="73"/>
      <c r="I202" s="74"/>
      <c r="J202" s="75"/>
    </row>
    <row r="203" spans="1:10" s="41" customFormat="1" ht="15.75" customHeight="1" x14ac:dyDescent="0.35">
      <c r="A203" s="68">
        <v>4</v>
      </c>
      <c r="B203" s="69"/>
      <c r="C203" s="30" t="s">
        <v>121</v>
      </c>
      <c r="D203" s="68">
        <f>33.94*10.764</f>
        <v>365.33015999999998</v>
      </c>
      <c r="E203" s="69"/>
      <c r="F203" s="30">
        <f>'[1]Wing A-1'!L100</f>
        <v>0</v>
      </c>
      <c r="G203" s="30">
        <f>D203*1.45+F203</f>
        <v>529.72873199999992</v>
      </c>
      <c r="H203" s="73"/>
      <c r="I203" s="74"/>
      <c r="J203" s="75"/>
    </row>
    <row r="204" spans="1:10" s="41" customFormat="1" ht="15.5" x14ac:dyDescent="0.35">
      <c r="A204" s="68">
        <v>5</v>
      </c>
      <c r="B204" s="69"/>
      <c r="C204" s="30" t="s">
        <v>121</v>
      </c>
      <c r="D204" s="68">
        <f>33.403*10.764</f>
        <v>359.54989199999994</v>
      </c>
      <c r="E204" s="69"/>
      <c r="F204" s="30">
        <f>'[1]A-2'!L100</f>
        <v>0</v>
      </c>
      <c r="G204" s="30">
        <f>D204*1.45+F204</f>
        <v>521.34734339999989</v>
      </c>
      <c r="H204" s="76"/>
      <c r="I204" s="77"/>
      <c r="J204" s="78"/>
    </row>
    <row r="205" spans="1:10" s="41" customFormat="1" ht="15.5" x14ac:dyDescent="0.35">
      <c r="A205" s="79" t="s">
        <v>249</v>
      </c>
      <c r="B205" s="80"/>
      <c r="C205" s="80"/>
      <c r="D205" s="80"/>
      <c r="E205" s="80"/>
      <c r="F205" s="80"/>
      <c r="G205" s="80"/>
      <c r="H205" s="80"/>
      <c r="I205" s="80"/>
      <c r="J205" s="81"/>
    </row>
    <row r="206" spans="1:10" s="41" customFormat="1" ht="15.75" customHeight="1" x14ac:dyDescent="0.35">
      <c r="A206" s="68">
        <v>1</v>
      </c>
      <c r="B206" s="69"/>
      <c r="C206" s="30" t="s">
        <v>121</v>
      </c>
      <c r="D206" s="68">
        <f>32.996*10.764</f>
        <v>355.16894400000001</v>
      </c>
      <c r="E206" s="69"/>
      <c r="F206" s="30">
        <f>'[1]Wing A-1'!L103</f>
        <v>0</v>
      </c>
      <c r="G206" s="30">
        <f>D206*1.45+F206</f>
        <v>514.99496880000004</v>
      </c>
      <c r="H206" s="70" t="str">
        <f>A205</f>
        <v>19th &amp; 21st Floor</v>
      </c>
      <c r="I206" s="71"/>
      <c r="J206" s="72"/>
    </row>
    <row r="207" spans="1:10" s="41" customFormat="1" ht="15.5" x14ac:dyDescent="0.35">
      <c r="A207" s="68">
        <v>2</v>
      </c>
      <c r="B207" s="69"/>
      <c r="C207" s="30" t="s">
        <v>121</v>
      </c>
      <c r="D207" s="68">
        <f>32.996*10.764</f>
        <v>355.16894400000001</v>
      </c>
      <c r="E207" s="69"/>
      <c r="F207" s="30">
        <f>'[1]A-2'!L103</f>
        <v>0</v>
      </c>
      <c r="G207" s="30">
        <f>D207*1.45+F207</f>
        <v>514.99496880000004</v>
      </c>
      <c r="H207" s="73"/>
      <c r="I207" s="74"/>
      <c r="J207" s="75"/>
    </row>
    <row r="208" spans="1:10" s="41" customFormat="1" ht="15.5" x14ac:dyDescent="0.35">
      <c r="A208" s="68">
        <v>3</v>
      </c>
      <c r="B208" s="69"/>
      <c r="C208" s="30" t="s">
        <v>121</v>
      </c>
      <c r="D208" s="68">
        <f>33.1*10.764</f>
        <v>356.28839999999997</v>
      </c>
      <c r="E208" s="69"/>
      <c r="F208" s="30">
        <f>'[1]A-3'!M103</f>
        <v>0</v>
      </c>
      <c r="G208" s="30">
        <f>D208*1.45+F208</f>
        <v>516.61817999999994</v>
      </c>
      <c r="H208" s="73"/>
      <c r="I208" s="74"/>
      <c r="J208" s="75"/>
    </row>
    <row r="209" spans="1:10" s="41" customFormat="1" ht="15.75" customHeight="1" x14ac:dyDescent="0.35">
      <c r="A209" s="68">
        <v>4</v>
      </c>
      <c r="B209" s="69"/>
      <c r="C209" s="30" t="s">
        <v>121</v>
      </c>
      <c r="D209" s="68">
        <f>33.94*10.764</f>
        <v>365.33015999999998</v>
      </c>
      <c r="E209" s="69"/>
      <c r="F209" s="30">
        <f>'[1]Wing A-1'!L106</f>
        <v>0</v>
      </c>
      <c r="G209" s="30">
        <f>D209*1.45+F209</f>
        <v>529.72873199999992</v>
      </c>
      <c r="H209" s="73"/>
      <c r="I209" s="74"/>
      <c r="J209" s="75"/>
    </row>
    <row r="210" spans="1:10" s="41" customFormat="1" ht="15.5" x14ac:dyDescent="0.35">
      <c r="A210" s="68">
        <v>5</v>
      </c>
      <c r="B210" s="69"/>
      <c r="C210" s="30" t="s">
        <v>121</v>
      </c>
      <c r="D210" s="68">
        <f>33.403*10.764</f>
        <v>359.54989199999994</v>
      </c>
      <c r="E210" s="69"/>
      <c r="F210" s="30">
        <f>'[1]A-2'!L106</f>
        <v>0</v>
      </c>
      <c r="G210" s="30">
        <f>D210*1.45+F210</f>
        <v>521.34734339999989</v>
      </c>
      <c r="H210" s="76"/>
      <c r="I210" s="77"/>
      <c r="J210" s="78"/>
    </row>
    <row r="211" spans="1:10" s="41" customFormat="1" ht="15.5" x14ac:dyDescent="0.35">
      <c r="A211" s="79" t="s">
        <v>250</v>
      </c>
      <c r="B211" s="80"/>
      <c r="C211" s="80"/>
      <c r="D211" s="80"/>
      <c r="E211" s="80"/>
      <c r="F211" s="80"/>
      <c r="G211" s="80"/>
      <c r="H211" s="80"/>
      <c r="I211" s="80"/>
      <c r="J211" s="81"/>
    </row>
    <row r="212" spans="1:10" s="41" customFormat="1" ht="15.75" customHeight="1" x14ac:dyDescent="0.35">
      <c r="A212" s="68">
        <v>1</v>
      </c>
      <c r="B212" s="69"/>
      <c r="C212" s="30" t="s">
        <v>128</v>
      </c>
      <c r="D212" s="68">
        <f>51.465*10.764</f>
        <v>553.96925999999996</v>
      </c>
      <c r="E212" s="69"/>
      <c r="F212" s="30">
        <f>'[1]Wing A-1'!L109</f>
        <v>0</v>
      </c>
      <c r="G212" s="30">
        <f>D212*1.45+F212</f>
        <v>803.25542699999994</v>
      </c>
      <c r="H212" s="70" t="str">
        <f>A211</f>
        <v>22nd Floor (Part Refuge Area)</v>
      </c>
      <c r="I212" s="71"/>
      <c r="J212" s="72"/>
    </row>
    <row r="213" spans="1:10" s="41" customFormat="1" ht="15.5" x14ac:dyDescent="0.35">
      <c r="A213" s="68">
        <v>2</v>
      </c>
      <c r="B213" s="69"/>
      <c r="C213" s="70" t="s">
        <v>127</v>
      </c>
      <c r="D213" s="71">
        <f>32.996*10.764</f>
        <v>355.16894400000001</v>
      </c>
      <c r="E213" s="71"/>
      <c r="F213" s="71">
        <f>'[1]A-2'!L109</f>
        <v>0</v>
      </c>
      <c r="G213" s="72">
        <f>D213*1.45+F213</f>
        <v>514.99496880000004</v>
      </c>
      <c r="H213" s="73"/>
      <c r="I213" s="74"/>
      <c r="J213" s="75"/>
    </row>
    <row r="214" spans="1:10" s="41" customFormat="1" ht="15.5" x14ac:dyDescent="0.35">
      <c r="A214" s="68">
        <v>3</v>
      </c>
      <c r="B214" s="69"/>
      <c r="C214" s="30" t="s">
        <v>121</v>
      </c>
      <c r="D214" s="68">
        <f>33.1*10.764</f>
        <v>356.28839999999997</v>
      </c>
      <c r="E214" s="69"/>
      <c r="F214" s="30">
        <f>'[1]A-3'!M109</f>
        <v>0</v>
      </c>
      <c r="G214" s="30">
        <f>D214*1.45+F214</f>
        <v>516.61817999999994</v>
      </c>
      <c r="H214" s="73"/>
      <c r="I214" s="74"/>
      <c r="J214" s="75"/>
    </row>
    <row r="215" spans="1:10" s="41" customFormat="1" ht="15.75" customHeight="1" x14ac:dyDescent="0.35">
      <c r="A215" s="68">
        <v>4</v>
      </c>
      <c r="B215" s="69"/>
      <c r="C215" s="30" t="s">
        <v>121</v>
      </c>
      <c r="D215" s="68">
        <f>33.94*10.764</f>
        <v>365.33015999999998</v>
      </c>
      <c r="E215" s="69"/>
      <c r="F215" s="30">
        <f>'[1]Wing A-1'!L112</f>
        <v>0</v>
      </c>
      <c r="G215" s="30">
        <f>D215*1.45+F215</f>
        <v>529.72873199999992</v>
      </c>
      <c r="H215" s="73"/>
      <c r="I215" s="74"/>
      <c r="J215" s="75"/>
    </row>
    <row r="216" spans="1:10" s="41" customFormat="1" ht="15.5" x14ac:dyDescent="0.35">
      <c r="A216" s="68">
        <v>5</v>
      </c>
      <c r="B216" s="69"/>
      <c r="C216" s="30" t="s">
        <v>121</v>
      </c>
      <c r="D216" s="68">
        <f>33.403*10.764</f>
        <v>359.54989199999994</v>
      </c>
      <c r="E216" s="69"/>
      <c r="F216" s="30">
        <f>'[1]A-2'!L112</f>
        <v>0</v>
      </c>
      <c r="G216" s="30">
        <f>D216*1.45+F216</f>
        <v>521.34734339999989</v>
      </c>
      <c r="H216" s="76"/>
      <c r="I216" s="77"/>
      <c r="J216" s="78"/>
    </row>
    <row r="217" spans="1:10" s="41" customFormat="1" ht="15.5" x14ac:dyDescent="0.35">
      <c r="A217" s="79" t="s">
        <v>135</v>
      </c>
      <c r="B217" s="80"/>
      <c r="C217" s="80"/>
      <c r="D217" s="80"/>
      <c r="E217" s="80"/>
      <c r="F217" s="80"/>
      <c r="G217" s="80"/>
      <c r="H217" s="80"/>
      <c r="I217" s="80"/>
      <c r="J217" s="81"/>
    </row>
    <row r="218" spans="1:10" s="41" customFormat="1" ht="15.75" customHeight="1" x14ac:dyDescent="0.35">
      <c r="A218" s="68">
        <v>1</v>
      </c>
      <c r="B218" s="69"/>
      <c r="C218" s="30" t="s">
        <v>121</v>
      </c>
      <c r="D218" s="68">
        <f>32.996*10.764</f>
        <v>355.16894400000001</v>
      </c>
      <c r="E218" s="69"/>
      <c r="F218" s="30">
        <f>'[1]Wing A-1'!L115</f>
        <v>0</v>
      </c>
      <c r="G218" s="30">
        <f>D218*1.45+F218</f>
        <v>514.99496880000004</v>
      </c>
      <c r="H218" s="70" t="str">
        <f>A217</f>
        <v>23rd Floor</v>
      </c>
      <c r="I218" s="71"/>
      <c r="J218" s="72"/>
    </row>
    <row r="219" spans="1:10" s="41" customFormat="1" ht="15.5" x14ac:dyDescent="0.35">
      <c r="A219" s="68">
        <v>2</v>
      </c>
      <c r="B219" s="69"/>
      <c r="C219" s="30" t="s">
        <v>121</v>
      </c>
      <c r="D219" s="68">
        <f>32.996*10.764</f>
        <v>355.16894400000001</v>
      </c>
      <c r="E219" s="69"/>
      <c r="F219" s="30">
        <f>'[1]A-2'!L115</f>
        <v>0</v>
      </c>
      <c r="G219" s="30">
        <f>D219*1.45+F219</f>
        <v>514.99496880000004</v>
      </c>
      <c r="H219" s="73"/>
      <c r="I219" s="74"/>
      <c r="J219" s="75"/>
    </row>
    <row r="220" spans="1:10" s="41" customFormat="1" ht="15.5" x14ac:dyDescent="0.35">
      <c r="A220" s="68">
        <v>3</v>
      </c>
      <c r="B220" s="69"/>
      <c r="C220" s="30" t="s">
        <v>121</v>
      </c>
      <c r="D220" s="68">
        <f>33.1*10.764</f>
        <v>356.28839999999997</v>
      </c>
      <c r="E220" s="69"/>
      <c r="F220" s="30">
        <f>'[1]A-3'!M115</f>
        <v>0</v>
      </c>
      <c r="G220" s="30">
        <f>D220*1.45+F220</f>
        <v>516.61817999999994</v>
      </c>
      <c r="H220" s="73"/>
      <c r="I220" s="74"/>
      <c r="J220" s="75"/>
    </row>
    <row r="221" spans="1:10" s="41" customFormat="1" ht="15.75" customHeight="1" x14ac:dyDescent="0.35">
      <c r="A221" s="68">
        <v>4</v>
      </c>
      <c r="B221" s="69"/>
      <c r="C221" s="30" t="s">
        <v>121</v>
      </c>
      <c r="D221" s="68">
        <f>33.94*10.764</f>
        <v>365.33015999999998</v>
      </c>
      <c r="E221" s="69"/>
      <c r="F221" s="30">
        <f>'[1]Wing A-1'!L118</f>
        <v>0</v>
      </c>
      <c r="G221" s="30">
        <f>D221*1.45+F221</f>
        <v>529.72873199999992</v>
      </c>
      <c r="H221" s="73"/>
      <c r="I221" s="74"/>
      <c r="J221" s="75"/>
    </row>
    <row r="222" spans="1:10" s="41" customFormat="1" ht="15.5" x14ac:dyDescent="0.35">
      <c r="A222" s="68">
        <v>5</v>
      </c>
      <c r="B222" s="69"/>
      <c r="C222" s="30" t="s">
        <v>121</v>
      </c>
      <c r="D222" s="68">
        <f>33.403*10.764</f>
        <v>359.54989199999994</v>
      </c>
      <c r="E222" s="69"/>
      <c r="F222" s="30">
        <f>'[1]A-2'!L118</f>
        <v>0</v>
      </c>
      <c r="G222" s="30">
        <f>D222*1.45+F222</f>
        <v>521.34734339999989</v>
      </c>
      <c r="H222" s="76"/>
      <c r="I222" s="77"/>
      <c r="J222" s="78"/>
    </row>
    <row r="223" spans="1:10" s="41" customFormat="1" ht="15.5" x14ac:dyDescent="0.35">
      <c r="A223" s="79" t="s">
        <v>122</v>
      </c>
      <c r="B223" s="80"/>
      <c r="C223" s="80"/>
      <c r="D223" s="80"/>
      <c r="E223" s="80"/>
      <c r="F223" s="80"/>
      <c r="G223" s="80"/>
      <c r="H223" s="80"/>
      <c r="I223" s="80"/>
      <c r="J223" s="81"/>
    </row>
    <row r="224" spans="1:10" s="41" customFormat="1" ht="15.5" x14ac:dyDescent="0.35">
      <c r="A224" s="79" t="s">
        <v>120</v>
      </c>
      <c r="B224" s="80"/>
      <c r="C224" s="80"/>
      <c r="D224" s="80"/>
      <c r="E224" s="80"/>
      <c r="F224" s="80"/>
      <c r="G224" s="80"/>
      <c r="H224" s="80"/>
      <c r="I224" s="80"/>
      <c r="J224" s="81"/>
    </row>
    <row r="225" spans="1:10" s="41" customFormat="1" ht="15.75" customHeight="1" x14ac:dyDescent="0.35">
      <c r="A225" s="68">
        <v>1</v>
      </c>
      <c r="B225" s="69"/>
      <c r="C225" s="70" t="s">
        <v>252</v>
      </c>
      <c r="D225" s="71">
        <f>32.996*10.764</f>
        <v>355.16894400000001</v>
      </c>
      <c r="E225" s="71"/>
      <c r="F225" s="71">
        <f>'[1]Wing A-1'!L122</f>
        <v>0</v>
      </c>
      <c r="G225" s="72">
        <f t="shared" ref="G225:G230" si="3">D225*1.45+F225</f>
        <v>514.99496880000004</v>
      </c>
      <c r="H225" s="70" t="str">
        <f>A224</f>
        <v>1st Floor</v>
      </c>
      <c r="I225" s="71"/>
      <c r="J225" s="72"/>
    </row>
    <row r="226" spans="1:10" s="41" customFormat="1" ht="15.5" x14ac:dyDescent="0.35">
      <c r="A226" s="68">
        <v>2</v>
      </c>
      <c r="B226" s="69"/>
      <c r="C226" s="30" t="s">
        <v>121</v>
      </c>
      <c r="D226" s="68">
        <f>34.093*10.764</f>
        <v>366.97705200000001</v>
      </c>
      <c r="E226" s="69"/>
      <c r="F226" s="30">
        <f>'[1]A-2'!L122</f>
        <v>0</v>
      </c>
      <c r="G226" s="30">
        <f t="shared" si="3"/>
        <v>532.11672539999995</v>
      </c>
      <c r="H226" s="73"/>
      <c r="I226" s="74"/>
      <c r="J226" s="75"/>
    </row>
    <row r="227" spans="1:10" s="41" customFormat="1" ht="15.5" x14ac:dyDescent="0.35">
      <c r="A227" s="68">
        <v>3</v>
      </c>
      <c r="B227" s="69"/>
      <c r="C227" s="30" t="s">
        <v>121</v>
      </c>
      <c r="D227" s="68">
        <f>34.196*10.764</f>
        <v>368.08574399999998</v>
      </c>
      <c r="E227" s="69"/>
      <c r="F227" s="30">
        <f>'[1]A-3'!M122</f>
        <v>0</v>
      </c>
      <c r="G227" s="30">
        <f t="shared" si="3"/>
        <v>533.72432879999997</v>
      </c>
      <c r="H227" s="73"/>
      <c r="I227" s="74"/>
      <c r="J227" s="75"/>
    </row>
    <row r="228" spans="1:10" s="41" customFormat="1" ht="15.5" x14ac:dyDescent="0.35">
      <c r="A228" s="68">
        <v>4</v>
      </c>
      <c r="B228" s="69"/>
      <c r="C228" s="30" t="s">
        <v>121</v>
      </c>
      <c r="D228" s="68">
        <f>32.862*10.764</f>
        <v>353.72656799999999</v>
      </c>
      <c r="E228" s="69"/>
      <c r="F228" s="30">
        <f>'[1]A-3'!M122</f>
        <v>0</v>
      </c>
      <c r="G228" s="30">
        <f t="shared" si="3"/>
        <v>512.90352359999997</v>
      </c>
      <c r="H228" s="73"/>
      <c r="I228" s="74"/>
      <c r="J228" s="75"/>
    </row>
    <row r="229" spans="1:10" s="41" customFormat="1" ht="15.5" x14ac:dyDescent="0.35">
      <c r="A229" s="68">
        <v>5</v>
      </c>
      <c r="B229" s="69"/>
      <c r="C229" s="30" t="s">
        <v>121</v>
      </c>
      <c r="D229" s="68">
        <f>34.423*10.764</f>
        <v>370.52917200000002</v>
      </c>
      <c r="E229" s="69"/>
      <c r="F229" s="30">
        <f>'[1]A-2'!L124</f>
        <v>0</v>
      </c>
      <c r="G229" s="30">
        <f t="shared" si="3"/>
        <v>537.26729939999996</v>
      </c>
      <c r="H229" s="73"/>
      <c r="I229" s="74"/>
      <c r="J229" s="75"/>
    </row>
    <row r="230" spans="1:10" s="41" customFormat="1" ht="15.5" x14ac:dyDescent="0.35">
      <c r="A230" s="68">
        <v>6</v>
      </c>
      <c r="B230" s="69"/>
      <c r="C230" s="30" t="s">
        <v>121</v>
      </c>
      <c r="D230" s="68">
        <f>34.438*10.764</f>
        <v>370.69063199999999</v>
      </c>
      <c r="E230" s="69"/>
      <c r="F230" s="30">
        <f>'[1]A-3'!M124</f>
        <v>0</v>
      </c>
      <c r="G230" s="30">
        <f t="shared" si="3"/>
        <v>537.50141639999993</v>
      </c>
      <c r="H230" s="76"/>
      <c r="I230" s="77"/>
      <c r="J230" s="78"/>
    </row>
    <row r="231" spans="1:10" s="41" customFormat="1" ht="15.75" customHeight="1" x14ac:dyDescent="0.35">
      <c r="A231" s="79" t="s">
        <v>251</v>
      </c>
      <c r="B231" s="80"/>
      <c r="C231" s="80"/>
      <c r="D231" s="80"/>
      <c r="E231" s="80"/>
      <c r="F231" s="80"/>
      <c r="G231" s="80"/>
      <c r="H231" s="80"/>
      <c r="I231" s="80"/>
      <c r="J231" s="81"/>
    </row>
    <row r="232" spans="1:10" s="41" customFormat="1" ht="15.75" customHeight="1" x14ac:dyDescent="0.35">
      <c r="A232" s="68">
        <v>1</v>
      </c>
      <c r="B232" s="69"/>
      <c r="C232" s="30" t="s">
        <v>121</v>
      </c>
      <c r="D232" s="68">
        <f>32.762*10.764</f>
        <v>352.65016800000001</v>
      </c>
      <c r="E232" s="69"/>
      <c r="F232" s="30">
        <f>'[1]Wing A-1'!L126</f>
        <v>0</v>
      </c>
      <c r="G232" s="30">
        <f t="shared" ref="G232:G237" si="4">D232*1.45+F232</f>
        <v>511.34274360000001</v>
      </c>
      <c r="H232" s="70" t="str">
        <f>A231</f>
        <v>2nd to 7th, 9th &amp; 11th Floor</v>
      </c>
      <c r="I232" s="71"/>
      <c r="J232" s="72"/>
    </row>
    <row r="233" spans="1:10" s="41" customFormat="1" ht="15.5" x14ac:dyDescent="0.35">
      <c r="A233" s="68">
        <v>2</v>
      </c>
      <c r="B233" s="69"/>
      <c r="C233" s="30" t="s">
        <v>121</v>
      </c>
      <c r="D233" s="68">
        <f>34.093*10.764</f>
        <v>366.97705200000001</v>
      </c>
      <c r="E233" s="69"/>
      <c r="F233" s="30">
        <f>'[1]A-2'!L126</f>
        <v>0</v>
      </c>
      <c r="G233" s="30">
        <f t="shared" si="4"/>
        <v>532.11672539999995</v>
      </c>
      <c r="H233" s="73"/>
      <c r="I233" s="74"/>
      <c r="J233" s="75"/>
    </row>
    <row r="234" spans="1:10" s="41" customFormat="1" ht="15.5" x14ac:dyDescent="0.35">
      <c r="A234" s="68">
        <v>3</v>
      </c>
      <c r="B234" s="69"/>
      <c r="C234" s="30" t="s">
        <v>121</v>
      </c>
      <c r="D234" s="68">
        <f>34.196*10.764</f>
        <v>368.08574399999998</v>
      </c>
      <c r="E234" s="69"/>
      <c r="F234" s="30">
        <f>'[1]A-3'!M126</f>
        <v>0</v>
      </c>
      <c r="G234" s="30">
        <f t="shared" si="4"/>
        <v>533.72432879999997</v>
      </c>
      <c r="H234" s="73"/>
      <c r="I234" s="74"/>
      <c r="J234" s="75"/>
    </row>
    <row r="235" spans="1:10" s="41" customFormat="1" ht="15.75" customHeight="1" x14ac:dyDescent="0.35">
      <c r="A235" s="68">
        <v>4</v>
      </c>
      <c r="B235" s="69"/>
      <c r="C235" s="30" t="s">
        <v>121</v>
      </c>
      <c r="D235" s="68">
        <f>32.862*10.764</f>
        <v>353.72656799999999</v>
      </c>
      <c r="E235" s="69"/>
      <c r="F235" s="30">
        <f>'[1]Wing A-1'!L129</f>
        <v>0</v>
      </c>
      <c r="G235" s="30">
        <f t="shared" si="4"/>
        <v>512.90352359999997</v>
      </c>
      <c r="H235" s="73"/>
      <c r="I235" s="74"/>
      <c r="J235" s="75"/>
    </row>
    <row r="236" spans="1:10" s="41" customFormat="1" ht="15.5" x14ac:dyDescent="0.35">
      <c r="A236" s="68">
        <v>5</v>
      </c>
      <c r="B236" s="69"/>
      <c r="C236" s="30" t="s">
        <v>121</v>
      </c>
      <c r="D236" s="68">
        <f>34.423*10.764</f>
        <v>370.52917200000002</v>
      </c>
      <c r="E236" s="69"/>
      <c r="F236" s="30">
        <f>'[1]A-3'!M130</f>
        <v>0</v>
      </c>
      <c r="G236" s="30">
        <f t="shared" si="4"/>
        <v>537.26729939999996</v>
      </c>
      <c r="H236" s="73"/>
      <c r="I236" s="74"/>
      <c r="J236" s="75"/>
    </row>
    <row r="237" spans="1:10" s="41" customFormat="1" ht="15.5" x14ac:dyDescent="0.35">
      <c r="A237" s="68">
        <v>6</v>
      </c>
      <c r="B237" s="69"/>
      <c r="C237" s="30" t="s">
        <v>121</v>
      </c>
      <c r="D237" s="68">
        <f>34.438*10.764</f>
        <v>370.69063199999999</v>
      </c>
      <c r="E237" s="69"/>
      <c r="F237" s="30">
        <f>'[1]A-2'!L129</f>
        <v>0</v>
      </c>
      <c r="G237" s="30">
        <f t="shared" si="4"/>
        <v>537.50141639999993</v>
      </c>
      <c r="H237" s="76"/>
      <c r="I237" s="77"/>
      <c r="J237" s="78"/>
    </row>
    <row r="238" spans="1:10" s="41" customFormat="1" ht="15.75" customHeight="1" x14ac:dyDescent="0.35">
      <c r="A238" s="79" t="s">
        <v>126</v>
      </c>
      <c r="B238" s="80"/>
      <c r="C238" s="80"/>
      <c r="D238" s="80"/>
      <c r="E238" s="80"/>
      <c r="F238" s="80"/>
      <c r="G238" s="80"/>
      <c r="H238" s="80"/>
      <c r="I238" s="80"/>
      <c r="J238" s="81"/>
    </row>
    <row r="239" spans="1:10" s="41" customFormat="1" ht="15.75" customHeight="1" x14ac:dyDescent="0.35">
      <c r="A239" s="68">
        <v>1</v>
      </c>
      <c r="B239" s="69"/>
      <c r="C239" s="30" t="s">
        <v>121</v>
      </c>
      <c r="D239" s="68">
        <f>32.762*10.764</f>
        <v>352.65016800000001</v>
      </c>
      <c r="E239" s="69"/>
      <c r="F239" s="30">
        <f>'[1]Wing A-1'!L133</f>
        <v>0</v>
      </c>
      <c r="G239" s="30">
        <f t="shared" ref="G239:G244" si="5">D239*1.45+F239</f>
        <v>511.34274360000001</v>
      </c>
      <c r="H239" s="70" t="str">
        <f>A238</f>
        <v>8th Floor</v>
      </c>
      <c r="I239" s="71"/>
      <c r="J239" s="72"/>
    </row>
    <row r="240" spans="1:10" s="41" customFormat="1" ht="15.5" x14ac:dyDescent="0.35">
      <c r="A240" s="68">
        <v>2</v>
      </c>
      <c r="B240" s="69"/>
      <c r="C240" s="30" t="s">
        <v>121</v>
      </c>
      <c r="D240" s="68">
        <f>34.093*10.764</f>
        <v>366.97705200000001</v>
      </c>
      <c r="E240" s="69"/>
      <c r="F240" s="30">
        <f>'[1]A-2'!L133</f>
        <v>0</v>
      </c>
      <c r="G240" s="30">
        <f t="shared" si="5"/>
        <v>532.11672539999995</v>
      </c>
      <c r="H240" s="73"/>
      <c r="I240" s="74"/>
      <c r="J240" s="75"/>
    </row>
    <row r="241" spans="1:10" s="41" customFormat="1" ht="15.5" x14ac:dyDescent="0.35">
      <c r="A241" s="68">
        <v>3</v>
      </c>
      <c r="B241" s="69"/>
      <c r="C241" s="30" t="s">
        <v>121</v>
      </c>
      <c r="D241" s="68">
        <f>34.196*10.764</f>
        <v>368.08574399999998</v>
      </c>
      <c r="E241" s="69"/>
      <c r="F241" s="30">
        <f>'[1]A-3'!M133</f>
        <v>0</v>
      </c>
      <c r="G241" s="30">
        <f t="shared" si="5"/>
        <v>533.72432879999997</v>
      </c>
      <c r="H241" s="73"/>
      <c r="I241" s="74"/>
      <c r="J241" s="75"/>
    </row>
    <row r="242" spans="1:10" s="41" customFormat="1" ht="15.75" customHeight="1" x14ac:dyDescent="0.35">
      <c r="A242" s="68">
        <v>4</v>
      </c>
      <c r="B242" s="69"/>
      <c r="C242" s="30" t="s">
        <v>121</v>
      </c>
      <c r="D242" s="68">
        <f>32.862*10.764</f>
        <v>353.72656799999999</v>
      </c>
      <c r="E242" s="69"/>
      <c r="F242" s="30">
        <f>'[1]Wing A-1'!L136</f>
        <v>0</v>
      </c>
      <c r="G242" s="30">
        <f t="shared" si="5"/>
        <v>512.90352359999997</v>
      </c>
      <c r="H242" s="73"/>
      <c r="I242" s="74"/>
      <c r="J242" s="75"/>
    </row>
    <row r="243" spans="1:10" s="41" customFormat="1" ht="15.5" x14ac:dyDescent="0.35">
      <c r="A243" s="68">
        <v>5</v>
      </c>
      <c r="B243" s="69"/>
      <c r="C243" s="30" t="s">
        <v>121</v>
      </c>
      <c r="D243" s="68">
        <f>34.423*10.764</f>
        <v>370.52917200000002</v>
      </c>
      <c r="E243" s="69"/>
      <c r="F243" s="30">
        <f>'[1]A-3'!M137</f>
        <v>0</v>
      </c>
      <c r="G243" s="30">
        <f t="shared" si="5"/>
        <v>537.26729939999996</v>
      </c>
      <c r="H243" s="73"/>
      <c r="I243" s="74"/>
      <c r="J243" s="75"/>
    </row>
    <row r="244" spans="1:10" s="41" customFormat="1" ht="15.5" x14ac:dyDescent="0.35">
      <c r="A244" s="68">
        <v>6</v>
      </c>
      <c r="B244" s="69"/>
      <c r="C244" s="30" t="s">
        <v>121</v>
      </c>
      <c r="D244" s="68">
        <f>34.438*10.764</f>
        <v>370.69063199999999</v>
      </c>
      <c r="E244" s="69"/>
      <c r="F244" s="30">
        <f>'[1]A-2'!L136</f>
        <v>0</v>
      </c>
      <c r="G244" s="30">
        <f t="shared" si="5"/>
        <v>537.50141639999993</v>
      </c>
      <c r="H244" s="76"/>
      <c r="I244" s="77"/>
      <c r="J244" s="78"/>
    </row>
    <row r="245" spans="1:10" s="41" customFormat="1" ht="15.5" x14ac:dyDescent="0.35">
      <c r="A245" s="79" t="s">
        <v>129</v>
      </c>
      <c r="B245" s="80"/>
      <c r="C245" s="80"/>
      <c r="D245" s="80"/>
      <c r="E245" s="80"/>
      <c r="F245" s="80"/>
      <c r="G245" s="80"/>
      <c r="H245" s="80"/>
      <c r="I245" s="80"/>
      <c r="J245" s="81"/>
    </row>
    <row r="246" spans="1:10" s="41" customFormat="1" ht="15.75" customHeight="1" x14ac:dyDescent="0.35">
      <c r="A246" s="68">
        <v>1</v>
      </c>
      <c r="B246" s="69"/>
      <c r="C246" s="30" t="s">
        <v>121</v>
      </c>
      <c r="D246" s="68">
        <f>32.762*10.764</f>
        <v>352.65016800000001</v>
      </c>
      <c r="E246" s="69"/>
      <c r="F246" s="30">
        <f>'[1]Wing A-1'!L138</f>
        <v>0</v>
      </c>
      <c r="G246" s="30">
        <f t="shared" ref="G246:G251" si="6">D246*1.45+F246</f>
        <v>511.34274360000001</v>
      </c>
      <c r="H246" s="70" t="str">
        <f>A245</f>
        <v>10th &amp; 12th Floor</v>
      </c>
      <c r="I246" s="71"/>
      <c r="J246" s="72"/>
    </row>
    <row r="247" spans="1:10" s="41" customFormat="1" ht="15.5" x14ac:dyDescent="0.35">
      <c r="A247" s="68">
        <v>2</v>
      </c>
      <c r="B247" s="69"/>
      <c r="C247" s="30" t="s">
        <v>121</v>
      </c>
      <c r="D247" s="68">
        <f>34.093*10.764</f>
        <v>366.97705200000001</v>
      </c>
      <c r="E247" s="69"/>
      <c r="F247" s="30">
        <f>'[1]A-2'!L138</f>
        <v>0</v>
      </c>
      <c r="G247" s="30">
        <f t="shared" si="6"/>
        <v>532.11672539999995</v>
      </c>
      <c r="H247" s="73"/>
      <c r="I247" s="74"/>
      <c r="J247" s="75"/>
    </row>
    <row r="248" spans="1:10" s="41" customFormat="1" ht="15.5" x14ac:dyDescent="0.35">
      <c r="A248" s="68">
        <v>3</v>
      </c>
      <c r="B248" s="69"/>
      <c r="C248" s="30" t="s">
        <v>121</v>
      </c>
      <c r="D248" s="68">
        <f>34.196*10.764</f>
        <v>368.08574399999998</v>
      </c>
      <c r="E248" s="69"/>
      <c r="F248" s="30">
        <f>'[1]A-3'!M138</f>
        <v>0</v>
      </c>
      <c r="G248" s="30">
        <f t="shared" si="6"/>
        <v>533.72432879999997</v>
      </c>
      <c r="H248" s="73"/>
      <c r="I248" s="74"/>
      <c r="J248" s="75"/>
    </row>
    <row r="249" spans="1:10" s="41" customFormat="1" ht="15.75" customHeight="1" x14ac:dyDescent="0.35">
      <c r="A249" s="68">
        <v>4</v>
      </c>
      <c r="B249" s="69"/>
      <c r="C249" s="30" t="s">
        <v>121</v>
      </c>
      <c r="D249" s="68">
        <f>32.862*10.764</f>
        <v>353.72656799999999</v>
      </c>
      <c r="E249" s="69"/>
      <c r="F249" s="30">
        <f>'[1]Wing A-1'!L141</f>
        <v>0</v>
      </c>
      <c r="G249" s="30">
        <f t="shared" si="6"/>
        <v>512.90352359999997</v>
      </c>
      <c r="H249" s="73"/>
      <c r="I249" s="74"/>
      <c r="J249" s="75"/>
    </row>
    <row r="250" spans="1:10" s="41" customFormat="1" ht="15.5" x14ac:dyDescent="0.35">
      <c r="A250" s="68">
        <v>5</v>
      </c>
      <c r="B250" s="69"/>
      <c r="C250" s="30" t="s">
        <v>121</v>
      </c>
      <c r="D250" s="68">
        <f>34.423*10.764</f>
        <v>370.52917200000002</v>
      </c>
      <c r="E250" s="69"/>
      <c r="F250" s="30">
        <f>'[1]A-3'!M144</f>
        <v>0</v>
      </c>
      <c r="G250" s="30">
        <f t="shared" si="6"/>
        <v>537.26729939999996</v>
      </c>
      <c r="H250" s="73"/>
      <c r="I250" s="74"/>
      <c r="J250" s="75"/>
    </row>
    <row r="251" spans="1:10" s="41" customFormat="1" ht="15.5" x14ac:dyDescent="0.35">
      <c r="A251" s="68">
        <v>6</v>
      </c>
      <c r="B251" s="69"/>
      <c r="C251" s="30" t="s">
        <v>121</v>
      </c>
      <c r="D251" s="68">
        <f>34.438*10.764</f>
        <v>370.69063199999999</v>
      </c>
      <c r="E251" s="69"/>
      <c r="F251" s="30">
        <f>'[1]A-2'!L141</f>
        <v>0</v>
      </c>
      <c r="G251" s="30">
        <f t="shared" si="6"/>
        <v>537.50141639999993</v>
      </c>
      <c r="H251" s="76"/>
      <c r="I251" s="77"/>
      <c r="J251" s="78"/>
    </row>
    <row r="252" spans="1:10" s="41" customFormat="1" ht="15.5" x14ac:dyDescent="0.35">
      <c r="A252" s="79" t="s">
        <v>130</v>
      </c>
      <c r="B252" s="80"/>
      <c r="C252" s="80"/>
      <c r="D252" s="80"/>
      <c r="E252" s="80"/>
      <c r="F252" s="80"/>
      <c r="G252" s="80"/>
      <c r="H252" s="80"/>
      <c r="I252" s="80"/>
      <c r="J252" s="81"/>
    </row>
    <row r="253" spans="1:10" s="41" customFormat="1" ht="15.75" customHeight="1" x14ac:dyDescent="0.35">
      <c r="A253" s="68">
        <v>1</v>
      </c>
      <c r="B253" s="69"/>
      <c r="C253" s="30" t="s">
        <v>121</v>
      </c>
      <c r="D253" s="68">
        <f>32.762*10.764</f>
        <v>352.65016800000001</v>
      </c>
      <c r="E253" s="69"/>
      <c r="F253" s="30">
        <f>'[1]Wing A-1'!L144</f>
        <v>0</v>
      </c>
      <c r="G253" s="30">
        <f t="shared" ref="G253:G258" si="7">D253*1.45+F253</f>
        <v>511.34274360000001</v>
      </c>
      <c r="H253" s="70" t="str">
        <f>A252</f>
        <v>13th Floor</v>
      </c>
      <c r="I253" s="71"/>
      <c r="J253" s="72"/>
    </row>
    <row r="254" spans="1:10" s="41" customFormat="1" ht="15.5" x14ac:dyDescent="0.35">
      <c r="A254" s="68">
        <v>2</v>
      </c>
      <c r="B254" s="69"/>
      <c r="C254" s="30" t="s">
        <v>121</v>
      </c>
      <c r="D254" s="68">
        <f>34.093*10.764</f>
        <v>366.97705200000001</v>
      </c>
      <c r="E254" s="69"/>
      <c r="F254" s="30">
        <f>'[1]A-2'!L144</f>
        <v>0</v>
      </c>
      <c r="G254" s="30">
        <f t="shared" si="7"/>
        <v>532.11672539999995</v>
      </c>
      <c r="H254" s="73"/>
      <c r="I254" s="74"/>
      <c r="J254" s="75"/>
    </row>
    <row r="255" spans="1:10" s="41" customFormat="1" ht="15.5" x14ac:dyDescent="0.35">
      <c r="A255" s="68">
        <v>3</v>
      </c>
      <c r="B255" s="69"/>
      <c r="C255" s="30" t="s">
        <v>121</v>
      </c>
      <c r="D255" s="68">
        <f>34.196*10.764</f>
        <v>368.08574399999998</v>
      </c>
      <c r="E255" s="69"/>
      <c r="F255" s="30">
        <f>'[1]A-3'!M144</f>
        <v>0</v>
      </c>
      <c r="G255" s="30">
        <f t="shared" si="7"/>
        <v>533.72432879999997</v>
      </c>
      <c r="H255" s="73"/>
      <c r="I255" s="74"/>
      <c r="J255" s="75"/>
    </row>
    <row r="256" spans="1:10" s="41" customFormat="1" ht="15.75" customHeight="1" x14ac:dyDescent="0.35">
      <c r="A256" s="68">
        <v>4</v>
      </c>
      <c r="B256" s="69"/>
      <c r="C256" s="30" t="s">
        <v>121</v>
      </c>
      <c r="D256" s="68">
        <f>32.862*10.764</f>
        <v>353.72656799999999</v>
      </c>
      <c r="E256" s="69"/>
      <c r="F256" s="30">
        <f>'[1]Wing A-1'!L147</f>
        <v>0</v>
      </c>
      <c r="G256" s="30">
        <f t="shared" si="7"/>
        <v>512.90352359999997</v>
      </c>
      <c r="H256" s="73"/>
      <c r="I256" s="74"/>
      <c r="J256" s="75"/>
    </row>
    <row r="257" spans="1:10" s="41" customFormat="1" ht="15.5" x14ac:dyDescent="0.35">
      <c r="A257" s="68">
        <v>5</v>
      </c>
      <c r="B257" s="69"/>
      <c r="C257" s="30" t="s">
        <v>121</v>
      </c>
      <c r="D257" s="68">
        <f>34.423*10.764</f>
        <v>370.52917200000002</v>
      </c>
      <c r="E257" s="69"/>
      <c r="F257" s="30">
        <f>'[1]A-3'!M151</f>
        <v>0</v>
      </c>
      <c r="G257" s="30">
        <f t="shared" si="7"/>
        <v>537.26729939999996</v>
      </c>
      <c r="H257" s="73"/>
      <c r="I257" s="74"/>
      <c r="J257" s="75"/>
    </row>
    <row r="258" spans="1:10" s="41" customFormat="1" ht="15.5" x14ac:dyDescent="0.35">
      <c r="A258" s="68">
        <v>6</v>
      </c>
      <c r="B258" s="69"/>
      <c r="C258" s="30" t="s">
        <v>121</v>
      </c>
      <c r="D258" s="68">
        <f>34.438*10.764</f>
        <v>370.69063199999999</v>
      </c>
      <c r="E258" s="69"/>
      <c r="F258" s="30">
        <f>'[1]A-2'!L147</f>
        <v>0</v>
      </c>
      <c r="G258" s="30">
        <f t="shared" si="7"/>
        <v>537.50141639999993</v>
      </c>
      <c r="H258" s="76"/>
      <c r="I258" s="77"/>
      <c r="J258" s="78"/>
    </row>
    <row r="259" spans="1:10" s="41" customFormat="1" ht="15.5" x14ac:dyDescent="0.35">
      <c r="A259" s="79" t="s">
        <v>131</v>
      </c>
      <c r="B259" s="80"/>
      <c r="C259" s="80"/>
      <c r="D259" s="80"/>
      <c r="E259" s="80"/>
      <c r="F259" s="80"/>
      <c r="G259" s="80"/>
      <c r="H259" s="80"/>
      <c r="I259" s="80"/>
      <c r="J259" s="81"/>
    </row>
    <row r="260" spans="1:10" s="41" customFormat="1" ht="15.75" customHeight="1" x14ac:dyDescent="0.35">
      <c r="A260" s="68">
        <v>1</v>
      </c>
      <c r="B260" s="69"/>
      <c r="C260" s="30" t="s">
        <v>121</v>
      </c>
      <c r="D260" s="68">
        <f>32.762*10.764</f>
        <v>352.65016800000001</v>
      </c>
      <c r="E260" s="69"/>
      <c r="F260" s="30">
        <f>'[1]Wing A-1'!L150</f>
        <v>0</v>
      </c>
      <c r="G260" s="30">
        <f t="shared" ref="G260:G265" si="8">D260*1.45+F260</f>
        <v>511.34274360000001</v>
      </c>
      <c r="H260" s="70" t="str">
        <f>A259</f>
        <v>14th &amp; 16th Floor</v>
      </c>
      <c r="I260" s="71"/>
      <c r="J260" s="72"/>
    </row>
    <row r="261" spans="1:10" s="41" customFormat="1" ht="15.5" x14ac:dyDescent="0.35">
      <c r="A261" s="68">
        <v>2</v>
      </c>
      <c r="B261" s="69"/>
      <c r="C261" s="30" t="s">
        <v>121</v>
      </c>
      <c r="D261" s="68">
        <f>34.093*10.764</f>
        <v>366.97705200000001</v>
      </c>
      <c r="E261" s="69"/>
      <c r="F261" s="30">
        <f>'[1]A-2'!L150</f>
        <v>0</v>
      </c>
      <c r="G261" s="30">
        <f t="shared" si="8"/>
        <v>532.11672539999995</v>
      </c>
      <c r="H261" s="73"/>
      <c r="I261" s="74"/>
      <c r="J261" s="75"/>
    </row>
    <row r="262" spans="1:10" s="41" customFormat="1" ht="15.5" x14ac:dyDescent="0.35">
      <c r="A262" s="68">
        <v>3</v>
      </c>
      <c r="B262" s="69"/>
      <c r="C262" s="30" t="s">
        <v>121</v>
      </c>
      <c r="D262" s="68">
        <f>34.196*10.764</f>
        <v>368.08574399999998</v>
      </c>
      <c r="E262" s="69"/>
      <c r="F262" s="30">
        <f>'[1]A-3'!M150</f>
        <v>0</v>
      </c>
      <c r="G262" s="30">
        <f t="shared" si="8"/>
        <v>533.72432879999997</v>
      </c>
      <c r="H262" s="73"/>
      <c r="I262" s="74"/>
      <c r="J262" s="75"/>
    </row>
    <row r="263" spans="1:10" s="41" customFormat="1" ht="15.75" customHeight="1" x14ac:dyDescent="0.35">
      <c r="A263" s="68">
        <v>4</v>
      </c>
      <c r="B263" s="69"/>
      <c r="C263" s="30" t="s">
        <v>121</v>
      </c>
      <c r="D263" s="68">
        <f>32.862*10.764</f>
        <v>353.72656799999999</v>
      </c>
      <c r="E263" s="69"/>
      <c r="F263" s="30">
        <f>'[1]Wing A-1'!L153</f>
        <v>0</v>
      </c>
      <c r="G263" s="30">
        <f t="shared" si="8"/>
        <v>512.90352359999997</v>
      </c>
      <c r="H263" s="73"/>
      <c r="I263" s="74"/>
      <c r="J263" s="75"/>
    </row>
    <row r="264" spans="1:10" s="41" customFormat="1" ht="15.5" x14ac:dyDescent="0.35">
      <c r="A264" s="68">
        <v>5</v>
      </c>
      <c r="B264" s="69"/>
      <c r="C264" s="30" t="s">
        <v>121</v>
      </c>
      <c r="D264" s="68">
        <f>34.423*10.764</f>
        <v>370.52917200000002</v>
      </c>
      <c r="E264" s="69"/>
      <c r="F264" s="30">
        <f>'[1]A-3'!M158</f>
        <v>0</v>
      </c>
      <c r="G264" s="30">
        <f t="shared" si="8"/>
        <v>537.26729939999996</v>
      </c>
      <c r="H264" s="73"/>
      <c r="I264" s="74"/>
      <c r="J264" s="75"/>
    </row>
    <row r="265" spans="1:10" s="41" customFormat="1" ht="15.5" x14ac:dyDescent="0.35">
      <c r="A265" s="68">
        <v>6</v>
      </c>
      <c r="B265" s="69"/>
      <c r="C265" s="30" t="s">
        <v>121</v>
      </c>
      <c r="D265" s="68">
        <f>34.438*10.764</f>
        <v>370.69063199999999</v>
      </c>
      <c r="E265" s="69"/>
      <c r="F265" s="30">
        <f>'[1]A-2'!L153</f>
        <v>0</v>
      </c>
      <c r="G265" s="30">
        <f t="shared" si="8"/>
        <v>537.50141639999993</v>
      </c>
      <c r="H265" s="76"/>
      <c r="I265" s="77"/>
      <c r="J265" s="78"/>
    </row>
    <row r="266" spans="1:10" s="41" customFormat="1" ht="15.5" x14ac:dyDescent="0.35">
      <c r="A266" s="79" t="s">
        <v>132</v>
      </c>
      <c r="B266" s="80"/>
      <c r="C266" s="80"/>
      <c r="D266" s="80"/>
      <c r="E266" s="80"/>
      <c r="F266" s="80"/>
      <c r="G266" s="80"/>
      <c r="H266" s="80"/>
      <c r="I266" s="80"/>
      <c r="J266" s="81"/>
    </row>
    <row r="267" spans="1:10" s="41" customFormat="1" ht="15.75" customHeight="1" x14ac:dyDescent="0.35">
      <c r="A267" s="68">
        <v>1</v>
      </c>
      <c r="B267" s="69"/>
      <c r="C267" s="30" t="s">
        <v>121</v>
      </c>
      <c r="D267" s="68">
        <f>32.762*10.764</f>
        <v>352.65016800000001</v>
      </c>
      <c r="E267" s="69"/>
      <c r="F267" s="30">
        <f>'[1]Wing A-1'!L141</f>
        <v>0</v>
      </c>
      <c r="G267" s="30">
        <f t="shared" ref="G267:G272" si="9">D267*1.45+F267</f>
        <v>511.34274360000001</v>
      </c>
      <c r="H267" s="70" t="str">
        <f>A266</f>
        <v>15th Floor</v>
      </c>
      <c r="I267" s="71"/>
      <c r="J267" s="72"/>
    </row>
    <row r="268" spans="1:10" s="41" customFormat="1" ht="15.5" x14ac:dyDescent="0.35">
      <c r="A268" s="68">
        <v>2</v>
      </c>
      <c r="B268" s="69"/>
      <c r="C268" s="30" t="s">
        <v>121</v>
      </c>
      <c r="D268" s="68">
        <f>34.093*10.764</f>
        <v>366.97705200000001</v>
      </c>
      <c r="E268" s="69"/>
      <c r="F268" s="30">
        <f>'[1]A-2'!L141</f>
        <v>0</v>
      </c>
      <c r="G268" s="30">
        <f t="shared" si="9"/>
        <v>532.11672539999995</v>
      </c>
      <c r="H268" s="73"/>
      <c r="I268" s="74"/>
      <c r="J268" s="75"/>
    </row>
    <row r="269" spans="1:10" s="41" customFormat="1" ht="15.5" x14ac:dyDescent="0.35">
      <c r="A269" s="68">
        <v>3</v>
      </c>
      <c r="B269" s="69"/>
      <c r="C269" s="30" t="s">
        <v>121</v>
      </c>
      <c r="D269" s="68">
        <f>34.196*10.764</f>
        <v>368.08574399999998</v>
      </c>
      <c r="E269" s="69"/>
      <c r="F269" s="30">
        <f>'[1]A-3'!M141</f>
        <v>0</v>
      </c>
      <c r="G269" s="30">
        <f t="shared" si="9"/>
        <v>533.72432879999997</v>
      </c>
      <c r="H269" s="73"/>
      <c r="I269" s="74"/>
      <c r="J269" s="75"/>
    </row>
    <row r="270" spans="1:10" s="41" customFormat="1" ht="15.75" customHeight="1" x14ac:dyDescent="0.35">
      <c r="A270" s="68">
        <v>4</v>
      </c>
      <c r="B270" s="69"/>
      <c r="C270" s="30" t="s">
        <v>121</v>
      </c>
      <c r="D270" s="68">
        <f>32.862*10.764</f>
        <v>353.72656799999999</v>
      </c>
      <c r="E270" s="69"/>
      <c r="F270" s="30">
        <f>'[1]Wing A-1'!L144</f>
        <v>0</v>
      </c>
      <c r="G270" s="30">
        <f t="shared" si="9"/>
        <v>512.90352359999997</v>
      </c>
      <c r="H270" s="73"/>
      <c r="I270" s="74"/>
      <c r="J270" s="75"/>
    </row>
    <row r="271" spans="1:10" s="41" customFormat="1" ht="15.5" x14ac:dyDescent="0.35">
      <c r="A271" s="68">
        <v>5</v>
      </c>
      <c r="B271" s="69"/>
      <c r="C271" s="30" t="s">
        <v>121</v>
      </c>
      <c r="D271" s="68">
        <f>34.423*10.764</f>
        <v>370.52917200000002</v>
      </c>
      <c r="E271" s="69"/>
      <c r="F271" s="30">
        <f>'[1]A-3'!M153</f>
        <v>0</v>
      </c>
      <c r="G271" s="30">
        <f t="shared" si="9"/>
        <v>537.26729939999996</v>
      </c>
      <c r="H271" s="73"/>
      <c r="I271" s="74"/>
      <c r="J271" s="75"/>
    </row>
    <row r="272" spans="1:10" s="41" customFormat="1" ht="15.5" x14ac:dyDescent="0.35">
      <c r="A272" s="68">
        <v>6</v>
      </c>
      <c r="B272" s="69"/>
      <c r="C272" s="30" t="s">
        <v>121</v>
      </c>
      <c r="D272" s="68">
        <f>34.438*10.764</f>
        <v>370.69063199999999</v>
      </c>
      <c r="E272" s="69"/>
      <c r="F272" s="30">
        <f>'[1]A-2'!L144</f>
        <v>0</v>
      </c>
      <c r="G272" s="30">
        <f t="shared" si="9"/>
        <v>537.50141639999993</v>
      </c>
      <c r="H272" s="76"/>
      <c r="I272" s="77"/>
      <c r="J272" s="78"/>
    </row>
    <row r="273" spans="1:10" s="41" customFormat="1" ht="15.5" x14ac:dyDescent="0.35">
      <c r="A273" s="79" t="s">
        <v>248</v>
      </c>
      <c r="B273" s="80"/>
      <c r="C273" s="80"/>
      <c r="D273" s="80"/>
      <c r="E273" s="80"/>
      <c r="F273" s="80"/>
      <c r="G273" s="80"/>
      <c r="H273" s="80"/>
      <c r="I273" s="80"/>
      <c r="J273" s="81"/>
    </row>
    <row r="274" spans="1:10" s="41" customFormat="1" ht="15.75" customHeight="1" x14ac:dyDescent="0.35">
      <c r="A274" s="68">
        <v>1</v>
      </c>
      <c r="B274" s="69"/>
      <c r="C274" s="30" t="s">
        <v>121</v>
      </c>
      <c r="D274" s="68">
        <f>32.762*10.764</f>
        <v>352.65016800000001</v>
      </c>
      <c r="E274" s="69"/>
      <c r="F274" s="30">
        <f>'[1]Wing A-1'!L162</f>
        <v>0</v>
      </c>
      <c r="G274" s="30">
        <f t="shared" ref="G274:G279" si="10">D274*1.45+F274</f>
        <v>511.34274360000001</v>
      </c>
      <c r="H274" s="70" t="str">
        <f>A273</f>
        <v>17th Floor</v>
      </c>
      <c r="I274" s="71"/>
      <c r="J274" s="72"/>
    </row>
    <row r="275" spans="1:10" s="41" customFormat="1" ht="15.5" x14ac:dyDescent="0.35">
      <c r="A275" s="68">
        <v>2</v>
      </c>
      <c r="B275" s="69"/>
      <c r="C275" s="30" t="s">
        <v>121</v>
      </c>
      <c r="D275" s="68">
        <f>34.093*10.764</f>
        <v>366.97705200000001</v>
      </c>
      <c r="E275" s="69"/>
      <c r="F275" s="30">
        <f>'[1]A-2'!L162</f>
        <v>0</v>
      </c>
      <c r="G275" s="30">
        <f t="shared" si="10"/>
        <v>532.11672539999995</v>
      </c>
      <c r="H275" s="73"/>
      <c r="I275" s="74"/>
      <c r="J275" s="75"/>
    </row>
    <row r="276" spans="1:10" s="41" customFormat="1" ht="15.5" x14ac:dyDescent="0.35">
      <c r="A276" s="68">
        <v>3</v>
      </c>
      <c r="B276" s="69"/>
      <c r="C276" s="30" t="s">
        <v>121</v>
      </c>
      <c r="D276" s="68">
        <f>34.196*10.764</f>
        <v>368.08574399999998</v>
      </c>
      <c r="E276" s="69"/>
      <c r="F276" s="30">
        <f>'[1]A-3'!M162</f>
        <v>0</v>
      </c>
      <c r="G276" s="30">
        <f t="shared" si="10"/>
        <v>533.72432879999997</v>
      </c>
      <c r="H276" s="73"/>
      <c r="I276" s="74"/>
      <c r="J276" s="75"/>
    </row>
    <row r="277" spans="1:10" s="41" customFormat="1" ht="15.75" customHeight="1" x14ac:dyDescent="0.35">
      <c r="A277" s="68">
        <v>4</v>
      </c>
      <c r="B277" s="69"/>
      <c r="C277" s="30" t="s">
        <v>121</v>
      </c>
      <c r="D277" s="68">
        <f>32.862*10.764</f>
        <v>353.72656799999999</v>
      </c>
      <c r="E277" s="69"/>
      <c r="F277" s="30">
        <f>'[1]Wing A-1'!L165</f>
        <v>0</v>
      </c>
      <c r="G277" s="30">
        <f t="shared" si="10"/>
        <v>512.90352359999997</v>
      </c>
      <c r="H277" s="73"/>
      <c r="I277" s="74"/>
      <c r="J277" s="75"/>
    </row>
    <row r="278" spans="1:10" s="41" customFormat="1" ht="15.5" x14ac:dyDescent="0.35">
      <c r="A278" s="68">
        <v>5</v>
      </c>
      <c r="B278" s="69"/>
      <c r="C278" s="30" t="s">
        <v>121</v>
      </c>
      <c r="D278" s="68">
        <f>34.423*10.764</f>
        <v>370.52917200000002</v>
      </c>
      <c r="E278" s="69"/>
      <c r="F278" s="30">
        <f>'[1]A-3'!M171</f>
        <v>0</v>
      </c>
      <c r="G278" s="30">
        <f t="shared" si="10"/>
        <v>537.26729939999996</v>
      </c>
      <c r="H278" s="73"/>
      <c r="I278" s="74"/>
      <c r="J278" s="75"/>
    </row>
    <row r="279" spans="1:10" s="41" customFormat="1" ht="15.5" x14ac:dyDescent="0.35">
      <c r="A279" s="68">
        <v>6</v>
      </c>
      <c r="B279" s="69"/>
      <c r="C279" s="30" t="s">
        <v>121</v>
      </c>
      <c r="D279" s="68">
        <f>34.438*10.764</f>
        <v>370.69063199999999</v>
      </c>
      <c r="E279" s="69"/>
      <c r="F279" s="30">
        <f>'[1]A-2'!L165</f>
        <v>0</v>
      </c>
      <c r="G279" s="30">
        <f t="shared" si="10"/>
        <v>537.50141639999993</v>
      </c>
      <c r="H279" s="76"/>
      <c r="I279" s="77"/>
      <c r="J279" s="78"/>
    </row>
    <row r="280" spans="1:10" s="41" customFormat="1" ht="15.5" x14ac:dyDescent="0.35">
      <c r="A280" s="79" t="s">
        <v>133</v>
      </c>
      <c r="B280" s="80"/>
      <c r="C280" s="80"/>
      <c r="D280" s="80"/>
      <c r="E280" s="80"/>
      <c r="F280" s="80"/>
      <c r="G280" s="80"/>
      <c r="H280" s="80"/>
      <c r="I280" s="80"/>
      <c r="J280" s="81"/>
    </row>
    <row r="281" spans="1:10" s="41" customFormat="1" ht="15.75" customHeight="1" x14ac:dyDescent="0.35">
      <c r="A281" s="68">
        <v>1</v>
      </c>
      <c r="B281" s="69"/>
      <c r="C281" s="30" t="s">
        <v>121</v>
      </c>
      <c r="D281" s="68">
        <f>32.762*10.764</f>
        <v>352.65016800000001</v>
      </c>
      <c r="E281" s="69"/>
      <c r="F281" s="30">
        <f>'[1]Wing A-1'!L168</f>
        <v>0</v>
      </c>
      <c r="G281" s="30">
        <f t="shared" ref="G281:G286" si="11">D281*1.45+F281</f>
        <v>511.34274360000001</v>
      </c>
      <c r="H281" s="70" t="str">
        <f>A280</f>
        <v>18th &amp; 20th Floor</v>
      </c>
      <c r="I281" s="71"/>
      <c r="J281" s="72"/>
    </row>
    <row r="282" spans="1:10" s="41" customFormat="1" ht="15.5" x14ac:dyDescent="0.35">
      <c r="A282" s="68">
        <v>2</v>
      </c>
      <c r="B282" s="69"/>
      <c r="C282" s="30" t="s">
        <v>121</v>
      </c>
      <c r="D282" s="68">
        <f>34.093*10.764</f>
        <v>366.97705200000001</v>
      </c>
      <c r="E282" s="69"/>
      <c r="F282" s="30">
        <f>'[1]A-2'!L168</f>
        <v>0</v>
      </c>
      <c r="G282" s="30">
        <f t="shared" si="11"/>
        <v>532.11672539999995</v>
      </c>
      <c r="H282" s="73"/>
      <c r="I282" s="74"/>
      <c r="J282" s="75"/>
    </row>
    <row r="283" spans="1:10" s="41" customFormat="1" ht="15.5" x14ac:dyDescent="0.35">
      <c r="A283" s="68">
        <v>3</v>
      </c>
      <c r="B283" s="69"/>
      <c r="C283" s="30" t="s">
        <v>121</v>
      </c>
      <c r="D283" s="68">
        <f>34.196*10.764</f>
        <v>368.08574399999998</v>
      </c>
      <c r="E283" s="69"/>
      <c r="F283" s="30">
        <f>'[1]A-3'!M168</f>
        <v>0</v>
      </c>
      <c r="G283" s="30">
        <f t="shared" si="11"/>
        <v>533.72432879999997</v>
      </c>
      <c r="H283" s="73"/>
      <c r="I283" s="74"/>
      <c r="J283" s="75"/>
    </row>
    <row r="284" spans="1:10" s="41" customFormat="1" ht="15.75" customHeight="1" x14ac:dyDescent="0.35">
      <c r="A284" s="68">
        <v>4</v>
      </c>
      <c r="B284" s="69"/>
      <c r="C284" s="30" t="s">
        <v>121</v>
      </c>
      <c r="D284" s="68">
        <f>32.862*10.764</f>
        <v>353.72656799999999</v>
      </c>
      <c r="E284" s="69"/>
      <c r="F284" s="30">
        <f>'[1]Wing A-1'!L171</f>
        <v>0</v>
      </c>
      <c r="G284" s="30">
        <f t="shared" si="11"/>
        <v>512.90352359999997</v>
      </c>
      <c r="H284" s="73"/>
      <c r="I284" s="74"/>
      <c r="J284" s="75"/>
    </row>
    <row r="285" spans="1:10" s="41" customFormat="1" ht="15.5" x14ac:dyDescent="0.35">
      <c r="A285" s="68">
        <v>5</v>
      </c>
      <c r="B285" s="69"/>
      <c r="C285" s="30" t="s">
        <v>121</v>
      </c>
      <c r="D285" s="68">
        <f>34.423*10.764</f>
        <v>370.52917200000002</v>
      </c>
      <c r="E285" s="69"/>
      <c r="F285" s="30">
        <f>'[1]A-3'!M178</f>
        <v>0</v>
      </c>
      <c r="G285" s="30">
        <f t="shared" si="11"/>
        <v>537.26729939999996</v>
      </c>
      <c r="H285" s="73"/>
      <c r="I285" s="74"/>
      <c r="J285" s="75"/>
    </row>
    <row r="286" spans="1:10" s="41" customFormat="1" ht="15.5" x14ac:dyDescent="0.35">
      <c r="A286" s="68">
        <v>6</v>
      </c>
      <c r="B286" s="69"/>
      <c r="C286" s="30" t="s">
        <v>121</v>
      </c>
      <c r="D286" s="68">
        <f>34.438*10.764</f>
        <v>370.69063199999999</v>
      </c>
      <c r="E286" s="69"/>
      <c r="F286" s="30">
        <f>'[1]A-2'!L171</f>
        <v>0</v>
      </c>
      <c r="G286" s="30">
        <f t="shared" si="11"/>
        <v>537.50141639999993</v>
      </c>
      <c r="H286" s="76"/>
      <c r="I286" s="77"/>
      <c r="J286" s="78"/>
    </row>
    <row r="287" spans="1:10" s="41" customFormat="1" ht="15.5" x14ac:dyDescent="0.35">
      <c r="A287" s="79" t="s">
        <v>249</v>
      </c>
      <c r="B287" s="80"/>
      <c r="C287" s="80"/>
      <c r="D287" s="80"/>
      <c r="E287" s="80"/>
      <c r="F287" s="80"/>
      <c r="G287" s="80"/>
      <c r="H287" s="80"/>
      <c r="I287" s="80"/>
      <c r="J287" s="81"/>
    </row>
    <row r="288" spans="1:10" s="41" customFormat="1" ht="15.75" customHeight="1" x14ac:dyDescent="0.35">
      <c r="A288" s="68">
        <v>1</v>
      </c>
      <c r="B288" s="69"/>
      <c r="C288" s="30" t="s">
        <v>121</v>
      </c>
      <c r="D288" s="68">
        <f>32.762*10.764</f>
        <v>352.65016800000001</v>
      </c>
      <c r="E288" s="69"/>
      <c r="F288" s="30">
        <f>'[1]Wing A-1'!L174</f>
        <v>0</v>
      </c>
      <c r="G288" s="30">
        <f t="shared" ref="G288:G293" si="12">D288*1.45+F288</f>
        <v>511.34274360000001</v>
      </c>
      <c r="H288" s="70" t="str">
        <f>A287</f>
        <v>19th &amp; 21st Floor</v>
      </c>
      <c r="I288" s="71"/>
      <c r="J288" s="72"/>
    </row>
    <row r="289" spans="1:10" s="41" customFormat="1" ht="15.5" x14ac:dyDescent="0.35">
      <c r="A289" s="68">
        <v>2</v>
      </c>
      <c r="B289" s="69"/>
      <c r="C289" s="30" t="s">
        <v>121</v>
      </c>
      <c r="D289" s="68">
        <f>34.093*10.764</f>
        <v>366.97705200000001</v>
      </c>
      <c r="E289" s="69"/>
      <c r="F289" s="30">
        <f>'[1]A-2'!L174</f>
        <v>0</v>
      </c>
      <c r="G289" s="30">
        <f t="shared" si="12"/>
        <v>532.11672539999995</v>
      </c>
      <c r="H289" s="73"/>
      <c r="I289" s="74"/>
      <c r="J289" s="75"/>
    </row>
    <row r="290" spans="1:10" s="41" customFormat="1" ht="15.5" x14ac:dyDescent="0.35">
      <c r="A290" s="68">
        <v>3</v>
      </c>
      <c r="B290" s="69"/>
      <c r="C290" s="30" t="s">
        <v>121</v>
      </c>
      <c r="D290" s="68">
        <f>34.196*10.764</f>
        <v>368.08574399999998</v>
      </c>
      <c r="E290" s="69"/>
      <c r="F290" s="30">
        <f>'[1]A-3'!M174</f>
        <v>0</v>
      </c>
      <c r="G290" s="30">
        <f t="shared" si="12"/>
        <v>533.72432879999997</v>
      </c>
      <c r="H290" s="73"/>
      <c r="I290" s="74"/>
      <c r="J290" s="75"/>
    </row>
    <row r="291" spans="1:10" s="41" customFormat="1" ht="15.75" customHeight="1" x14ac:dyDescent="0.35">
      <c r="A291" s="68">
        <v>4</v>
      </c>
      <c r="B291" s="69"/>
      <c r="C291" s="30" t="s">
        <v>121</v>
      </c>
      <c r="D291" s="68">
        <f>32.862*10.764</f>
        <v>353.72656799999999</v>
      </c>
      <c r="E291" s="69"/>
      <c r="F291" s="30">
        <f>'[1]Wing A-1'!L177</f>
        <v>0</v>
      </c>
      <c r="G291" s="30">
        <f t="shared" si="12"/>
        <v>512.90352359999997</v>
      </c>
      <c r="H291" s="73"/>
      <c r="I291" s="74"/>
      <c r="J291" s="75"/>
    </row>
    <row r="292" spans="1:10" s="41" customFormat="1" ht="15.5" x14ac:dyDescent="0.35">
      <c r="A292" s="68">
        <v>5</v>
      </c>
      <c r="B292" s="69"/>
      <c r="C292" s="30" t="s">
        <v>121</v>
      </c>
      <c r="D292" s="68">
        <f>34.423*10.764</f>
        <v>370.52917200000002</v>
      </c>
      <c r="E292" s="69"/>
      <c r="F292" s="30">
        <f>'[1]A-3'!M185</f>
        <v>0</v>
      </c>
      <c r="G292" s="30">
        <f t="shared" si="12"/>
        <v>537.26729939999996</v>
      </c>
      <c r="H292" s="73"/>
      <c r="I292" s="74"/>
      <c r="J292" s="75"/>
    </row>
    <row r="293" spans="1:10" s="41" customFormat="1" ht="15.5" x14ac:dyDescent="0.35">
      <c r="A293" s="68">
        <v>6</v>
      </c>
      <c r="B293" s="69"/>
      <c r="C293" s="30" t="s">
        <v>121</v>
      </c>
      <c r="D293" s="68">
        <f>34.438*10.764</f>
        <v>370.69063199999999</v>
      </c>
      <c r="E293" s="69"/>
      <c r="F293" s="30">
        <f>'[1]A-2'!L177</f>
        <v>0</v>
      </c>
      <c r="G293" s="30">
        <f t="shared" si="12"/>
        <v>537.50141639999993</v>
      </c>
      <c r="H293" s="76"/>
      <c r="I293" s="77"/>
      <c r="J293" s="78"/>
    </row>
    <row r="294" spans="1:10" s="41" customFormat="1" ht="15.5" x14ac:dyDescent="0.35">
      <c r="A294" s="79" t="s">
        <v>134</v>
      </c>
      <c r="B294" s="80"/>
      <c r="C294" s="80"/>
      <c r="D294" s="80"/>
      <c r="E294" s="80"/>
      <c r="F294" s="80"/>
      <c r="G294" s="80"/>
      <c r="H294" s="80"/>
      <c r="I294" s="80"/>
      <c r="J294" s="81"/>
    </row>
    <row r="295" spans="1:10" s="41" customFormat="1" ht="15.75" customHeight="1" x14ac:dyDescent="0.35">
      <c r="A295" s="68">
        <v>1</v>
      </c>
      <c r="B295" s="69"/>
      <c r="C295" s="30" t="s">
        <v>121</v>
      </c>
      <c r="D295" s="68">
        <f>32.762*10.764</f>
        <v>352.65016800000001</v>
      </c>
      <c r="E295" s="69"/>
      <c r="F295" s="30">
        <f>'[1]Wing A-1'!L174</f>
        <v>0</v>
      </c>
      <c r="G295" s="30">
        <f t="shared" ref="G295:G300" si="13">D295*1.45+F295</f>
        <v>511.34274360000001</v>
      </c>
      <c r="H295" s="70" t="str">
        <f>A294</f>
        <v>22nd Floor</v>
      </c>
      <c r="I295" s="71"/>
      <c r="J295" s="72"/>
    </row>
    <row r="296" spans="1:10" s="41" customFormat="1" ht="15.5" x14ac:dyDescent="0.35">
      <c r="A296" s="68">
        <v>2</v>
      </c>
      <c r="B296" s="69"/>
      <c r="C296" s="30" t="s">
        <v>121</v>
      </c>
      <c r="D296" s="68">
        <f>34.093*10.764</f>
        <v>366.97705200000001</v>
      </c>
      <c r="E296" s="69"/>
      <c r="F296" s="30">
        <f>'[1]A-2'!L174</f>
        <v>0</v>
      </c>
      <c r="G296" s="30">
        <f t="shared" si="13"/>
        <v>532.11672539999995</v>
      </c>
      <c r="H296" s="73"/>
      <c r="I296" s="74"/>
      <c r="J296" s="75"/>
    </row>
    <row r="297" spans="1:10" s="41" customFormat="1" ht="15.5" x14ac:dyDescent="0.35">
      <c r="A297" s="68">
        <v>3</v>
      </c>
      <c r="B297" s="69"/>
      <c r="C297" s="30" t="s">
        <v>121</v>
      </c>
      <c r="D297" s="68">
        <f>34.196*10.764</f>
        <v>368.08574399999998</v>
      </c>
      <c r="E297" s="69"/>
      <c r="F297" s="30">
        <f>'[1]A-3'!M174</f>
        <v>0</v>
      </c>
      <c r="G297" s="30">
        <f t="shared" si="13"/>
        <v>533.72432879999997</v>
      </c>
      <c r="H297" s="73"/>
      <c r="I297" s="74"/>
      <c r="J297" s="75"/>
    </row>
    <row r="298" spans="1:10" s="41" customFormat="1" ht="15.75" customHeight="1" x14ac:dyDescent="0.35">
      <c r="A298" s="68">
        <v>4</v>
      </c>
      <c r="B298" s="69"/>
      <c r="C298" s="30" t="s">
        <v>121</v>
      </c>
      <c r="D298" s="68">
        <f>32.862*10.764</f>
        <v>353.72656799999999</v>
      </c>
      <c r="E298" s="69"/>
      <c r="F298" s="30">
        <f>'[1]Wing A-1'!L177</f>
        <v>0</v>
      </c>
      <c r="G298" s="30">
        <f t="shared" si="13"/>
        <v>512.90352359999997</v>
      </c>
      <c r="H298" s="73"/>
      <c r="I298" s="74"/>
      <c r="J298" s="75"/>
    </row>
    <row r="299" spans="1:10" s="41" customFormat="1" ht="15.5" x14ac:dyDescent="0.35">
      <c r="A299" s="68">
        <v>5</v>
      </c>
      <c r="B299" s="69"/>
      <c r="C299" s="30" t="s">
        <v>121</v>
      </c>
      <c r="D299" s="68">
        <f>34.423*10.764</f>
        <v>370.52917200000002</v>
      </c>
      <c r="E299" s="69"/>
      <c r="F299" s="30">
        <f>'[1]A-3'!M186</f>
        <v>0</v>
      </c>
      <c r="G299" s="30">
        <f t="shared" si="13"/>
        <v>537.26729939999996</v>
      </c>
      <c r="H299" s="73"/>
      <c r="I299" s="74"/>
      <c r="J299" s="75"/>
    </row>
    <row r="300" spans="1:10" s="41" customFormat="1" ht="15.5" x14ac:dyDescent="0.35">
      <c r="A300" s="68">
        <v>6</v>
      </c>
      <c r="B300" s="69"/>
      <c r="C300" s="30" t="s">
        <v>121</v>
      </c>
      <c r="D300" s="68">
        <f>34.438*10.764</f>
        <v>370.69063199999999</v>
      </c>
      <c r="E300" s="69"/>
      <c r="F300" s="30">
        <f>'[1]A-2'!L177</f>
        <v>0</v>
      </c>
      <c r="G300" s="30">
        <f t="shared" si="13"/>
        <v>537.50141639999993</v>
      </c>
      <c r="H300" s="76"/>
      <c r="I300" s="77"/>
      <c r="J300" s="78"/>
    </row>
    <row r="301" spans="1:10" s="41" customFormat="1" ht="15.5" x14ac:dyDescent="0.35">
      <c r="A301" s="79" t="s">
        <v>135</v>
      </c>
      <c r="B301" s="80"/>
      <c r="C301" s="80"/>
      <c r="D301" s="80"/>
      <c r="E301" s="80"/>
      <c r="F301" s="80"/>
      <c r="G301" s="80"/>
      <c r="H301" s="80"/>
      <c r="I301" s="80"/>
      <c r="J301" s="81"/>
    </row>
    <row r="302" spans="1:10" s="41" customFormat="1" ht="15.75" customHeight="1" x14ac:dyDescent="0.35">
      <c r="A302" s="68">
        <v>1</v>
      </c>
      <c r="B302" s="69"/>
      <c r="C302" s="30" t="s">
        <v>121</v>
      </c>
      <c r="D302" s="68">
        <f>32.762*10.764</f>
        <v>352.65016800000001</v>
      </c>
      <c r="E302" s="69"/>
      <c r="F302" s="30">
        <f>'[1]Wing A-1'!L186</f>
        <v>0</v>
      </c>
      <c r="G302" s="30">
        <f t="shared" ref="G302:G307" si="14">D302*1.45+F302</f>
        <v>511.34274360000001</v>
      </c>
      <c r="H302" s="70" t="str">
        <f>A301</f>
        <v>23rd Floor</v>
      </c>
      <c r="I302" s="71"/>
      <c r="J302" s="72"/>
    </row>
    <row r="303" spans="1:10" s="41" customFormat="1" ht="15.5" x14ac:dyDescent="0.35">
      <c r="A303" s="68">
        <v>2</v>
      </c>
      <c r="B303" s="69"/>
      <c r="C303" s="30" t="s">
        <v>121</v>
      </c>
      <c r="D303" s="68">
        <f>34.093*10.764</f>
        <v>366.97705200000001</v>
      </c>
      <c r="E303" s="69"/>
      <c r="F303" s="30">
        <f>'[1]A-2'!L186</f>
        <v>0</v>
      </c>
      <c r="G303" s="30">
        <f t="shared" si="14"/>
        <v>532.11672539999995</v>
      </c>
      <c r="H303" s="73"/>
      <c r="I303" s="74"/>
      <c r="J303" s="75"/>
    </row>
    <row r="304" spans="1:10" s="41" customFormat="1" ht="15.5" x14ac:dyDescent="0.35">
      <c r="A304" s="68">
        <v>3</v>
      </c>
      <c r="B304" s="69"/>
      <c r="C304" s="30" t="s">
        <v>121</v>
      </c>
      <c r="D304" s="68">
        <f>34.196*10.764</f>
        <v>368.08574399999998</v>
      </c>
      <c r="E304" s="69"/>
      <c r="F304" s="30">
        <f>'[1]A-3'!M186</f>
        <v>0</v>
      </c>
      <c r="G304" s="30">
        <f t="shared" si="14"/>
        <v>533.72432879999997</v>
      </c>
      <c r="H304" s="73"/>
      <c r="I304" s="74"/>
      <c r="J304" s="75"/>
    </row>
    <row r="305" spans="1:10" s="41" customFormat="1" ht="15.75" customHeight="1" x14ac:dyDescent="0.35">
      <c r="A305" s="68">
        <v>4</v>
      </c>
      <c r="B305" s="69"/>
      <c r="C305" s="30" t="s">
        <v>121</v>
      </c>
      <c r="D305" s="68">
        <f>32.862*10.764</f>
        <v>353.72656799999999</v>
      </c>
      <c r="E305" s="69"/>
      <c r="F305" s="30">
        <f>'[1]Wing A-1'!L189</f>
        <v>0</v>
      </c>
      <c r="G305" s="30">
        <f t="shared" si="14"/>
        <v>512.90352359999997</v>
      </c>
      <c r="H305" s="73"/>
      <c r="I305" s="74"/>
      <c r="J305" s="75"/>
    </row>
    <row r="306" spans="1:10" s="41" customFormat="1" ht="15.5" x14ac:dyDescent="0.35">
      <c r="A306" s="68">
        <v>5</v>
      </c>
      <c r="B306" s="69"/>
      <c r="C306" s="30" t="s">
        <v>121</v>
      </c>
      <c r="D306" s="68">
        <f>34.423*10.764</f>
        <v>370.52917200000002</v>
      </c>
      <c r="E306" s="69"/>
      <c r="F306" s="30">
        <f>'[1]A-3'!M198</f>
        <v>0</v>
      </c>
      <c r="G306" s="30">
        <f t="shared" si="14"/>
        <v>537.26729939999996</v>
      </c>
      <c r="H306" s="73"/>
      <c r="I306" s="74"/>
      <c r="J306" s="75"/>
    </row>
    <row r="307" spans="1:10" s="41" customFormat="1" ht="15.5" x14ac:dyDescent="0.35">
      <c r="A307" s="68">
        <v>6</v>
      </c>
      <c r="B307" s="69"/>
      <c r="C307" s="30" t="s">
        <v>121</v>
      </c>
      <c r="D307" s="68">
        <f>34.438*10.764</f>
        <v>370.69063199999999</v>
      </c>
      <c r="E307" s="69"/>
      <c r="F307" s="30">
        <f>'[1]A-2'!L189</f>
        <v>0</v>
      </c>
      <c r="G307" s="30">
        <f t="shared" si="14"/>
        <v>537.50141639999993</v>
      </c>
      <c r="H307" s="76"/>
      <c r="I307" s="77"/>
      <c r="J307" s="78"/>
    </row>
    <row r="308" spans="1:10" s="41" customFormat="1" ht="15.5" x14ac:dyDescent="0.35">
      <c r="A308" s="79" t="s">
        <v>123</v>
      </c>
      <c r="B308" s="80"/>
      <c r="C308" s="80"/>
      <c r="D308" s="80"/>
      <c r="E308" s="80"/>
      <c r="F308" s="80"/>
      <c r="G308" s="80"/>
      <c r="H308" s="80"/>
      <c r="I308" s="80"/>
      <c r="J308" s="81"/>
    </row>
    <row r="309" spans="1:10" s="41" customFormat="1" ht="15.5" x14ac:dyDescent="0.35">
      <c r="A309" s="79" t="s">
        <v>120</v>
      </c>
      <c r="B309" s="80"/>
      <c r="C309" s="80"/>
      <c r="D309" s="80"/>
      <c r="E309" s="80"/>
      <c r="F309" s="80"/>
      <c r="G309" s="80"/>
      <c r="H309" s="80"/>
      <c r="I309" s="80"/>
      <c r="J309" s="81"/>
    </row>
    <row r="310" spans="1:10" s="41" customFormat="1" ht="15.75" customHeight="1" x14ac:dyDescent="0.35">
      <c r="A310" s="68">
        <v>1</v>
      </c>
      <c r="B310" s="69"/>
      <c r="C310" s="30" t="s">
        <v>121</v>
      </c>
      <c r="D310" s="68">
        <f>34.427*10.764</f>
        <v>370.572228</v>
      </c>
      <c r="E310" s="69"/>
      <c r="F310" s="30">
        <f>'[1]Wing A-1'!L204</f>
        <v>0</v>
      </c>
      <c r="G310" s="30">
        <f t="shared" ref="G310:G315" si="15">D310*1.45+F310</f>
        <v>537.32973059999995</v>
      </c>
      <c r="H310" s="73" t="str">
        <f>A309</f>
        <v>1st Floor</v>
      </c>
      <c r="I310" s="74"/>
      <c r="J310" s="75"/>
    </row>
    <row r="311" spans="1:10" s="41" customFormat="1" ht="15.5" x14ac:dyDescent="0.35">
      <c r="A311" s="68">
        <v>2</v>
      </c>
      <c r="B311" s="69"/>
      <c r="C311" s="30" t="s">
        <v>121</v>
      </c>
      <c r="D311" s="68">
        <f>34.64*10.764</f>
        <v>372.86496</v>
      </c>
      <c r="E311" s="69"/>
      <c r="F311" s="30">
        <f>'[1]A-2'!L207</f>
        <v>0</v>
      </c>
      <c r="G311" s="30">
        <f t="shared" si="15"/>
        <v>540.65419199999997</v>
      </c>
      <c r="H311" s="73"/>
      <c r="I311" s="74"/>
      <c r="J311" s="75"/>
    </row>
    <row r="312" spans="1:10" s="41" customFormat="1" ht="15.5" x14ac:dyDescent="0.35">
      <c r="A312" s="68">
        <v>3</v>
      </c>
      <c r="B312" s="69"/>
      <c r="C312" s="30" t="s">
        <v>121</v>
      </c>
      <c r="D312" s="68">
        <f>32.862*10.764</f>
        <v>353.72656799999999</v>
      </c>
      <c r="E312" s="69"/>
      <c r="F312" s="30">
        <f>'[1]A-3'!M207</f>
        <v>0</v>
      </c>
      <c r="G312" s="30">
        <f t="shared" si="15"/>
        <v>512.90352359999997</v>
      </c>
      <c r="H312" s="73"/>
      <c r="I312" s="74"/>
      <c r="J312" s="75"/>
    </row>
    <row r="313" spans="1:10" s="41" customFormat="1" ht="15.5" x14ac:dyDescent="0.35">
      <c r="A313" s="68">
        <v>4</v>
      </c>
      <c r="B313" s="69"/>
      <c r="C313" s="30" t="s">
        <v>121</v>
      </c>
      <c r="D313" s="68">
        <f>40.166*10.764</f>
        <v>432.34682399999991</v>
      </c>
      <c r="E313" s="69"/>
      <c r="F313" s="30">
        <f>'[1]A-3'!M207</f>
        <v>0</v>
      </c>
      <c r="G313" s="30">
        <f t="shared" si="15"/>
        <v>626.9028947999999</v>
      </c>
      <c r="H313" s="73"/>
      <c r="I313" s="74"/>
      <c r="J313" s="75"/>
    </row>
    <row r="314" spans="1:10" s="41" customFormat="1" ht="15.5" x14ac:dyDescent="0.35">
      <c r="A314" s="68">
        <v>5</v>
      </c>
      <c r="B314" s="69"/>
      <c r="C314" s="30" t="s">
        <v>121</v>
      </c>
      <c r="D314" s="68">
        <f>34.135*10.764</f>
        <v>367.42913999999996</v>
      </c>
      <c r="E314" s="69"/>
      <c r="F314" s="30">
        <f>'[1]A-2'!L209</f>
        <v>0</v>
      </c>
      <c r="G314" s="30">
        <f t="shared" si="15"/>
        <v>532.77225299999998</v>
      </c>
      <c r="H314" s="73"/>
      <c r="I314" s="74"/>
      <c r="J314" s="75"/>
    </row>
    <row r="315" spans="1:10" s="41" customFormat="1" ht="15.5" x14ac:dyDescent="0.35">
      <c r="A315" s="68">
        <v>6</v>
      </c>
      <c r="B315" s="69"/>
      <c r="C315" s="30" t="s">
        <v>121</v>
      </c>
      <c r="D315" s="68">
        <f>33.741*10.764</f>
        <v>363.18812399999996</v>
      </c>
      <c r="E315" s="69"/>
      <c r="F315" s="30">
        <f>'[1]A-3'!M209</f>
        <v>0</v>
      </c>
      <c r="G315" s="30">
        <f t="shared" si="15"/>
        <v>526.62277979999988</v>
      </c>
      <c r="H315" s="76"/>
      <c r="I315" s="77"/>
      <c r="J315" s="78"/>
    </row>
    <row r="316" spans="1:10" s="41" customFormat="1" ht="15.75" customHeight="1" x14ac:dyDescent="0.35">
      <c r="A316" s="79" t="s">
        <v>251</v>
      </c>
      <c r="B316" s="80"/>
      <c r="C316" s="80"/>
      <c r="D316" s="80"/>
      <c r="E316" s="80"/>
      <c r="F316" s="80"/>
      <c r="G316" s="80"/>
      <c r="H316" s="80"/>
      <c r="I316" s="80"/>
      <c r="J316" s="81"/>
    </row>
    <row r="317" spans="1:10" s="41" customFormat="1" ht="15.75" customHeight="1" x14ac:dyDescent="0.35">
      <c r="A317" s="68">
        <v>1</v>
      </c>
      <c r="B317" s="69"/>
      <c r="C317" s="30" t="s">
        <v>121</v>
      </c>
      <c r="D317" s="68">
        <f>34.427*10.764</f>
        <v>370.572228</v>
      </c>
      <c r="E317" s="69"/>
      <c r="F317" s="30">
        <f>'[1]Wing A-1'!L211</f>
        <v>0</v>
      </c>
      <c r="G317" s="30">
        <f t="shared" ref="G317:G322" si="16">D317*1.45+F317</f>
        <v>537.32973059999995</v>
      </c>
      <c r="H317" s="70" t="str">
        <f>A316</f>
        <v>2nd to 7th, 9th &amp; 11th Floor</v>
      </c>
      <c r="I317" s="71"/>
      <c r="J317" s="72"/>
    </row>
    <row r="318" spans="1:10" s="41" customFormat="1" ht="15.5" x14ac:dyDescent="0.35">
      <c r="A318" s="68">
        <v>2</v>
      </c>
      <c r="B318" s="69"/>
      <c r="C318" s="30" t="s">
        <v>121</v>
      </c>
      <c r="D318" s="68">
        <f>34.64*10.764</f>
        <v>372.86496</v>
      </c>
      <c r="E318" s="69"/>
      <c r="F318" s="30">
        <f>'[1]A-2'!L211</f>
        <v>0</v>
      </c>
      <c r="G318" s="30">
        <f t="shared" si="16"/>
        <v>540.65419199999997</v>
      </c>
      <c r="H318" s="73"/>
      <c r="I318" s="74"/>
      <c r="J318" s="75"/>
    </row>
    <row r="319" spans="1:10" s="41" customFormat="1" ht="15.5" x14ac:dyDescent="0.35">
      <c r="A319" s="68">
        <v>3</v>
      </c>
      <c r="B319" s="69"/>
      <c r="C319" s="30" t="s">
        <v>121</v>
      </c>
      <c r="D319" s="68">
        <f>32.862*10.764</f>
        <v>353.72656799999999</v>
      </c>
      <c r="E319" s="69"/>
      <c r="F319" s="30">
        <f>'[1]A-3'!M211</f>
        <v>0</v>
      </c>
      <c r="G319" s="30">
        <f t="shared" si="16"/>
        <v>512.90352359999997</v>
      </c>
      <c r="H319" s="73"/>
      <c r="I319" s="74"/>
      <c r="J319" s="75"/>
    </row>
    <row r="320" spans="1:10" s="41" customFormat="1" ht="15.75" customHeight="1" x14ac:dyDescent="0.35">
      <c r="A320" s="68">
        <v>4</v>
      </c>
      <c r="B320" s="69"/>
      <c r="C320" s="30" t="s">
        <v>121</v>
      </c>
      <c r="D320" s="68">
        <f>40.166*10.764</f>
        <v>432.34682399999991</v>
      </c>
      <c r="E320" s="69"/>
      <c r="F320" s="30">
        <f>'[1]Wing A-1'!L214</f>
        <v>0</v>
      </c>
      <c r="G320" s="30">
        <f t="shared" si="16"/>
        <v>626.9028947999999</v>
      </c>
      <c r="H320" s="73"/>
      <c r="I320" s="74"/>
      <c r="J320" s="75"/>
    </row>
    <row r="321" spans="1:10" s="41" customFormat="1" ht="15.5" x14ac:dyDescent="0.35">
      <c r="A321" s="68">
        <v>5</v>
      </c>
      <c r="B321" s="69"/>
      <c r="C321" s="30" t="s">
        <v>121</v>
      </c>
      <c r="D321" s="68">
        <f>34.135*10.764</f>
        <v>367.42913999999996</v>
      </c>
      <c r="E321" s="69"/>
      <c r="F321" s="30">
        <f>'[1]A-3'!M215</f>
        <v>0</v>
      </c>
      <c r="G321" s="30">
        <f t="shared" si="16"/>
        <v>532.77225299999998</v>
      </c>
      <c r="H321" s="73"/>
      <c r="I321" s="74"/>
      <c r="J321" s="75"/>
    </row>
    <row r="322" spans="1:10" s="41" customFormat="1" ht="15.5" x14ac:dyDescent="0.35">
      <c r="A322" s="68">
        <v>6</v>
      </c>
      <c r="B322" s="69"/>
      <c r="C322" s="30" t="s">
        <v>121</v>
      </c>
      <c r="D322" s="68">
        <f>33.741*10.764</f>
        <v>363.18812399999996</v>
      </c>
      <c r="E322" s="69"/>
      <c r="F322" s="30">
        <f>'[1]A-2'!L214</f>
        <v>0</v>
      </c>
      <c r="G322" s="30">
        <f t="shared" si="16"/>
        <v>526.62277979999988</v>
      </c>
      <c r="H322" s="76"/>
      <c r="I322" s="77"/>
      <c r="J322" s="78"/>
    </row>
    <row r="323" spans="1:10" s="41" customFormat="1" ht="15.75" customHeight="1" x14ac:dyDescent="0.35">
      <c r="A323" s="79" t="s">
        <v>126</v>
      </c>
      <c r="B323" s="80"/>
      <c r="C323" s="80"/>
      <c r="D323" s="80"/>
      <c r="E323" s="80"/>
      <c r="F323" s="80"/>
      <c r="G323" s="80"/>
      <c r="H323" s="80"/>
      <c r="I323" s="80"/>
      <c r="J323" s="81"/>
    </row>
    <row r="324" spans="1:10" s="41" customFormat="1" ht="15.75" customHeight="1" x14ac:dyDescent="0.35">
      <c r="A324" s="68">
        <v>1</v>
      </c>
      <c r="B324" s="69"/>
      <c r="C324" s="30" t="s">
        <v>121</v>
      </c>
      <c r="D324" s="68">
        <f>34.427*10.764</f>
        <v>370.572228</v>
      </c>
      <c r="E324" s="69"/>
      <c r="F324" s="30">
        <f>'[1]Wing A-1'!L218</f>
        <v>0</v>
      </c>
      <c r="G324" s="30">
        <f t="shared" ref="G324:G329" si="17">D324*1.45+F324</f>
        <v>537.32973059999995</v>
      </c>
      <c r="H324" s="70" t="str">
        <f>A323</f>
        <v>8th Floor</v>
      </c>
      <c r="I324" s="71"/>
      <c r="J324" s="72"/>
    </row>
    <row r="325" spans="1:10" s="41" customFormat="1" ht="15.5" x14ac:dyDescent="0.35">
      <c r="A325" s="68">
        <v>2</v>
      </c>
      <c r="B325" s="69"/>
      <c r="C325" s="30" t="s">
        <v>121</v>
      </c>
      <c r="D325" s="68">
        <f>34.64*10.764</f>
        <v>372.86496</v>
      </c>
      <c r="E325" s="69"/>
      <c r="F325" s="30">
        <f>'[1]A-2'!L218</f>
        <v>0</v>
      </c>
      <c r="G325" s="30">
        <f t="shared" si="17"/>
        <v>540.65419199999997</v>
      </c>
      <c r="H325" s="73"/>
      <c r="I325" s="74"/>
      <c r="J325" s="75"/>
    </row>
    <row r="326" spans="1:10" s="41" customFormat="1" ht="15.5" x14ac:dyDescent="0.35">
      <c r="A326" s="68">
        <v>3</v>
      </c>
      <c r="B326" s="69"/>
      <c r="C326" s="30" t="s">
        <v>121</v>
      </c>
      <c r="D326" s="68">
        <f>32.862*10.764</f>
        <v>353.72656799999999</v>
      </c>
      <c r="E326" s="69"/>
      <c r="F326" s="30">
        <f>'[1]A-3'!M218</f>
        <v>0</v>
      </c>
      <c r="G326" s="30">
        <f t="shared" si="17"/>
        <v>512.90352359999997</v>
      </c>
      <c r="H326" s="73"/>
      <c r="I326" s="74"/>
      <c r="J326" s="75"/>
    </row>
    <row r="327" spans="1:10" s="41" customFormat="1" ht="15.75" customHeight="1" x14ac:dyDescent="0.35">
      <c r="A327" s="68">
        <v>4</v>
      </c>
      <c r="B327" s="69"/>
      <c r="C327" s="30" t="s">
        <v>121</v>
      </c>
      <c r="D327" s="68">
        <f>40.166*10.764</f>
        <v>432.34682399999991</v>
      </c>
      <c r="E327" s="69"/>
      <c r="F327" s="30">
        <f>'[1]Wing A-1'!L221</f>
        <v>0</v>
      </c>
      <c r="G327" s="30">
        <f t="shared" si="17"/>
        <v>626.9028947999999</v>
      </c>
      <c r="H327" s="73"/>
      <c r="I327" s="74"/>
      <c r="J327" s="75"/>
    </row>
    <row r="328" spans="1:10" s="41" customFormat="1" ht="15.5" x14ac:dyDescent="0.35">
      <c r="A328" s="68">
        <v>5</v>
      </c>
      <c r="B328" s="69"/>
      <c r="C328" s="30" t="s">
        <v>121</v>
      </c>
      <c r="D328" s="68">
        <f>34.135*10.764</f>
        <v>367.42913999999996</v>
      </c>
      <c r="E328" s="69"/>
      <c r="F328" s="30">
        <f>'[1]A-3'!M222</f>
        <v>0</v>
      </c>
      <c r="G328" s="30">
        <f t="shared" si="17"/>
        <v>532.77225299999998</v>
      </c>
      <c r="H328" s="73"/>
      <c r="I328" s="74"/>
      <c r="J328" s="75"/>
    </row>
    <row r="329" spans="1:10" s="41" customFormat="1" ht="15.5" x14ac:dyDescent="0.35">
      <c r="A329" s="68">
        <v>6</v>
      </c>
      <c r="B329" s="69"/>
      <c r="C329" s="30" t="s">
        <v>121</v>
      </c>
      <c r="D329" s="68">
        <f>33.741*10.764</f>
        <v>363.18812399999996</v>
      </c>
      <c r="E329" s="69"/>
      <c r="F329" s="30">
        <f>'[1]A-2'!L221</f>
        <v>0</v>
      </c>
      <c r="G329" s="30">
        <f t="shared" si="17"/>
        <v>526.62277979999988</v>
      </c>
      <c r="H329" s="76"/>
      <c r="I329" s="77"/>
      <c r="J329" s="78"/>
    </row>
    <row r="330" spans="1:10" s="41" customFormat="1" ht="15.5" x14ac:dyDescent="0.35">
      <c r="A330" s="79" t="s">
        <v>129</v>
      </c>
      <c r="B330" s="80"/>
      <c r="C330" s="80"/>
      <c r="D330" s="80"/>
      <c r="E330" s="80"/>
      <c r="F330" s="80"/>
      <c r="G330" s="80"/>
      <c r="H330" s="80"/>
      <c r="I330" s="80"/>
      <c r="J330" s="81"/>
    </row>
    <row r="331" spans="1:10" s="41" customFormat="1" ht="15.75" customHeight="1" x14ac:dyDescent="0.35">
      <c r="A331" s="68">
        <v>1</v>
      </c>
      <c r="B331" s="69"/>
      <c r="C331" s="30" t="s">
        <v>121</v>
      </c>
      <c r="D331" s="68">
        <f>34.427*10.764</f>
        <v>370.572228</v>
      </c>
      <c r="E331" s="69"/>
      <c r="F331" s="30">
        <f>'[1]Wing A-1'!L223</f>
        <v>0</v>
      </c>
      <c r="G331" s="30">
        <f t="shared" ref="G331:G336" si="18">D331*1.45+F331</f>
        <v>537.32973059999995</v>
      </c>
      <c r="H331" s="70" t="str">
        <f>A330</f>
        <v>10th &amp; 12th Floor</v>
      </c>
      <c r="I331" s="71"/>
      <c r="J331" s="72"/>
    </row>
    <row r="332" spans="1:10" s="41" customFormat="1" ht="15.5" x14ac:dyDescent="0.35">
      <c r="A332" s="68">
        <v>2</v>
      </c>
      <c r="B332" s="69"/>
      <c r="C332" s="30" t="s">
        <v>121</v>
      </c>
      <c r="D332" s="68">
        <f>34.64*10.764</f>
        <v>372.86496</v>
      </c>
      <c r="E332" s="69"/>
      <c r="F332" s="30">
        <f>'[1]A-2'!L223</f>
        <v>0</v>
      </c>
      <c r="G332" s="30">
        <f t="shared" si="18"/>
        <v>540.65419199999997</v>
      </c>
      <c r="H332" s="73"/>
      <c r="I332" s="74"/>
      <c r="J332" s="75"/>
    </row>
    <row r="333" spans="1:10" s="41" customFormat="1" ht="15.5" x14ac:dyDescent="0.35">
      <c r="A333" s="68">
        <v>3</v>
      </c>
      <c r="B333" s="69"/>
      <c r="C333" s="30" t="s">
        <v>121</v>
      </c>
      <c r="D333" s="68">
        <f>32.862*10.764</f>
        <v>353.72656799999999</v>
      </c>
      <c r="E333" s="69"/>
      <c r="F333" s="30">
        <f>'[1]A-3'!M223</f>
        <v>0</v>
      </c>
      <c r="G333" s="30">
        <f t="shared" si="18"/>
        <v>512.90352359999997</v>
      </c>
      <c r="H333" s="73"/>
      <c r="I333" s="74"/>
      <c r="J333" s="75"/>
    </row>
    <row r="334" spans="1:10" s="41" customFormat="1" ht="15.75" customHeight="1" x14ac:dyDescent="0.35">
      <c r="A334" s="68">
        <v>4</v>
      </c>
      <c r="B334" s="69"/>
      <c r="C334" s="30" t="s">
        <v>121</v>
      </c>
      <c r="D334" s="68">
        <f>40.166*10.764</f>
        <v>432.34682399999991</v>
      </c>
      <c r="E334" s="69"/>
      <c r="F334" s="30">
        <f>'[1]Wing A-1'!L226</f>
        <v>0</v>
      </c>
      <c r="G334" s="30">
        <f t="shared" si="18"/>
        <v>626.9028947999999</v>
      </c>
      <c r="H334" s="73"/>
      <c r="I334" s="74"/>
      <c r="J334" s="75"/>
    </row>
    <row r="335" spans="1:10" s="41" customFormat="1" ht="15.5" x14ac:dyDescent="0.35">
      <c r="A335" s="68">
        <v>5</v>
      </c>
      <c r="B335" s="69"/>
      <c r="C335" s="30" t="s">
        <v>121</v>
      </c>
      <c r="D335" s="68">
        <f>34.135*10.764</f>
        <v>367.42913999999996</v>
      </c>
      <c r="E335" s="69"/>
      <c r="F335" s="30">
        <f>'[1]A-3'!M229</f>
        <v>0</v>
      </c>
      <c r="G335" s="30">
        <f t="shared" si="18"/>
        <v>532.77225299999998</v>
      </c>
      <c r="H335" s="73"/>
      <c r="I335" s="74"/>
      <c r="J335" s="75"/>
    </row>
    <row r="336" spans="1:10" s="41" customFormat="1" ht="15.5" x14ac:dyDescent="0.35">
      <c r="A336" s="68">
        <v>6</v>
      </c>
      <c r="B336" s="69"/>
      <c r="C336" s="30" t="s">
        <v>121</v>
      </c>
      <c r="D336" s="68">
        <f>33.741*10.764</f>
        <v>363.18812399999996</v>
      </c>
      <c r="E336" s="69"/>
      <c r="F336" s="30">
        <f>'[1]A-2'!L226</f>
        <v>0</v>
      </c>
      <c r="G336" s="30">
        <f t="shared" si="18"/>
        <v>526.62277979999988</v>
      </c>
      <c r="H336" s="76"/>
      <c r="I336" s="77"/>
      <c r="J336" s="78"/>
    </row>
    <row r="337" spans="1:10" s="41" customFormat="1" ht="15.5" x14ac:dyDescent="0.35">
      <c r="A337" s="79" t="s">
        <v>130</v>
      </c>
      <c r="B337" s="80"/>
      <c r="C337" s="80"/>
      <c r="D337" s="80"/>
      <c r="E337" s="80"/>
      <c r="F337" s="80"/>
      <c r="G337" s="80"/>
      <c r="H337" s="80"/>
      <c r="I337" s="80"/>
      <c r="J337" s="81"/>
    </row>
    <row r="338" spans="1:10" s="41" customFormat="1" ht="15.75" customHeight="1" x14ac:dyDescent="0.35">
      <c r="A338" s="68">
        <v>1</v>
      </c>
      <c r="B338" s="69"/>
      <c r="C338" s="30" t="s">
        <v>121</v>
      </c>
      <c r="D338" s="68">
        <f>34.427*10.764</f>
        <v>370.572228</v>
      </c>
      <c r="E338" s="69"/>
      <c r="F338" s="30">
        <f>'[1]Wing A-1'!L229</f>
        <v>0</v>
      </c>
      <c r="G338" s="30">
        <f t="shared" ref="G338:G343" si="19">D338*1.45+F338</f>
        <v>537.32973059999995</v>
      </c>
      <c r="H338" s="70" t="str">
        <f>A337</f>
        <v>13th Floor</v>
      </c>
      <c r="I338" s="71"/>
      <c r="J338" s="72"/>
    </row>
    <row r="339" spans="1:10" s="41" customFormat="1" ht="15.5" x14ac:dyDescent="0.35">
      <c r="A339" s="68">
        <v>2</v>
      </c>
      <c r="B339" s="69"/>
      <c r="C339" s="30" t="s">
        <v>121</v>
      </c>
      <c r="D339" s="68">
        <f>34.64*10.764</f>
        <v>372.86496</v>
      </c>
      <c r="E339" s="69"/>
      <c r="F339" s="30">
        <f>'[1]A-2'!L229</f>
        <v>0</v>
      </c>
      <c r="G339" s="30">
        <f t="shared" si="19"/>
        <v>540.65419199999997</v>
      </c>
      <c r="H339" s="73"/>
      <c r="I339" s="74"/>
      <c r="J339" s="75"/>
    </row>
    <row r="340" spans="1:10" s="41" customFormat="1" ht="15.5" x14ac:dyDescent="0.35">
      <c r="A340" s="68">
        <v>3</v>
      </c>
      <c r="B340" s="69"/>
      <c r="C340" s="30" t="s">
        <v>121</v>
      </c>
      <c r="D340" s="68">
        <f>32.862*10.764</f>
        <v>353.72656799999999</v>
      </c>
      <c r="E340" s="69"/>
      <c r="F340" s="30">
        <f>'[1]A-3'!M229</f>
        <v>0</v>
      </c>
      <c r="G340" s="30">
        <f t="shared" si="19"/>
        <v>512.90352359999997</v>
      </c>
      <c r="H340" s="73"/>
      <c r="I340" s="74"/>
      <c r="J340" s="75"/>
    </row>
    <row r="341" spans="1:10" s="41" customFormat="1" ht="15.75" customHeight="1" x14ac:dyDescent="0.35">
      <c r="A341" s="68">
        <v>4</v>
      </c>
      <c r="B341" s="69"/>
      <c r="C341" s="30" t="s">
        <v>121</v>
      </c>
      <c r="D341" s="68">
        <f>40.166*10.764</f>
        <v>432.34682399999991</v>
      </c>
      <c r="E341" s="69"/>
      <c r="F341" s="30">
        <f>'[1]Wing A-1'!L232</f>
        <v>0</v>
      </c>
      <c r="G341" s="30">
        <f t="shared" si="19"/>
        <v>626.9028947999999</v>
      </c>
      <c r="H341" s="73"/>
      <c r="I341" s="74"/>
      <c r="J341" s="75"/>
    </row>
    <row r="342" spans="1:10" s="41" customFormat="1" ht="15.5" x14ac:dyDescent="0.35">
      <c r="A342" s="68">
        <v>5</v>
      </c>
      <c r="B342" s="69"/>
      <c r="C342" s="30" t="s">
        <v>121</v>
      </c>
      <c r="D342" s="68">
        <f>34.135*10.764</f>
        <v>367.42913999999996</v>
      </c>
      <c r="E342" s="69"/>
      <c r="F342" s="30">
        <f>'[1]A-3'!M236</f>
        <v>0</v>
      </c>
      <c r="G342" s="30">
        <f t="shared" si="19"/>
        <v>532.77225299999998</v>
      </c>
      <c r="H342" s="73"/>
      <c r="I342" s="74"/>
      <c r="J342" s="75"/>
    </row>
    <row r="343" spans="1:10" s="41" customFormat="1" ht="15.5" x14ac:dyDescent="0.35">
      <c r="A343" s="68">
        <v>6</v>
      </c>
      <c r="B343" s="69"/>
      <c r="C343" s="30" t="s">
        <v>121</v>
      </c>
      <c r="D343" s="68">
        <f>33.741*10.764</f>
        <v>363.18812399999996</v>
      </c>
      <c r="E343" s="69"/>
      <c r="F343" s="30">
        <f>'[1]A-2'!L232</f>
        <v>0</v>
      </c>
      <c r="G343" s="30">
        <f t="shared" si="19"/>
        <v>526.62277979999988</v>
      </c>
      <c r="H343" s="76"/>
      <c r="I343" s="77"/>
      <c r="J343" s="78"/>
    </row>
    <row r="344" spans="1:10" s="41" customFormat="1" ht="15.5" x14ac:dyDescent="0.35">
      <c r="A344" s="79" t="s">
        <v>131</v>
      </c>
      <c r="B344" s="80"/>
      <c r="C344" s="80"/>
      <c r="D344" s="80"/>
      <c r="E344" s="80"/>
      <c r="F344" s="80"/>
      <c r="G344" s="80"/>
      <c r="H344" s="80"/>
      <c r="I344" s="80"/>
      <c r="J344" s="81"/>
    </row>
    <row r="345" spans="1:10" s="41" customFormat="1" ht="15.75" customHeight="1" x14ac:dyDescent="0.35">
      <c r="A345" s="68">
        <v>1</v>
      </c>
      <c r="B345" s="69"/>
      <c r="C345" s="30" t="s">
        <v>121</v>
      </c>
      <c r="D345" s="68">
        <f>34.427*10.764</f>
        <v>370.572228</v>
      </c>
      <c r="E345" s="69"/>
      <c r="F345" s="30">
        <f>'[1]Wing A-1'!L235</f>
        <v>0</v>
      </c>
      <c r="G345" s="30">
        <f t="shared" ref="G345:G350" si="20">D345*1.45+F345</f>
        <v>537.32973059999995</v>
      </c>
      <c r="H345" s="70" t="str">
        <f>A344</f>
        <v>14th &amp; 16th Floor</v>
      </c>
      <c r="I345" s="71"/>
      <c r="J345" s="72"/>
    </row>
    <row r="346" spans="1:10" s="41" customFormat="1" ht="15.5" x14ac:dyDescent="0.35">
      <c r="A346" s="68">
        <v>2</v>
      </c>
      <c r="B346" s="69"/>
      <c r="C346" s="30" t="s">
        <v>121</v>
      </c>
      <c r="D346" s="68">
        <f>34.64*10.764</f>
        <v>372.86496</v>
      </c>
      <c r="E346" s="69"/>
      <c r="F346" s="30">
        <f>'[1]A-2'!L235</f>
        <v>0</v>
      </c>
      <c r="G346" s="30">
        <f t="shared" si="20"/>
        <v>540.65419199999997</v>
      </c>
      <c r="H346" s="73"/>
      <c r="I346" s="74"/>
      <c r="J346" s="75"/>
    </row>
    <row r="347" spans="1:10" s="41" customFormat="1" ht="15.5" x14ac:dyDescent="0.35">
      <c r="A347" s="68">
        <v>3</v>
      </c>
      <c r="B347" s="69"/>
      <c r="C347" s="30" t="s">
        <v>121</v>
      </c>
      <c r="D347" s="68">
        <f>32.862*10.764</f>
        <v>353.72656799999999</v>
      </c>
      <c r="E347" s="69"/>
      <c r="F347" s="30">
        <f>'[1]A-3'!M235</f>
        <v>0</v>
      </c>
      <c r="G347" s="30">
        <f t="shared" si="20"/>
        <v>512.90352359999997</v>
      </c>
      <c r="H347" s="73"/>
      <c r="I347" s="74"/>
      <c r="J347" s="75"/>
    </row>
    <row r="348" spans="1:10" s="41" customFormat="1" ht="15.75" customHeight="1" x14ac:dyDescent="0.35">
      <c r="A348" s="68">
        <v>4</v>
      </c>
      <c r="B348" s="69"/>
      <c r="C348" s="30" t="s">
        <v>121</v>
      </c>
      <c r="D348" s="68">
        <f>40.166*10.764</f>
        <v>432.34682399999991</v>
      </c>
      <c r="E348" s="69"/>
      <c r="F348" s="30">
        <f>'[1]Wing A-1'!L238</f>
        <v>0</v>
      </c>
      <c r="G348" s="30">
        <f t="shared" si="20"/>
        <v>626.9028947999999</v>
      </c>
      <c r="H348" s="73"/>
      <c r="I348" s="74"/>
      <c r="J348" s="75"/>
    </row>
    <row r="349" spans="1:10" s="41" customFormat="1" ht="15.5" x14ac:dyDescent="0.35">
      <c r="A349" s="68">
        <v>5</v>
      </c>
      <c r="B349" s="69"/>
      <c r="C349" s="30" t="s">
        <v>121</v>
      </c>
      <c r="D349" s="68">
        <f>34.135*10.764</f>
        <v>367.42913999999996</v>
      </c>
      <c r="E349" s="69"/>
      <c r="F349" s="30">
        <f>'[1]A-3'!M243</f>
        <v>0</v>
      </c>
      <c r="G349" s="30">
        <f t="shared" si="20"/>
        <v>532.77225299999998</v>
      </c>
      <c r="H349" s="73"/>
      <c r="I349" s="74"/>
      <c r="J349" s="75"/>
    </row>
    <row r="350" spans="1:10" s="41" customFormat="1" ht="15.5" x14ac:dyDescent="0.35">
      <c r="A350" s="68">
        <v>6</v>
      </c>
      <c r="B350" s="69"/>
      <c r="C350" s="30" t="s">
        <v>121</v>
      </c>
      <c r="D350" s="68">
        <f>33.741*10.764</f>
        <v>363.18812399999996</v>
      </c>
      <c r="E350" s="69"/>
      <c r="F350" s="30">
        <f>'[1]A-2'!L238</f>
        <v>0</v>
      </c>
      <c r="G350" s="30">
        <f t="shared" si="20"/>
        <v>526.62277979999988</v>
      </c>
      <c r="H350" s="76"/>
      <c r="I350" s="77"/>
      <c r="J350" s="78"/>
    </row>
    <row r="351" spans="1:10" s="41" customFormat="1" ht="15.5" x14ac:dyDescent="0.35">
      <c r="A351" s="79" t="s">
        <v>132</v>
      </c>
      <c r="B351" s="80"/>
      <c r="C351" s="80"/>
      <c r="D351" s="80"/>
      <c r="E351" s="80"/>
      <c r="F351" s="80"/>
      <c r="G351" s="80"/>
      <c r="H351" s="80"/>
      <c r="I351" s="80"/>
      <c r="J351" s="81"/>
    </row>
    <row r="352" spans="1:10" s="41" customFormat="1" ht="15.75" customHeight="1" x14ac:dyDescent="0.35">
      <c r="A352" s="68">
        <v>1</v>
      </c>
      <c r="B352" s="69"/>
      <c r="C352" s="30" t="s">
        <v>121</v>
      </c>
      <c r="D352" s="68">
        <f>34.427*10.764</f>
        <v>370.572228</v>
      </c>
      <c r="E352" s="69"/>
      <c r="F352" s="30">
        <f>'[1]Wing A-1'!L226</f>
        <v>0</v>
      </c>
      <c r="G352" s="30">
        <f t="shared" ref="G352:G357" si="21">D352*1.45+F352</f>
        <v>537.32973059999995</v>
      </c>
      <c r="H352" s="70" t="str">
        <f>A351</f>
        <v>15th Floor</v>
      </c>
      <c r="I352" s="71"/>
      <c r="J352" s="72"/>
    </row>
    <row r="353" spans="1:10" s="41" customFormat="1" ht="15.5" x14ac:dyDescent="0.35">
      <c r="A353" s="68">
        <v>2</v>
      </c>
      <c r="B353" s="69"/>
      <c r="C353" s="30" t="s">
        <v>121</v>
      </c>
      <c r="D353" s="68">
        <f>34.64*10.764</f>
        <v>372.86496</v>
      </c>
      <c r="E353" s="69"/>
      <c r="F353" s="30">
        <f>'[1]A-2'!L226</f>
        <v>0</v>
      </c>
      <c r="G353" s="30">
        <f t="shared" si="21"/>
        <v>540.65419199999997</v>
      </c>
      <c r="H353" s="73"/>
      <c r="I353" s="74"/>
      <c r="J353" s="75"/>
    </row>
    <row r="354" spans="1:10" s="41" customFormat="1" ht="15.5" x14ac:dyDescent="0.35">
      <c r="A354" s="68">
        <v>3</v>
      </c>
      <c r="B354" s="69"/>
      <c r="C354" s="30" t="s">
        <v>121</v>
      </c>
      <c r="D354" s="68">
        <f>32.862*10.764</f>
        <v>353.72656799999999</v>
      </c>
      <c r="E354" s="69"/>
      <c r="F354" s="30">
        <f>'[1]A-3'!M226</f>
        <v>0</v>
      </c>
      <c r="G354" s="30">
        <f t="shared" si="21"/>
        <v>512.90352359999997</v>
      </c>
      <c r="H354" s="73"/>
      <c r="I354" s="74"/>
      <c r="J354" s="75"/>
    </row>
    <row r="355" spans="1:10" s="41" customFormat="1" ht="15.75" customHeight="1" x14ac:dyDescent="0.35">
      <c r="A355" s="68">
        <v>4</v>
      </c>
      <c r="B355" s="69"/>
      <c r="C355" s="30" t="s">
        <v>121</v>
      </c>
      <c r="D355" s="68">
        <f>40.166*10.764</f>
        <v>432.34682399999991</v>
      </c>
      <c r="E355" s="69"/>
      <c r="F355" s="30">
        <f>'[1]Wing A-1'!L229</f>
        <v>0</v>
      </c>
      <c r="G355" s="30">
        <f t="shared" si="21"/>
        <v>626.9028947999999</v>
      </c>
      <c r="H355" s="73"/>
      <c r="I355" s="74"/>
      <c r="J355" s="75"/>
    </row>
    <row r="356" spans="1:10" s="41" customFormat="1" ht="15.5" x14ac:dyDescent="0.35">
      <c r="A356" s="68">
        <v>5</v>
      </c>
      <c r="B356" s="69"/>
      <c r="C356" s="30" t="s">
        <v>121</v>
      </c>
      <c r="D356" s="68">
        <f>34.135*10.764</f>
        <v>367.42913999999996</v>
      </c>
      <c r="E356" s="69"/>
      <c r="F356" s="30">
        <f>'[1]A-3'!M238</f>
        <v>0</v>
      </c>
      <c r="G356" s="30">
        <f t="shared" si="21"/>
        <v>532.77225299999998</v>
      </c>
      <c r="H356" s="73"/>
      <c r="I356" s="74"/>
      <c r="J356" s="75"/>
    </row>
    <row r="357" spans="1:10" s="41" customFormat="1" ht="15.5" x14ac:dyDescent="0.35">
      <c r="A357" s="68">
        <v>6</v>
      </c>
      <c r="B357" s="69"/>
      <c r="C357" s="30" t="s">
        <v>121</v>
      </c>
      <c r="D357" s="68">
        <f>33.741*10.764</f>
        <v>363.18812399999996</v>
      </c>
      <c r="E357" s="69"/>
      <c r="F357" s="30">
        <f>'[1]A-2'!L229</f>
        <v>0</v>
      </c>
      <c r="G357" s="30">
        <f t="shared" si="21"/>
        <v>526.62277979999988</v>
      </c>
      <c r="H357" s="76"/>
      <c r="I357" s="77"/>
      <c r="J357" s="78"/>
    </row>
    <row r="358" spans="1:10" s="41" customFormat="1" ht="15.5" x14ac:dyDescent="0.35">
      <c r="A358" s="79" t="s">
        <v>248</v>
      </c>
      <c r="B358" s="80"/>
      <c r="C358" s="80"/>
      <c r="D358" s="80"/>
      <c r="E358" s="80"/>
      <c r="F358" s="80"/>
      <c r="G358" s="80"/>
      <c r="H358" s="80"/>
      <c r="I358" s="80"/>
      <c r="J358" s="81"/>
    </row>
    <row r="359" spans="1:10" s="41" customFormat="1" ht="15.75" customHeight="1" x14ac:dyDescent="0.35">
      <c r="A359" s="68">
        <v>1</v>
      </c>
      <c r="B359" s="69"/>
      <c r="C359" s="30" t="s">
        <v>121</v>
      </c>
      <c r="D359" s="68">
        <f>34.427*10.764</f>
        <v>370.572228</v>
      </c>
      <c r="E359" s="69"/>
      <c r="F359" s="30">
        <f>'[1]Wing A-1'!L247</f>
        <v>0</v>
      </c>
      <c r="G359" s="30">
        <f t="shared" ref="G359:G364" si="22">D359*1.45+F359</f>
        <v>537.32973059999995</v>
      </c>
      <c r="H359" s="70" t="str">
        <f>A358</f>
        <v>17th Floor</v>
      </c>
      <c r="I359" s="71"/>
      <c r="J359" s="72"/>
    </row>
    <row r="360" spans="1:10" s="41" customFormat="1" ht="15.5" x14ac:dyDescent="0.35">
      <c r="A360" s="68">
        <v>2</v>
      </c>
      <c r="B360" s="69"/>
      <c r="C360" s="30" t="s">
        <v>121</v>
      </c>
      <c r="D360" s="68">
        <f>34.64*10.764</f>
        <v>372.86496</v>
      </c>
      <c r="E360" s="69"/>
      <c r="F360" s="30">
        <f>'[1]A-2'!L247</f>
        <v>0</v>
      </c>
      <c r="G360" s="30">
        <f t="shared" si="22"/>
        <v>540.65419199999997</v>
      </c>
      <c r="H360" s="73"/>
      <c r="I360" s="74"/>
      <c r="J360" s="75"/>
    </row>
    <row r="361" spans="1:10" s="41" customFormat="1" ht="15.5" x14ac:dyDescent="0.35">
      <c r="A361" s="68">
        <v>3</v>
      </c>
      <c r="B361" s="69"/>
      <c r="C361" s="30" t="s">
        <v>121</v>
      </c>
      <c r="D361" s="68">
        <f>32.862*10.764</f>
        <v>353.72656799999999</v>
      </c>
      <c r="E361" s="69"/>
      <c r="F361" s="30">
        <f>'[1]A-3'!M247</f>
        <v>0</v>
      </c>
      <c r="G361" s="30">
        <f t="shared" si="22"/>
        <v>512.90352359999997</v>
      </c>
      <c r="H361" s="73"/>
      <c r="I361" s="74"/>
      <c r="J361" s="75"/>
    </row>
    <row r="362" spans="1:10" s="41" customFormat="1" ht="15.75" customHeight="1" x14ac:dyDescent="0.35">
      <c r="A362" s="68">
        <v>4</v>
      </c>
      <c r="B362" s="69"/>
      <c r="C362" s="30" t="s">
        <v>121</v>
      </c>
      <c r="D362" s="68">
        <f>40.166*10.764</f>
        <v>432.34682399999991</v>
      </c>
      <c r="E362" s="69"/>
      <c r="F362" s="30">
        <f>'[1]Wing A-1'!L250</f>
        <v>0</v>
      </c>
      <c r="G362" s="30">
        <f t="shared" si="22"/>
        <v>626.9028947999999</v>
      </c>
      <c r="H362" s="73"/>
      <c r="I362" s="74"/>
      <c r="J362" s="75"/>
    </row>
    <row r="363" spans="1:10" s="41" customFormat="1" ht="15.5" x14ac:dyDescent="0.35">
      <c r="A363" s="68">
        <v>5</v>
      </c>
      <c r="B363" s="69"/>
      <c r="C363" s="30" t="s">
        <v>121</v>
      </c>
      <c r="D363" s="68">
        <f>34.135*10.764</f>
        <v>367.42913999999996</v>
      </c>
      <c r="E363" s="69"/>
      <c r="F363" s="30">
        <f>'[1]A-3'!M256</f>
        <v>0</v>
      </c>
      <c r="G363" s="30">
        <f t="shared" si="22"/>
        <v>532.77225299999998</v>
      </c>
      <c r="H363" s="73"/>
      <c r="I363" s="74"/>
      <c r="J363" s="75"/>
    </row>
    <row r="364" spans="1:10" s="41" customFormat="1" ht="15.5" x14ac:dyDescent="0.35">
      <c r="A364" s="68">
        <v>6</v>
      </c>
      <c r="B364" s="69"/>
      <c r="C364" s="30" t="s">
        <v>121</v>
      </c>
      <c r="D364" s="68">
        <f>33.741*10.764</f>
        <v>363.18812399999996</v>
      </c>
      <c r="E364" s="69"/>
      <c r="F364" s="30">
        <f>'[1]A-2'!L250</f>
        <v>0</v>
      </c>
      <c r="G364" s="30">
        <f t="shared" si="22"/>
        <v>526.62277979999988</v>
      </c>
      <c r="H364" s="76"/>
      <c r="I364" s="77"/>
      <c r="J364" s="78"/>
    </row>
    <row r="365" spans="1:10" s="41" customFormat="1" ht="15.5" x14ac:dyDescent="0.35">
      <c r="A365" s="79" t="s">
        <v>133</v>
      </c>
      <c r="B365" s="80"/>
      <c r="C365" s="80"/>
      <c r="D365" s="80"/>
      <c r="E365" s="80"/>
      <c r="F365" s="80"/>
      <c r="G365" s="80"/>
      <c r="H365" s="80"/>
      <c r="I365" s="80"/>
      <c r="J365" s="81"/>
    </row>
    <row r="366" spans="1:10" s="41" customFormat="1" ht="15.75" customHeight="1" x14ac:dyDescent="0.35">
      <c r="A366" s="68">
        <v>1</v>
      </c>
      <c r="B366" s="69"/>
      <c r="C366" s="30" t="s">
        <v>121</v>
      </c>
      <c r="D366" s="68">
        <f>34.427*10.764</f>
        <v>370.572228</v>
      </c>
      <c r="E366" s="69"/>
      <c r="F366" s="30">
        <f>'[1]Wing A-1'!L253</f>
        <v>0</v>
      </c>
      <c r="G366" s="30">
        <f t="shared" ref="G366:G371" si="23">D366*1.45+F366</f>
        <v>537.32973059999995</v>
      </c>
      <c r="H366" s="70" t="str">
        <f>A365</f>
        <v>18th &amp; 20th Floor</v>
      </c>
      <c r="I366" s="71"/>
      <c r="J366" s="72"/>
    </row>
    <row r="367" spans="1:10" s="41" customFormat="1" ht="15.5" x14ac:dyDescent="0.35">
      <c r="A367" s="68">
        <v>2</v>
      </c>
      <c r="B367" s="69"/>
      <c r="C367" s="30" t="s">
        <v>121</v>
      </c>
      <c r="D367" s="68">
        <f>34.64*10.764</f>
        <v>372.86496</v>
      </c>
      <c r="E367" s="69"/>
      <c r="F367" s="30">
        <f>'[1]A-2'!L253</f>
        <v>0</v>
      </c>
      <c r="G367" s="30">
        <f t="shared" si="23"/>
        <v>540.65419199999997</v>
      </c>
      <c r="H367" s="73"/>
      <c r="I367" s="74"/>
      <c r="J367" s="75"/>
    </row>
    <row r="368" spans="1:10" s="41" customFormat="1" ht="15.5" x14ac:dyDescent="0.35">
      <c r="A368" s="68">
        <v>3</v>
      </c>
      <c r="B368" s="69"/>
      <c r="C368" s="30" t="s">
        <v>121</v>
      </c>
      <c r="D368" s="68">
        <f>32.862*10.764</f>
        <v>353.72656799999999</v>
      </c>
      <c r="E368" s="69"/>
      <c r="F368" s="30">
        <f>'[1]A-3'!M253</f>
        <v>0</v>
      </c>
      <c r="G368" s="30">
        <f t="shared" si="23"/>
        <v>512.90352359999997</v>
      </c>
      <c r="H368" s="73"/>
      <c r="I368" s="74"/>
      <c r="J368" s="75"/>
    </row>
    <row r="369" spans="1:10" s="41" customFormat="1" ht="15.75" customHeight="1" x14ac:dyDescent="0.35">
      <c r="A369" s="68">
        <v>4</v>
      </c>
      <c r="B369" s="69"/>
      <c r="C369" s="30" t="s">
        <v>121</v>
      </c>
      <c r="D369" s="68">
        <f>40.166*10.764</f>
        <v>432.34682399999991</v>
      </c>
      <c r="E369" s="69"/>
      <c r="F369" s="30">
        <f>'[1]Wing A-1'!L256</f>
        <v>0</v>
      </c>
      <c r="G369" s="30">
        <f t="shared" si="23"/>
        <v>626.9028947999999</v>
      </c>
      <c r="H369" s="73"/>
      <c r="I369" s="74"/>
      <c r="J369" s="75"/>
    </row>
    <row r="370" spans="1:10" s="41" customFormat="1" ht="15.5" x14ac:dyDescent="0.35">
      <c r="A370" s="68">
        <v>5</v>
      </c>
      <c r="B370" s="69"/>
      <c r="C370" s="30" t="s">
        <v>121</v>
      </c>
      <c r="D370" s="68">
        <f>34.135*10.764</f>
        <v>367.42913999999996</v>
      </c>
      <c r="E370" s="69"/>
      <c r="F370" s="30">
        <f>'[1]A-3'!M263</f>
        <v>0</v>
      </c>
      <c r="G370" s="30">
        <f t="shared" si="23"/>
        <v>532.77225299999998</v>
      </c>
      <c r="H370" s="73"/>
      <c r="I370" s="74"/>
      <c r="J370" s="75"/>
    </row>
    <row r="371" spans="1:10" s="41" customFormat="1" ht="15.5" x14ac:dyDescent="0.35">
      <c r="A371" s="68">
        <v>6</v>
      </c>
      <c r="B371" s="69"/>
      <c r="C371" s="30" t="s">
        <v>121</v>
      </c>
      <c r="D371" s="68">
        <f>33.741*10.764</f>
        <v>363.18812399999996</v>
      </c>
      <c r="E371" s="69"/>
      <c r="F371" s="30">
        <f>'[1]A-2'!L256</f>
        <v>0</v>
      </c>
      <c r="G371" s="30">
        <f t="shared" si="23"/>
        <v>526.62277979999988</v>
      </c>
      <c r="H371" s="76"/>
      <c r="I371" s="77"/>
      <c r="J371" s="78"/>
    </row>
    <row r="372" spans="1:10" s="41" customFormat="1" ht="15.5" x14ac:dyDescent="0.35">
      <c r="A372" s="79" t="s">
        <v>249</v>
      </c>
      <c r="B372" s="80"/>
      <c r="C372" s="80"/>
      <c r="D372" s="80"/>
      <c r="E372" s="80"/>
      <c r="F372" s="80"/>
      <c r="G372" s="80"/>
      <c r="H372" s="80"/>
      <c r="I372" s="80"/>
      <c r="J372" s="81"/>
    </row>
    <row r="373" spans="1:10" s="41" customFormat="1" ht="15.75" customHeight="1" x14ac:dyDescent="0.35">
      <c r="A373" s="68">
        <v>1</v>
      </c>
      <c r="B373" s="69"/>
      <c r="C373" s="30" t="s">
        <v>121</v>
      </c>
      <c r="D373" s="68">
        <f>34.427*10.764</f>
        <v>370.572228</v>
      </c>
      <c r="E373" s="69"/>
      <c r="F373" s="30">
        <f>'[1]Wing A-1'!L259</f>
        <v>0</v>
      </c>
      <c r="G373" s="30">
        <f t="shared" ref="G373:G378" si="24">D373*1.45+F373</f>
        <v>537.32973059999995</v>
      </c>
      <c r="H373" s="70" t="str">
        <f>A372</f>
        <v>19th &amp; 21st Floor</v>
      </c>
      <c r="I373" s="71"/>
      <c r="J373" s="72"/>
    </row>
    <row r="374" spans="1:10" s="41" customFormat="1" ht="15.5" x14ac:dyDescent="0.35">
      <c r="A374" s="68">
        <v>2</v>
      </c>
      <c r="B374" s="69"/>
      <c r="C374" s="30" t="s">
        <v>121</v>
      </c>
      <c r="D374" s="68">
        <f>34.64*10.764</f>
        <v>372.86496</v>
      </c>
      <c r="E374" s="69"/>
      <c r="F374" s="30">
        <f>'[1]A-2'!L259</f>
        <v>0</v>
      </c>
      <c r="G374" s="30">
        <f t="shared" si="24"/>
        <v>540.65419199999997</v>
      </c>
      <c r="H374" s="73"/>
      <c r="I374" s="74"/>
      <c r="J374" s="75"/>
    </row>
    <row r="375" spans="1:10" s="41" customFormat="1" ht="15.5" x14ac:dyDescent="0.35">
      <c r="A375" s="68">
        <v>3</v>
      </c>
      <c r="B375" s="69"/>
      <c r="C375" s="30" t="s">
        <v>121</v>
      </c>
      <c r="D375" s="68">
        <f>32.862*10.764</f>
        <v>353.72656799999999</v>
      </c>
      <c r="E375" s="69"/>
      <c r="F375" s="30">
        <f>'[1]A-3'!M259</f>
        <v>0</v>
      </c>
      <c r="G375" s="30">
        <f t="shared" si="24"/>
        <v>512.90352359999997</v>
      </c>
      <c r="H375" s="73"/>
      <c r="I375" s="74"/>
      <c r="J375" s="75"/>
    </row>
    <row r="376" spans="1:10" s="41" customFormat="1" ht="15.75" customHeight="1" x14ac:dyDescent="0.35">
      <c r="A376" s="68">
        <v>4</v>
      </c>
      <c r="B376" s="69"/>
      <c r="C376" s="30" t="s">
        <v>121</v>
      </c>
      <c r="D376" s="68">
        <f>40.166*10.764</f>
        <v>432.34682399999991</v>
      </c>
      <c r="E376" s="69"/>
      <c r="F376" s="30">
        <f>'[1]Wing A-1'!L262</f>
        <v>0</v>
      </c>
      <c r="G376" s="30">
        <f t="shared" si="24"/>
        <v>626.9028947999999</v>
      </c>
      <c r="H376" s="73"/>
      <c r="I376" s="74"/>
      <c r="J376" s="75"/>
    </row>
    <row r="377" spans="1:10" s="41" customFormat="1" ht="15.5" x14ac:dyDescent="0.35">
      <c r="A377" s="68">
        <v>5</v>
      </c>
      <c r="B377" s="69"/>
      <c r="C377" s="30" t="s">
        <v>121</v>
      </c>
      <c r="D377" s="68">
        <f>34.135*10.764</f>
        <v>367.42913999999996</v>
      </c>
      <c r="E377" s="69"/>
      <c r="F377" s="30">
        <f>'[1]A-3'!M270</f>
        <v>0</v>
      </c>
      <c r="G377" s="30">
        <f t="shared" si="24"/>
        <v>532.77225299999998</v>
      </c>
      <c r="H377" s="73"/>
      <c r="I377" s="74"/>
      <c r="J377" s="75"/>
    </row>
    <row r="378" spans="1:10" s="41" customFormat="1" ht="15.5" x14ac:dyDescent="0.35">
      <c r="A378" s="68">
        <v>6</v>
      </c>
      <c r="B378" s="69"/>
      <c r="C378" s="30" t="s">
        <v>121</v>
      </c>
      <c r="D378" s="68">
        <f>33.741*10.764</f>
        <v>363.18812399999996</v>
      </c>
      <c r="E378" s="69"/>
      <c r="F378" s="30">
        <f>'[1]A-2'!L262</f>
        <v>0</v>
      </c>
      <c r="G378" s="30">
        <f t="shared" si="24"/>
        <v>526.62277979999988</v>
      </c>
      <c r="H378" s="76"/>
      <c r="I378" s="77"/>
      <c r="J378" s="78"/>
    </row>
    <row r="379" spans="1:10" s="41" customFormat="1" ht="15.5" x14ac:dyDescent="0.35">
      <c r="A379" s="79" t="s">
        <v>134</v>
      </c>
      <c r="B379" s="80"/>
      <c r="C379" s="80"/>
      <c r="D379" s="80"/>
      <c r="E379" s="80"/>
      <c r="F379" s="80"/>
      <c r="G379" s="80"/>
      <c r="H379" s="80"/>
      <c r="I379" s="80"/>
      <c r="J379" s="81"/>
    </row>
    <row r="380" spans="1:10" s="41" customFormat="1" ht="15.75" customHeight="1" x14ac:dyDescent="0.35">
      <c r="A380" s="68">
        <v>1</v>
      </c>
      <c r="B380" s="69"/>
      <c r="C380" s="30" t="s">
        <v>121</v>
      </c>
      <c r="D380" s="68">
        <f>34.427*10.764</f>
        <v>370.572228</v>
      </c>
      <c r="E380" s="69"/>
      <c r="F380" s="30">
        <f>'[1]Wing A-1'!L259</f>
        <v>0</v>
      </c>
      <c r="G380" s="30">
        <f t="shared" ref="G380:G385" si="25">D380*1.45+F380</f>
        <v>537.32973059999995</v>
      </c>
      <c r="H380" s="70" t="str">
        <f>A379</f>
        <v>22nd Floor</v>
      </c>
      <c r="I380" s="71"/>
      <c r="J380" s="72"/>
    </row>
    <row r="381" spans="1:10" s="41" customFormat="1" ht="15.5" x14ac:dyDescent="0.35">
      <c r="A381" s="68">
        <v>2</v>
      </c>
      <c r="B381" s="69"/>
      <c r="C381" s="30" t="s">
        <v>121</v>
      </c>
      <c r="D381" s="68">
        <f>34.64*10.764</f>
        <v>372.86496</v>
      </c>
      <c r="E381" s="69"/>
      <c r="F381" s="30">
        <f>'[1]A-2'!L259</f>
        <v>0</v>
      </c>
      <c r="G381" s="30">
        <f t="shared" si="25"/>
        <v>540.65419199999997</v>
      </c>
      <c r="H381" s="73"/>
      <c r="I381" s="74"/>
      <c r="J381" s="75"/>
    </row>
    <row r="382" spans="1:10" s="41" customFormat="1" ht="15.5" x14ac:dyDescent="0.35">
      <c r="A382" s="68">
        <v>3</v>
      </c>
      <c r="B382" s="69"/>
      <c r="C382" s="30" t="s">
        <v>121</v>
      </c>
      <c r="D382" s="68">
        <f>32.862*10.764</f>
        <v>353.72656799999999</v>
      </c>
      <c r="E382" s="69"/>
      <c r="F382" s="30">
        <f>'[1]A-3'!M259</f>
        <v>0</v>
      </c>
      <c r="G382" s="30">
        <f t="shared" si="25"/>
        <v>512.90352359999997</v>
      </c>
      <c r="H382" s="73"/>
      <c r="I382" s="74"/>
      <c r="J382" s="75"/>
    </row>
    <row r="383" spans="1:10" s="41" customFormat="1" ht="15.75" customHeight="1" x14ac:dyDescent="0.35">
      <c r="A383" s="68">
        <v>4</v>
      </c>
      <c r="B383" s="69"/>
      <c r="C383" s="30" t="s">
        <v>121</v>
      </c>
      <c r="D383" s="68">
        <f>40.166*10.764</f>
        <v>432.34682399999991</v>
      </c>
      <c r="E383" s="69"/>
      <c r="F383" s="30">
        <f>'[1]Wing A-1'!L262</f>
        <v>0</v>
      </c>
      <c r="G383" s="30">
        <f t="shared" si="25"/>
        <v>626.9028947999999</v>
      </c>
      <c r="H383" s="73"/>
      <c r="I383" s="74"/>
      <c r="J383" s="75"/>
    </row>
    <row r="384" spans="1:10" s="41" customFormat="1" ht="15.5" x14ac:dyDescent="0.35">
      <c r="A384" s="68">
        <v>5</v>
      </c>
      <c r="B384" s="69"/>
      <c r="C384" s="30" t="s">
        <v>121</v>
      </c>
      <c r="D384" s="68">
        <f>34.135*10.764</f>
        <v>367.42913999999996</v>
      </c>
      <c r="E384" s="69"/>
      <c r="F384" s="30">
        <f>'[1]A-3'!M271</f>
        <v>0</v>
      </c>
      <c r="G384" s="30">
        <f t="shared" si="25"/>
        <v>532.77225299999998</v>
      </c>
      <c r="H384" s="73"/>
      <c r="I384" s="74"/>
      <c r="J384" s="75"/>
    </row>
    <row r="385" spans="1:10" s="41" customFormat="1" ht="15.5" x14ac:dyDescent="0.35">
      <c r="A385" s="68">
        <v>6</v>
      </c>
      <c r="B385" s="69"/>
      <c r="C385" s="30" t="s">
        <v>121</v>
      </c>
      <c r="D385" s="68">
        <f>33.741*10.764</f>
        <v>363.18812399999996</v>
      </c>
      <c r="E385" s="69"/>
      <c r="F385" s="30">
        <f>'[1]A-2'!L262</f>
        <v>0</v>
      </c>
      <c r="G385" s="30">
        <f t="shared" si="25"/>
        <v>526.62277979999988</v>
      </c>
      <c r="H385" s="76"/>
      <c r="I385" s="77"/>
      <c r="J385" s="78"/>
    </row>
    <row r="386" spans="1:10" s="41" customFormat="1" ht="15.5" x14ac:dyDescent="0.35">
      <c r="A386" s="79" t="s">
        <v>135</v>
      </c>
      <c r="B386" s="80"/>
      <c r="C386" s="80"/>
      <c r="D386" s="80"/>
      <c r="E386" s="80"/>
      <c r="F386" s="80"/>
      <c r="G386" s="80"/>
      <c r="H386" s="80"/>
      <c r="I386" s="80"/>
      <c r="J386" s="81"/>
    </row>
    <row r="387" spans="1:10" s="41" customFormat="1" ht="15.75" customHeight="1" x14ac:dyDescent="0.35">
      <c r="A387" s="68">
        <v>1</v>
      </c>
      <c r="B387" s="69"/>
      <c r="C387" s="30" t="s">
        <v>121</v>
      </c>
      <c r="D387" s="68">
        <f>34.427*10.764</f>
        <v>370.572228</v>
      </c>
      <c r="E387" s="69"/>
      <c r="F387" s="30">
        <f>'[1]Wing A-1'!L271</f>
        <v>0</v>
      </c>
      <c r="G387" s="30">
        <f t="shared" ref="G387:G392" si="26">D387*1.45+F387</f>
        <v>537.32973059999995</v>
      </c>
      <c r="H387" s="70" t="str">
        <f>A386</f>
        <v>23rd Floor</v>
      </c>
      <c r="I387" s="71"/>
      <c r="J387" s="72"/>
    </row>
    <row r="388" spans="1:10" s="41" customFormat="1" ht="15.5" x14ac:dyDescent="0.35">
      <c r="A388" s="68">
        <v>2</v>
      </c>
      <c r="B388" s="69"/>
      <c r="C388" s="30" t="s">
        <v>121</v>
      </c>
      <c r="D388" s="68">
        <f>34.64*10.764</f>
        <v>372.86496</v>
      </c>
      <c r="E388" s="69"/>
      <c r="F388" s="30">
        <f>'[1]A-2'!L271</f>
        <v>0</v>
      </c>
      <c r="G388" s="30">
        <f t="shared" si="26"/>
        <v>540.65419199999997</v>
      </c>
      <c r="H388" s="73"/>
      <c r="I388" s="74"/>
      <c r="J388" s="75"/>
    </row>
    <row r="389" spans="1:10" s="41" customFormat="1" ht="15.5" x14ac:dyDescent="0.35">
      <c r="A389" s="68">
        <v>3</v>
      </c>
      <c r="B389" s="69"/>
      <c r="C389" s="30" t="s">
        <v>121</v>
      </c>
      <c r="D389" s="68">
        <f>32.862*10.764</f>
        <v>353.72656799999999</v>
      </c>
      <c r="E389" s="69"/>
      <c r="F389" s="30">
        <f>'[1]A-3'!M271</f>
        <v>0</v>
      </c>
      <c r="G389" s="30">
        <f t="shared" si="26"/>
        <v>512.90352359999997</v>
      </c>
      <c r="H389" s="73"/>
      <c r="I389" s="74"/>
      <c r="J389" s="75"/>
    </row>
    <row r="390" spans="1:10" s="41" customFormat="1" ht="15.75" customHeight="1" x14ac:dyDescent="0.35">
      <c r="A390" s="68">
        <v>4</v>
      </c>
      <c r="B390" s="69"/>
      <c r="C390" s="30" t="s">
        <v>121</v>
      </c>
      <c r="D390" s="68">
        <f>40.166*10.764</f>
        <v>432.34682399999991</v>
      </c>
      <c r="E390" s="69"/>
      <c r="F390" s="30">
        <f>'[1]Wing A-1'!L274</f>
        <v>0</v>
      </c>
      <c r="G390" s="30">
        <f t="shared" si="26"/>
        <v>626.9028947999999</v>
      </c>
      <c r="H390" s="73"/>
      <c r="I390" s="74"/>
      <c r="J390" s="75"/>
    </row>
    <row r="391" spans="1:10" s="41" customFormat="1" ht="15.5" x14ac:dyDescent="0.35">
      <c r="A391" s="68">
        <v>5</v>
      </c>
      <c r="B391" s="69"/>
      <c r="C391" s="30" t="s">
        <v>121</v>
      </c>
      <c r="D391" s="68">
        <f>34.135*10.764</f>
        <v>367.42913999999996</v>
      </c>
      <c r="E391" s="69"/>
      <c r="F391" s="30">
        <f>'[1]A-3'!M283</f>
        <v>0</v>
      </c>
      <c r="G391" s="30">
        <f t="shared" si="26"/>
        <v>532.77225299999998</v>
      </c>
      <c r="H391" s="73"/>
      <c r="I391" s="74"/>
      <c r="J391" s="75"/>
    </row>
    <row r="392" spans="1:10" s="41" customFormat="1" ht="15.5" x14ac:dyDescent="0.35">
      <c r="A392" s="68">
        <v>6</v>
      </c>
      <c r="B392" s="69"/>
      <c r="C392" s="30" t="s">
        <v>121</v>
      </c>
      <c r="D392" s="68">
        <f>33.741*10.764</f>
        <v>363.18812399999996</v>
      </c>
      <c r="E392" s="69"/>
      <c r="F392" s="30">
        <f>'[1]A-2'!L274</f>
        <v>0</v>
      </c>
      <c r="G392" s="30">
        <f t="shared" si="26"/>
        <v>526.62277979999988</v>
      </c>
      <c r="H392" s="76"/>
      <c r="I392" s="77"/>
      <c r="J392" s="78"/>
    </row>
    <row r="393" spans="1:10" s="41" customFormat="1" ht="15.5" x14ac:dyDescent="0.35">
      <c r="A393" s="79" t="s">
        <v>124</v>
      </c>
      <c r="B393" s="80"/>
      <c r="C393" s="80"/>
      <c r="D393" s="80"/>
      <c r="E393" s="80"/>
      <c r="F393" s="80"/>
      <c r="G393" s="80"/>
      <c r="H393" s="80"/>
      <c r="I393" s="80"/>
      <c r="J393" s="81"/>
    </row>
    <row r="394" spans="1:10" s="41" customFormat="1" ht="15.5" x14ac:dyDescent="0.35">
      <c r="A394" s="79" t="s">
        <v>120</v>
      </c>
      <c r="B394" s="80"/>
      <c r="C394" s="80"/>
      <c r="D394" s="80"/>
      <c r="E394" s="80"/>
      <c r="F394" s="80"/>
      <c r="G394" s="80"/>
      <c r="H394" s="80"/>
      <c r="I394" s="80"/>
      <c r="J394" s="81"/>
    </row>
    <row r="395" spans="1:10" s="41" customFormat="1" ht="15.5" x14ac:dyDescent="0.35">
      <c r="A395" s="68">
        <v>1</v>
      </c>
      <c r="B395" s="69"/>
      <c r="C395" s="30" t="s">
        <v>121</v>
      </c>
      <c r="D395" s="68">
        <f>32.562*10.764</f>
        <v>350.49736799999994</v>
      </c>
      <c r="E395" s="69"/>
      <c r="F395" s="30">
        <f>'[1]A-2'!L291</f>
        <v>0</v>
      </c>
      <c r="G395" s="30">
        <f>D395*1.45+F395</f>
        <v>508.2211835999999</v>
      </c>
      <c r="H395" s="73" t="str">
        <f>A394</f>
        <v>1st Floor</v>
      </c>
      <c r="I395" s="74"/>
      <c r="J395" s="75"/>
    </row>
    <row r="396" spans="1:10" s="41" customFormat="1" ht="15.5" x14ac:dyDescent="0.35">
      <c r="A396" s="68">
        <v>2</v>
      </c>
      <c r="B396" s="69"/>
      <c r="C396" s="30" t="s">
        <v>121</v>
      </c>
      <c r="D396" s="68">
        <f>40.227*10.764</f>
        <v>433.00342799999993</v>
      </c>
      <c r="E396" s="69"/>
      <c r="F396" s="30">
        <f>'[1]A-2'!L292</f>
        <v>0</v>
      </c>
      <c r="G396" s="30">
        <f>D396*1.45+F396</f>
        <v>627.85497059999989</v>
      </c>
      <c r="H396" s="73"/>
      <c r="I396" s="74"/>
      <c r="J396" s="75"/>
    </row>
    <row r="397" spans="1:10" s="41" customFormat="1" ht="15.5" x14ac:dyDescent="0.35">
      <c r="A397" s="68">
        <v>3</v>
      </c>
      <c r="B397" s="69"/>
      <c r="C397" s="30" t="s">
        <v>121</v>
      </c>
      <c r="D397" s="68">
        <f>32.75*10.764</f>
        <v>352.52099999999996</v>
      </c>
      <c r="E397" s="69"/>
      <c r="F397" s="30">
        <f>'[1]A-3'!M292</f>
        <v>0</v>
      </c>
      <c r="G397" s="30">
        <f>D397*1.45+F397</f>
        <v>511.15544999999992</v>
      </c>
      <c r="H397" s="73"/>
      <c r="I397" s="74"/>
      <c r="J397" s="75"/>
    </row>
    <row r="398" spans="1:10" s="41" customFormat="1" ht="15.5" x14ac:dyDescent="0.35">
      <c r="A398" s="68">
        <v>4</v>
      </c>
      <c r="B398" s="69"/>
      <c r="C398" s="30" t="s">
        <v>121</v>
      </c>
      <c r="D398" s="68">
        <f>40.227*10.764</f>
        <v>433.00342799999993</v>
      </c>
      <c r="E398" s="69"/>
      <c r="F398" s="30">
        <f>'[1]A-3'!M292</f>
        <v>0</v>
      </c>
      <c r="G398" s="30">
        <f>D398*1.45+F398</f>
        <v>627.85497059999989</v>
      </c>
      <c r="H398" s="73"/>
      <c r="I398" s="74"/>
      <c r="J398" s="75"/>
    </row>
    <row r="399" spans="1:10" s="41" customFormat="1" ht="15.5" x14ac:dyDescent="0.35">
      <c r="A399" s="68">
        <v>5</v>
      </c>
      <c r="B399" s="69"/>
      <c r="C399" s="30" t="s">
        <v>121</v>
      </c>
      <c r="D399" s="68">
        <f>32.862*10.764</f>
        <v>353.72656799999999</v>
      </c>
      <c r="E399" s="69"/>
      <c r="F399" s="30">
        <f>'[1]A-2'!L294</f>
        <v>0</v>
      </c>
      <c r="G399" s="30">
        <f>D399*1.45+F399</f>
        <v>512.90352359999997</v>
      </c>
      <c r="H399" s="73"/>
      <c r="I399" s="74"/>
      <c r="J399" s="75"/>
    </row>
    <row r="400" spans="1:10" s="41" customFormat="1" ht="15.75" customHeight="1" x14ac:dyDescent="0.35">
      <c r="A400" s="79" t="s">
        <v>251</v>
      </c>
      <c r="B400" s="80"/>
      <c r="C400" s="80"/>
      <c r="D400" s="80"/>
      <c r="E400" s="80"/>
      <c r="F400" s="80"/>
      <c r="G400" s="80"/>
      <c r="H400" s="80"/>
      <c r="I400" s="80"/>
      <c r="J400" s="81"/>
    </row>
    <row r="401" spans="1:10" s="41" customFormat="1" ht="15.75" customHeight="1" x14ac:dyDescent="0.35">
      <c r="A401" s="68">
        <v>1</v>
      </c>
      <c r="B401" s="69"/>
      <c r="C401" s="30" t="s">
        <v>121</v>
      </c>
      <c r="D401" s="68">
        <f>32.562*10.764</f>
        <v>350.49736799999994</v>
      </c>
      <c r="E401" s="69"/>
      <c r="F401" s="30">
        <f>'[1]Wing A-1'!L296</f>
        <v>0</v>
      </c>
      <c r="G401" s="30">
        <f>D401*1.45+F401</f>
        <v>508.2211835999999</v>
      </c>
      <c r="H401" s="70" t="str">
        <f>A400</f>
        <v>2nd to 7th, 9th &amp; 11th Floor</v>
      </c>
      <c r="I401" s="71"/>
      <c r="J401" s="72"/>
    </row>
    <row r="402" spans="1:10" s="41" customFormat="1" ht="15.5" x14ac:dyDescent="0.35">
      <c r="A402" s="68">
        <v>2</v>
      </c>
      <c r="B402" s="69"/>
      <c r="C402" s="30" t="s">
        <v>121</v>
      </c>
      <c r="D402" s="68">
        <f>40.227*10.764</f>
        <v>433.00342799999993</v>
      </c>
      <c r="E402" s="69"/>
      <c r="F402" s="30">
        <f>'[1]A-2'!L296</f>
        <v>0</v>
      </c>
      <c r="G402" s="30">
        <f>D402*1.45+F402</f>
        <v>627.85497059999989</v>
      </c>
      <c r="H402" s="73"/>
      <c r="I402" s="74"/>
      <c r="J402" s="75"/>
    </row>
    <row r="403" spans="1:10" s="41" customFormat="1" ht="15.5" x14ac:dyDescent="0.35">
      <c r="A403" s="68">
        <v>3</v>
      </c>
      <c r="B403" s="69"/>
      <c r="C403" s="30" t="s">
        <v>121</v>
      </c>
      <c r="D403" s="68">
        <f>32.75*10.764</f>
        <v>352.52099999999996</v>
      </c>
      <c r="E403" s="69"/>
      <c r="F403" s="30">
        <f>'[1]A-3'!M296</f>
        <v>0</v>
      </c>
      <c r="G403" s="30">
        <f>D403*1.45+F403</f>
        <v>511.15544999999992</v>
      </c>
      <c r="H403" s="73"/>
      <c r="I403" s="74"/>
      <c r="J403" s="75"/>
    </row>
    <row r="404" spans="1:10" s="41" customFormat="1" ht="15.75" customHeight="1" x14ac:dyDescent="0.35">
      <c r="A404" s="68">
        <v>4</v>
      </c>
      <c r="B404" s="69"/>
      <c r="C404" s="30" t="s">
        <v>121</v>
      </c>
      <c r="D404" s="68">
        <f>40.227*10.764</f>
        <v>433.00342799999993</v>
      </c>
      <c r="E404" s="69"/>
      <c r="F404" s="30">
        <f>'[1]Wing A-1'!L299</f>
        <v>0</v>
      </c>
      <c r="G404" s="30">
        <f>D404*1.45+F404</f>
        <v>627.85497059999989</v>
      </c>
      <c r="H404" s="73"/>
      <c r="I404" s="74"/>
      <c r="J404" s="75"/>
    </row>
    <row r="405" spans="1:10" s="41" customFormat="1" ht="15.5" x14ac:dyDescent="0.35">
      <c r="A405" s="68">
        <v>5</v>
      </c>
      <c r="B405" s="69"/>
      <c r="C405" s="30" t="s">
        <v>121</v>
      </c>
      <c r="D405" s="68">
        <f>32.862*10.764</f>
        <v>353.72656799999999</v>
      </c>
      <c r="E405" s="69"/>
      <c r="F405" s="30">
        <f>'[1]A-3'!M300</f>
        <v>0</v>
      </c>
      <c r="G405" s="30">
        <f>D405*1.45+F405</f>
        <v>512.90352359999997</v>
      </c>
      <c r="H405" s="73"/>
      <c r="I405" s="74"/>
      <c r="J405" s="75"/>
    </row>
    <row r="406" spans="1:10" s="41" customFormat="1" ht="15.75" customHeight="1" x14ac:dyDescent="0.35">
      <c r="A406" s="79" t="s">
        <v>246</v>
      </c>
      <c r="B406" s="80"/>
      <c r="C406" s="80"/>
      <c r="D406" s="80"/>
      <c r="E406" s="80"/>
      <c r="F406" s="80"/>
      <c r="G406" s="80"/>
      <c r="H406" s="80"/>
      <c r="I406" s="80"/>
      <c r="J406" s="81"/>
    </row>
    <row r="407" spans="1:10" s="41" customFormat="1" ht="15.75" customHeight="1" x14ac:dyDescent="0.35">
      <c r="A407" s="68">
        <v>1</v>
      </c>
      <c r="B407" s="69"/>
      <c r="C407" s="30" t="s">
        <v>121</v>
      </c>
      <c r="D407" s="68">
        <f>32.562*10.764</f>
        <v>350.49736799999994</v>
      </c>
      <c r="E407" s="69"/>
      <c r="F407" s="30">
        <f>'[1]Wing A-1'!L303</f>
        <v>0</v>
      </c>
      <c r="G407" s="30">
        <f>D407*1.45+F407</f>
        <v>508.2211835999999</v>
      </c>
      <c r="H407" s="70" t="str">
        <f>A406</f>
        <v>8th Floor (Part Refuge Area)</v>
      </c>
      <c r="I407" s="71"/>
      <c r="J407" s="72"/>
    </row>
    <row r="408" spans="1:10" s="41" customFormat="1" ht="15.5" x14ac:dyDescent="0.35">
      <c r="A408" s="68">
        <v>2</v>
      </c>
      <c r="B408" s="69"/>
      <c r="C408" s="30" t="s">
        <v>121</v>
      </c>
      <c r="D408" s="68">
        <f>40.227*10.764</f>
        <v>433.00342799999993</v>
      </c>
      <c r="E408" s="69"/>
      <c r="F408" s="30">
        <f>'[1]A-2'!L303</f>
        <v>0</v>
      </c>
      <c r="G408" s="30">
        <f>D408*1.45+F408</f>
        <v>627.85497059999989</v>
      </c>
      <c r="H408" s="73"/>
      <c r="I408" s="74"/>
      <c r="J408" s="75"/>
    </row>
    <row r="409" spans="1:10" s="41" customFormat="1" ht="15.5" x14ac:dyDescent="0.35">
      <c r="A409" s="68">
        <v>3</v>
      </c>
      <c r="B409" s="69"/>
      <c r="C409" s="70" t="s">
        <v>127</v>
      </c>
      <c r="D409" s="71">
        <f>32.75*10.764</f>
        <v>352.52099999999996</v>
      </c>
      <c r="E409" s="71"/>
      <c r="F409" s="71">
        <f>'[1]A-3'!M303</f>
        <v>0</v>
      </c>
      <c r="G409" s="72">
        <f>D409*1.45+F409</f>
        <v>511.15544999999992</v>
      </c>
      <c r="H409" s="73"/>
      <c r="I409" s="74"/>
      <c r="J409" s="75"/>
    </row>
    <row r="410" spans="1:10" s="41" customFormat="1" ht="15.75" customHeight="1" x14ac:dyDescent="0.35">
      <c r="A410" s="68">
        <v>4</v>
      </c>
      <c r="B410" s="69"/>
      <c r="C410" s="76" t="s">
        <v>121</v>
      </c>
      <c r="D410" s="77">
        <f>40.227*10.764</f>
        <v>433.00342799999993</v>
      </c>
      <c r="E410" s="77"/>
      <c r="F410" s="77">
        <f>'[1]Wing A-1'!L306</f>
        <v>0</v>
      </c>
      <c r="G410" s="78">
        <f>D410*1.45+F410</f>
        <v>627.85497059999989</v>
      </c>
      <c r="H410" s="73"/>
      <c r="I410" s="74"/>
      <c r="J410" s="75"/>
    </row>
    <row r="411" spans="1:10" s="41" customFormat="1" ht="15.5" x14ac:dyDescent="0.35">
      <c r="A411" s="68">
        <v>5</v>
      </c>
      <c r="B411" s="69"/>
      <c r="C411" s="30" t="s">
        <v>128</v>
      </c>
      <c r="D411" s="68">
        <f>57.752*10.764</f>
        <v>621.64252799999997</v>
      </c>
      <c r="E411" s="69"/>
      <c r="F411" s="30">
        <f>'[1]A-3'!M307</f>
        <v>0</v>
      </c>
      <c r="G411" s="30">
        <f>D411*1.45+F411</f>
        <v>901.38166559999991</v>
      </c>
      <c r="H411" s="73"/>
      <c r="I411" s="74"/>
      <c r="J411" s="75"/>
    </row>
    <row r="412" spans="1:10" s="41" customFormat="1" ht="15.5" x14ac:dyDescent="0.35">
      <c r="A412" s="79" t="s">
        <v>129</v>
      </c>
      <c r="B412" s="80"/>
      <c r="C412" s="80"/>
      <c r="D412" s="80"/>
      <c r="E412" s="80"/>
      <c r="F412" s="80"/>
      <c r="G412" s="80"/>
      <c r="H412" s="80"/>
      <c r="I412" s="80"/>
      <c r="J412" s="81"/>
    </row>
    <row r="413" spans="1:10" s="41" customFormat="1" ht="15.75" customHeight="1" x14ac:dyDescent="0.35">
      <c r="A413" s="68">
        <v>1</v>
      </c>
      <c r="B413" s="69"/>
      <c r="C413" s="30" t="s">
        <v>121</v>
      </c>
      <c r="D413" s="68">
        <f>32.562*10.764</f>
        <v>350.49736799999994</v>
      </c>
      <c r="E413" s="69"/>
      <c r="F413" s="30">
        <f>'[1]Wing A-1'!L308</f>
        <v>0</v>
      </c>
      <c r="G413" s="30">
        <f>D413*1.45+F413</f>
        <v>508.2211835999999</v>
      </c>
      <c r="H413" s="70" t="str">
        <f>A412</f>
        <v>10th &amp; 12th Floor</v>
      </c>
      <c r="I413" s="71"/>
      <c r="J413" s="72"/>
    </row>
    <row r="414" spans="1:10" s="41" customFormat="1" ht="15.5" x14ac:dyDescent="0.35">
      <c r="A414" s="68">
        <v>2</v>
      </c>
      <c r="B414" s="69"/>
      <c r="C414" s="30" t="s">
        <v>121</v>
      </c>
      <c r="D414" s="68">
        <f>40.227*10.764</f>
        <v>433.00342799999993</v>
      </c>
      <c r="E414" s="69"/>
      <c r="F414" s="30">
        <f>'[1]A-2'!L308</f>
        <v>0</v>
      </c>
      <c r="G414" s="30">
        <f>D414*1.45+F414</f>
        <v>627.85497059999989</v>
      </c>
      <c r="H414" s="73"/>
      <c r="I414" s="74"/>
      <c r="J414" s="75"/>
    </row>
    <row r="415" spans="1:10" s="41" customFormat="1" ht="15.5" x14ac:dyDescent="0.35">
      <c r="A415" s="68">
        <v>3</v>
      </c>
      <c r="B415" s="69"/>
      <c r="C415" s="30" t="s">
        <v>121</v>
      </c>
      <c r="D415" s="68">
        <f>32.75*10.764</f>
        <v>352.52099999999996</v>
      </c>
      <c r="E415" s="69"/>
      <c r="F415" s="30">
        <f>'[1]A-3'!M308</f>
        <v>0</v>
      </c>
      <c r="G415" s="30">
        <f>D415*1.45+F415</f>
        <v>511.15544999999992</v>
      </c>
      <c r="H415" s="73"/>
      <c r="I415" s="74"/>
      <c r="J415" s="75"/>
    </row>
    <row r="416" spans="1:10" s="41" customFormat="1" ht="15.75" customHeight="1" x14ac:dyDescent="0.35">
      <c r="A416" s="68">
        <v>4</v>
      </c>
      <c r="B416" s="69"/>
      <c r="C416" s="30" t="s">
        <v>121</v>
      </c>
      <c r="D416" s="68">
        <f>40.227*10.764</f>
        <v>433.00342799999993</v>
      </c>
      <c r="E416" s="69"/>
      <c r="F416" s="30">
        <f>'[1]Wing A-1'!L311</f>
        <v>0</v>
      </c>
      <c r="G416" s="30">
        <f>D416*1.45+F416</f>
        <v>627.85497059999989</v>
      </c>
      <c r="H416" s="73"/>
      <c r="I416" s="74"/>
      <c r="J416" s="75"/>
    </row>
    <row r="417" spans="1:10" s="41" customFormat="1" ht="15.5" x14ac:dyDescent="0.35">
      <c r="A417" s="68">
        <v>5</v>
      </c>
      <c r="B417" s="69"/>
      <c r="C417" s="30" t="s">
        <v>121</v>
      </c>
      <c r="D417" s="68">
        <f>32.862*10.764</f>
        <v>353.72656799999999</v>
      </c>
      <c r="E417" s="69"/>
      <c r="F417" s="30">
        <f>'[1]A-3'!M314</f>
        <v>0</v>
      </c>
      <c r="G417" s="30">
        <f>D417*1.45+F417</f>
        <v>512.90352359999997</v>
      </c>
      <c r="H417" s="73"/>
      <c r="I417" s="74"/>
      <c r="J417" s="75"/>
    </row>
    <row r="418" spans="1:10" s="41" customFormat="1" ht="15.5" x14ac:dyDescent="0.35">
      <c r="A418" s="79" t="s">
        <v>130</v>
      </c>
      <c r="B418" s="80"/>
      <c r="C418" s="80"/>
      <c r="D418" s="80"/>
      <c r="E418" s="80"/>
      <c r="F418" s="80"/>
      <c r="G418" s="80"/>
      <c r="H418" s="80"/>
      <c r="I418" s="80"/>
      <c r="J418" s="81"/>
    </row>
    <row r="419" spans="1:10" s="41" customFormat="1" ht="15.75" customHeight="1" x14ac:dyDescent="0.35">
      <c r="A419" s="68">
        <v>1</v>
      </c>
      <c r="B419" s="69"/>
      <c r="C419" s="30" t="s">
        <v>121</v>
      </c>
      <c r="D419" s="68">
        <f>32.762*10.764</f>
        <v>352.65016800000001</v>
      </c>
      <c r="E419" s="69"/>
      <c r="F419" s="30">
        <f>'[1]Wing A-1'!L314</f>
        <v>0</v>
      </c>
      <c r="G419" s="30">
        <f>D419*1.45+F419</f>
        <v>511.34274360000001</v>
      </c>
      <c r="H419" s="70" t="str">
        <f>A418</f>
        <v>13th Floor</v>
      </c>
      <c r="I419" s="71"/>
      <c r="J419" s="72"/>
    </row>
    <row r="420" spans="1:10" s="41" customFormat="1" ht="15.5" x14ac:dyDescent="0.35">
      <c r="A420" s="68">
        <v>2</v>
      </c>
      <c r="B420" s="69"/>
      <c r="C420" s="30" t="s">
        <v>121</v>
      </c>
      <c r="D420" s="68">
        <f>34.196*10.764</f>
        <v>368.08574399999998</v>
      </c>
      <c r="E420" s="69"/>
      <c r="F420" s="30">
        <f>'[1]A-2'!L314</f>
        <v>0</v>
      </c>
      <c r="G420" s="30">
        <f>D420*1.45+F420</f>
        <v>533.72432879999997</v>
      </c>
      <c r="H420" s="73"/>
      <c r="I420" s="74"/>
      <c r="J420" s="75"/>
    </row>
    <row r="421" spans="1:10" s="41" customFormat="1" ht="15.5" x14ac:dyDescent="0.35">
      <c r="A421" s="68">
        <v>3</v>
      </c>
      <c r="B421" s="69"/>
      <c r="C421" s="30" t="s">
        <v>121</v>
      </c>
      <c r="D421" s="68">
        <f>32.78*10.764</f>
        <v>352.84391999999997</v>
      </c>
      <c r="E421" s="69"/>
      <c r="F421" s="30">
        <f>'[1]A-3'!M314</f>
        <v>0</v>
      </c>
      <c r="G421" s="30">
        <f>D421*1.45+F421</f>
        <v>511.62368399999991</v>
      </c>
      <c r="H421" s="73"/>
      <c r="I421" s="74"/>
      <c r="J421" s="75"/>
    </row>
    <row r="422" spans="1:10" s="41" customFormat="1" ht="15.75" customHeight="1" x14ac:dyDescent="0.35">
      <c r="A422" s="68">
        <v>4</v>
      </c>
      <c r="B422" s="69"/>
      <c r="C422" s="30" t="s">
        <v>121</v>
      </c>
      <c r="D422" s="68">
        <f>34.196*10.764</f>
        <v>368.08574399999998</v>
      </c>
      <c r="E422" s="69"/>
      <c r="F422" s="30">
        <f>'[1]Wing A-1'!L317</f>
        <v>0</v>
      </c>
      <c r="G422" s="30">
        <f>D422*1.45+F422</f>
        <v>533.72432879999997</v>
      </c>
      <c r="H422" s="73"/>
      <c r="I422" s="74"/>
      <c r="J422" s="75"/>
    </row>
    <row r="423" spans="1:10" s="41" customFormat="1" ht="15.5" x14ac:dyDescent="0.35">
      <c r="A423" s="68">
        <v>5</v>
      </c>
      <c r="B423" s="69"/>
      <c r="C423" s="30" t="s">
        <v>121</v>
      </c>
      <c r="D423" s="68">
        <f>32.762*10.764</f>
        <v>352.65016800000001</v>
      </c>
      <c r="E423" s="69"/>
      <c r="F423" s="30">
        <f>'[1]A-3'!M321</f>
        <v>0</v>
      </c>
      <c r="G423" s="30">
        <f>D423*1.45+F423</f>
        <v>511.34274360000001</v>
      </c>
      <c r="H423" s="73"/>
      <c r="I423" s="74"/>
      <c r="J423" s="75"/>
    </row>
    <row r="424" spans="1:10" s="41" customFormat="1" ht="15.5" x14ac:dyDescent="0.35">
      <c r="A424" s="79" t="s">
        <v>131</v>
      </c>
      <c r="B424" s="80"/>
      <c r="C424" s="80"/>
      <c r="D424" s="80"/>
      <c r="E424" s="80"/>
      <c r="F424" s="80"/>
      <c r="G424" s="80"/>
      <c r="H424" s="80"/>
      <c r="I424" s="80"/>
      <c r="J424" s="81"/>
    </row>
    <row r="425" spans="1:10" s="41" customFormat="1" ht="15.75" customHeight="1" x14ac:dyDescent="0.35">
      <c r="A425" s="68">
        <v>1</v>
      </c>
      <c r="B425" s="69"/>
      <c r="C425" s="30" t="s">
        <v>121</v>
      </c>
      <c r="D425" s="68">
        <f>32.762*10.764</f>
        <v>352.65016800000001</v>
      </c>
      <c r="E425" s="69"/>
      <c r="F425" s="30">
        <f>'[1]Wing A-1'!L320</f>
        <v>0</v>
      </c>
      <c r="G425" s="30">
        <f>D425*1.45+F425</f>
        <v>511.34274360000001</v>
      </c>
      <c r="H425" s="70" t="str">
        <f>A424</f>
        <v>14th &amp; 16th Floor</v>
      </c>
      <c r="I425" s="71"/>
      <c r="J425" s="72"/>
    </row>
    <row r="426" spans="1:10" s="41" customFormat="1" ht="15.5" x14ac:dyDescent="0.35">
      <c r="A426" s="68">
        <v>2</v>
      </c>
      <c r="B426" s="69"/>
      <c r="C426" s="30" t="s">
        <v>121</v>
      </c>
      <c r="D426" s="68">
        <f>34.196*10.764</f>
        <v>368.08574399999998</v>
      </c>
      <c r="E426" s="69"/>
      <c r="F426" s="30">
        <f>'[1]A-2'!L320</f>
        <v>0</v>
      </c>
      <c r="G426" s="30">
        <f>D426*1.45+F426</f>
        <v>533.72432879999997</v>
      </c>
      <c r="H426" s="73"/>
      <c r="I426" s="74"/>
      <c r="J426" s="75"/>
    </row>
    <row r="427" spans="1:10" s="41" customFormat="1" ht="15.5" x14ac:dyDescent="0.35">
      <c r="A427" s="68">
        <v>3</v>
      </c>
      <c r="B427" s="69"/>
      <c r="C427" s="30" t="s">
        <v>121</v>
      </c>
      <c r="D427" s="68">
        <f>32.78*10.764</f>
        <v>352.84391999999997</v>
      </c>
      <c r="E427" s="69"/>
      <c r="F427" s="30">
        <f>'[1]A-3'!M320</f>
        <v>0</v>
      </c>
      <c r="G427" s="30">
        <f>D427*1.45+F427</f>
        <v>511.62368399999991</v>
      </c>
      <c r="H427" s="73"/>
      <c r="I427" s="74"/>
      <c r="J427" s="75"/>
    </row>
    <row r="428" spans="1:10" s="41" customFormat="1" ht="15.75" customHeight="1" x14ac:dyDescent="0.35">
      <c r="A428" s="68">
        <v>4</v>
      </c>
      <c r="B428" s="69"/>
      <c r="C428" s="30" t="s">
        <v>121</v>
      </c>
      <c r="D428" s="68">
        <f>34.196*10.764</f>
        <v>368.08574399999998</v>
      </c>
      <c r="E428" s="69"/>
      <c r="F428" s="30">
        <f>'[1]Wing A-1'!L323</f>
        <v>0</v>
      </c>
      <c r="G428" s="30">
        <f>D428*1.45+F428</f>
        <v>533.72432879999997</v>
      </c>
      <c r="H428" s="73"/>
      <c r="I428" s="74"/>
      <c r="J428" s="75"/>
    </row>
    <row r="429" spans="1:10" s="41" customFormat="1" ht="15.5" x14ac:dyDescent="0.35">
      <c r="A429" s="68">
        <v>5</v>
      </c>
      <c r="B429" s="69"/>
      <c r="C429" s="30" t="s">
        <v>121</v>
      </c>
      <c r="D429" s="68">
        <f>32.762*10.764</f>
        <v>352.65016800000001</v>
      </c>
      <c r="E429" s="69"/>
      <c r="F429" s="30">
        <f>'[1]A-3'!M328</f>
        <v>0</v>
      </c>
      <c r="G429" s="30">
        <f>D429*1.45+F429</f>
        <v>511.34274360000001</v>
      </c>
      <c r="H429" s="73"/>
      <c r="I429" s="74"/>
      <c r="J429" s="75"/>
    </row>
    <row r="430" spans="1:10" s="41" customFormat="1" ht="15.5" x14ac:dyDescent="0.35">
      <c r="A430" s="79" t="s">
        <v>247</v>
      </c>
      <c r="B430" s="80"/>
      <c r="C430" s="80"/>
      <c r="D430" s="80"/>
      <c r="E430" s="80"/>
      <c r="F430" s="80"/>
      <c r="G430" s="80"/>
      <c r="H430" s="80"/>
      <c r="I430" s="80"/>
      <c r="J430" s="81"/>
    </row>
    <row r="431" spans="1:10" s="41" customFormat="1" ht="15.5" x14ac:dyDescent="0.35">
      <c r="A431" s="68">
        <v>1</v>
      </c>
      <c r="B431" s="69"/>
      <c r="C431" s="30" t="s">
        <v>121</v>
      </c>
      <c r="D431" s="68">
        <f>32.762*10.764</f>
        <v>352.65016800000001</v>
      </c>
      <c r="E431" s="69"/>
      <c r="F431" s="30">
        <f>'[1]A-2'!L310</f>
        <v>0</v>
      </c>
      <c r="G431" s="30">
        <f>D431*1.45+F431</f>
        <v>511.34274360000001</v>
      </c>
      <c r="H431" s="70" t="str">
        <f>A430</f>
        <v>15th Floor (Part Refuge Area)</v>
      </c>
      <c r="I431" s="71"/>
      <c r="J431" s="72"/>
    </row>
    <row r="432" spans="1:10" s="41" customFormat="1" ht="15.75" customHeight="1" x14ac:dyDescent="0.35">
      <c r="A432" s="68">
        <v>2</v>
      </c>
      <c r="B432" s="69"/>
      <c r="C432" s="30" t="s">
        <v>121</v>
      </c>
      <c r="D432" s="68">
        <f>34.196*10.764</f>
        <v>368.08574399999998</v>
      </c>
      <c r="E432" s="69"/>
      <c r="F432" s="30">
        <f>'[1]A-2'!L311</f>
        <v>0</v>
      </c>
      <c r="G432" s="30">
        <f>D432*1.45+F432</f>
        <v>533.72432879999997</v>
      </c>
      <c r="H432" s="73"/>
      <c r="I432" s="74"/>
      <c r="J432" s="75"/>
    </row>
    <row r="433" spans="1:10" s="41" customFormat="1" ht="15.5" x14ac:dyDescent="0.35">
      <c r="A433" s="68">
        <v>3</v>
      </c>
      <c r="B433" s="69"/>
      <c r="C433" s="70" t="s">
        <v>127</v>
      </c>
      <c r="D433" s="71"/>
      <c r="E433" s="71"/>
      <c r="F433" s="71"/>
      <c r="G433" s="72"/>
      <c r="H433" s="73"/>
      <c r="I433" s="74"/>
      <c r="J433" s="75"/>
    </row>
    <row r="434" spans="1:10" s="41" customFormat="1" ht="15.75" customHeight="1" x14ac:dyDescent="0.35">
      <c r="A434" s="68">
        <v>4</v>
      </c>
      <c r="B434" s="69"/>
      <c r="C434" s="30" t="s">
        <v>121</v>
      </c>
      <c r="D434" s="68">
        <f>34.196*10.764</f>
        <v>368.08574399999998</v>
      </c>
      <c r="E434" s="69"/>
      <c r="F434" s="30">
        <f>'[1]Wing A-1'!L314</f>
        <v>0</v>
      </c>
      <c r="G434" s="30">
        <f>D434*1.45+F434</f>
        <v>533.72432879999997</v>
      </c>
      <c r="H434" s="73"/>
      <c r="I434" s="74"/>
      <c r="J434" s="75"/>
    </row>
    <row r="435" spans="1:10" s="41" customFormat="1" ht="15.5" x14ac:dyDescent="0.35">
      <c r="A435" s="68">
        <v>5</v>
      </c>
      <c r="B435" s="69"/>
      <c r="C435" s="30" t="s">
        <v>121</v>
      </c>
      <c r="D435" s="68">
        <f>32.762*10.764</f>
        <v>352.65016800000001</v>
      </c>
      <c r="E435" s="69"/>
      <c r="F435" s="30">
        <f>'[1]A-3'!M323</f>
        <v>0</v>
      </c>
      <c r="G435" s="30">
        <f>D435*1.45+F435</f>
        <v>511.34274360000001</v>
      </c>
      <c r="H435" s="76"/>
      <c r="I435" s="77"/>
      <c r="J435" s="78"/>
    </row>
    <row r="436" spans="1:10" s="41" customFormat="1" ht="15.75" customHeight="1" x14ac:dyDescent="0.35">
      <c r="A436" s="79" t="s">
        <v>255</v>
      </c>
      <c r="B436" s="80"/>
      <c r="C436" s="80"/>
      <c r="D436" s="80"/>
      <c r="E436" s="80"/>
      <c r="F436" s="80"/>
      <c r="G436" s="80"/>
      <c r="H436" s="80"/>
      <c r="I436" s="80"/>
      <c r="J436" s="81"/>
    </row>
    <row r="437" spans="1:10" s="41" customFormat="1" ht="15.75" customHeight="1" x14ac:dyDescent="0.35">
      <c r="A437" s="68">
        <v>1</v>
      </c>
      <c r="B437" s="69"/>
      <c r="C437" s="30" t="s">
        <v>121</v>
      </c>
      <c r="D437" s="68">
        <f>32.762*10.764</f>
        <v>352.65016800000001</v>
      </c>
      <c r="E437" s="69"/>
      <c r="F437" s="30">
        <f>'[1]Wing A-1'!L333</f>
        <v>0</v>
      </c>
      <c r="G437" s="30">
        <f>D437*1.45+F437</f>
        <v>511.34274360000001</v>
      </c>
      <c r="H437" s="70" t="str">
        <f>A436</f>
        <v>17th Floor (Part Gym Area)</v>
      </c>
      <c r="I437" s="71"/>
      <c r="J437" s="72"/>
    </row>
    <row r="438" spans="1:10" s="41" customFormat="1" ht="15.5" x14ac:dyDescent="0.35">
      <c r="A438" s="68">
        <v>2</v>
      </c>
      <c r="B438" s="69"/>
      <c r="C438" s="70" t="s">
        <v>256</v>
      </c>
      <c r="D438" s="71">
        <f>32.75*10.764</f>
        <v>352.52099999999996</v>
      </c>
      <c r="E438" s="71"/>
      <c r="F438" s="71">
        <f>'[1]A-3'!M333</f>
        <v>0</v>
      </c>
      <c r="G438" s="72">
        <f>D438*1.45+F438</f>
        <v>511.15544999999992</v>
      </c>
      <c r="H438" s="73"/>
      <c r="I438" s="74"/>
      <c r="J438" s="75"/>
    </row>
    <row r="439" spans="1:10" s="41" customFormat="1" ht="15.75" customHeight="1" x14ac:dyDescent="0.35">
      <c r="A439" s="68">
        <v>3</v>
      </c>
      <c r="B439" s="69"/>
      <c r="C439" s="76" t="s">
        <v>121</v>
      </c>
      <c r="D439" s="77">
        <f>40.227*10.764</f>
        <v>433.00342799999993</v>
      </c>
      <c r="E439" s="77"/>
      <c r="F439" s="77">
        <f>'[1]Wing A-1'!L336</f>
        <v>0</v>
      </c>
      <c r="G439" s="78">
        <f>D439*1.45+F439</f>
        <v>627.85497059999989</v>
      </c>
      <c r="H439" s="73"/>
      <c r="I439" s="74"/>
      <c r="J439" s="75"/>
    </row>
    <row r="440" spans="1:10" s="41" customFormat="1" ht="15.75" customHeight="1" x14ac:dyDescent="0.35">
      <c r="A440" s="68">
        <v>4</v>
      </c>
      <c r="B440" s="69"/>
      <c r="C440" s="30" t="s">
        <v>121</v>
      </c>
      <c r="D440" s="68">
        <f>34.196*10.764</f>
        <v>368.08574399999998</v>
      </c>
      <c r="E440" s="69"/>
      <c r="F440" s="30">
        <f>'[1]Wing A-1'!L320</f>
        <v>0</v>
      </c>
      <c r="G440" s="30">
        <f>D440*1.45+F440</f>
        <v>533.72432879999997</v>
      </c>
      <c r="H440" s="73"/>
      <c r="I440" s="74"/>
      <c r="J440" s="75"/>
    </row>
    <row r="441" spans="1:10" s="41" customFormat="1" ht="15.5" x14ac:dyDescent="0.35">
      <c r="A441" s="68">
        <v>5</v>
      </c>
      <c r="B441" s="69"/>
      <c r="C441" s="30" t="s">
        <v>121</v>
      </c>
      <c r="D441" s="68">
        <f>32.762*10.764</f>
        <v>352.65016800000001</v>
      </c>
      <c r="E441" s="69"/>
      <c r="F441" s="30">
        <f>'[1]A-3'!M329</f>
        <v>0</v>
      </c>
      <c r="G441" s="30">
        <f>D441*1.45+F441</f>
        <v>511.34274360000001</v>
      </c>
      <c r="H441" s="73"/>
      <c r="I441" s="74"/>
      <c r="J441" s="75"/>
    </row>
    <row r="442" spans="1:10" s="41" customFormat="1" ht="15.5" x14ac:dyDescent="0.35">
      <c r="A442" s="79" t="s">
        <v>125</v>
      </c>
      <c r="B442" s="80"/>
      <c r="C442" s="80"/>
      <c r="D442" s="80"/>
      <c r="E442" s="80"/>
      <c r="F442" s="80"/>
      <c r="G442" s="80"/>
      <c r="H442" s="80"/>
      <c r="I442" s="80"/>
      <c r="J442" s="81"/>
    </row>
    <row r="443" spans="1:10" s="41" customFormat="1" ht="15.5" x14ac:dyDescent="0.35">
      <c r="A443" s="79" t="s">
        <v>120</v>
      </c>
      <c r="B443" s="80"/>
      <c r="C443" s="80"/>
      <c r="D443" s="80"/>
      <c r="E443" s="80"/>
      <c r="F443" s="80"/>
      <c r="G443" s="80"/>
      <c r="H443" s="80"/>
      <c r="I443" s="80"/>
      <c r="J443" s="81"/>
    </row>
    <row r="444" spans="1:10" s="41" customFormat="1" ht="15.5" x14ac:dyDescent="0.35">
      <c r="A444" s="68">
        <v>1</v>
      </c>
      <c r="B444" s="69"/>
      <c r="C444" s="30" t="s">
        <v>121</v>
      </c>
      <c r="D444" s="68">
        <f>32.179*10.764</f>
        <v>346.37475599999999</v>
      </c>
      <c r="E444" s="69"/>
      <c r="F444" s="30">
        <f>'[1]A-2'!L340</f>
        <v>0</v>
      </c>
      <c r="G444" s="30">
        <f>D444*1.45+F444</f>
        <v>502.24339619999995</v>
      </c>
      <c r="H444" s="73"/>
      <c r="I444" s="74"/>
      <c r="J444" s="75"/>
    </row>
    <row r="445" spans="1:10" s="41" customFormat="1" ht="15.5" x14ac:dyDescent="0.35">
      <c r="A445" s="68">
        <v>2</v>
      </c>
      <c r="B445" s="69"/>
      <c r="C445" s="30" t="s">
        <v>121</v>
      </c>
      <c r="D445" s="68">
        <f>40.22*10.764</f>
        <v>432.92807999999997</v>
      </c>
      <c r="E445" s="69"/>
      <c r="F445" s="30">
        <f>'[1]A-2'!L341</f>
        <v>0</v>
      </c>
      <c r="G445" s="30">
        <f>D445*1.45+F445</f>
        <v>627.7457159999999</v>
      </c>
      <c r="H445" s="73"/>
      <c r="I445" s="74"/>
      <c r="J445" s="75"/>
    </row>
    <row r="446" spans="1:10" s="41" customFormat="1" ht="15.5" x14ac:dyDescent="0.35">
      <c r="A446" s="68">
        <v>3</v>
      </c>
      <c r="B446" s="69"/>
      <c r="C446" s="30" t="s">
        <v>121</v>
      </c>
      <c r="D446" s="68">
        <f>32.238*10.764</f>
        <v>347.00983199999996</v>
      </c>
      <c r="E446" s="69"/>
      <c r="F446" s="30">
        <f>'[1]A-3'!M341</f>
        <v>0</v>
      </c>
      <c r="G446" s="30">
        <f>D446*1.45+F446</f>
        <v>503.16425639999994</v>
      </c>
      <c r="H446" s="73"/>
      <c r="I446" s="74"/>
      <c r="J446" s="75"/>
    </row>
    <row r="447" spans="1:10" s="41" customFormat="1" ht="15.5" x14ac:dyDescent="0.35">
      <c r="A447" s="68">
        <v>4</v>
      </c>
      <c r="B447" s="69"/>
      <c r="C447" s="30" t="s">
        <v>121</v>
      </c>
      <c r="D447" s="68">
        <f>40.227*10.764</f>
        <v>433.00342799999993</v>
      </c>
      <c r="E447" s="69"/>
      <c r="F447" s="30">
        <f>'[1]A-3'!M341</f>
        <v>0</v>
      </c>
      <c r="G447" s="30">
        <f>D447*1.45+F447</f>
        <v>627.85497059999989</v>
      </c>
      <c r="H447" s="73"/>
      <c r="I447" s="74"/>
      <c r="J447" s="75"/>
    </row>
    <row r="448" spans="1:10" s="41" customFormat="1" ht="15.5" x14ac:dyDescent="0.35">
      <c r="A448" s="68">
        <v>5</v>
      </c>
      <c r="B448" s="69"/>
      <c r="C448" s="30" t="s">
        <v>121</v>
      </c>
      <c r="D448" s="68">
        <f>32.862*10.764</f>
        <v>353.72656799999999</v>
      </c>
      <c r="E448" s="69"/>
      <c r="F448" s="30">
        <f>'[1]A-2'!L343</f>
        <v>0</v>
      </c>
      <c r="G448" s="30">
        <f>D448*1.45+F448</f>
        <v>512.90352359999997</v>
      </c>
      <c r="H448" s="73"/>
      <c r="I448" s="74"/>
      <c r="J448" s="75"/>
    </row>
    <row r="449" spans="1:10" s="41" customFormat="1" ht="15.75" customHeight="1" x14ac:dyDescent="0.35">
      <c r="A449" s="79" t="s">
        <v>251</v>
      </c>
      <c r="B449" s="80"/>
      <c r="C449" s="80"/>
      <c r="D449" s="80"/>
      <c r="E449" s="80"/>
      <c r="F449" s="80"/>
      <c r="G449" s="80"/>
      <c r="H449" s="80"/>
      <c r="I449" s="80"/>
      <c r="J449" s="81"/>
    </row>
    <row r="450" spans="1:10" s="41" customFormat="1" ht="15.75" customHeight="1" x14ac:dyDescent="0.35">
      <c r="A450" s="68">
        <v>1</v>
      </c>
      <c r="B450" s="69"/>
      <c r="C450" s="30" t="s">
        <v>121</v>
      </c>
      <c r="D450" s="68">
        <f>32.179*10.764</f>
        <v>346.37475599999999</v>
      </c>
      <c r="E450" s="69"/>
      <c r="F450" s="30">
        <f>'[1]Wing A-1'!L345</f>
        <v>0</v>
      </c>
      <c r="G450" s="30">
        <f>D450*1.45+F450</f>
        <v>502.24339619999995</v>
      </c>
      <c r="H450" s="70" t="str">
        <f>A449</f>
        <v>2nd to 7th, 9th &amp; 11th Floor</v>
      </c>
      <c r="I450" s="71"/>
      <c r="J450" s="72"/>
    </row>
    <row r="451" spans="1:10" s="41" customFormat="1" ht="15.5" x14ac:dyDescent="0.35">
      <c r="A451" s="68">
        <v>2</v>
      </c>
      <c r="B451" s="69"/>
      <c r="C451" s="30" t="s">
        <v>121</v>
      </c>
      <c r="D451" s="68">
        <f>40.22*10.764</f>
        <v>432.92807999999997</v>
      </c>
      <c r="E451" s="69"/>
      <c r="F451" s="30">
        <f>'[1]A-2'!L345</f>
        <v>0</v>
      </c>
      <c r="G451" s="30">
        <f>D451*1.45+F451</f>
        <v>627.7457159999999</v>
      </c>
      <c r="H451" s="73"/>
      <c r="I451" s="74"/>
      <c r="J451" s="75"/>
    </row>
    <row r="452" spans="1:10" s="41" customFormat="1" ht="15.5" x14ac:dyDescent="0.35">
      <c r="A452" s="68">
        <v>3</v>
      </c>
      <c r="B452" s="69"/>
      <c r="C452" s="30" t="s">
        <v>121</v>
      </c>
      <c r="D452" s="68">
        <f>32.238*10.764</f>
        <v>347.00983199999996</v>
      </c>
      <c r="E452" s="69"/>
      <c r="F452" s="30">
        <f>'[1]A-3'!M345</f>
        <v>0</v>
      </c>
      <c r="G452" s="30">
        <f>D452*1.45+F452</f>
        <v>503.16425639999994</v>
      </c>
      <c r="H452" s="73"/>
      <c r="I452" s="74"/>
      <c r="J452" s="75"/>
    </row>
    <row r="453" spans="1:10" s="41" customFormat="1" ht="15.75" customHeight="1" x14ac:dyDescent="0.35">
      <c r="A453" s="68">
        <v>4</v>
      </c>
      <c r="B453" s="69"/>
      <c r="C453" s="30" t="s">
        <v>121</v>
      </c>
      <c r="D453" s="68">
        <f>40.227*10.764</f>
        <v>433.00342799999993</v>
      </c>
      <c r="E453" s="69"/>
      <c r="F453" s="30">
        <f>'[1]Wing A-1'!L348</f>
        <v>0</v>
      </c>
      <c r="G453" s="30">
        <f>D453*1.45+F453</f>
        <v>627.85497059999989</v>
      </c>
      <c r="H453" s="73"/>
      <c r="I453" s="74"/>
      <c r="J453" s="75"/>
    </row>
    <row r="454" spans="1:10" s="41" customFormat="1" ht="15.5" x14ac:dyDescent="0.35">
      <c r="A454" s="68">
        <v>5</v>
      </c>
      <c r="B454" s="69"/>
      <c r="C454" s="30" t="s">
        <v>121</v>
      </c>
      <c r="D454" s="68">
        <f>32.862*10.764</f>
        <v>353.72656799999999</v>
      </c>
      <c r="E454" s="69"/>
      <c r="F454" s="30">
        <f>'[1]A-3'!M349</f>
        <v>0</v>
      </c>
      <c r="G454" s="30">
        <f>D454*1.45+F454</f>
        <v>512.90352359999997</v>
      </c>
      <c r="H454" s="73"/>
      <c r="I454" s="74"/>
      <c r="J454" s="75"/>
    </row>
    <row r="455" spans="1:10" s="41" customFormat="1" ht="15.75" customHeight="1" x14ac:dyDescent="0.35">
      <c r="A455" s="79" t="s">
        <v>246</v>
      </c>
      <c r="B455" s="80"/>
      <c r="C455" s="80"/>
      <c r="D455" s="80"/>
      <c r="E455" s="80"/>
      <c r="F455" s="80"/>
      <c r="G455" s="80"/>
      <c r="H455" s="80"/>
      <c r="I455" s="80"/>
      <c r="J455" s="81"/>
    </row>
    <row r="456" spans="1:10" s="41" customFormat="1" ht="15.75" customHeight="1" x14ac:dyDescent="0.35">
      <c r="A456" s="68">
        <v>1</v>
      </c>
      <c r="B456" s="69"/>
      <c r="C456" s="30" t="s">
        <v>128</v>
      </c>
      <c r="D456" s="68">
        <f>59.93*10.764</f>
        <v>645.08651999999995</v>
      </c>
      <c r="E456" s="69"/>
      <c r="F456" s="30">
        <f>'[1]Wing A-1'!L352</f>
        <v>0</v>
      </c>
      <c r="G456" s="30">
        <f>D456*1.45+F456</f>
        <v>935.37545399999988</v>
      </c>
      <c r="H456" s="70" t="str">
        <f>A455</f>
        <v>8th Floor (Part Refuge Area)</v>
      </c>
      <c r="I456" s="71"/>
      <c r="J456" s="72"/>
    </row>
    <row r="457" spans="1:10" s="41" customFormat="1" ht="15.5" x14ac:dyDescent="0.35">
      <c r="A457" s="68">
        <v>2</v>
      </c>
      <c r="B457" s="69"/>
      <c r="C457" s="70" t="s">
        <v>127</v>
      </c>
      <c r="D457" s="71">
        <f>32.75*10.764</f>
        <v>352.52099999999996</v>
      </c>
      <c r="E457" s="71"/>
      <c r="F457" s="71">
        <f>'[1]A-3'!M352</f>
        <v>0</v>
      </c>
      <c r="G457" s="72">
        <f>D457*1.45+F457</f>
        <v>511.15544999999992</v>
      </c>
      <c r="H457" s="73"/>
      <c r="I457" s="74"/>
      <c r="J457" s="75"/>
    </row>
    <row r="458" spans="1:10" s="41" customFormat="1" ht="15.75" customHeight="1" x14ac:dyDescent="0.35">
      <c r="A458" s="68">
        <v>3</v>
      </c>
      <c r="B458" s="69"/>
      <c r="C458" s="76" t="s">
        <v>121</v>
      </c>
      <c r="D458" s="77">
        <f>40.227*10.764</f>
        <v>433.00342799999993</v>
      </c>
      <c r="E458" s="77"/>
      <c r="F458" s="77">
        <f>'[1]Wing A-1'!L355</f>
        <v>0</v>
      </c>
      <c r="G458" s="78">
        <f>D458*1.45+F458</f>
        <v>627.85497059999989</v>
      </c>
      <c r="H458" s="73"/>
      <c r="I458" s="74"/>
      <c r="J458" s="75"/>
    </row>
    <row r="459" spans="1:10" s="41" customFormat="1" ht="15.75" customHeight="1" x14ac:dyDescent="0.35">
      <c r="A459" s="68">
        <v>4</v>
      </c>
      <c r="B459" s="69"/>
      <c r="C459" s="30" t="s">
        <v>121</v>
      </c>
      <c r="D459" s="68">
        <f>40.227*10.764</f>
        <v>433.00342799999993</v>
      </c>
      <c r="E459" s="69"/>
      <c r="F459" s="30">
        <f>'[1]Wing A-1'!L354</f>
        <v>0</v>
      </c>
      <c r="G459" s="30">
        <f>D459*1.45+F459</f>
        <v>627.85497059999989</v>
      </c>
      <c r="H459" s="73"/>
      <c r="I459" s="74"/>
      <c r="J459" s="75"/>
    </row>
    <row r="460" spans="1:10" s="41" customFormat="1" ht="15.5" x14ac:dyDescent="0.35">
      <c r="A460" s="68">
        <v>5</v>
      </c>
      <c r="B460" s="69"/>
      <c r="C460" s="30" t="s">
        <v>121</v>
      </c>
      <c r="D460" s="68">
        <f>32.862*10.764</f>
        <v>353.72656799999999</v>
      </c>
      <c r="E460" s="69"/>
      <c r="F460" s="30">
        <f>'[1]A-3'!M355</f>
        <v>0</v>
      </c>
      <c r="G460" s="30">
        <f>D460*1.45+F460</f>
        <v>512.90352359999997</v>
      </c>
      <c r="H460" s="73"/>
      <c r="I460" s="74"/>
      <c r="J460" s="75"/>
    </row>
    <row r="461" spans="1:10" s="41" customFormat="1" ht="15.5" x14ac:dyDescent="0.35">
      <c r="A461" s="79" t="s">
        <v>129</v>
      </c>
      <c r="B461" s="80"/>
      <c r="C461" s="80"/>
      <c r="D461" s="80"/>
      <c r="E461" s="80"/>
      <c r="F461" s="80"/>
      <c r="G461" s="80"/>
      <c r="H461" s="80"/>
      <c r="I461" s="80"/>
      <c r="J461" s="81"/>
    </row>
    <row r="462" spans="1:10" s="41" customFormat="1" ht="15.75" customHeight="1" x14ac:dyDescent="0.35">
      <c r="A462" s="68">
        <v>1</v>
      </c>
      <c r="B462" s="69"/>
      <c r="C462" s="30" t="s">
        <v>121</v>
      </c>
      <c r="D462" s="68">
        <f>32.179*10.764</f>
        <v>346.37475599999999</v>
      </c>
      <c r="E462" s="69"/>
      <c r="F462" s="30">
        <f>'[1]Wing A-1'!L357</f>
        <v>0</v>
      </c>
      <c r="G462" s="30">
        <f>D462*1.45+F462</f>
        <v>502.24339619999995</v>
      </c>
      <c r="H462" s="70" t="str">
        <f>A461</f>
        <v>10th &amp; 12th Floor</v>
      </c>
      <c r="I462" s="71"/>
      <c r="J462" s="72"/>
    </row>
    <row r="463" spans="1:10" s="41" customFormat="1" ht="15.5" x14ac:dyDescent="0.35">
      <c r="A463" s="68">
        <v>2</v>
      </c>
      <c r="B463" s="69"/>
      <c r="C463" s="30" t="s">
        <v>121</v>
      </c>
      <c r="D463" s="68">
        <f>40.22*10.764</f>
        <v>432.92807999999997</v>
      </c>
      <c r="E463" s="69"/>
      <c r="F463" s="30">
        <f>'[1]A-2'!L357</f>
        <v>0</v>
      </c>
      <c r="G463" s="30">
        <f>D463*1.45+F463</f>
        <v>627.7457159999999</v>
      </c>
      <c r="H463" s="73"/>
      <c r="I463" s="74"/>
      <c r="J463" s="75"/>
    </row>
    <row r="464" spans="1:10" s="41" customFormat="1" ht="15.5" x14ac:dyDescent="0.35">
      <c r="A464" s="68">
        <v>3</v>
      </c>
      <c r="B464" s="69"/>
      <c r="C464" s="30" t="s">
        <v>121</v>
      </c>
      <c r="D464" s="68">
        <f>32.238*10.764</f>
        <v>347.00983199999996</v>
      </c>
      <c r="E464" s="69"/>
      <c r="F464" s="30">
        <f>'[1]A-3'!M357</f>
        <v>0</v>
      </c>
      <c r="G464" s="30">
        <f>D464*1.45+F464</f>
        <v>503.16425639999994</v>
      </c>
      <c r="H464" s="73"/>
      <c r="I464" s="74"/>
      <c r="J464" s="75"/>
    </row>
    <row r="465" spans="1:10" s="41" customFormat="1" ht="15.75" customHeight="1" x14ac:dyDescent="0.35">
      <c r="A465" s="68">
        <v>4</v>
      </c>
      <c r="B465" s="69"/>
      <c r="C465" s="30" t="s">
        <v>121</v>
      </c>
      <c r="D465" s="68">
        <f>40.227*10.764</f>
        <v>433.00342799999993</v>
      </c>
      <c r="E465" s="69"/>
      <c r="F465" s="30">
        <f>'[1]Wing A-1'!L360</f>
        <v>0</v>
      </c>
      <c r="G465" s="30">
        <f>D465*1.45+F465</f>
        <v>627.85497059999989</v>
      </c>
      <c r="H465" s="73"/>
      <c r="I465" s="74"/>
      <c r="J465" s="75"/>
    </row>
    <row r="466" spans="1:10" s="41" customFormat="1" ht="15.5" x14ac:dyDescent="0.35">
      <c r="A466" s="68">
        <v>5</v>
      </c>
      <c r="B466" s="69"/>
      <c r="C466" s="30" t="s">
        <v>121</v>
      </c>
      <c r="D466" s="68">
        <f>32.862*10.764</f>
        <v>353.72656799999999</v>
      </c>
      <c r="E466" s="69"/>
      <c r="F466" s="30">
        <f>'[1]A-3'!M363</f>
        <v>0</v>
      </c>
      <c r="G466" s="30">
        <f>D466*1.45+F466</f>
        <v>512.90352359999997</v>
      </c>
      <c r="H466" s="73"/>
      <c r="I466" s="74"/>
      <c r="J466" s="75"/>
    </row>
    <row r="467" spans="1:10" s="41" customFormat="1" ht="15.5" x14ac:dyDescent="0.35">
      <c r="A467" s="79" t="s">
        <v>130</v>
      </c>
      <c r="B467" s="80"/>
      <c r="C467" s="80"/>
      <c r="D467" s="80"/>
      <c r="E467" s="80"/>
      <c r="F467" s="80"/>
      <c r="G467" s="80"/>
      <c r="H467" s="80"/>
      <c r="I467" s="80"/>
      <c r="J467" s="81"/>
    </row>
    <row r="468" spans="1:10" s="41" customFormat="1" ht="15.75" customHeight="1" x14ac:dyDescent="0.35">
      <c r="A468" s="68">
        <v>1</v>
      </c>
      <c r="B468" s="69"/>
      <c r="C468" s="30" t="s">
        <v>121</v>
      </c>
      <c r="D468" s="68">
        <f>32.762*10.764</f>
        <v>352.65016800000001</v>
      </c>
      <c r="E468" s="69"/>
      <c r="F468" s="30">
        <f>'[1]Wing A-1'!L363</f>
        <v>0</v>
      </c>
      <c r="G468" s="30">
        <f>D468*1.45+F468</f>
        <v>511.34274360000001</v>
      </c>
      <c r="H468" s="70" t="str">
        <f>A467</f>
        <v>13th Floor</v>
      </c>
      <c r="I468" s="71"/>
      <c r="J468" s="72"/>
    </row>
    <row r="469" spans="1:10" s="41" customFormat="1" ht="15.5" x14ac:dyDescent="0.35">
      <c r="A469" s="68">
        <v>2</v>
      </c>
      <c r="B469" s="69"/>
      <c r="C469" s="30" t="s">
        <v>121</v>
      </c>
      <c r="D469" s="68">
        <f>34.105*10.764</f>
        <v>367.10621999999995</v>
      </c>
      <c r="E469" s="69"/>
      <c r="F469" s="30">
        <f>'[1]A-2'!L363</f>
        <v>0</v>
      </c>
      <c r="G469" s="30">
        <f>D469*1.45+F469</f>
        <v>532.30401899999993</v>
      </c>
      <c r="H469" s="73"/>
      <c r="I469" s="74"/>
      <c r="J469" s="75"/>
    </row>
    <row r="470" spans="1:10" s="41" customFormat="1" ht="15.5" x14ac:dyDescent="0.35">
      <c r="A470" s="68">
        <v>3</v>
      </c>
      <c r="B470" s="69"/>
      <c r="C470" s="30" t="s">
        <v>121</v>
      </c>
      <c r="D470" s="68">
        <f>32.78*10.764</f>
        <v>352.84391999999997</v>
      </c>
      <c r="E470" s="69"/>
      <c r="F470" s="30">
        <f>'[1]A-3'!M363</f>
        <v>0</v>
      </c>
      <c r="G470" s="30">
        <f>D470*1.45+F470</f>
        <v>511.62368399999991</v>
      </c>
      <c r="H470" s="73"/>
      <c r="I470" s="74"/>
      <c r="J470" s="75"/>
    </row>
    <row r="471" spans="1:10" s="41" customFormat="1" ht="15.75" customHeight="1" x14ac:dyDescent="0.35">
      <c r="A471" s="68">
        <v>4</v>
      </c>
      <c r="B471" s="69"/>
      <c r="C471" s="30" t="s">
        <v>121</v>
      </c>
      <c r="D471" s="68">
        <f>34.195*10.764</f>
        <v>368.07497999999998</v>
      </c>
      <c r="E471" s="69"/>
      <c r="F471" s="30">
        <f>'[1]Wing A-1'!L366</f>
        <v>0</v>
      </c>
      <c r="G471" s="30">
        <f>D471*1.45+F471</f>
        <v>533.70872099999997</v>
      </c>
      <c r="H471" s="73"/>
      <c r="I471" s="74"/>
      <c r="J471" s="75"/>
    </row>
    <row r="472" spans="1:10" s="41" customFormat="1" ht="15.5" x14ac:dyDescent="0.35">
      <c r="A472" s="68">
        <v>5</v>
      </c>
      <c r="B472" s="69"/>
      <c r="C472" s="30" t="s">
        <v>121</v>
      </c>
      <c r="D472" s="68">
        <f>32.762*10.764</f>
        <v>352.65016800000001</v>
      </c>
      <c r="E472" s="69"/>
      <c r="F472" s="30">
        <f>'[1]A-3'!M370</f>
        <v>0</v>
      </c>
      <c r="G472" s="30">
        <f>D472*1.45+F472</f>
        <v>511.34274360000001</v>
      </c>
      <c r="H472" s="73"/>
      <c r="I472" s="74"/>
      <c r="J472" s="75"/>
    </row>
    <row r="473" spans="1:10" s="41" customFormat="1" ht="15.5" x14ac:dyDescent="0.35">
      <c r="A473" s="79" t="s">
        <v>131</v>
      </c>
      <c r="B473" s="80"/>
      <c r="C473" s="80"/>
      <c r="D473" s="80"/>
      <c r="E473" s="80"/>
      <c r="F473" s="80"/>
      <c r="G473" s="80"/>
      <c r="H473" s="80"/>
      <c r="I473" s="80"/>
      <c r="J473" s="81"/>
    </row>
    <row r="474" spans="1:10" s="41" customFormat="1" ht="15.75" customHeight="1" x14ac:dyDescent="0.35">
      <c r="A474" s="68">
        <v>1</v>
      </c>
      <c r="B474" s="69"/>
      <c r="C474" s="30" t="s">
        <v>121</v>
      </c>
      <c r="D474" s="68">
        <f>32.762*10.764</f>
        <v>352.65016800000001</v>
      </c>
      <c r="E474" s="69"/>
      <c r="F474" s="30">
        <f>'[1]Wing A-1'!L369</f>
        <v>0</v>
      </c>
      <c r="G474" s="30">
        <f>D474*1.45+F474</f>
        <v>511.34274360000001</v>
      </c>
      <c r="H474" s="70" t="str">
        <f>A473</f>
        <v>14th &amp; 16th Floor</v>
      </c>
      <c r="I474" s="71"/>
      <c r="J474" s="72"/>
    </row>
    <row r="475" spans="1:10" s="41" customFormat="1" ht="15.5" x14ac:dyDescent="0.35">
      <c r="A475" s="68">
        <v>2</v>
      </c>
      <c r="B475" s="69"/>
      <c r="C475" s="30" t="s">
        <v>121</v>
      </c>
      <c r="D475" s="68">
        <f>34.105*10.764</f>
        <v>367.10621999999995</v>
      </c>
      <c r="E475" s="69"/>
      <c r="F475" s="30">
        <f>'[1]A-2'!L369</f>
        <v>0</v>
      </c>
      <c r="G475" s="30">
        <f>D475*1.45+F475</f>
        <v>532.30401899999993</v>
      </c>
      <c r="H475" s="73"/>
      <c r="I475" s="74"/>
      <c r="J475" s="75"/>
    </row>
    <row r="476" spans="1:10" s="41" customFormat="1" ht="15.5" x14ac:dyDescent="0.35">
      <c r="A476" s="68">
        <v>3</v>
      </c>
      <c r="B476" s="69"/>
      <c r="C476" s="30" t="s">
        <v>121</v>
      </c>
      <c r="D476" s="68">
        <f>32.78*10.764</f>
        <v>352.84391999999997</v>
      </c>
      <c r="E476" s="69"/>
      <c r="F476" s="30">
        <f>'[1]A-3'!M369</f>
        <v>0</v>
      </c>
      <c r="G476" s="30">
        <f>D476*1.45+F476</f>
        <v>511.62368399999991</v>
      </c>
      <c r="H476" s="73"/>
      <c r="I476" s="74"/>
      <c r="J476" s="75"/>
    </row>
    <row r="477" spans="1:10" s="41" customFormat="1" ht="15.75" customHeight="1" x14ac:dyDescent="0.35">
      <c r="A477" s="68">
        <v>4</v>
      </c>
      <c r="B477" s="69"/>
      <c r="C477" s="30" t="s">
        <v>121</v>
      </c>
      <c r="D477" s="68">
        <f>34.195*10.764</f>
        <v>368.07497999999998</v>
      </c>
      <c r="E477" s="69"/>
      <c r="F477" s="30">
        <f>'[1]Wing A-1'!L372</f>
        <v>0</v>
      </c>
      <c r="G477" s="30">
        <f>D477*1.45+F477</f>
        <v>533.70872099999997</v>
      </c>
      <c r="H477" s="73"/>
      <c r="I477" s="74"/>
      <c r="J477" s="75"/>
    </row>
    <row r="478" spans="1:10" s="41" customFormat="1" ht="15.5" x14ac:dyDescent="0.35">
      <c r="A478" s="68">
        <v>5</v>
      </c>
      <c r="B478" s="69"/>
      <c r="C478" s="30" t="s">
        <v>121</v>
      </c>
      <c r="D478" s="68">
        <f>32.762*10.764</f>
        <v>352.65016800000001</v>
      </c>
      <c r="E478" s="69"/>
      <c r="F478" s="30">
        <f>'[1]A-3'!M377</f>
        <v>0</v>
      </c>
      <c r="G478" s="30">
        <f>D478*1.45+F478</f>
        <v>511.34274360000001</v>
      </c>
      <c r="H478" s="73"/>
      <c r="I478" s="74"/>
      <c r="J478" s="75"/>
    </row>
    <row r="479" spans="1:10" s="41" customFormat="1" ht="15.5" x14ac:dyDescent="0.35">
      <c r="A479" s="79" t="s">
        <v>247</v>
      </c>
      <c r="B479" s="80"/>
      <c r="C479" s="80"/>
      <c r="D479" s="80"/>
      <c r="E479" s="80"/>
      <c r="F479" s="80"/>
      <c r="G479" s="80"/>
      <c r="H479" s="80"/>
      <c r="I479" s="80"/>
      <c r="J479" s="81"/>
    </row>
    <row r="480" spans="1:10" s="41" customFormat="1" ht="15.5" x14ac:dyDescent="0.35">
      <c r="A480" s="68">
        <v>1</v>
      </c>
      <c r="B480" s="69"/>
      <c r="C480" s="30" t="s">
        <v>121</v>
      </c>
      <c r="D480" s="68">
        <f>32.762*10.764</f>
        <v>352.65016800000001</v>
      </c>
      <c r="E480" s="69"/>
      <c r="F480" s="30">
        <f>'[1]A-2'!L359</f>
        <v>0</v>
      </c>
      <c r="G480" s="30">
        <f>D480*1.45+F480</f>
        <v>511.34274360000001</v>
      </c>
      <c r="H480" s="70" t="str">
        <f>A479</f>
        <v>15th Floor (Part Refuge Area)</v>
      </c>
      <c r="I480" s="71"/>
      <c r="J480" s="72"/>
    </row>
    <row r="481" spans="1:11" s="41" customFormat="1" ht="15.75" customHeight="1" x14ac:dyDescent="0.35">
      <c r="A481" s="68">
        <v>2</v>
      </c>
      <c r="B481" s="69"/>
      <c r="C481" s="30" t="s">
        <v>121</v>
      </c>
      <c r="D481" s="68">
        <f>34.105*10.764</f>
        <v>367.10621999999995</v>
      </c>
      <c r="E481" s="69"/>
      <c r="F481" s="30">
        <f>'[1]A-2'!L360</f>
        <v>0</v>
      </c>
      <c r="G481" s="30">
        <f>D481*1.45+F481</f>
        <v>532.30401899999993</v>
      </c>
      <c r="H481" s="73"/>
      <c r="I481" s="74"/>
      <c r="J481" s="75"/>
    </row>
    <row r="482" spans="1:11" s="41" customFormat="1" ht="15.5" x14ac:dyDescent="0.35">
      <c r="A482" s="68">
        <v>3</v>
      </c>
      <c r="B482" s="69"/>
      <c r="C482" s="70" t="s">
        <v>127</v>
      </c>
      <c r="D482" s="71"/>
      <c r="E482" s="71"/>
      <c r="F482" s="71"/>
      <c r="G482" s="72"/>
      <c r="H482" s="73"/>
      <c r="I482" s="74"/>
      <c r="J482" s="75"/>
    </row>
    <row r="483" spans="1:11" s="41" customFormat="1" ht="15.75" customHeight="1" x14ac:dyDescent="0.35">
      <c r="A483" s="68">
        <v>4</v>
      </c>
      <c r="B483" s="69"/>
      <c r="C483" s="30" t="s">
        <v>121</v>
      </c>
      <c r="D483" s="68">
        <f>34.195*10.764</f>
        <v>368.07497999999998</v>
      </c>
      <c r="E483" s="69"/>
      <c r="F483" s="30">
        <f>'[1]Wing A-1'!L363</f>
        <v>0</v>
      </c>
      <c r="G483" s="30">
        <f>D483*1.45+F483</f>
        <v>533.70872099999997</v>
      </c>
      <c r="H483" s="73"/>
      <c r="I483" s="74"/>
      <c r="J483" s="75"/>
    </row>
    <row r="484" spans="1:11" s="41" customFormat="1" ht="15.5" x14ac:dyDescent="0.35">
      <c r="A484" s="68">
        <v>5</v>
      </c>
      <c r="B484" s="69"/>
      <c r="C484" s="30" t="s">
        <v>121</v>
      </c>
      <c r="D484" s="68">
        <f>32.762*10.764</f>
        <v>352.65016800000001</v>
      </c>
      <c r="E484" s="69"/>
      <c r="F484" s="30">
        <f>'[1]A-3'!M372</f>
        <v>0</v>
      </c>
      <c r="G484" s="30">
        <f>D484*1.45+F484</f>
        <v>511.34274360000001</v>
      </c>
      <c r="H484" s="76"/>
      <c r="I484" s="77"/>
      <c r="J484" s="78"/>
    </row>
    <row r="485" spans="1:11" s="41" customFormat="1" ht="15.75" customHeight="1" x14ac:dyDescent="0.35">
      <c r="A485" s="79" t="s">
        <v>255</v>
      </c>
      <c r="B485" s="80"/>
      <c r="C485" s="80"/>
      <c r="D485" s="80"/>
      <c r="E485" s="80"/>
      <c r="F485" s="80"/>
      <c r="G485" s="80"/>
      <c r="H485" s="80"/>
      <c r="I485" s="80"/>
      <c r="J485" s="81"/>
    </row>
    <row r="486" spans="1:11" s="41" customFormat="1" ht="15.75" customHeight="1" x14ac:dyDescent="0.35">
      <c r="A486" s="68">
        <v>1</v>
      </c>
      <c r="B486" s="69"/>
      <c r="C486" s="30" t="s">
        <v>121</v>
      </c>
      <c r="D486" s="68">
        <f>32.762*10.764</f>
        <v>352.65016800000001</v>
      </c>
      <c r="E486" s="69"/>
      <c r="F486" s="30">
        <f>'[1]Wing A-1'!L382</f>
        <v>0</v>
      </c>
      <c r="G486" s="30">
        <f>D486*1.45+F486</f>
        <v>511.34274360000001</v>
      </c>
      <c r="H486" s="70" t="str">
        <f>A485</f>
        <v>17th Floor (Part Gym Area)</v>
      </c>
      <c r="I486" s="71"/>
      <c r="J486" s="72"/>
    </row>
    <row r="487" spans="1:11" s="41" customFormat="1" ht="15.75" customHeight="1" x14ac:dyDescent="0.35">
      <c r="A487" s="68">
        <v>2</v>
      </c>
      <c r="B487" s="69"/>
      <c r="C487" s="30" t="s">
        <v>121</v>
      </c>
      <c r="D487" s="68">
        <f>34.105*10.764</f>
        <v>367.10621999999995</v>
      </c>
      <c r="E487" s="69"/>
      <c r="F487" s="30">
        <f>'[1]A-2'!L366</f>
        <v>0</v>
      </c>
      <c r="G487" s="30">
        <f>D487*1.45+F487</f>
        <v>532.30401899999993</v>
      </c>
      <c r="H487" s="73"/>
      <c r="I487" s="74"/>
      <c r="J487" s="75"/>
    </row>
    <row r="488" spans="1:11" s="41" customFormat="1" ht="15.5" x14ac:dyDescent="0.35">
      <c r="A488" s="68">
        <v>3</v>
      </c>
      <c r="B488" s="69"/>
      <c r="C488" s="70" t="s">
        <v>256</v>
      </c>
      <c r="D488" s="71">
        <f>32.75*10.764</f>
        <v>352.52099999999996</v>
      </c>
      <c r="E488" s="71"/>
      <c r="F488" s="71">
        <f>'[1]A-3'!M382</f>
        <v>0</v>
      </c>
      <c r="G488" s="72">
        <f>D488*1.45+F488</f>
        <v>511.15544999999992</v>
      </c>
      <c r="H488" s="73"/>
      <c r="I488" s="74"/>
      <c r="J488" s="75"/>
    </row>
    <row r="489" spans="1:11" s="41" customFormat="1" ht="15.75" customHeight="1" x14ac:dyDescent="0.35">
      <c r="A489" s="68">
        <v>4</v>
      </c>
      <c r="B489" s="69"/>
      <c r="C489" s="76" t="s">
        <v>121</v>
      </c>
      <c r="D489" s="77">
        <f>40.227*10.764</f>
        <v>433.00342799999993</v>
      </c>
      <c r="E489" s="77"/>
      <c r="F489" s="77">
        <f>'[1]Wing A-1'!L385</f>
        <v>0</v>
      </c>
      <c r="G489" s="78">
        <f>D489*1.45+F489</f>
        <v>627.85497059999989</v>
      </c>
      <c r="H489" s="73"/>
      <c r="I489" s="74"/>
      <c r="J489" s="75"/>
    </row>
    <row r="490" spans="1:11" s="41" customFormat="1" ht="15.5" x14ac:dyDescent="0.35">
      <c r="A490" s="68">
        <v>5</v>
      </c>
      <c r="B490" s="69"/>
      <c r="C490" s="30" t="s">
        <v>121</v>
      </c>
      <c r="D490" s="68">
        <f>32.762*10.764</f>
        <v>352.65016800000001</v>
      </c>
      <c r="E490" s="69"/>
      <c r="F490" s="30">
        <f>'[1]A-3'!M378</f>
        <v>0</v>
      </c>
      <c r="G490" s="30">
        <f>D490*1.45+F490</f>
        <v>511.34274360000001</v>
      </c>
      <c r="H490" s="73"/>
      <c r="I490" s="74"/>
      <c r="J490" s="75"/>
    </row>
    <row r="491" spans="1:11" ht="172" customHeight="1" x14ac:dyDescent="0.35">
      <c r="A491" s="83" t="s">
        <v>274</v>
      </c>
      <c r="B491" s="84"/>
      <c r="C491" s="84"/>
      <c r="D491" s="84"/>
      <c r="E491" s="84"/>
      <c r="F491" s="84"/>
      <c r="G491" s="84"/>
      <c r="H491" s="84"/>
      <c r="I491" s="84"/>
      <c r="J491" s="85"/>
      <c r="K491" s="51" t="s">
        <v>270</v>
      </c>
    </row>
    <row r="492" spans="1:11" x14ac:dyDescent="0.35">
      <c r="A492" s="66" t="s">
        <v>26</v>
      </c>
      <c r="B492" s="67"/>
      <c r="C492" s="67"/>
      <c r="D492" s="67"/>
      <c r="E492" s="67"/>
      <c r="F492" s="67"/>
      <c r="G492" s="67"/>
      <c r="H492" s="67"/>
      <c r="I492" s="67"/>
      <c r="J492" s="82"/>
    </row>
    <row r="493" spans="1:11" x14ac:dyDescent="0.35">
      <c r="A493" s="66" t="s">
        <v>31</v>
      </c>
      <c r="B493" s="67"/>
      <c r="C493" s="67"/>
      <c r="D493" s="67"/>
      <c r="E493" s="67"/>
      <c r="F493" s="67"/>
      <c r="G493" s="67"/>
      <c r="H493" s="67"/>
      <c r="I493" s="67"/>
      <c r="J493" s="82"/>
    </row>
    <row r="494" spans="1:11" x14ac:dyDescent="0.35">
      <c r="A494" s="66" t="s">
        <v>27</v>
      </c>
      <c r="B494" s="67"/>
      <c r="C494" s="67"/>
      <c r="D494" s="67"/>
      <c r="E494" s="67"/>
      <c r="F494" s="67"/>
      <c r="G494" s="67"/>
      <c r="H494" s="67"/>
      <c r="I494" s="67"/>
      <c r="J494" s="82"/>
    </row>
    <row r="495" spans="1:11" x14ac:dyDescent="0.35">
      <c r="A495" s="66" t="s">
        <v>36</v>
      </c>
      <c r="B495" s="67"/>
      <c r="C495" s="67"/>
      <c r="D495" s="67"/>
      <c r="E495" s="67"/>
      <c r="F495" s="67"/>
      <c r="G495" s="67"/>
      <c r="H495" s="67"/>
      <c r="I495" s="67"/>
      <c r="J495" s="82"/>
    </row>
    <row r="496" spans="1:11" ht="16.5" customHeight="1" x14ac:dyDescent="0.35">
      <c r="A496" s="66" t="s">
        <v>63</v>
      </c>
      <c r="B496" s="67"/>
      <c r="C496" s="67"/>
      <c r="D496" s="67"/>
      <c r="E496" s="67"/>
      <c r="F496" s="67"/>
      <c r="G496" s="67"/>
      <c r="H496" s="67"/>
      <c r="I496" s="67"/>
      <c r="J496" s="67"/>
    </row>
    <row r="497" spans="1:11" x14ac:dyDescent="0.35">
      <c r="A497" s="66" t="s">
        <v>37</v>
      </c>
      <c r="B497" s="67"/>
      <c r="C497" s="67"/>
      <c r="D497" s="67"/>
      <c r="E497" s="67"/>
      <c r="F497" s="67"/>
      <c r="G497" s="67"/>
      <c r="H497" s="67"/>
      <c r="I497" s="67"/>
      <c r="J497" s="67"/>
      <c r="K497" s="49"/>
    </row>
    <row r="498" spans="1:11" ht="30.75" customHeight="1" x14ac:dyDescent="0.35">
      <c r="A498" s="66" t="s">
        <v>39</v>
      </c>
      <c r="B498" s="67"/>
      <c r="C498" s="67"/>
      <c r="D498" s="67"/>
      <c r="E498" s="67"/>
      <c r="F498" s="67"/>
      <c r="G498" s="67"/>
      <c r="H498" s="67"/>
      <c r="I498" s="67"/>
      <c r="J498" s="67"/>
      <c r="K498" s="49"/>
    </row>
    <row r="499" spans="1:11" x14ac:dyDescent="0.35">
      <c r="A499" s="66" t="s">
        <v>38</v>
      </c>
      <c r="B499" s="67"/>
      <c r="C499" s="67"/>
      <c r="D499" s="67"/>
      <c r="E499" s="67"/>
      <c r="F499" s="67"/>
      <c r="G499" s="67"/>
      <c r="H499" s="67"/>
      <c r="I499" s="67"/>
      <c r="J499" s="67"/>
      <c r="K499" s="49"/>
    </row>
    <row r="500" spans="1:11" s="47" customFormat="1" ht="15.5" x14ac:dyDescent="0.35">
      <c r="A500" s="58" t="s">
        <v>258</v>
      </c>
      <c r="B500" s="59"/>
      <c r="C500" s="59"/>
      <c r="D500" s="59"/>
      <c r="E500" s="59"/>
      <c r="F500" s="59"/>
      <c r="G500" s="59"/>
      <c r="H500" s="59"/>
      <c r="I500" s="59"/>
      <c r="J500" s="59"/>
    </row>
    <row r="501" spans="1:11" s="47" customFormat="1" ht="15.5" x14ac:dyDescent="0.35">
      <c r="A501" s="60"/>
      <c r="B501" s="61"/>
      <c r="C501" s="61"/>
      <c r="D501" s="61"/>
      <c r="E501" s="61"/>
      <c r="F501" s="61"/>
      <c r="G501" s="61"/>
      <c r="H501" s="61"/>
      <c r="I501" s="61"/>
      <c r="J501" s="62"/>
    </row>
    <row r="502" spans="1:11" s="47" customFormat="1" ht="15.5" x14ac:dyDescent="0.35">
      <c r="A502" s="60"/>
      <c r="B502" s="61"/>
      <c r="C502" s="61"/>
      <c r="D502" s="61"/>
      <c r="E502" s="61"/>
      <c r="F502" s="61"/>
      <c r="G502" s="61"/>
      <c r="H502" s="61"/>
      <c r="I502" s="61"/>
      <c r="J502" s="62"/>
    </row>
    <row r="503" spans="1:11" s="47" customFormat="1" ht="15.5" x14ac:dyDescent="0.35">
      <c r="A503" s="63"/>
      <c r="B503" s="64"/>
      <c r="C503" s="64"/>
      <c r="D503" s="64"/>
      <c r="E503" s="64"/>
      <c r="F503" s="64"/>
      <c r="G503" s="64"/>
      <c r="H503" s="64"/>
      <c r="I503" s="64"/>
      <c r="J503" s="65"/>
    </row>
    <row r="504" spans="1:11" x14ac:dyDescent="0.35">
      <c r="A504" s="46" t="s">
        <v>170</v>
      </c>
      <c r="B504" s="35"/>
      <c r="C504" s="35"/>
      <c r="D504" s="35"/>
      <c r="E504" s="46" t="str">
        <f>F8</f>
        <v>Eminente (A &amp; O Realty)</v>
      </c>
      <c r="F504" s="35"/>
      <c r="G504" s="35"/>
    </row>
    <row r="505" spans="1:11" x14ac:dyDescent="0.35">
      <c r="A505" s="35"/>
      <c r="B505" s="35"/>
    </row>
    <row r="548" spans="1:1" x14ac:dyDescent="0.35">
      <c r="A548" s="35" t="s">
        <v>167</v>
      </c>
    </row>
  </sheetData>
  <mergeCells count="976">
    <mergeCell ref="A382:B382"/>
    <mergeCell ref="D382:E382"/>
    <mergeCell ref="A383:B383"/>
    <mergeCell ref="D383:E383"/>
    <mergeCell ref="C30:J30"/>
    <mergeCell ref="A31:B31"/>
    <mergeCell ref="C31:J31"/>
    <mergeCell ref="A120:B120"/>
    <mergeCell ref="D120:F120"/>
    <mergeCell ref="G120:J120"/>
    <mergeCell ref="A111:B111"/>
    <mergeCell ref="D111:F111"/>
    <mergeCell ref="G111:J111"/>
    <mergeCell ref="A365:J365"/>
    <mergeCell ref="A366:B366"/>
    <mergeCell ref="D366:E366"/>
    <mergeCell ref="H366:J371"/>
    <mergeCell ref="A367:B367"/>
    <mergeCell ref="D367:E367"/>
    <mergeCell ref="A368:B368"/>
    <mergeCell ref="D368:E368"/>
    <mergeCell ref="A369:B369"/>
    <mergeCell ref="D369:E369"/>
    <mergeCell ref="A370:B370"/>
    <mergeCell ref="A386:J386"/>
    <mergeCell ref="A387:B387"/>
    <mergeCell ref="D387:E387"/>
    <mergeCell ref="H387:J392"/>
    <mergeCell ref="A388:B388"/>
    <mergeCell ref="D388:E388"/>
    <mergeCell ref="A389:B389"/>
    <mergeCell ref="D389:E389"/>
    <mergeCell ref="A390:B390"/>
    <mergeCell ref="D390:E390"/>
    <mergeCell ref="A391:B391"/>
    <mergeCell ref="D391:E391"/>
    <mergeCell ref="A392:B392"/>
    <mergeCell ref="D392:E392"/>
    <mergeCell ref="A495:J495"/>
    <mergeCell ref="A497:J497"/>
    <mergeCell ref="A498:J498"/>
    <mergeCell ref="A443:J443"/>
    <mergeCell ref="H444:J448"/>
    <mergeCell ref="A449:J449"/>
    <mergeCell ref="H450:J454"/>
    <mergeCell ref="A451:B451"/>
    <mergeCell ref="D451:E451"/>
    <mergeCell ref="A452:B452"/>
    <mergeCell ref="D452:E452"/>
    <mergeCell ref="A453:B453"/>
    <mergeCell ref="D453:E453"/>
    <mergeCell ref="A455:J455"/>
    <mergeCell ref="A456:B456"/>
    <mergeCell ref="D456:E456"/>
    <mergeCell ref="H456:J460"/>
    <mergeCell ref="A457:B457"/>
    <mergeCell ref="C457:G458"/>
    <mergeCell ref="A454:B454"/>
    <mergeCell ref="D454:E454"/>
    <mergeCell ref="A461:J461"/>
    <mergeCell ref="A462:B462"/>
    <mergeCell ref="D462:E462"/>
    <mergeCell ref="A384:B384"/>
    <mergeCell ref="D384:E384"/>
    <mergeCell ref="A385:B385"/>
    <mergeCell ref="D385:E385"/>
    <mergeCell ref="A372:J372"/>
    <mergeCell ref="A373:B373"/>
    <mergeCell ref="D373:E373"/>
    <mergeCell ref="H373:J378"/>
    <mergeCell ref="A374:B374"/>
    <mergeCell ref="D374:E374"/>
    <mergeCell ref="A375:B375"/>
    <mergeCell ref="D375:E375"/>
    <mergeCell ref="A376:B376"/>
    <mergeCell ref="D376:E376"/>
    <mergeCell ref="A377:B377"/>
    <mergeCell ref="D377:E377"/>
    <mergeCell ref="A378:B378"/>
    <mergeCell ref="D378:E378"/>
    <mergeCell ref="A379:J379"/>
    <mergeCell ref="A380:B380"/>
    <mergeCell ref="D380:E380"/>
    <mergeCell ref="H380:J385"/>
    <mergeCell ref="A381:B381"/>
    <mergeCell ref="D381:E381"/>
    <mergeCell ref="D370:E370"/>
    <mergeCell ref="A371:B371"/>
    <mergeCell ref="D371:E371"/>
    <mergeCell ref="A358:J358"/>
    <mergeCell ref="A359:B359"/>
    <mergeCell ref="D359:E359"/>
    <mergeCell ref="H359:J364"/>
    <mergeCell ref="A360:B360"/>
    <mergeCell ref="D360:E360"/>
    <mergeCell ref="A361:B361"/>
    <mergeCell ref="D361:E361"/>
    <mergeCell ref="A362:B362"/>
    <mergeCell ref="D362:E362"/>
    <mergeCell ref="A363:B363"/>
    <mergeCell ref="D363:E363"/>
    <mergeCell ref="A364:B364"/>
    <mergeCell ref="D364:E364"/>
    <mergeCell ref="A351:J351"/>
    <mergeCell ref="A352:B352"/>
    <mergeCell ref="D352:E352"/>
    <mergeCell ref="H352:J357"/>
    <mergeCell ref="A353:B353"/>
    <mergeCell ref="D353:E353"/>
    <mergeCell ref="A354:B354"/>
    <mergeCell ref="D354:E354"/>
    <mergeCell ref="A355:B355"/>
    <mergeCell ref="D355:E355"/>
    <mergeCell ref="A356:B356"/>
    <mergeCell ref="D356:E356"/>
    <mergeCell ref="A357:B357"/>
    <mergeCell ref="D357:E357"/>
    <mergeCell ref="A344:J344"/>
    <mergeCell ref="A345:B345"/>
    <mergeCell ref="D345:E345"/>
    <mergeCell ref="H345:J350"/>
    <mergeCell ref="A346:B346"/>
    <mergeCell ref="D346:E346"/>
    <mergeCell ref="A347:B347"/>
    <mergeCell ref="D347:E347"/>
    <mergeCell ref="A348:B348"/>
    <mergeCell ref="D348:E348"/>
    <mergeCell ref="A349:B349"/>
    <mergeCell ref="D349:E349"/>
    <mergeCell ref="A350:B350"/>
    <mergeCell ref="D350:E350"/>
    <mergeCell ref="A337:J337"/>
    <mergeCell ref="A338:B338"/>
    <mergeCell ref="D338:E338"/>
    <mergeCell ref="H338:J343"/>
    <mergeCell ref="A339:B339"/>
    <mergeCell ref="D339:E339"/>
    <mergeCell ref="A340:B340"/>
    <mergeCell ref="D340:E340"/>
    <mergeCell ref="A341:B341"/>
    <mergeCell ref="D341:E341"/>
    <mergeCell ref="A342:B342"/>
    <mergeCell ref="D342:E342"/>
    <mergeCell ref="A343:B343"/>
    <mergeCell ref="D343:E343"/>
    <mergeCell ref="A330:J330"/>
    <mergeCell ref="A331:B331"/>
    <mergeCell ref="D331:E331"/>
    <mergeCell ref="H331:J336"/>
    <mergeCell ref="A332:B332"/>
    <mergeCell ref="D332:E332"/>
    <mergeCell ref="A333:B333"/>
    <mergeCell ref="D333:E333"/>
    <mergeCell ref="A334:B334"/>
    <mergeCell ref="D334:E334"/>
    <mergeCell ref="A335:B335"/>
    <mergeCell ref="D335:E335"/>
    <mergeCell ref="A336:B336"/>
    <mergeCell ref="D336:E336"/>
    <mergeCell ref="A323:J323"/>
    <mergeCell ref="A324:B324"/>
    <mergeCell ref="D324:E324"/>
    <mergeCell ref="H324:J329"/>
    <mergeCell ref="A325:B325"/>
    <mergeCell ref="D325:E325"/>
    <mergeCell ref="A326:B326"/>
    <mergeCell ref="D326:E326"/>
    <mergeCell ref="A327:B327"/>
    <mergeCell ref="D327:E327"/>
    <mergeCell ref="A328:B328"/>
    <mergeCell ref="D328:E328"/>
    <mergeCell ref="A329:B329"/>
    <mergeCell ref="D329:E329"/>
    <mergeCell ref="A316:J316"/>
    <mergeCell ref="A317:B317"/>
    <mergeCell ref="D317:E317"/>
    <mergeCell ref="H317:J322"/>
    <mergeCell ref="A318:B318"/>
    <mergeCell ref="D318:E318"/>
    <mergeCell ref="A319:B319"/>
    <mergeCell ref="D319:E319"/>
    <mergeCell ref="A320:B320"/>
    <mergeCell ref="D320:E320"/>
    <mergeCell ref="A321:B321"/>
    <mergeCell ref="D321:E321"/>
    <mergeCell ref="A322:B322"/>
    <mergeCell ref="D322:E322"/>
    <mergeCell ref="A116:B116"/>
    <mergeCell ref="D116:F116"/>
    <mergeCell ref="G116:J116"/>
    <mergeCell ref="A117:B117"/>
    <mergeCell ref="D117:F117"/>
    <mergeCell ref="G117:J117"/>
    <mergeCell ref="A308:J308"/>
    <mergeCell ref="A309:J309"/>
    <mergeCell ref="H310:J315"/>
    <mergeCell ref="A311:B311"/>
    <mergeCell ref="D311:E311"/>
    <mergeCell ref="A312:B312"/>
    <mergeCell ref="D312:E312"/>
    <mergeCell ref="A313:B313"/>
    <mergeCell ref="D313:E313"/>
    <mergeCell ref="A314:B314"/>
    <mergeCell ref="D314:E314"/>
    <mergeCell ref="A315:B315"/>
    <mergeCell ref="D315:E315"/>
    <mergeCell ref="A310:B310"/>
    <mergeCell ref="D310:E310"/>
    <mergeCell ref="A118:B118"/>
    <mergeCell ref="D300:E300"/>
    <mergeCell ref="A267:B267"/>
    <mergeCell ref="D229:E229"/>
    <mergeCell ref="A230:B230"/>
    <mergeCell ref="D230:E230"/>
    <mergeCell ref="D267:E267"/>
    <mergeCell ref="H267:J272"/>
    <mergeCell ref="A268:B268"/>
    <mergeCell ref="D268:E268"/>
    <mergeCell ref="A269:B269"/>
    <mergeCell ref="D269:E269"/>
    <mergeCell ref="A270:B270"/>
    <mergeCell ref="D270:E270"/>
    <mergeCell ref="A271:B271"/>
    <mergeCell ref="D271:E271"/>
    <mergeCell ref="A272:B272"/>
    <mergeCell ref="D272:E272"/>
    <mergeCell ref="A252:J252"/>
    <mergeCell ref="A253:B253"/>
    <mergeCell ref="D253:E253"/>
    <mergeCell ref="A245:J245"/>
    <mergeCell ref="A246:B246"/>
    <mergeCell ref="D246:E246"/>
    <mergeCell ref="H246:J251"/>
    <mergeCell ref="A247:B247"/>
    <mergeCell ref="D247:E247"/>
    <mergeCell ref="D154:E154"/>
    <mergeCell ref="A155:B155"/>
    <mergeCell ref="D155:E155"/>
    <mergeCell ref="H225:J230"/>
    <mergeCell ref="A236:B236"/>
    <mergeCell ref="D236:E236"/>
    <mergeCell ref="A238:J238"/>
    <mergeCell ref="A239:B239"/>
    <mergeCell ref="D239:E239"/>
    <mergeCell ref="H239:J244"/>
    <mergeCell ref="A240:B240"/>
    <mergeCell ref="D240:E240"/>
    <mergeCell ref="A241:B241"/>
    <mergeCell ref="D241:E241"/>
    <mergeCell ref="A242:B242"/>
    <mergeCell ref="D242:E242"/>
    <mergeCell ref="A243:B243"/>
    <mergeCell ref="A228:B228"/>
    <mergeCell ref="D228:E228"/>
    <mergeCell ref="D243:E243"/>
    <mergeCell ref="A244:B244"/>
    <mergeCell ref="D244:E244"/>
    <mergeCell ref="C225:G225"/>
    <mergeCell ref="A229:B229"/>
    <mergeCell ref="A193:J193"/>
    <mergeCell ref="D142:E142"/>
    <mergeCell ref="D143:E143"/>
    <mergeCell ref="D144:E144"/>
    <mergeCell ref="A124:J124"/>
    <mergeCell ref="A125:J125"/>
    <mergeCell ref="D126:E126"/>
    <mergeCell ref="D127:E127"/>
    <mergeCell ref="D128:E128"/>
    <mergeCell ref="D129:E129"/>
    <mergeCell ref="D130:E130"/>
    <mergeCell ref="D131:E131"/>
    <mergeCell ref="D137:E137"/>
    <mergeCell ref="D138:E138"/>
    <mergeCell ref="D139:E139"/>
    <mergeCell ref="D140:E140"/>
    <mergeCell ref="D141:E141"/>
    <mergeCell ref="D145:E145"/>
    <mergeCell ref="A160:B160"/>
    <mergeCell ref="D160:E160"/>
    <mergeCell ref="A168:B168"/>
    <mergeCell ref="D168:E168"/>
    <mergeCell ref="C165:G166"/>
    <mergeCell ref="A167:B167"/>
    <mergeCell ref="G101:J101"/>
    <mergeCell ref="A102:F102"/>
    <mergeCell ref="A114:B114"/>
    <mergeCell ref="D114:F114"/>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81:B81"/>
    <mergeCell ref="C81:J81"/>
    <mergeCell ref="E82:F82"/>
    <mergeCell ref="I82:J82"/>
    <mergeCell ref="A83:B83"/>
    <mergeCell ref="C83:J83"/>
    <mergeCell ref="A84:B84"/>
    <mergeCell ref="D84:E84"/>
    <mergeCell ref="F84:G84"/>
    <mergeCell ref="H84:J84"/>
    <mergeCell ref="A100:F100"/>
    <mergeCell ref="G100:J100"/>
    <mergeCell ref="A103:F103"/>
    <mergeCell ref="A492:J492"/>
    <mergeCell ref="A463:B463"/>
    <mergeCell ref="D463:E463"/>
    <mergeCell ref="A467:J467"/>
    <mergeCell ref="H468:J472"/>
    <mergeCell ref="A470:B470"/>
    <mergeCell ref="D470:E470"/>
    <mergeCell ref="A471:B471"/>
    <mergeCell ref="A485:J485"/>
    <mergeCell ref="A486:B486"/>
    <mergeCell ref="A199:J199"/>
    <mergeCell ref="A251:B251"/>
    <mergeCell ref="D251:E251"/>
    <mergeCell ref="A280:J280"/>
    <mergeCell ref="A200:B200"/>
    <mergeCell ref="D200:E200"/>
    <mergeCell ref="H200:J204"/>
    <mergeCell ref="A201:B201"/>
    <mergeCell ref="D201:E201"/>
    <mergeCell ref="G103:J103"/>
    <mergeCell ref="A101:F101"/>
    <mergeCell ref="A187:J187"/>
    <mergeCell ref="A112:J112"/>
    <mergeCell ref="A113:B113"/>
    <mergeCell ref="D113:F113"/>
    <mergeCell ref="G113:J113"/>
    <mergeCell ref="D115:F115"/>
    <mergeCell ref="G115:J115"/>
    <mergeCell ref="A119:B119"/>
    <mergeCell ref="D119:F119"/>
    <mergeCell ref="G114:J114"/>
    <mergeCell ref="A115:B115"/>
    <mergeCell ref="A163:J163"/>
    <mergeCell ref="D132:E132"/>
    <mergeCell ref="D133:E133"/>
    <mergeCell ref="D134:E134"/>
    <mergeCell ref="D147:E147"/>
    <mergeCell ref="D148:E148"/>
    <mergeCell ref="D149:E149"/>
    <mergeCell ref="H126:J149"/>
    <mergeCell ref="D146:E146"/>
    <mergeCell ref="H123:J123"/>
    <mergeCell ref="D135:E135"/>
    <mergeCell ref="D136:E136"/>
    <mergeCell ref="G119:J119"/>
    <mergeCell ref="A248:B248"/>
    <mergeCell ref="D248:E248"/>
    <mergeCell ref="A249:B249"/>
    <mergeCell ref="D249:E249"/>
    <mergeCell ref="A250:B250"/>
    <mergeCell ref="D250:E250"/>
    <mergeCell ref="H253:J258"/>
    <mergeCell ref="A254:B254"/>
    <mergeCell ref="D254:E254"/>
    <mergeCell ref="A255:B255"/>
    <mergeCell ref="D255:E255"/>
    <mergeCell ref="A256:B256"/>
    <mergeCell ref="D256:E256"/>
    <mergeCell ref="A258:B258"/>
    <mergeCell ref="D258:E258"/>
    <mergeCell ref="A257:B257"/>
    <mergeCell ref="D257:E257"/>
    <mergeCell ref="H42:J42"/>
    <mergeCell ref="H43:J43"/>
    <mergeCell ref="A52:J52"/>
    <mergeCell ref="H49:J49"/>
    <mergeCell ref="F40:J40"/>
    <mergeCell ref="F39:J39"/>
    <mergeCell ref="A41:J41"/>
    <mergeCell ref="A40:E40"/>
    <mergeCell ref="A47:J47"/>
    <mergeCell ref="H44:J44"/>
    <mergeCell ref="A45:B45"/>
    <mergeCell ref="C45:F45"/>
    <mergeCell ref="A50:B50"/>
    <mergeCell ref="C50:J50"/>
    <mergeCell ref="H45:J45"/>
    <mergeCell ref="F46:G46"/>
    <mergeCell ref="A44:B44"/>
    <mergeCell ref="D46:E46"/>
    <mergeCell ref="C43:F43"/>
    <mergeCell ref="C44:F44"/>
    <mergeCell ref="A46:C46"/>
    <mergeCell ref="F48:G48"/>
    <mergeCell ref="H48:J48"/>
    <mergeCell ref="I54:J54"/>
    <mergeCell ref="A55:B55"/>
    <mergeCell ref="C55:J55"/>
    <mergeCell ref="A56:B56"/>
    <mergeCell ref="D56:E56"/>
    <mergeCell ref="H56:J56"/>
    <mergeCell ref="A57:B57"/>
    <mergeCell ref="D57:E57"/>
    <mergeCell ref="F57:G66"/>
    <mergeCell ref="A60:B60"/>
    <mergeCell ref="D60:E60"/>
    <mergeCell ref="A61:B61"/>
    <mergeCell ref="D61:E61"/>
    <mergeCell ref="A66:B66"/>
    <mergeCell ref="A104:F104"/>
    <mergeCell ref="A1:J1"/>
    <mergeCell ref="A106:F106"/>
    <mergeCell ref="G106:J106"/>
    <mergeCell ref="C13:J13"/>
    <mergeCell ref="D51:J51"/>
    <mergeCell ref="A42:B42"/>
    <mergeCell ref="C49:G49"/>
    <mergeCell ref="G104:J104"/>
    <mergeCell ref="A95:J95"/>
    <mergeCell ref="A96:J96"/>
    <mergeCell ref="A97:J98"/>
    <mergeCell ref="A99:J99"/>
    <mergeCell ref="A105:F105"/>
    <mergeCell ref="A53:B53"/>
    <mergeCell ref="C53:J53"/>
    <mergeCell ref="G105:J105"/>
    <mergeCell ref="C42:F42"/>
    <mergeCell ref="H46:J46"/>
    <mergeCell ref="A43:B43"/>
    <mergeCell ref="A48:C48"/>
    <mergeCell ref="D48:E48"/>
    <mergeCell ref="F56:G56"/>
    <mergeCell ref="D63:E63"/>
    <mergeCell ref="G102:J102"/>
    <mergeCell ref="E54:F54"/>
    <mergeCell ref="A49:B49"/>
    <mergeCell ref="A28:J28"/>
    <mergeCell ref="A29:J29"/>
    <mergeCell ref="F37:J37"/>
    <mergeCell ref="A36:E36"/>
    <mergeCell ref="A37:E37"/>
    <mergeCell ref="F38:J38"/>
    <mergeCell ref="A39:E39"/>
    <mergeCell ref="A32:J32"/>
    <mergeCell ref="A62:B62"/>
    <mergeCell ref="D62:E62"/>
    <mergeCell ref="A63:B63"/>
    <mergeCell ref="A64:B64"/>
    <mergeCell ref="D64:E64"/>
    <mergeCell ref="A78:B78"/>
    <mergeCell ref="D78:E78"/>
    <mergeCell ref="A79:B79"/>
    <mergeCell ref="D79:E79"/>
    <mergeCell ref="A65:B65"/>
    <mergeCell ref="D65:E65"/>
    <mergeCell ref="A67:B67"/>
    <mergeCell ref="C67:J67"/>
    <mergeCell ref="A27:B27"/>
    <mergeCell ref="C27:D27"/>
    <mergeCell ref="A30:B30"/>
    <mergeCell ref="E27:F27"/>
    <mergeCell ref="G27:H27"/>
    <mergeCell ref="A38:E38"/>
    <mergeCell ref="F35:J35"/>
    <mergeCell ref="F36:J36"/>
    <mergeCell ref="A33:J34"/>
    <mergeCell ref="I27:J27"/>
    <mergeCell ref="C26:D26"/>
    <mergeCell ref="E26:F26"/>
    <mergeCell ref="G26:H26"/>
    <mergeCell ref="A26:B26"/>
    <mergeCell ref="F22:J22"/>
    <mergeCell ref="I25:J25"/>
    <mergeCell ref="I26:J26"/>
    <mergeCell ref="A25:B25"/>
    <mergeCell ref="C25:D25"/>
    <mergeCell ref="E25:F25"/>
    <mergeCell ref="G25:H25"/>
    <mergeCell ref="F12:J12"/>
    <mergeCell ref="A10:E10"/>
    <mergeCell ref="F10:J10"/>
    <mergeCell ref="C17:E17"/>
    <mergeCell ref="A11:E11"/>
    <mergeCell ref="F11:J11"/>
    <mergeCell ref="A21:E21"/>
    <mergeCell ref="F24:J24"/>
    <mergeCell ref="F21:J21"/>
    <mergeCell ref="A23:E23"/>
    <mergeCell ref="A24:E24"/>
    <mergeCell ref="F23:J23"/>
    <mergeCell ref="B14:F14"/>
    <mergeCell ref="A20:E20"/>
    <mergeCell ref="F20:J20"/>
    <mergeCell ref="G15:J15"/>
    <mergeCell ref="F17:G17"/>
    <mergeCell ref="H17:J17"/>
    <mergeCell ref="B16:E16"/>
    <mergeCell ref="A17:B17"/>
    <mergeCell ref="A18:E19"/>
    <mergeCell ref="F18:J19"/>
    <mergeCell ref="A294:J294"/>
    <mergeCell ref="A295:B295"/>
    <mergeCell ref="D295:E295"/>
    <mergeCell ref="H295:J300"/>
    <mergeCell ref="A2:J2"/>
    <mergeCell ref="A3:E3"/>
    <mergeCell ref="F3:J3"/>
    <mergeCell ref="A4:E4"/>
    <mergeCell ref="F4:J4"/>
    <mergeCell ref="A6:E6"/>
    <mergeCell ref="F6:J6"/>
    <mergeCell ref="A5:E5"/>
    <mergeCell ref="F5:J5"/>
    <mergeCell ref="A7:E7"/>
    <mergeCell ref="F7:J7"/>
    <mergeCell ref="A35:E35"/>
    <mergeCell ref="H14:J14"/>
    <mergeCell ref="G16:J16"/>
    <mergeCell ref="A12:E12"/>
    <mergeCell ref="F8:J8"/>
    <mergeCell ref="B15:E15"/>
    <mergeCell ref="A22:E22"/>
    <mergeCell ref="A8:E8"/>
    <mergeCell ref="A13:B13"/>
    <mergeCell ref="A281:B281"/>
    <mergeCell ref="D281:E281"/>
    <mergeCell ref="H281:J286"/>
    <mergeCell ref="A282:B282"/>
    <mergeCell ref="D282:E282"/>
    <mergeCell ref="A283:B283"/>
    <mergeCell ref="D283:E283"/>
    <mergeCell ref="A285:B285"/>
    <mergeCell ref="D285:E285"/>
    <mergeCell ref="A284:B284"/>
    <mergeCell ref="D284:E284"/>
    <mergeCell ref="A292:B292"/>
    <mergeCell ref="A286:B286"/>
    <mergeCell ref="D286:E286"/>
    <mergeCell ref="A287:J287"/>
    <mergeCell ref="A288:B288"/>
    <mergeCell ref="D288:E288"/>
    <mergeCell ref="H288:J293"/>
    <mergeCell ref="A289:B289"/>
    <mergeCell ref="D289:E289"/>
    <mergeCell ref="A290:B290"/>
    <mergeCell ref="D290:E290"/>
    <mergeCell ref="A291:B291"/>
    <mergeCell ref="D291:E291"/>
    <mergeCell ref="A293:B293"/>
    <mergeCell ref="D293:E293"/>
    <mergeCell ref="D292:E292"/>
    <mergeCell ref="E68:F68"/>
    <mergeCell ref="I68:J68"/>
    <mergeCell ref="A69:B69"/>
    <mergeCell ref="C69:J69"/>
    <mergeCell ref="D66:E66"/>
    <mergeCell ref="H57:J66"/>
    <mergeCell ref="A58:B58"/>
    <mergeCell ref="D58:E58"/>
    <mergeCell ref="A59:B59"/>
    <mergeCell ref="D59:E59"/>
    <mergeCell ref="A80:B80"/>
    <mergeCell ref="D80:E80"/>
    <mergeCell ref="A70:B70"/>
    <mergeCell ref="D70:E70"/>
    <mergeCell ref="F70:G70"/>
    <mergeCell ref="H70:J70"/>
    <mergeCell ref="A71:B71"/>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A107:J107"/>
    <mergeCell ref="A108:B108"/>
    <mergeCell ref="D108:F108"/>
    <mergeCell ref="G108:J108"/>
    <mergeCell ref="A109:B109"/>
    <mergeCell ref="D109:F109"/>
    <mergeCell ref="G109:J109"/>
    <mergeCell ref="A110:B110"/>
    <mergeCell ref="D110:F110"/>
    <mergeCell ref="G110:J110"/>
    <mergeCell ref="D118:F118"/>
    <mergeCell ref="G118:J118"/>
    <mergeCell ref="D151:E151"/>
    <mergeCell ref="H151:J151"/>
    <mergeCell ref="H154:J156"/>
    <mergeCell ref="A157:J157"/>
    <mergeCell ref="A158:B158"/>
    <mergeCell ref="D158:E158"/>
    <mergeCell ref="A159:B159"/>
    <mergeCell ref="D159:E159"/>
    <mergeCell ref="H158:J162"/>
    <mergeCell ref="A156:B156"/>
    <mergeCell ref="D156:E156"/>
    <mergeCell ref="D161:E161"/>
    <mergeCell ref="A162:B162"/>
    <mergeCell ref="D162:E162"/>
    <mergeCell ref="A161:B161"/>
    <mergeCell ref="A150:J150"/>
    <mergeCell ref="A121:J121"/>
    <mergeCell ref="A122:J122"/>
    <mergeCell ref="D123:E123"/>
    <mergeCell ref="A152:J152"/>
    <mergeCell ref="A153:J153"/>
    <mergeCell ref="A154:B154"/>
    <mergeCell ref="D167:E167"/>
    <mergeCell ref="H164:J168"/>
    <mergeCell ref="A170:B170"/>
    <mergeCell ref="D170:E170"/>
    <mergeCell ref="H170:J174"/>
    <mergeCell ref="A171:B171"/>
    <mergeCell ref="D171:E171"/>
    <mergeCell ref="A172:B172"/>
    <mergeCell ref="D172:E172"/>
    <mergeCell ref="A173:B173"/>
    <mergeCell ref="D173:E173"/>
    <mergeCell ref="A174:B174"/>
    <mergeCell ref="D174:E174"/>
    <mergeCell ref="A164:B164"/>
    <mergeCell ref="D164:E164"/>
    <mergeCell ref="A165:B165"/>
    <mergeCell ref="A166:B166"/>
    <mergeCell ref="A169:J169"/>
    <mergeCell ref="A175:J175"/>
    <mergeCell ref="A176:B176"/>
    <mergeCell ref="D176:E176"/>
    <mergeCell ref="H176:J180"/>
    <mergeCell ref="A177:B177"/>
    <mergeCell ref="D177:E177"/>
    <mergeCell ref="A178:B178"/>
    <mergeCell ref="D178:E178"/>
    <mergeCell ref="A179:B179"/>
    <mergeCell ref="D179:E179"/>
    <mergeCell ref="A180:B180"/>
    <mergeCell ref="D180:E180"/>
    <mergeCell ref="A181:J181"/>
    <mergeCell ref="A182:B182"/>
    <mergeCell ref="D182:E182"/>
    <mergeCell ref="H182:J186"/>
    <mergeCell ref="A183:B183"/>
    <mergeCell ref="D183:E183"/>
    <mergeCell ref="A184:B184"/>
    <mergeCell ref="D184:E184"/>
    <mergeCell ref="A185:B185"/>
    <mergeCell ref="D185:E185"/>
    <mergeCell ref="A186:B186"/>
    <mergeCell ref="D186:E186"/>
    <mergeCell ref="A188:B188"/>
    <mergeCell ref="D188:E188"/>
    <mergeCell ref="H188:J192"/>
    <mergeCell ref="A189:B189"/>
    <mergeCell ref="C189:G190"/>
    <mergeCell ref="A190:B190"/>
    <mergeCell ref="A191:B191"/>
    <mergeCell ref="D191:E191"/>
    <mergeCell ref="A192:B192"/>
    <mergeCell ref="D192:E192"/>
    <mergeCell ref="A194:B194"/>
    <mergeCell ref="D194:E194"/>
    <mergeCell ref="H194:J198"/>
    <mergeCell ref="A195:B195"/>
    <mergeCell ref="D195:E195"/>
    <mergeCell ref="A196:B196"/>
    <mergeCell ref="D196:E196"/>
    <mergeCell ref="A197:B197"/>
    <mergeCell ref="D197:E197"/>
    <mergeCell ref="A198:B198"/>
    <mergeCell ref="D198:E198"/>
    <mergeCell ref="D202:E202"/>
    <mergeCell ref="A203:B203"/>
    <mergeCell ref="D203:E203"/>
    <mergeCell ref="A204:B204"/>
    <mergeCell ref="D204:E204"/>
    <mergeCell ref="A205:J205"/>
    <mergeCell ref="A206:B206"/>
    <mergeCell ref="D206:E206"/>
    <mergeCell ref="H206:J210"/>
    <mergeCell ref="A207:B207"/>
    <mergeCell ref="D207:E207"/>
    <mergeCell ref="A208:B208"/>
    <mergeCell ref="D208:E208"/>
    <mergeCell ref="A209:B209"/>
    <mergeCell ref="D209:E209"/>
    <mergeCell ref="A210:B210"/>
    <mergeCell ref="D210:E210"/>
    <mergeCell ref="A202:B202"/>
    <mergeCell ref="D212:E212"/>
    <mergeCell ref="H212:J216"/>
    <mergeCell ref="A213:B213"/>
    <mergeCell ref="A214:B214"/>
    <mergeCell ref="D214:E214"/>
    <mergeCell ref="A215:B215"/>
    <mergeCell ref="D215:E215"/>
    <mergeCell ref="A216:B216"/>
    <mergeCell ref="D216:E216"/>
    <mergeCell ref="C213:G213"/>
    <mergeCell ref="H218:J222"/>
    <mergeCell ref="A219:B219"/>
    <mergeCell ref="D219:E219"/>
    <mergeCell ref="A220:B220"/>
    <mergeCell ref="D220:E220"/>
    <mergeCell ref="A221:B221"/>
    <mergeCell ref="D221:E221"/>
    <mergeCell ref="A222:B222"/>
    <mergeCell ref="D222:E222"/>
    <mergeCell ref="A211:J211"/>
    <mergeCell ref="A212:B212"/>
    <mergeCell ref="A231:J231"/>
    <mergeCell ref="A232:B232"/>
    <mergeCell ref="D232:E232"/>
    <mergeCell ref="H232:J237"/>
    <mergeCell ref="A233:B233"/>
    <mergeCell ref="D233:E233"/>
    <mergeCell ref="A234:B234"/>
    <mergeCell ref="D234:E234"/>
    <mergeCell ref="A235:B235"/>
    <mergeCell ref="D235:E235"/>
    <mergeCell ref="A237:B237"/>
    <mergeCell ref="D237:E237"/>
    <mergeCell ref="A223:J223"/>
    <mergeCell ref="A224:J224"/>
    <mergeCell ref="A225:B225"/>
    <mergeCell ref="A226:B226"/>
    <mergeCell ref="D226:E226"/>
    <mergeCell ref="A227:B227"/>
    <mergeCell ref="D227:E227"/>
    <mergeCell ref="A217:J217"/>
    <mergeCell ref="A218:B218"/>
    <mergeCell ref="D218:E218"/>
    <mergeCell ref="A259:J259"/>
    <mergeCell ref="A260:B260"/>
    <mergeCell ref="D260:E260"/>
    <mergeCell ref="H260:J265"/>
    <mergeCell ref="A261:B261"/>
    <mergeCell ref="D261:E261"/>
    <mergeCell ref="A262:B262"/>
    <mergeCell ref="D262:E262"/>
    <mergeCell ref="A263:B263"/>
    <mergeCell ref="D263:E263"/>
    <mergeCell ref="A265:B265"/>
    <mergeCell ref="D265:E265"/>
    <mergeCell ref="A264:B264"/>
    <mergeCell ref="D264:E264"/>
    <mergeCell ref="A266:J266"/>
    <mergeCell ref="A273:J273"/>
    <mergeCell ref="A274:B274"/>
    <mergeCell ref="D274:E274"/>
    <mergeCell ref="H274:J279"/>
    <mergeCell ref="A275:B275"/>
    <mergeCell ref="D275:E275"/>
    <mergeCell ref="A276:B276"/>
    <mergeCell ref="D276:E276"/>
    <mergeCell ref="A277:B277"/>
    <mergeCell ref="D277:E277"/>
    <mergeCell ref="A279:B279"/>
    <mergeCell ref="D279:E279"/>
    <mergeCell ref="A278:B278"/>
    <mergeCell ref="D278:E278"/>
    <mergeCell ref="A296:B296"/>
    <mergeCell ref="D296:E296"/>
    <mergeCell ref="A297:B297"/>
    <mergeCell ref="D297:E297"/>
    <mergeCell ref="A298:B298"/>
    <mergeCell ref="D298:E298"/>
    <mergeCell ref="A299:B299"/>
    <mergeCell ref="D299:E299"/>
    <mergeCell ref="A300:B300"/>
    <mergeCell ref="A301:J301"/>
    <mergeCell ref="A302:B302"/>
    <mergeCell ref="D302:E302"/>
    <mergeCell ref="H302:J307"/>
    <mergeCell ref="A303:B303"/>
    <mergeCell ref="D303:E303"/>
    <mergeCell ref="A304:B304"/>
    <mergeCell ref="D304:E304"/>
    <mergeCell ref="A305:B305"/>
    <mergeCell ref="D305:E305"/>
    <mergeCell ref="A307:B307"/>
    <mergeCell ref="D307:E307"/>
    <mergeCell ref="A306:B306"/>
    <mergeCell ref="D306:E306"/>
    <mergeCell ref="A393:J393"/>
    <mergeCell ref="A394:J394"/>
    <mergeCell ref="H395:J399"/>
    <mergeCell ref="A396:B396"/>
    <mergeCell ref="D396:E396"/>
    <mergeCell ref="A397:B397"/>
    <mergeCell ref="D397:E397"/>
    <mergeCell ref="A398:B398"/>
    <mergeCell ref="D398:E398"/>
    <mergeCell ref="A399:B399"/>
    <mergeCell ref="D399:E399"/>
    <mergeCell ref="A395:B395"/>
    <mergeCell ref="D395:E395"/>
    <mergeCell ref="A400:J400"/>
    <mergeCell ref="A401:B401"/>
    <mergeCell ref="D401:E401"/>
    <mergeCell ref="H401:J405"/>
    <mergeCell ref="A402:B402"/>
    <mergeCell ref="D402:E402"/>
    <mergeCell ref="A403:B403"/>
    <mergeCell ref="D403:E403"/>
    <mergeCell ref="A404:B404"/>
    <mergeCell ref="D404:E404"/>
    <mergeCell ref="A405:B405"/>
    <mergeCell ref="D405:E405"/>
    <mergeCell ref="A406:J406"/>
    <mergeCell ref="A407:B407"/>
    <mergeCell ref="D407:E407"/>
    <mergeCell ref="H407:J411"/>
    <mergeCell ref="A408:B408"/>
    <mergeCell ref="D408:E408"/>
    <mergeCell ref="A409:B409"/>
    <mergeCell ref="A410:B410"/>
    <mergeCell ref="A411:B411"/>
    <mergeCell ref="D411:E411"/>
    <mergeCell ref="C409:G410"/>
    <mergeCell ref="A412:J412"/>
    <mergeCell ref="A413:B413"/>
    <mergeCell ref="D413:E413"/>
    <mergeCell ref="H413:J417"/>
    <mergeCell ref="A414:B414"/>
    <mergeCell ref="D414:E414"/>
    <mergeCell ref="A415:B415"/>
    <mergeCell ref="D415:E415"/>
    <mergeCell ref="A416:B416"/>
    <mergeCell ref="D416:E416"/>
    <mergeCell ref="A417:B417"/>
    <mergeCell ref="D417:E417"/>
    <mergeCell ref="A418:J418"/>
    <mergeCell ref="A419:B419"/>
    <mergeCell ref="D419:E419"/>
    <mergeCell ref="H419:J423"/>
    <mergeCell ref="A420:B420"/>
    <mergeCell ref="D420:E420"/>
    <mergeCell ref="A421:B421"/>
    <mergeCell ref="D421:E421"/>
    <mergeCell ref="A422:B422"/>
    <mergeCell ref="D422:E422"/>
    <mergeCell ref="A423:B423"/>
    <mergeCell ref="D423:E423"/>
    <mergeCell ref="A442:J442"/>
    <mergeCell ref="A424:J424"/>
    <mergeCell ref="A425:B425"/>
    <mergeCell ref="D425:E425"/>
    <mergeCell ref="H425:J429"/>
    <mergeCell ref="A426:B426"/>
    <mergeCell ref="D426:E426"/>
    <mergeCell ref="A427:B427"/>
    <mergeCell ref="D427:E427"/>
    <mergeCell ref="A428:B428"/>
    <mergeCell ref="D428:E428"/>
    <mergeCell ref="A429:B429"/>
    <mergeCell ref="D429:E429"/>
    <mergeCell ref="A430:J430"/>
    <mergeCell ref="A431:B431"/>
    <mergeCell ref="D431:E431"/>
    <mergeCell ref="A432:B432"/>
    <mergeCell ref="D432:E432"/>
    <mergeCell ref="A433:B433"/>
    <mergeCell ref="A434:B434"/>
    <mergeCell ref="D434:E434"/>
    <mergeCell ref="A435:B435"/>
    <mergeCell ref="D435:E435"/>
    <mergeCell ref="C433:G433"/>
    <mergeCell ref="H462:J466"/>
    <mergeCell ref="A458:B458"/>
    <mergeCell ref="A479:J479"/>
    <mergeCell ref="A480:B480"/>
    <mergeCell ref="D480:E480"/>
    <mergeCell ref="H480:J484"/>
    <mergeCell ref="A481:B481"/>
    <mergeCell ref="D481:E481"/>
    <mergeCell ref="D471:E471"/>
    <mergeCell ref="A472:B472"/>
    <mergeCell ref="D472:E472"/>
    <mergeCell ref="A473:J473"/>
    <mergeCell ref="A474:B474"/>
    <mergeCell ref="D474:E474"/>
    <mergeCell ref="H474:J478"/>
    <mergeCell ref="A475:B475"/>
    <mergeCell ref="D475:E475"/>
    <mergeCell ref="A476:B476"/>
    <mergeCell ref="D476:E476"/>
    <mergeCell ref="C482:G482"/>
    <mergeCell ref="A483:B483"/>
    <mergeCell ref="D483:E483"/>
    <mergeCell ref="A484:B484"/>
    <mergeCell ref="D484:E484"/>
    <mergeCell ref="D490:E490"/>
    <mergeCell ref="A482:B482"/>
    <mergeCell ref="A444:B444"/>
    <mergeCell ref="D444:E444"/>
    <mergeCell ref="A445:B445"/>
    <mergeCell ref="D445:E445"/>
    <mergeCell ref="A446:B446"/>
    <mergeCell ref="D446:E446"/>
    <mergeCell ref="A447:B447"/>
    <mergeCell ref="D447:E447"/>
    <mergeCell ref="A448:B448"/>
    <mergeCell ref="D448:E448"/>
    <mergeCell ref="D460:E460"/>
    <mergeCell ref="A487:B487"/>
    <mergeCell ref="D487:E487"/>
    <mergeCell ref="A496:J496"/>
    <mergeCell ref="A493:J493"/>
    <mergeCell ref="A494:J494"/>
    <mergeCell ref="A464:B464"/>
    <mergeCell ref="D464:E464"/>
    <mergeCell ref="A465:B465"/>
    <mergeCell ref="D465:E465"/>
    <mergeCell ref="A466:B466"/>
    <mergeCell ref="D466:E466"/>
    <mergeCell ref="A468:B468"/>
    <mergeCell ref="D468:E468"/>
    <mergeCell ref="A469:B469"/>
    <mergeCell ref="D469:E469"/>
    <mergeCell ref="A491:J491"/>
    <mergeCell ref="A477:B477"/>
    <mergeCell ref="D477:E477"/>
    <mergeCell ref="A478:B478"/>
    <mergeCell ref="D478:E478"/>
    <mergeCell ref="D486:E486"/>
    <mergeCell ref="H486:J490"/>
    <mergeCell ref="A488:B488"/>
    <mergeCell ref="C488:G489"/>
    <mergeCell ref="A489:B489"/>
    <mergeCell ref="A490:B490"/>
    <mergeCell ref="K11:O11"/>
    <mergeCell ref="K104:P104"/>
    <mergeCell ref="Q104:T104"/>
    <mergeCell ref="A9:E9"/>
    <mergeCell ref="F9:J9"/>
    <mergeCell ref="A500:J503"/>
    <mergeCell ref="A499:J499"/>
    <mergeCell ref="A450:B450"/>
    <mergeCell ref="D450:E450"/>
    <mergeCell ref="H431:J435"/>
    <mergeCell ref="A436:J436"/>
    <mergeCell ref="A437:B437"/>
    <mergeCell ref="D437:E437"/>
    <mergeCell ref="H437:J441"/>
    <mergeCell ref="A438:B438"/>
    <mergeCell ref="C438:G439"/>
    <mergeCell ref="A439:B439"/>
    <mergeCell ref="A440:B440"/>
    <mergeCell ref="D440:E440"/>
    <mergeCell ref="A441:B441"/>
    <mergeCell ref="D441:E441"/>
    <mergeCell ref="A459:B459"/>
    <mergeCell ref="D459:E459"/>
    <mergeCell ref="A460:B460"/>
  </mergeCells>
  <phoneticPr fontId="0" type="noConversion"/>
  <hyperlinks>
    <hyperlink ref="C31" r:id="rId1"/>
  </hyperlinks>
  <printOptions horizontalCentered="1"/>
  <pageMargins left="0.55118110236220474" right="0.55118110236220474" top="0.78740157480314965" bottom="0.78740157480314965" header="0.19685039370078741" footer="0.19685039370078741"/>
  <pageSetup paperSize="9" fitToHeight="0" orientation="portrait" r:id="rId2"/>
  <headerFooter>
    <oddHeader>&amp;C&amp;G</oddHeader>
    <oddFooter>&amp;L&amp;"Times New Roman,Bold"Ref No: &amp;F&amp;C&amp;G&amp;R&amp;P</oddFooter>
  </headerFooter>
  <rowBreaks count="3" manualBreakCount="3">
    <brk id="80" max="16383" man="1"/>
    <brk id="503" max="16383" man="1"/>
    <brk id="54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topLeftCell="A28" zoomScaleNormal="100" workbookViewId="0">
      <selection activeCell="C42" sqref="C42"/>
    </sheetView>
  </sheetViews>
  <sheetFormatPr defaultRowHeight="14.5" x14ac:dyDescent="0.35"/>
  <cols>
    <col min="1" max="1" width="12.08984375" bestFit="1" customWidth="1"/>
    <col min="2" max="2" width="12.453125" customWidth="1"/>
  </cols>
  <sheetData>
    <row r="2" spans="1:2" x14ac:dyDescent="0.35">
      <c r="A2" t="s">
        <v>174</v>
      </c>
      <c r="B2" t="s">
        <v>175</v>
      </c>
    </row>
    <row r="22" spans="1:2" x14ac:dyDescent="0.35">
      <c r="A22" t="s">
        <v>183</v>
      </c>
      <c r="B22" t="s">
        <v>184</v>
      </c>
    </row>
    <row r="35" spans="1:3" x14ac:dyDescent="0.35">
      <c r="A35" t="s">
        <v>185</v>
      </c>
      <c r="B35" t="s">
        <v>186</v>
      </c>
      <c r="C35" t="s">
        <v>187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topLeftCell="A7" workbookViewId="0">
      <selection activeCell="C13" sqref="C13"/>
    </sheetView>
  </sheetViews>
  <sheetFormatPr defaultRowHeight="14.5" x14ac:dyDescent="0.35"/>
  <sheetData>
    <row r="2" spans="1:16" x14ac:dyDescent="0.35">
      <c r="A2" t="s">
        <v>146</v>
      </c>
      <c r="B2" s="10" t="s">
        <v>147</v>
      </c>
      <c r="C2" s="10">
        <v>23</v>
      </c>
    </row>
    <row r="3" spans="1:16" x14ac:dyDescent="0.35">
      <c r="B3" t="s">
        <v>148</v>
      </c>
      <c r="C3" t="s">
        <v>149</v>
      </c>
    </row>
    <row r="4" spans="1:16" x14ac:dyDescent="0.35">
      <c r="A4" t="s">
        <v>150</v>
      </c>
      <c r="B4" s="5">
        <v>10</v>
      </c>
      <c r="C4" s="5">
        <v>10</v>
      </c>
      <c r="F4">
        <f>100/B4*C4</f>
        <v>100</v>
      </c>
    </row>
    <row r="5" spans="1:16" x14ac:dyDescent="0.35">
      <c r="A5" t="s">
        <v>151</v>
      </c>
      <c r="B5" t="s">
        <v>152</v>
      </c>
      <c r="C5" t="s">
        <v>153</v>
      </c>
      <c r="J5" s="5" t="s">
        <v>154</v>
      </c>
      <c r="K5" s="5" t="s">
        <v>155</v>
      </c>
      <c r="L5" s="5" t="s">
        <v>156</v>
      </c>
      <c r="M5" s="5" t="s">
        <v>35</v>
      </c>
      <c r="N5" s="5" t="s">
        <v>42</v>
      </c>
      <c r="O5" s="5" t="s">
        <v>157</v>
      </c>
      <c r="P5" s="5" t="s">
        <v>43</v>
      </c>
    </row>
    <row r="6" spans="1:16" x14ac:dyDescent="0.35">
      <c r="B6" s="5">
        <f>C2+1</f>
        <v>24</v>
      </c>
      <c r="C6" s="5">
        <v>24</v>
      </c>
      <c r="F6" s="14">
        <f t="shared" ref="F6:F16" si="0">100/B6*C6</f>
        <v>100</v>
      </c>
      <c r="G6" s="11" t="s">
        <v>158</v>
      </c>
      <c r="J6" s="11">
        <f>C4</f>
        <v>10</v>
      </c>
      <c r="K6" s="11">
        <f>40/B6*C6</f>
        <v>40</v>
      </c>
      <c r="L6" s="11">
        <f>15/B8*C8</f>
        <v>15</v>
      </c>
      <c r="M6" s="11">
        <f>10/B10*C10</f>
        <v>10</v>
      </c>
      <c r="N6" s="11">
        <f>10/B12*C12</f>
        <v>4.3478260869565215</v>
      </c>
      <c r="O6" s="11">
        <f>5/B14*C14</f>
        <v>0</v>
      </c>
      <c r="P6" s="11">
        <f>5/B16*C16</f>
        <v>0</v>
      </c>
    </row>
    <row r="7" spans="1:16" x14ac:dyDescent="0.35">
      <c r="A7" t="s">
        <v>159</v>
      </c>
      <c r="B7" t="s">
        <v>160</v>
      </c>
      <c r="C7" t="s">
        <v>161</v>
      </c>
      <c r="F7" s="14"/>
      <c r="G7" s="5" t="s">
        <v>162</v>
      </c>
      <c r="H7" s="5"/>
      <c r="I7" s="5"/>
      <c r="J7" s="5">
        <f>J6+20</f>
        <v>30</v>
      </c>
      <c r="K7" s="5">
        <f>30/B6*C6</f>
        <v>30</v>
      </c>
      <c r="L7" s="5">
        <f>15/B8*C8</f>
        <v>15</v>
      </c>
      <c r="M7" s="5">
        <f>10/B10*C10</f>
        <v>10</v>
      </c>
      <c r="N7" s="5">
        <f>5/B12*C12</f>
        <v>2.1739130434782608</v>
      </c>
      <c r="O7" s="5">
        <f>5/B14*C14</f>
        <v>0</v>
      </c>
      <c r="P7" s="5">
        <f>5/B16*C16</f>
        <v>0</v>
      </c>
    </row>
    <row r="8" spans="1:16" x14ac:dyDescent="0.35">
      <c r="B8" s="5">
        <f>C2</f>
        <v>23</v>
      </c>
      <c r="C8" s="5">
        <v>23</v>
      </c>
      <c r="F8" s="14">
        <f t="shared" si="0"/>
        <v>100</v>
      </c>
    </row>
    <row r="9" spans="1:16" x14ac:dyDescent="0.35">
      <c r="A9" t="s">
        <v>163</v>
      </c>
      <c r="B9" t="s">
        <v>160</v>
      </c>
      <c r="C9" t="s">
        <v>161</v>
      </c>
      <c r="F9" s="14"/>
    </row>
    <row r="10" spans="1:16" x14ac:dyDescent="0.35">
      <c r="B10" s="5">
        <f>C2</f>
        <v>23</v>
      </c>
      <c r="C10" s="5">
        <v>23</v>
      </c>
      <c r="F10" s="14">
        <f t="shared" si="0"/>
        <v>100</v>
      </c>
    </row>
    <row r="11" spans="1:16" x14ac:dyDescent="0.35">
      <c r="A11" t="s">
        <v>42</v>
      </c>
      <c r="B11" t="s">
        <v>160</v>
      </c>
      <c r="C11" t="s">
        <v>161</v>
      </c>
    </row>
    <row r="12" spans="1:16" x14ac:dyDescent="0.35">
      <c r="B12" s="5">
        <f>C2</f>
        <v>23</v>
      </c>
      <c r="C12" s="5">
        <v>10</v>
      </c>
      <c r="F12">
        <f>100/B12*C12</f>
        <v>43.478260869565219</v>
      </c>
      <c r="J12" s="5"/>
      <c r="K12" s="5" t="s">
        <v>158</v>
      </c>
      <c r="L12" s="5" t="s">
        <v>164</v>
      </c>
      <c r="M12" t="s">
        <v>165</v>
      </c>
    </row>
    <row r="13" spans="1:16" ht="29" x14ac:dyDescent="0.35">
      <c r="A13" s="12" t="s">
        <v>157</v>
      </c>
      <c r="B13" t="s">
        <v>160</v>
      </c>
      <c r="C13" t="s">
        <v>161</v>
      </c>
      <c r="J13" s="5" t="s">
        <v>33</v>
      </c>
      <c r="K13" s="5">
        <f>J6</f>
        <v>10</v>
      </c>
      <c r="L13" s="5">
        <f>J7</f>
        <v>30</v>
      </c>
      <c r="M13" t="s">
        <v>165</v>
      </c>
    </row>
    <row r="14" spans="1:16" x14ac:dyDescent="0.35">
      <c r="B14" s="5">
        <f>C2</f>
        <v>23</v>
      </c>
      <c r="C14" s="5">
        <v>0</v>
      </c>
      <c r="F14">
        <f t="shared" si="0"/>
        <v>0</v>
      </c>
      <c r="J14" s="5" t="s">
        <v>34</v>
      </c>
      <c r="K14" s="5">
        <f>K6</f>
        <v>40</v>
      </c>
      <c r="L14" s="5">
        <f>K7</f>
        <v>30</v>
      </c>
    </row>
    <row r="15" spans="1:16" x14ac:dyDescent="0.35">
      <c r="A15" t="s">
        <v>43</v>
      </c>
      <c r="B15" t="s">
        <v>160</v>
      </c>
      <c r="C15" t="s">
        <v>161</v>
      </c>
      <c r="J15" s="5" t="s">
        <v>156</v>
      </c>
      <c r="K15" s="5">
        <f>L6</f>
        <v>15</v>
      </c>
      <c r="L15" s="5">
        <f>L7</f>
        <v>15</v>
      </c>
    </row>
    <row r="16" spans="1:16" x14ac:dyDescent="0.35">
      <c r="B16" s="5">
        <f>C2</f>
        <v>23</v>
      </c>
      <c r="C16" s="5">
        <v>0</v>
      </c>
      <c r="F16">
        <f t="shared" si="0"/>
        <v>0</v>
      </c>
      <c r="J16" s="5" t="s">
        <v>35</v>
      </c>
      <c r="K16" s="5">
        <f>M6</f>
        <v>10</v>
      </c>
      <c r="L16" s="5">
        <f>M7</f>
        <v>10</v>
      </c>
    </row>
    <row r="17" spans="10:12" x14ac:dyDescent="0.35">
      <c r="J17" s="5" t="s">
        <v>42</v>
      </c>
      <c r="K17" s="5">
        <f>N6</f>
        <v>4.3478260869565215</v>
      </c>
      <c r="L17" s="5">
        <f>N7</f>
        <v>2.1739130434782608</v>
      </c>
    </row>
    <row r="18" spans="10:12" ht="29" x14ac:dyDescent="0.35">
      <c r="J18" s="13" t="s">
        <v>157</v>
      </c>
      <c r="K18" s="5">
        <f>O6</f>
        <v>0</v>
      </c>
      <c r="L18" s="5">
        <f>O7</f>
        <v>0</v>
      </c>
    </row>
    <row r="19" spans="10:12" x14ac:dyDescent="0.35">
      <c r="J19" s="5" t="s">
        <v>43</v>
      </c>
      <c r="K19" s="5">
        <f>P6</f>
        <v>0</v>
      </c>
      <c r="L19" s="5">
        <f>P7</f>
        <v>0</v>
      </c>
    </row>
    <row r="20" spans="10:12" x14ac:dyDescent="0.35">
      <c r="J20" s="5" t="s">
        <v>166</v>
      </c>
      <c r="K20" s="15">
        <f>K13+K14+K15+K16+K17+K18+K19</f>
        <v>79.347826086956516</v>
      </c>
      <c r="L20" s="15">
        <f>L13+L14+L15+L16+L17+L18+L19</f>
        <v>87.173913043478265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F6" sqref="F6"/>
    </sheetView>
  </sheetViews>
  <sheetFormatPr defaultRowHeight="14.5" x14ac:dyDescent="0.35"/>
  <sheetData>
    <row r="2" spans="1:16" x14ac:dyDescent="0.35">
      <c r="A2" t="s">
        <v>146</v>
      </c>
      <c r="B2" s="10" t="s">
        <v>147</v>
      </c>
      <c r="C2" s="10">
        <v>23</v>
      </c>
    </row>
    <row r="3" spans="1:16" x14ac:dyDescent="0.35">
      <c r="B3" t="s">
        <v>148</v>
      </c>
      <c r="C3" t="s">
        <v>149</v>
      </c>
    </row>
    <row r="4" spans="1:16" x14ac:dyDescent="0.35">
      <c r="A4" t="s">
        <v>150</v>
      </c>
      <c r="B4" s="5">
        <v>10</v>
      </c>
      <c r="C4" s="5">
        <v>10</v>
      </c>
      <c r="F4">
        <f>100/B4*C4</f>
        <v>100</v>
      </c>
    </row>
    <row r="5" spans="1:16" x14ac:dyDescent="0.35">
      <c r="A5" t="s">
        <v>151</v>
      </c>
      <c r="B5" t="s">
        <v>152</v>
      </c>
      <c r="C5" t="s">
        <v>153</v>
      </c>
      <c r="J5" s="5" t="s">
        <v>154</v>
      </c>
      <c r="K5" s="5" t="s">
        <v>155</v>
      </c>
      <c r="L5" s="5" t="s">
        <v>156</v>
      </c>
      <c r="M5" s="5" t="s">
        <v>35</v>
      </c>
      <c r="N5" s="5" t="s">
        <v>42</v>
      </c>
      <c r="O5" s="5" t="s">
        <v>157</v>
      </c>
      <c r="P5" s="5" t="s">
        <v>43</v>
      </c>
    </row>
    <row r="6" spans="1:16" x14ac:dyDescent="0.35">
      <c r="B6" s="5">
        <f>C2+1</f>
        <v>24</v>
      </c>
      <c r="C6" s="5">
        <v>0.5</v>
      </c>
      <c r="F6" s="14">
        <f t="shared" ref="F6:F16" si="0">100/B6*C6</f>
        <v>2.0833333333333335</v>
      </c>
      <c r="G6" s="11" t="s">
        <v>158</v>
      </c>
      <c r="J6" s="11">
        <f>C4</f>
        <v>10</v>
      </c>
      <c r="K6" s="11">
        <f>40/B6*C6</f>
        <v>0.83333333333333337</v>
      </c>
      <c r="L6" s="11">
        <f>15/B8*C8</f>
        <v>0</v>
      </c>
      <c r="M6" s="11">
        <f>10/B10*C10</f>
        <v>0</v>
      </c>
      <c r="N6" s="11">
        <f>10/B12*C12</f>
        <v>0</v>
      </c>
      <c r="O6" s="11">
        <f>5/B14*C14</f>
        <v>0</v>
      </c>
      <c r="P6" s="11">
        <f>5/B16*C16</f>
        <v>0</v>
      </c>
    </row>
    <row r="7" spans="1:16" x14ac:dyDescent="0.35">
      <c r="A7" t="s">
        <v>159</v>
      </c>
      <c r="B7" t="s">
        <v>160</v>
      </c>
      <c r="C7" t="s">
        <v>161</v>
      </c>
      <c r="F7" s="14"/>
      <c r="G7" s="5" t="s">
        <v>162</v>
      </c>
      <c r="H7" s="5"/>
      <c r="I7" s="5"/>
      <c r="J7" s="5">
        <f>J6+20</f>
        <v>30</v>
      </c>
      <c r="K7" s="5">
        <f>30/B6*C6</f>
        <v>0.625</v>
      </c>
      <c r="L7" s="5">
        <f>15/B8*C8</f>
        <v>0</v>
      </c>
      <c r="M7" s="5">
        <f>10/B10*C10</f>
        <v>0</v>
      </c>
      <c r="N7" s="5">
        <f>5/B12*C12</f>
        <v>0</v>
      </c>
      <c r="O7" s="5">
        <f>5/B14*C14</f>
        <v>0</v>
      </c>
      <c r="P7" s="5">
        <f>5/B16*C16</f>
        <v>0</v>
      </c>
    </row>
    <row r="8" spans="1:16" x14ac:dyDescent="0.35">
      <c r="B8" s="5">
        <f>C2</f>
        <v>23</v>
      </c>
      <c r="C8" s="5">
        <v>0</v>
      </c>
      <c r="F8" s="14">
        <f t="shared" si="0"/>
        <v>0</v>
      </c>
    </row>
    <row r="9" spans="1:16" x14ac:dyDescent="0.35">
      <c r="A9" t="s">
        <v>163</v>
      </c>
      <c r="B9" t="s">
        <v>160</v>
      </c>
      <c r="C9" t="s">
        <v>161</v>
      </c>
      <c r="F9" s="14"/>
    </row>
    <row r="10" spans="1:16" x14ac:dyDescent="0.35">
      <c r="B10" s="5">
        <f>C2</f>
        <v>23</v>
      </c>
      <c r="C10" s="5">
        <v>0</v>
      </c>
      <c r="F10" s="14">
        <f t="shared" si="0"/>
        <v>0</v>
      </c>
    </row>
    <row r="11" spans="1:16" x14ac:dyDescent="0.35">
      <c r="A11" t="s">
        <v>42</v>
      </c>
      <c r="B11" t="s">
        <v>160</v>
      </c>
      <c r="C11" t="s">
        <v>161</v>
      </c>
    </row>
    <row r="12" spans="1:16" x14ac:dyDescent="0.35">
      <c r="B12" s="5">
        <f>C2</f>
        <v>23</v>
      </c>
      <c r="C12" s="5">
        <v>0</v>
      </c>
      <c r="F12">
        <f>100/B12*C12</f>
        <v>0</v>
      </c>
      <c r="J12" s="5"/>
      <c r="K12" s="5" t="s">
        <v>158</v>
      </c>
      <c r="L12" s="5" t="s">
        <v>164</v>
      </c>
      <c r="M12" t="s">
        <v>165</v>
      </c>
    </row>
    <row r="13" spans="1:16" ht="29" x14ac:dyDescent="0.35">
      <c r="A13" s="12" t="s">
        <v>157</v>
      </c>
      <c r="B13" t="s">
        <v>160</v>
      </c>
      <c r="C13" t="s">
        <v>161</v>
      </c>
      <c r="J13" s="5" t="s">
        <v>33</v>
      </c>
      <c r="K13" s="5">
        <f>J6</f>
        <v>10</v>
      </c>
      <c r="L13" s="5">
        <f>J7</f>
        <v>30</v>
      </c>
      <c r="M13" t="s">
        <v>165</v>
      </c>
    </row>
    <row r="14" spans="1:16" x14ac:dyDescent="0.35">
      <c r="B14" s="5">
        <f>C2</f>
        <v>23</v>
      </c>
      <c r="C14" s="5">
        <v>0</v>
      </c>
      <c r="F14">
        <f t="shared" si="0"/>
        <v>0</v>
      </c>
      <c r="J14" s="5" t="s">
        <v>34</v>
      </c>
      <c r="K14" s="5">
        <f>K6</f>
        <v>0.83333333333333337</v>
      </c>
      <c r="L14" s="5">
        <f>K7</f>
        <v>0.625</v>
      </c>
    </row>
    <row r="15" spans="1:16" x14ac:dyDescent="0.35">
      <c r="A15" t="s">
        <v>43</v>
      </c>
      <c r="B15" t="s">
        <v>160</v>
      </c>
      <c r="C15" t="s">
        <v>161</v>
      </c>
      <c r="J15" s="5" t="s">
        <v>156</v>
      </c>
      <c r="K15" s="5">
        <f>L6</f>
        <v>0</v>
      </c>
      <c r="L15" s="5">
        <f>L7</f>
        <v>0</v>
      </c>
    </row>
    <row r="16" spans="1:16" x14ac:dyDescent="0.35">
      <c r="B16" s="5">
        <f>C2</f>
        <v>23</v>
      </c>
      <c r="C16" s="5">
        <v>0</v>
      </c>
      <c r="F16">
        <f t="shared" si="0"/>
        <v>0</v>
      </c>
      <c r="J16" s="5" t="s">
        <v>35</v>
      </c>
      <c r="K16" s="5">
        <f>M6</f>
        <v>0</v>
      </c>
      <c r="L16" s="5">
        <f>M7</f>
        <v>0</v>
      </c>
    </row>
    <row r="17" spans="10:12" x14ac:dyDescent="0.35">
      <c r="J17" s="5" t="s">
        <v>42</v>
      </c>
      <c r="K17" s="5">
        <f>N6</f>
        <v>0</v>
      </c>
      <c r="L17" s="5">
        <f>N7</f>
        <v>0</v>
      </c>
    </row>
    <row r="18" spans="10:12" ht="29" x14ac:dyDescent="0.35">
      <c r="J18" s="13" t="s">
        <v>157</v>
      </c>
      <c r="K18" s="5">
        <f>O6</f>
        <v>0</v>
      </c>
      <c r="L18" s="5">
        <f>O7</f>
        <v>0</v>
      </c>
    </row>
    <row r="19" spans="10:12" x14ac:dyDescent="0.35">
      <c r="J19" s="5" t="s">
        <v>43</v>
      </c>
      <c r="K19" s="5">
        <f>P6</f>
        <v>0</v>
      </c>
      <c r="L19" s="5">
        <f>P7</f>
        <v>0</v>
      </c>
    </row>
    <row r="20" spans="10:12" x14ac:dyDescent="0.35">
      <c r="J20" s="5" t="s">
        <v>166</v>
      </c>
      <c r="K20" s="15">
        <f>K13+K14+K15+K16+K17+K18+K19</f>
        <v>10.833333333333334</v>
      </c>
      <c r="L20" s="15">
        <f>L13+L14+L15+L16+L17+L18+L19</f>
        <v>30.625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4.5" x14ac:dyDescent="0.35"/>
  <sheetData>
    <row r="3" spans="2:13" x14ac:dyDescent="0.35">
      <c r="C3" s="8" t="s">
        <v>102</v>
      </c>
      <c r="D3" s="200"/>
      <c r="E3" s="200"/>
    </row>
    <row r="4" spans="2:13" x14ac:dyDescent="0.35">
      <c r="E4" s="7"/>
      <c r="F4" s="7"/>
      <c r="G4" s="7"/>
      <c r="H4" s="7"/>
      <c r="I4" s="7"/>
      <c r="J4" s="7"/>
    </row>
    <row r="5" spans="2:13" x14ac:dyDescent="0.35">
      <c r="B5" s="8" t="s">
        <v>103</v>
      </c>
      <c r="C5" s="6" t="s">
        <v>83</v>
      </c>
      <c r="D5" s="201" t="s">
        <v>84</v>
      </c>
      <c r="E5" s="201"/>
      <c r="F5" s="201"/>
      <c r="G5" s="9"/>
      <c r="H5" s="201" t="s">
        <v>85</v>
      </c>
      <c r="I5" s="201"/>
      <c r="J5" s="201"/>
      <c r="K5" s="201" t="s">
        <v>86</v>
      </c>
      <c r="L5" s="201"/>
      <c r="M5" s="201"/>
    </row>
    <row r="6" spans="2:13" x14ac:dyDescent="0.35">
      <c r="B6" s="8">
        <v>1</v>
      </c>
      <c r="C6" s="6"/>
      <c r="D6" s="6" t="s">
        <v>87</v>
      </c>
      <c r="E6" s="6" t="s">
        <v>88</v>
      </c>
      <c r="F6" s="6" t="s">
        <v>89</v>
      </c>
      <c r="G6" s="6"/>
      <c r="H6" s="6" t="s">
        <v>87</v>
      </c>
      <c r="I6" s="6" t="s">
        <v>88</v>
      </c>
      <c r="J6" s="6" t="s">
        <v>89</v>
      </c>
      <c r="K6" s="6" t="s">
        <v>87</v>
      </c>
      <c r="L6" s="6" t="s">
        <v>88</v>
      </c>
      <c r="M6" s="6" t="s">
        <v>89</v>
      </c>
    </row>
    <row r="7" spans="2:13" x14ac:dyDescent="0.35">
      <c r="C7" s="5" t="s">
        <v>90</v>
      </c>
      <c r="D7" s="5"/>
      <c r="E7" s="5"/>
      <c r="F7" s="5">
        <f>D7*E7</f>
        <v>0</v>
      </c>
      <c r="G7" s="5" t="s">
        <v>105</v>
      </c>
      <c r="H7" s="5"/>
      <c r="I7" s="5"/>
      <c r="J7" s="5">
        <f>H7*I7</f>
        <v>0</v>
      </c>
      <c r="K7" s="5"/>
      <c r="L7" s="5"/>
      <c r="M7" s="5">
        <f>K7*L7</f>
        <v>0</v>
      </c>
    </row>
    <row r="8" spans="2:13" x14ac:dyDescent="0.35">
      <c r="C8" s="5"/>
      <c r="D8" s="5"/>
      <c r="E8" s="5"/>
      <c r="F8" s="5">
        <f t="shared" ref="F8:F34" si="0">D8*E8</f>
        <v>0</v>
      </c>
      <c r="G8" s="5" t="s">
        <v>106</v>
      </c>
      <c r="H8" s="5"/>
      <c r="I8" s="5"/>
      <c r="J8" s="5">
        <f t="shared" ref="J8:J34" si="1">H8*I8</f>
        <v>0</v>
      </c>
      <c r="K8" s="5"/>
      <c r="L8" s="5"/>
      <c r="M8" s="5">
        <f t="shared" ref="M8:M34" si="2">K8*L8</f>
        <v>0</v>
      </c>
    </row>
    <row r="9" spans="2:13" x14ac:dyDescent="0.35">
      <c r="C9" s="5"/>
      <c r="D9" s="5"/>
      <c r="E9" s="5"/>
      <c r="F9" s="5">
        <f t="shared" si="0"/>
        <v>0</v>
      </c>
      <c r="G9" s="5"/>
      <c r="H9" s="5"/>
      <c r="I9" s="5"/>
      <c r="J9" s="5">
        <f t="shared" si="1"/>
        <v>0</v>
      </c>
      <c r="K9" s="5"/>
      <c r="L9" s="5"/>
      <c r="M9" s="5">
        <f t="shared" si="2"/>
        <v>0</v>
      </c>
    </row>
    <row r="10" spans="2:13" x14ac:dyDescent="0.35">
      <c r="C10" s="5" t="s">
        <v>93</v>
      </c>
      <c r="D10" s="5"/>
      <c r="E10" s="5"/>
      <c r="F10" s="5">
        <f t="shared" si="0"/>
        <v>0</v>
      </c>
      <c r="G10" s="5" t="s">
        <v>105</v>
      </c>
      <c r="H10" s="5"/>
      <c r="I10" s="5"/>
      <c r="J10" s="5">
        <f t="shared" si="1"/>
        <v>0</v>
      </c>
      <c r="K10" s="5"/>
      <c r="L10" s="5"/>
      <c r="M10" s="5">
        <f t="shared" si="2"/>
        <v>0</v>
      </c>
    </row>
    <row r="11" spans="2:13" x14ac:dyDescent="0.35">
      <c r="C11" s="5"/>
      <c r="D11" s="5"/>
      <c r="E11" s="5"/>
      <c r="F11" s="5">
        <f t="shared" si="0"/>
        <v>0</v>
      </c>
      <c r="G11" s="5" t="s">
        <v>106</v>
      </c>
      <c r="H11" s="5"/>
      <c r="I11" s="5"/>
      <c r="J11" s="5">
        <f t="shared" si="1"/>
        <v>0</v>
      </c>
      <c r="K11" s="5"/>
      <c r="L11" s="5"/>
      <c r="M11" s="5">
        <f t="shared" si="2"/>
        <v>0</v>
      </c>
    </row>
    <row r="12" spans="2:13" x14ac:dyDescent="0.35">
      <c r="C12" s="5"/>
      <c r="D12" s="5"/>
      <c r="E12" s="5"/>
      <c r="F12" s="5">
        <f t="shared" si="0"/>
        <v>0</v>
      </c>
      <c r="G12" s="5"/>
      <c r="H12" s="5"/>
      <c r="I12" s="5"/>
      <c r="J12" s="5">
        <f t="shared" si="1"/>
        <v>0</v>
      </c>
      <c r="K12" s="5"/>
      <c r="L12" s="5"/>
      <c r="M12" s="5">
        <f t="shared" si="2"/>
        <v>0</v>
      </c>
    </row>
    <row r="13" spans="2:13" x14ac:dyDescent="0.35">
      <c r="C13" s="5"/>
      <c r="D13" s="5"/>
      <c r="E13" s="5"/>
      <c r="F13" s="5">
        <f t="shared" si="0"/>
        <v>0</v>
      </c>
      <c r="G13" s="5"/>
      <c r="H13" s="5"/>
      <c r="I13" s="5"/>
      <c r="J13" s="5">
        <f t="shared" si="1"/>
        <v>0</v>
      </c>
      <c r="K13" s="5"/>
      <c r="L13" s="5"/>
      <c r="M13" s="5">
        <f t="shared" si="2"/>
        <v>0</v>
      </c>
    </row>
    <row r="14" spans="2:13" x14ac:dyDescent="0.35">
      <c r="C14" s="5" t="s">
        <v>91</v>
      </c>
      <c r="D14" s="5"/>
      <c r="E14" s="5"/>
      <c r="F14" s="5">
        <f t="shared" si="0"/>
        <v>0</v>
      </c>
      <c r="G14" s="5" t="s">
        <v>105</v>
      </c>
      <c r="H14" s="5"/>
      <c r="I14" s="5"/>
      <c r="J14" s="5">
        <f t="shared" si="1"/>
        <v>0</v>
      </c>
      <c r="K14" s="5"/>
      <c r="L14" s="5"/>
      <c r="M14" s="5">
        <f t="shared" si="2"/>
        <v>0</v>
      </c>
    </row>
    <row r="15" spans="2:13" x14ac:dyDescent="0.35">
      <c r="C15" s="5"/>
      <c r="D15" s="5"/>
      <c r="E15" s="5"/>
      <c r="F15" s="5">
        <f t="shared" si="0"/>
        <v>0</v>
      </c>
      <c r="G15" s="5" t="s">
        <v>106</v>
      </c>
      <c r="H15" s="5"/>
      <c r="I15" s="5"/>
      <c r="J15" s="5">
        <f t="shared" si="1"/>
        <v>0</v>
      </c>
      <c r="K15" s="5"/>
      <c r="L15" s="5"/>
      <c r="M15" s="5">
        <f t="shared" si="2"/>
        <v>0</v>
      </c>
    </row>
    <row r="16" spans="2:13" x14ac:dyDescent="0.35">
      <c r="C16" s="5"/>
      <c r="D16" s="5"/>
      <c r="E16" s="5"/>
      <c r="F16" s="5">
        <f t="shared" si="0"/>
        <v>0</v>
      </c>
      <c r="G16" s="5"/>
      <c r="H16" s="5"/>
      <c r="I16" s="5"/>
      <c r="J16" s="5">
        <f t="shared" si="1"/>
        <v>0</v>
      </c>
      <c r="K16" s="5"/>
      <c r="L16" s="5"/>
      <c r="M16" s="5">
        <f t="shared" si="2"/>
        <v>0</v>
      </c>
    </row>
    <row r="17" spans="3:13" x14ac:dyDescent="0.35">
      <c r="C17" s="5"/>
      <c r="D17" s="5"/>
      <c r="E17" s="5"/>
      <c r="F17" s="5">
        <f t="shared" si="0"/>
        <v>0</v>
      </c>
      <c r="G17" s="5"/>
      <c r="H17" s="5"/>
      <c r="I17" s="5"/>
      <c r="J17" s="5">
        <f t="shared" si="1"/>
        <v>0</v>
      </c>
      <c r="K17" s="5"/>
      <c r="L17" s="5"/>
      <c r="M17" s="5">
        <f t="shared" si="2"/>
        <v>0</v>
      </c>
    </row>
    <row r="18" spans="3:13" x14ac:dyDescent="0.35">
      <c r="C18" s="5" t="s">
        <v>92</v>
      </c>
      <c r="D18" s="5"/>
      <c r="E18" s="5"/>
      <c r="F18" s="5">
        <f t="shared" si="0"/>
        <v>0</v>
      </c>
      <c r="G18" s="5" t="s">
        <v>105</v>
      </c>
      <c r="H18" s="5"/>
      <c r="I18" s="5"/>
      <c r="J18" s="5">
        <f t="shared" si="1"/>
        <v>0</v>
      </c>
      <c r="K18" s="5"/>
      <c r="L18" s="5"/>
      <c r="M18" s="5">
        <f t="shared" si="2"/>
        <v>0</v>
      </c>
    </row>
    <row r="19" spans="3:13" x14ac:dyDescent="0.35">
      <c r="C19" s="5"/>
      <c r="D19" s="5"/>
      <c r="E19" s="5"/>
      <c r="F19" s="5">
        <f t="shared" si="0"/>
        <v>0</v>
      </c>
      <c r="G19" s="5" t="s">
        <v>106</v>
      </c>
      <c r="H19" s="5"/>
      <c r="I19" s="5"/>
      <c r="J19" s="5">
        <f t="shared" si="1"/>
        <v>0</v>
      </c>
      <c r="K19" s="5"/>
      <c r="L19" s="5"/>
      <c r="M19" s="5">
        <f t="shared" si="2"/>
        <v>0</v>
      </c>
    </row>
    <row r="20" spans="3:13" x14ac:dyDescent="0.35">
      <c r="C20" s="5"/>
      <c r="D20" s="5"/>
      <c r="E20" s="5"/>
      <c r="F20" s="5">
        <f t="shared" si="0"/>
        <v>0</v>
      </c>
      <c r="G20" s="5"/>
      <c r="H20" s="5"/>
      <c r="I20" s="5"/>
      <c r="J20" s="5">
        <f t="shared" si="1"/>
        <v>0</v>
      </c>
      <c r="K20" s="5"/>
      <c r="L20" s="5"/>
      <c r="M20" s="5">
        <f t="shared" si="2"/>
        <v>0</v>
      </c>
    </row>
    <row r="21" spans="3:13" x14ac:dyDescent="0.35">
      <c r="C21" s="5" t="s">
        <v>92</v>
      </c>
      <c r="D21" s="5"/>
      <c r="E21" s="5"/>
      <c r="F21" s="5">
        <f t="shared" si="0"/>
        <v>0</v>
      </c>
      <c r="G21" s="5" t="s">
        <v>105</v>
      </c>
      <c r="H21" s="5"/>
      <c r="I21" s="5"/>
      <c r="J21" s="5">
        <f t="shared" si="1"/>
        <v>0</v>
      </c>
      <c r="K21" s="5"/>
      <c r="L21" s="5"/>
      <c r="M21" s="5">
        <f t="shared" si="2"/>
        <v>0</v>
      </c>
    </row>
    <row r="22" spans="3:13" x14ac:dyDescent="0.35">
      <c r="C22" s="5"/>
      <c r="D22" s="5"/>
      <c r="E22" s="5"/>
      <c r="F22" s="5">
        <f t="shared" si="0"/>
        <v>0</v>
      </c>
      <c r="G22" s="5" t="s">
        <v>106</v>
      </c>
      <c r="H22" s="5"/>
      <c r="I22" s="5"/>
      <c r="J22" s="5">
        <f t="shared" si="1"/>
        <v>0</v>
      </c>
      <c r="K22" s="5"/>
      <c r="L22" s="5"/>
      <c r="M22" s="5">
        <f t="shared" si="2"/>
        <v>0</v>
      </c>
    </row>
    <row r="23" spans="3:13" x14ac:dyDescent="0.35">
      <c r="C23" s="5"/>
      <c r="D23" s="5"/>
      <c r="E23" s="5"/>
      <c r="F23" s="5">
        <f t="shared" si="0"/>
        <v>0</v>
      </c>
      <c r="G23" s="5"/>
      <c r="H23" s="5"/>
      <c r="I23" s="5"/>
      <c r="J23" s="5">
        <f t="shared" si="1"/>
        <v>0</v>
      </c>
      <c r="K23" s="5"/>
      <c r="L23" s="5"/>
      <c r="M23" s="5">
        <f t="shared" si="2"/>
        <v>0</v>
      </c>
    </row>
    <row r="24" spans="3:13" x14ac:dyDescent="0.35">
      <c r="C24" s="5" t="s">
        <v>98</v>
      </c>
      <c r="D24" s="5"/>
      <c r="E24" s="5"/>
      <c r="F24" s="5">
        <f t="shared" si="0"/>
        <v>0</v>
      </c>
      <c r="G24" s="5" t="s">
        <v>107</v>
      </c>
      <c r="H24" s="5"/>
      <c r="I24" s="5"/>
      <c r="J24" s="5">
        <f t="shared" si="1"/>
        <v>0</v>
      </c>
      <c r="K24" s="5"/>
      <c r="L24" s="5"/>
      <c r="M24" s="5">
        <f t="shared" si="2"/>
        <v>0</v>
      </c>
    </row>
    <row r="25" spans="3:13" x14ac:dyDescent="0.35">
      <c r="C25" s="5" t="s">
        <v>99</v>
      </c>
      <c r="D25" s="5"/>
      <c r="E25" s="5"/>
      <c r="F25" s="5">
        <f t="shared" si="0"/>
        <v>0</v>
      </c>
      <c r="G25" s="5" t="s">
        <v>107</v>
      </c>
      <c r="H25" s="5"/>
      <c r="I25" s="5"/>
      <c r="J25" s="5">
        <f t="shared" si="1"/>
        <v>0</v>
      </c>
      <c r="K25" s="5"/>
      <c r="L25" s="5"/>
      <c r="M25" s="5">
        <f t="shared" si="2"/>
        <v>0</v>
      </c>
    </row>
    <row r="26" spans="3:13" x14ac:dyDescent="0.35">
      <c r="C26" s="5" t="s">
        <v>100</v>
      </c>
      <c r="D26" s="5"/>
      <c r="E26" s="5"/>
      <c r="F26" s="5">
        <f t="shared" si="0"/>
        <v>0</v>
      </c>
      <c r="G26" s="5" t="s">
        <v>107</v>
      </c>
      <c r="H26" s="5"/>
      <c r="I26" s="5"/>
      <c r="J26" s="5">
        <f t="shared" si="1"/>
        <v>0</v>
      </c>
      <c r="K26" s="5"/>
      <c r="L26" s="5"/>
      <c r="M26" s="5">
        <f t="shared" si="2"/>
        <v>0</v>
      </c>
    </row>
    <row r="27" spans="3:13" x14ac:dyDescent="0.35">
      <c r="C27" s="5"/>
      <c r="D27" s="5"/>
      <c r="E27" s="5"/>
      <c r="F27" s="5">
        <f t="shared" si="0"/>
        <v>0</v>
      </c>
      <c r="G27" s="5"/>
      <c r="H27" s="5"/>
      <c r="I27" s="5"/>
      <c r="J27" s="5">
        <f t="shared" si="1"/>
        <v>0</v>
      </c>
      <c r="K27" s="5"/>
      <c r="L27" s="5"/>
      <c r="M27" s="5">
        <f t="shared" si="2"/>
        <v>0</v>
      </c>
    </row>
    <row r="28" spans="3:13" x14ac:dyDescent="0.35">
      <c r="C28" s="5" t="s">
        <v>94</v>
      </c>
      <c r="D28" s="5"/>
      <c r="E28" s="5"/>
      <c r="F28" s="5">
        <f t="shared" si="0"/>
        <v>0</v>
      </c>
      <c r="G28" s="5"/>
      <c r="H28" s="5"/>
      <c r="I28" s="5"/>
      <c r="J28" s="5">
        <f t="shared" si="1"/>
        <v>0</v>
      </c>
      <c r="K28" s="5"/>
      <c r="L28" s="5"/>
      <c r="M28" s="5">
        <f t="shared" si="2"/>
        <v>0</v>
      </c>
    </row>
    <row r="29" spans="3:13" x14ac:dyDescent="0.35">
      <c r="C29" s="5" t="s">
        <v>95</v>
      </c>
      <c r="D29" s="5"/>
      <c r="E29" s="5"/>
      <c r="F29" s="5">
        <f t="shared" si="0"/>
        <v>0</v>
      </c>
      <c r="G29" s="5"/>
      <c r="H29" s="5"/>
      <c r="I29" s="5"/>
      <c r="J29" s="5">
        <f t="shared" si="1"/>
        <v>0</v>
      </c>
      <c r="K29" s="5"/>
      <c r="L29" s="5"/>
      <c r="M29" s="5">
        <f t="shared" si="2"/>
        <v>0</v>
      </c>
    </row>
    <row r="30" spans="3:13" x14ac:dyDescent="0.35">
      <c r="C30" s="5" t="s">
        <v>96</v>
      </c>
      <c r="D30" s="5"/>
      <c r="E30" s="5"/>
      <c r="F30" s="5">
        <f t="shared" si="0"/>
        <v>0</v>
      </c>
      <c r="G30" s="5"/>
      <c r="H30" s="5"/>
      <c r="I30" s="5"/>
      <c r="J30" s="5">
        <f t="shared" si="1"/>
        <v>0</v>
      </c>
      <c r="K30" s="5"/>
      <c r="L30" s="5"/>
      <c r="M30" s="5">
        <f t="shared" si="2"/>
        <v>0</v>
      </c>
    </row>
    <row r="31" spans="3:13" x14ac:dyDescent="0.35">
      <c r="C31" s="5" t="s">
        <v>97</v>
      </c>
      <c r="D31" s="5"/>
      <c r="E31" s="5"/>
      <c r="F31" s="5">
        <f t="shared" si="0"/>
        <v>0</v>
      </c>
      <c r="G31" s="5"/>
      <c r="H31" s="5"/>
      <c r="I31" s="5"/>
      <c r="J31" s="5">
        <f t="shared" si="1"/>
        <v>0</v>
      </c>
      <c r="K31" s="5"/>
      <c r="L31" s="5"/>
      <c r="M31" s="5">
        <f t="shared" si="2"/>
        <v>0</v>
      </c>
    </row>
    <row r="32" spans="3:13" x14ac:dyDescent="0.35">
      <c r="C32" s="5"/>
      <c r="D32" s="5"/>
      <c r="E32" s="5"/>
      <c r="F32" s="5">
        <f t="shared" si="0"/>
        <v>0</v>
      </c>
      <c r="G32" s="5"/>
      <c r="H32" s="5"/>
      <c r="I32" s="5"/>
      <c r="J32" s="5">
        <f t="shared" si="1"/>
        <v>0</v>
      </c>
      <c r="K32" s="5"/>
      <c r="L32" s="5"/>
      <c r="M32" s="5">
        <f t="shared" si="2"/>
        <v>0</v>
      </c>
    </row>
    <row r="33" spans="3:13" x14ac:dyDescent="0.35">
      <c r="C33" s="5"/>
      <c r="D33" s="5"/>
      <c r="E33" s="5"/>
      <c r="F33" s="5">
        <f t="shared" si="0"/>
        <v>0</v>
      </c>
      <c r="G33" s="5"/>
      <c r="H33" s="5"/>
      <c r="I33" s="5"/>
      <c r="J33" s="5">
        <f t="shared" si="1"/>
        <v>0</v>
      </c>
      <c r="K33" s="5"/>
      <c r="L33" s="5"/>
      <c r="M33" s="5">
        <f t="shared" si="2"/>
        <v>0</v>
      </c>
    </row>
    <row r="34" spans="3:13" x14ac:dyDescent="0.35">
      <c r="C34" s="5"/>
      <c r="D34" s="5"/>
      <c r="E34" s="5"/>
      <c r="F34" s="5">
        <f t="shared" si="0"/>
        <v>0</v>
      </c>
      <c r="G34" s="5"/>
      <c r="H34" s="5"/>
      <c r="I34" s="5"/>
      <c r="J34" s="5">
        <f t="shared" si="1"/>
        <v>0</v>
      </c>
      <c r="K34" s="5"/>
      <c r="L34" s="5"/>
      <c r="M34" s="5">
        <f t="shared" si="2"/>
        <v>0</v>
      </c>
    </row>
    <row r="35" spans="3:13" x14ac:dyDescent="0.35">
      <c r="C35" s="5" t="s">
        <v>101</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8" t="s">
        <v>102</v>
      </c>
      <c r="E3" s="200"/>
      <c r="F3" s="200"/>
    </row>
    <row r="4" spans="3:14" x14ac:dyDescent="0.35">
      <c r="F4" s="7"/>
      <c r="G4" s="7"/>
      <c r="H4" s="7"/>
      <c r="I4" s="7"/>
      <c r="J4" s="7"/>
      <c r="K4" s="7"/>
    </row>
    <row r="5" spans="3:14" x14ac:dyDescent="0.35">
      <c r="C5" s="8" t="s">
        <v>103</v>
      </c>
      <c r="D5" s="6" t="s">
        <v>83</v>
      </c>
      <c r="E5" s="201" t="s">
        <v>84</v>
      </c>
      <c r="F5" s="201"/>
      <c r="G5" s="201"/>
      <c r="H5" s="9"/>
      <c r="I5" s="201" t="s">
        <v>85</v>
      </c>
      <c r="J5" s="201"/>
      <c r="K5" s="201"/>
      <c r="L5" s="201" t="s">
        <v>86</v>
      </c>
      <c r="M5" s="201"/>
      <c r="N5" s="201"/>
    </row>
    <row r="6" spans="3:14" x14ac:dyDescent="0.35">
      <c r="C6" s="8">
        <v>1</v>
      </c>
      <c r="D6" s="6"/>
      <c r="E6" s="6" t="s">
        <v>87</v>
      </c>
      <c r="F6" s="6" t="s">
        <v>88</v>
      </c>
      <c r="G6" s="6" t="s">
        <v>89</v>
      </c>
      <c r="H6" s="6"/>
      <c r="I6" s="6" t="s">
        <v>87</v>
      </c>
      <c r="J6" s="6" t="s">
        <v>88</v>
      </c>
      <c r="K6" s="6" t="s">
        <v>89</v>
      </c>
      <c r="L6" s="6" t="s">
        <v>87</v>
      </c>
      <c r="M6" s="6" t="s">
        <v>88</v>
      </c>
      <c r="N6" s="6" t="s">
        <v>89</v>
      </c>
    </row>
    <row r="7" spans="3:14" x14ac:dyDescent="0.35">
      <c r="D7" s="5" t="s">
        <v>90</v>
      </c>
      <c r="E7" s="5"/>
      <c r="F7" s="5"/>
      <c r="G7" s="5">
        <f>E7*F7</f>
        <v>0</v>
      </c>
      <c r="H7" s="5" t="s">
        <v>105</v>
      </c>
      <c r="I7" s="5"/>
      <c r="J7" s="5"/>
      <c r="K7" s="5">
        <f>I7*J7</f>
        <v>0</v>
      </c>
      <c r="L7" s="5"/>
      <c r="M7" s="5"/>
      <c r="N7" s="5">
        <f>L7*M7</f>
        <v>0</v>
      </c>
    </row>
    <row r="8" spans="3:14" x14ac:dyDescent="0.35">
      <c r="D8" s="5"/>
      <c r="E8" s="5"/>
      <c r="F8" s="5"/>
      <c r="G8" s="5">
        <f t="shared" ref="G8:G34" si="0">E8*F8</f>
        <v>0</v>
      </c>
      <c r="H8" s="5" t="s">
        <v>106</v>
      </c>
      <c r="I8" s="5"/>
      <c r="J8" s="5"/>
      <c r="K8" s="5">
        <f t="shared" ref="K8:K34" si="1">I8*J8</f>
        <v>0</v>
      </c>
      <c r="L8" s="5"/>
      <c r="M8" s="5"/>
      <c r="N8" s="5">
        <f t="shared" ref="N8:N34" si="2">L8*M8</f>
        <v>0</v>
      </c>
    </row>
    <row r="9" spans="3:14" x14ac:dyDescent="0.35">
      <c r="D9" s="5"/>
      <c r="E9" s="5"/>
      <c r="F9" s="5"/>
      <c r="G9" s="5">
        <f t="shared" si="0"/>
        <v>0</v>
      </c>
      <c r="H9" s="5"/>
      <c r="I9" s="5"/>
      <c r="J9" s="5"/>
      <c r="K9" s="5">
        <f t="shared" si="1"/>
        <v>0</v>
      </c>
      <c r="L9" s="5"/>
      <c r="M9" s="5"/>
      <c r="N9" s="5">
        <f t="shared" si="2"/>
        <v>0</v>
      </c>
    </row>
    <row r="10" spans="3:14" x14ac:dyDescent="0.35">
      <c r="D10" s="5" t="s">
        <v>93</v>
      </c>
      <c r="E10" s="5"/>
      <c r="F10" s="5"/>
      <c r="G10" s="5">
        <f t="shared" si="0"/>
        <v>0</v>
      </c>
      <c r="H10" s="5" t="s">
        <v>105</v>
      </c>
      <c r="I10" s="5"/>
      <c r="J10" s="5"/>
      <c r="K10" s="5">
        <f t="shared" si="1"/>
        <v>0</v>
      </c>
      <c r="L10" s="5"/>
      <c r="M10" s="5"/>
      <c r="N10" s="5">
        <f t="shared" si="2"/>
        <v>0</v>
      </c>
    </row>
    <row r="11" spans="3:14" x14ac:dyDescent="0.35">
      <c r="D11" s="5"/>
      <c r="E11" s="5"/>
      <c r="F11" s="5"/>
      <c r="G11" s="5">
        <f t="shared" si="0"/>
        <v>0</v>
      </c>
      <c r="H11" s="5" t="s">
        <v>106</v>
      </c>
      <c r="I11" s="5"/>
      <c r="J11" s="5"/>
      <c r="K11" s="5">
        <f t="shared" si="1"/>
        <v>0</v>
      </c>
      <c r="L11" s="5"/>
      <c r="M11" s="5"/>
      <c r="N11" s="5">
        <f t="shared" si="2"/>
        <v>0</v>
      </c>
    </row>
    <row r="12" spans="3:14" x14ac:dyDescent="0.35">
      <c r="D12" s="5"/>
      <c r="E12" s="5"/>
      <c r="F12" s="5"/>
      <c r="G12" s="5">
        <f t="shared" si="0"/>
        <v>0</v>
      </c>
      <c r="H12" s="5"/>
      <c r="I12" s="5"/>
      <c r="J12" s="5"/>
      <c r="K12" s="5">
        <f t="shared" si="1"/>
        <v>0</v>
      </c>
      <c r="L12" s="5"/>
      <c r="M12" s="5"/>
      <c r="N12" s="5">
        <f t="shared" si="2"/>
        <v>0</v>
      </c>
    </row>
    <row r="13" spans="3:14" x14ac:dyDescent="0.35">
      <c r="D13" s="5"/>
      <c r="E13" s="5"/>
      <c r="F13" s="5"/>
      <c r="G13" s="5">
        <f t="shared" si="0"/>
        <v>0</v>
      </c>
      <c r="H13" s="5"/>
      <c r="I13" s="5"/>
      <c r="J13" s="5"/>
      <c r="K13" s="5">
        <f t="shared" si="1"/>
        <v>0</v>
      </c>
      <c r="L13" s="5"/>
      <c r="M13" s="5"/>
      <c r="N13" s="5">
        <f t="shared" si="2"/>
        <v>0</v>
      </c>
    </row>
    <row r="14" spans="3:14" x14ac:dyDescent="0.35">
      <c r="D14" s="5" t="s">
        <v>91</v>
      </c>
      <c r="E14" s="5"/>
      <c r="F14" s="5"/>
      <c r="G14" s="5">
        <f t="shared" si="0"/>
        <v>0</v>
      </c>
      <c r="H14" s="5" t="s">
        <v>105</v>
      </c>
      <c r="I14" s="5"/>
      <c r="J14" s="5"/>
      <c r="K14" s="5">
        <f t="shared" si="1"/>
        <v>0</v>
      </c>
      <c r="L14" s="5"/>
      <c r="M14" s="5"/>
      <c r="N14" s="5">
        <f t="shared" si="2"/>
        <v>0</v>
      </c>
    </row>
    <row r="15" spans="3:14" x14ac:dyDescent="0.35">
      <c r="D15" s="5"/>
      <c r="E15" s="5"/>
      <c r="F15" s="5"/>
      <c r="G15" s="5">
        <f t="shared" si="0"/>
        <v>0</v>
      </c>
      <c r="H15" s="5" t="s">
        <v>106</v>
      </c>
      <c r="I15" s="5"/>
      <c r="J15" s="5"/>
      <c r="K15" s="5">
        <f t="shared" si="1"/>
        <v>0</v>
      </c>
      <c r="L15" s="5"/>
      <c r="M15" s="5"/>
      <c r="N15" s="5">
        <f t="shared" si="2"/>
        <v>0</v>
      </c>
    </row>
    <row r="16" spans="3:14" x14ac:dyDescent="0.35">
      <c r="D16" s="5"/>
      <c r="E16" s="5"/>
      <c r="F16" s="5"/>
      <c r="G16" s="5">
        <f t="shared" si="0"/>
        <v>0</v>
      </c>
      <c r="H16" s="5"/>
      <c r="I16" s="5"/>
      <c r="J16" s="5"/>
      <c r="K16" s="5">
        <f t="shared" si="1"/>
        <v>0</v>
      </c>
      <c r="L16" s="5"/>
      <c r="M16" s="5"/>
      <c r="N16" s="5">
        <f t="shared" si="2"/>
        <v>0</v>
      </c>
    </row>
    <row r="17" spans="4:14" x14ac:dyDescent="0.35">
      <c r="D17" s="5"/>
      <c r="E17" s="5"/>
      <c r="F17" s="5"/>
      <c r="G17" s="5">
        <f t="shared" si="0"/>
        <v>0</v>
      </c>
      <c r="H17" s="5"/>
      <c r="I17" s="5"/>
      <c r="J17" s="5"/>
      <c r="K17" s="5">
        <f t="shared" si="1"/>
        <v>0</v>
      </c>
      <c r="L17" s="5"/>
      <c r="M17" s="5"/>
      <c r="N17" s="5">
        <f t="shared" si="2"/>
        <v>0</v>
      </c>
    </row>
    <row r="18" spans="4:14" x14ac:dyDescent="0.35">
      <c r="D18" s="5" t="s">
        <v>92</v>
      </c>
      <c r="E18" s="5"/>
      <c r="F18" s="5"/>
      <c r="G18" s="5">
        <f t="shared" si="0"/>
        <v>0</v>
      </c>
      <c r="H18" s="5" t="s">
        <v>105</v>
      </c>
      <c r="I18" s="5"/>
      <c r="J18" s="5"/>
      <c r="K18" s="5">
        <f t="shared" si="1"/>
        <v>0</v>
      </c>
      <c r="L18" s="5"/>
      <c r="M18" s="5"/>
      <c r="N18" s="5">
        <f t="shared" si="2"/>
        <v>0</v>
      </c>
    </row>
    <row r="19" spans="4:14" x14ac:dyDescent="0.35">
      <c r="D19" s="5"/>
      <c r="E19" s="5"/>
      <c r="F19" s="5"/>
      <c r="G19" s="5">
        <f t="shared" si="0"/>
        <v>0</v>
      </c>
      <c r="H19" s="5" t="s">
        <v>106</v>
      </c>
      <c r="I19" s="5"/>
      <c r="J19" s="5"/>
      <c r="K19" s="5">
        <f t="shared" si="1"/>
        <v>0</v>
      </c>
      <c r="L19" s="5"/>
      <c r="M19" s="5"/>
      <c r="N19" s="5">
        <f t="shared" si="2"/>
        <v>0</v>
      </c>
    </row>
    <row r="20" spans="4:14" x14ac:dyDescent="0.35">
      <c r="D20" s="5"/>
      <c r="E20" s="5"/>
      <c r="F20" s="5"/>
      <c r="G20" s="5">
        <f t="shared" si="0"/>
        <v>0</v>
      </c>
      <c r="H20" s="5"/>
      <c r="I20" s="5"/>
      <c r="J20" s="5"/>
      <c r="K20" s="5">
        <f t="shared" si="1"/>
        <v>0</v>
      </c>
      <c r="L20" s="5"/>
      <c r="M20" s="5"/>
      <c r="N20" s="5">
        <f t="shared" si="2"/>
        <v>0</v>
      </c>
    </row>
    <row r="21" spans="4:14" x14ac:dyDescent="0.35">
      <c r="D21" s="5" t="s">
        <v>92</v>
      </c>
      <c r="E21" s="5"/>
      <c r="F21" s="5"/>
      <c r="G21" s="5">
        <f t="shared" si="0"/>
        <v>0</v>
      </c>
      <c r="H21" s="5" t="s">
        <v>105</v>
      </c>
      <c r="I21" s="5"/>
      <c r="J21" s="5"/>
      <c r="K21" s="5">
        <f t="shared" si="1"/>
        <v>0</v>
      </c>
      <c r="L21" s="5"/>
      <c r="M21" s="5"/>
      <c r="N21" s="5">
        <f t="shared" si="2"/>
        <v>0</v>
      </c>
    </row>
    <row r="22" spans="4:14" x14ac:dyDescent="0.35">
      <c r="D22" s="5"/>
      <c r="E22" s="5"/>
      <c r="F22" s="5"/>
      <c r="G22" s="5">
        <f t="shared" si="0"/>
        <v>0</v>
      </c>
      <c r="H22" s="5" t="s">
        <v>106</v>
      </c>
      <c r="I22" s="5"/>
      <c r="J22" s="5"/>
      <c r="K22" s="5">
        <f t="shared" si="1"/>
        <v>0</v>
      </c>
      <c r="L22" s="5"/>
      <c r="M22" s="5"/>
      <c r="N22" s="5">
        <f t="shared" si="2"/>
        <v>0</v>
      </c>
    </row>
    <row r="23" spans="4:14" x14ac:dyDescent="0.35">
      <c r="D23" s="5"/>
      <c r="E23" s="5"/>
      <c r="F23" s="5"/>
      <c r="G23" s="5">
        <f t="shared" si="0"/>
        <v>0</v>
      </c>
      <c r="H23" s="5"/>
      <c r="I23" s="5"/>
      <c r="J23" s="5"/>
      <c r="K23" s="5">
        <f t="shared" si="1"/>
        <v>0</v>
      </c>
      <c r="L23" s="5"/>
      <c r="M23" s="5"/>
      <c r="N23" s="5">
        <f t="shared" si="2"/>
        <v>0</v>
      </c>
    </row>
    <row r="24" spans="4:14" x14ac:dyDescent="0.35">
      <c r="D24" s="5" t="s">
        <v>98</v>
      </c>
      <c r="E24" s="5"/>
      <c r="F24" s="5"/>
      <c r="G24" s="5">
        <f t="shared" si="0"/>
        <v>0</v>
      </c>
      <c r="H24" s="5" t="s">
        <v>107</v>
      </c>
      <c r="I24" s="5"/>
      <c r="J24" s="5"/>
      <c r="K24" s="5">
        <f t="shared" si="1"/>
        <v>0</v>
      </c>
      <c r="L24" s="5"/>
      <c r="M24" s="5"/>
      <c r="N24" s="5">
        <f t="shared" si="2"/>
        <v>0</v>
      </c>
    </row>
    <row r="25" spans="4:14" x14ac:dyDescent="0.35">
      <c r="D25" s="5" t="s">
        <v>99</v>
      </c>
      <c r="E25" s="5"/>
      <c r="F25" s="5"/>
      <c r="G25" s="5">
        <f t="shared" si="0"/>
        <v>0</v>
      </c>
      <c r="H25" s="5" t="s">
        <v>107</v>
      </c>
      <c r="I25" s="5"/>
      <c r="J25" s="5"/>
      <c r="K25" s="5">
        <f t="shared" si="1"/>
        <v>0</v>
      </c>
      <c r="L25" s="5"/>
      <c r="M25" s="5"/>
      <c r="N25" s="5">
        <f t="shared" si="2"/>
        <v>0</v>
      </c>
    </row>
    <row r="26" spans="4:14" x14ac:dyDescent="0.35">
      <c r="D26" s="5" t="s">
        <v>100</v>
      </c>
      <c r="E26" s="5"/>
      <c r="F26" s="5"/>
      <c r="G26" s="5">
        <f t="shared" si="0"/>
        <v>0</v>
      </c>
      <c r="H26" s="5" t="s">
        <v>107</v>
      </c>
      <c r="I26" s="5"/>
      <c r="J26" s="5"/>
      <c r="K26" s="5">
        <f t="shared" si="1"/>
        <v>0</v>
      </c>
      <c r="L26" s="5"/>
      <c r="M26" s="5"/>
      <c r="N26" s="5">
        <f t="shared" si="2"/>
        <v>0</v>
      </c>
    </row>
    <row r="27" spans="4:14" x14ac:dyDescent="0.35">
      <c r="D27" s="5"/>
      <c r="E27" s="5"/>
      <c r="F27" s="5"/>
      <c r="G27" s="5">
        <f t="shared" si="0"/>
        <v>0</v>
      </c>
      <c r="H27" s="5"/>
      <c r="I27" s="5"/>
      <c r="J27" s="5"/>
      <c r="K27" s="5">
        <f t="shared" si="1"/>
        <v>0</v>
      </c>
      <c r="L27" s="5"/>
      <c r="M27" s="5"/>
      <c r="N27" s="5">
        <f t="shared" si="2"/>
        <v>0</v>
      </c>
    </row>
    <row r="28" spans="4:14" x14ac:dyDescent="0.35">
      <c r="D28" s="5" t="s">
        <v>94</v>
      </c>
      <c r="E28" s="5"/>
      <c r="F28" s="5"/>
      <c r="G28" s="5">
        <f t="shared" si="0"/>
        <v>0</v>
      </c>
      <c r="H28" s="5"/>
      <c r="I28" s="5"/>
      <c r="J28" s="5"/>
      <c r="K28" s="5">
        <f t="shared" si="1"/>
        <v>0</v>
      </c>
      <c r="L28" s="5"/>
      <c r="M28" s="5"/>
      <c r="N28" s="5">
        <f t="shared" si="2"/>
        <v>0</v>
      </c>
    </row>
    <row r="29" spans="4:14" x14ac:dyDescent="0.35">
      <c r="D29" s="5" t="s">
        <v>95</v>
      </c>
      <c r="E29" s="5"/>
      <c r="F29" s="5"/>
      <c r="G29" s="5">
        <f t="shared" si="0"/>
        <v>0</v>
      </c>
      <c r="H29" s="5"/>
      <c r="I29" s="5"/>
      <c r="J29" s="5"/>
      <c r="K29" s="5">
        <f t="shared" si="1"/>
        <v>0</v>
      </c>
      <c r="L29" s="5"/>
      <c r="M29" s="5"/>
      <c r="N29" s="5">
        <f t="shared" si="2"/>
        <v>0</v>
      </c>
    </row>
    <row r="30" spans="4:14" x14ac:dyDescent="0.35">
      <c r="D30" s="5" t="s">
        <v>96</v>
      </c>
      <c r="E30" s="5"/>
      <c r="F30" s="5"/>
      <c r="G30" s="5">
        <f t="shared" si="0"/>
        <v>0</v>
      </c>
      <c r="H30" s="5"/>
      <c r="I30" s="5"/>
      <c r="J30" s="5"/>
      <c r="K30" s="5">
        <f t="shared" si="1"/>
        <v>0</v>
      </c>
      <c r="L30" s="5"/>
      <c r="M30" s="5"/>
      <c r="N30" s="5">
        <f t="shared" si="2"/>
        <v>0</v>
      </c>
    </row>
    <row r="31" spans="4:14" x14ac:dyDescent="0.35">
      <c r="D31" s="5" t="s">
        <v>97</v>
      </c>
      <c r="E31" s="5"/>
      <c r="F31" s="5"/>
      <c r="G31" s="5">
        <f t="shared" si="0"/>
        <v>0</v>
      </c>
      <c r="H31" s="5"/>
      <c r="I31" s="5"/>
      <c r="J31" s="5"/>
      <c r="K31" s="5">
        <f t="shared" si="1"/>
        <v>0</v>
      </c>
      <c r="L31" s="5"/>
      <c r="M31" s="5"/>
      <c r="N31" s="5">
        <f t="shared" si="2"/>
        <v>0</v>
      </c>
    </row>
    <row r="32" spans="4:14" x14ac:dyDescent="0.35">
      <c r="D32" s="5"/>
      <c r="E32" s="5"/>
      <c r="F32" s="5"/>
      <c r="G32" s="5">
        <f t="shared" si="0"/>
        <v>0</v>
      </c>
      <c r="H32" s="5"/>
      <c r="I32" s="5"/>
      <c r="J32" s="5"/>
      <c r="K32" s="5">
        <f t="shared" si="1"/>
        <v>0</v>
      </c>
      <c r="L32" s="5"/>
      <c r="M32" s="5"/>
      <c r="N32" s="5">
        <f t="shared" si="2"/>
        <v>0</v>
      </c>
    </row>
    <row r="33" spans="4:14" x14ac:dyDescent="0.35">
      <c r="D33" s="5"/>
      <c r="E33" s="5"/>
      <c r="F33" s="5"/>
      <c r="G33" s="5">
        <f t="shared" si="0"/>
        <v>0</v>
      </c>
      <c r="H33" s="5"/>
      <c r="I33" s="5"/>
      <c r="J33" s="5"/>
      <c r="K33" s="5">
        <f t="shared" si="1"/>
        <v>0</v>
      </c>
      <c r="L33" s="5"/>
      <c r="M33" s="5"/>
      <c r="N33" s="5">
        <f t="shared" si="2"/>
        <v>0</v>
      </c>
    </row>
    <row r="34" spans="4:14" x14ac:dyDescent="0.35">
      <c r="D34" s="5"/>
      <c r="E34" s="5"/>
      <c r="F34" s="5"/>
      <c r="G34" s="5">
        <f t="shared" si="0"/>
        <v>0</v>
      </c>
      <c r="H34" s="5"/>
      <c r="I34" s="5"/>
      <c r="J34" s="5"/>
      <c r="K34" s="5">
        <f t="shared" si="1"/>
        <v>0</v>
      </c>
      <c r="L34" s="5"/>
      <c r="M34" s="5"/>
      <c r="N34" s="5">
        <f t="shared" si="2"/>
        <v>0</v>
      </c>
    </row>
    <row r="35" spans="4:14" x14ac:dyDescent="0.35">
      <c r="D35" s="5" t="s">
        <v>101</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Note</vt:lpstr>
      <vt:lpstr>C% A, B &amp; C</vt:lpstr>
      <vt:lpstr>C% D &amp; E</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2025-07-14T12:03:17Z</cp:lastPrinted>
  <dcterms:created xsi:type="dcterms:W3CDTF">2013-11-23T05:32:33Z</dcterms:created>
  <dcterms:modified xsi:type="dcterms:W3CDTF">2025-07-14T12:04:14Z</dcterms:modified>
</cp:coreProperties>
</file>